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 firstSheet="2" activeTab="8"/>
  </bookViews>
  <sheets>
    <sheet name="Non-EWS" sheetId="1" r:id="rId1"/>
    <sheet name="EWS &amp; CSP" sheetId="2" r:id="rId2"/>
    <sheet name="Sheet1" sheetId="3" r:id="rId3"/>
    <sheet name="Sheet1 (2)" sheetId="5" r:id="rId4"/>
    <sheet name="Boundary Wall Length" sheetId="6" r:id="rId5"/>
    <sheet name="Aesthetic" sheetId="7" r:id="rId6"/>
    <sheet name="Sheet6" sheetId="8" r:id="rId7"/>
    <sheet name="Additional Cost" sheetId="9" r:id="rId8"/>
    <sheet name="Sheet3" sheetId="10" r:id="rId9"/>
    <sheet name="Sheet2" sheetId="11" r:id="rId10"/>
  </sheets>
  <definedNames>
    <definedName name="_xlnm.Print_Area" localSheetId="1">'EWS &amp; CSP'!$A$2:$I$24</definedName>
    <definedName name="_xlnm.Print_Area" localSheetId="0">'Non-EWS'!$A$2:$G$40</definedName>
  </definedNames>
  <calcPr calcId="152511"/>
</workbook>
</file>

<file path=xl/calcChain.xml><?xml version="1.0" encoding="utf-8"?>
<calcChain xmlns="http://schemas.openxmlformats.org/spreadsheetml/2006/main">
  <c r="Q61" i="8" l="1"/>
  <c r="W11" i="10"/>
  <c r="W9" i="10"/>
  <c r="W6" i="10"/>
  <c r="W4" i="10"/>
  <c r="W19" i="5"/>
  <c r="H32" i="11"/>
  <c r="X18" i="10"/>
  <c r="X13" i="9"/>
  <c r="H30" i="11"/>
  <c r="H20" i="11" l="1"/>
  <c r="H22" i="11" s="1"/>
  <c r="H21" i="11"/>
  <c r="H19" i="11"/>
  <c r="G22" i="11"/>
  <c r="C42" i="1"/>
  <c r="AC19" i="5" l="1"/>
  <c r="AA11" i="5"/>
  <c r="Z11" i="5"/>
  <c r="W16" i="5"/>
  <c r="X24" i="10" l="1"/>
  <c r="J8" i="10" l="1"/>
  <c r="Q64" i="8" l="1"/>
  <c r="G3" i="8"/>
  <c r="H3" i="8" s="1"/>
  <c r="I3" i="8" s="1"/>
  <c r="Q3" i="8" s="1"/>
  <c r="L3" i="8"/>
  <c r="O3" i="8"/>
  <c r="J20" i="10"/>
  <c r="J7" i="10"/>
  <c r="S9" i="10"/>
  <c r="AA6" i="10"/>
  <c r="U11" i="10"/>
  <c r="Q63" i="8" l="1"/>
  <c r="R3" i="8"/>
  <c r="T3" i="8" s="1"/>
  <c r="U3" i="8" s="1"/>
  <c r="N7" i="10"/>
  <c r="Q7" i="10"/>
  <c r="N8" i="10"/>
  <c r="Q8" i="10"/>
  <c r="N10" i="10"/>
  <c r="Q10" i="10"/>
  <c r="N11" i="10"/>
  <c r="Q11" i="10"/>
  <c r="I10" i="10"/>
  <c r="S8" i="10"/>
  <c r="S11" i="10"/>
  <c r="S10" i="10"/>
  <c r="S7" i="10"/>
  <c r="Q6" i="10"/>
  <c r="N6" i="10"/>
  <c r="S6" i="10"/>
  <c r="Q5" i="10"/>
  <c r="N5" i="10"/>
  <c r="I5" i="10"/>
  <c r="J5" i="10" s="1"/>
  <c r="Q4" i="10"/>
  <c r="N4" i="10"/>
  <c r="I4" i="10"/>
  <c r="J4" i="10" s="1"/>
  <c r="S4" i="10" s="1"/>
  <c r="Q3" i="10"/>
  <c r="N3" i="10"/>
  <c r="H3" i="10"/>
  <c r="I3" i="10" s="1"/>
  <c r="J3" i="10" s="1"/>
  <c r="E29" i="9"/>
  <c r="E28" i="9"/>
  <c r="M20" i="9"/>
  <c r="M19" i="9"/>
  <c r="M18" i="9"/>
  <c r="M17" i="9"/>
  <c r="M16" i="9"/>
  <c r="M15" i="9"/>
  <c r="J14" i="9"/>
  <c r="M14" i="9" s="1"/>
  <c r="J13" i="9"/>
  <c r="M13" i="9" s="1"/>
  <c r="M12" i="9"/>
  <c r="M11" i="9"/>
  <c r="M10" i="9"/>
  <c r="M9" i="9"/>
  <c r="M8" i="9"/>
  <c r="M7" i="9"/>
  <c r="M6" i="9"/>
  <c r="R16" i="10" l="1"/>
  <c r="S16" i="10" s="1"/>
  <c r="S19" i="10" s="1"/>
  <c r="M21" i="9"/>
  <c r="S3" i="10"/>
  <c r="J14" i="10"/>
  <c r="S5" i="10"/>
  <c r="U24" i="5"/>
  <c r="W24" i="5" s="1"/>
  <c r="U23" i="5"/>
  <c r="W23" i="5" s="1"/>
  <c r="U22" i="5"/>
  <c r="S12" i="10" l="1"/>
  <c r="H6" i="8"/>
  <c r="I6" i="8" s="1"/>
  <c r="Q6" i="8" s="1"/>
  <c r="H7" i="8"/>
  <c r="I7" i="8" s="1"/>
  <c r="Q7" i="8" s="1"/>
  <c r="H5" i="8"/>
  <c r="I5" i="8" s="1"/>
  <c r="Q5" i="8" s="1"/>
  <c r="H22" i="8"/>
  <c r="I22" i="8" s="1"/>
  <c r="L4" i="8"/>
  <c r="O4" i="8"/>
  <c r="L5" i="8"/>
  <c r="O5" i="8"/>
  <c r="L6" i="8"/>
  <c r="O6" i="8"/>
  <c r="L7" i="8"/>
  <c r="O7" i="8"/>
  <c r="L8" i="8"/>
  <c r="O8" i="8"/>
  <c r="L9" i="8"/>
  <c r="O9" i="8"/>
  <c r="L10" i="8"/>
  <c r="O10" i="8"/>
  <c r="L11" i="8"/>
  <c r="O11" i="8"/>
  <c r="L12" i="8"/>
  <c r="O12" i="8"/>
  <c r="L13" i="8"/>
  <c r="O13" i="8"/>
  <c r="L14" i="8"/>
  <c r="O14" i="8"/>
  <c r="L15" i="8"/>
  <c r="O15" i="8"/>
  <c r="L16" i="8"/>
  <c r="O16" i="8"/>
  <c r="L17" i="8"/>
  <c r="O17" i="8"/>
  <c r="L18" i="8"/>
  <c r="O18" i="8"/>
  <c r="L19" i="8"/>
  <c r="O19" i="8"/>
  <c r="L20" i="8"/>
  <c r="O20" i="8"/>
  <c r="L21" i="8"/>
  <c r="O21" i="8"/>
  <c r="L22" i="8"/>
  <c r="O22" i="8"/>
  <c r="L23" i="8"/>
  <c r="O23" i="8"/>
  <c r="L24" i="8"/>
  <c r="O24" i="8"/>
  <c r="L25" i="8"/>
  <c r="O25" i="8"/>
  <c r="L26" i="8"/>
  <c r="O26" i="8"/>
  <c r="L27" i="8"/>
  <c r="O27" i="8"/>
  <c r="L28" i="8"/>
  <c r="O28" i="8"/>
  <c r="L29" i="8"/>
  <c r="O29" i="8"/>
  <c r="L30" i="8"/>
  <c r="O30" i="8"/>
  <c r="L31" i="8"/>
  <c r="O31" i="8"/>
  <c r="L32" i="8"/>
  <c r="O32" i="8"/>
  <c r="L33" i="8"/>
  <c r="O33" i="8"/>
  <c r="L34" i="8"/>
  <c r="O34" i="8"/>
  <c r="L35" i="8"/>
  <c r="O35" i="8"/>
  <c r="L36" i="8"/>
  <c r="O36" i="8"/>
  <c r="L37" i="8"/>
  <c r="O37" i="8"/>
  <c r="L38" i="8"/>
  <c r="O38" i="8"/>
  <c r="L39" i="8"/>
  <c r="O39" i="8"/>
  <c r="L40" i="8"/>
  <c r="O40" i="8"/>
  <c r="L41" i="8"/>
  <c r="O41" i="8"/>
  <c r="L42" i="8"/>
  <c r="O42" i="8"/>
  <c r="L43" i="8"/>
  <c r="O43" i="8"/>
  <c r="L44" i="8"/>
  <c r="O44" i="8"/>
  <c r="L45" i="8"/>
  <c r="O45" i="8"/>
  <c r="L46" i="8"/>
  <c r="O46" i="8"/>
  <c r="L47" i="8"/>
  <c r="O47" i="8"/>
  <c r="L48" i="8"/>
  <c r="O48" i="8"/>
  <c r="L49" i="8"/>
  <c r="O49" i="8"/>
  <c r="I33" i="8"/>
  <c r="Q33" i="8" s="1"/>
  <c r="I34" i="8"/>
  <c r="Q34" i="8" s="1"/>
  <c r="I35" i="8"/>
  <c r="Q35" i="8" s="1"/>
  <c r="I36" i="8"/>
  <c r="Q36" i="8" s="1"/>
  <c r="I37" i="8"/>
  <c r="Q37" i="8" s="1"/>
  <c r="I38" i="8"/>
  <c r="Q38" i="8" s="1"/>
  <c r="I39" i="8"/>
  <c r="Q39" i="8" s="1"/>
  <c r="I40" i="8"/>
  <c r="Q40" i="8" s="1"/>
  <c r="I41" i="8"/>
  <c r="Q41" i="8" s="1"/>
  <c r="I42" i="8"/>
  <c r="Q42" i="8" s="1"/>
  <c r="I43" i="8"/>
  <c r="Q43" i="8" s="1"/>
  <c r="I44" i="8"/>
  <c r="Q44" i="8" s="1"/>
  <c r="I45" i="8"/>
  <c r="Q45" i="8" s="1"/>
  <c r="I46" i="8"/>
  <c r="Q46" i="8" s="1"/>
  <c r="I47" i="8"/>
  <c r="Q47" i="8" s="1"/>
  <c r="I48" i="8"/>
  <c r="Q48" i="8" s="1"/>
  <c r="I49" i="8"/>
  <c r="Q49" i="8" s="1"/>
  <c r="I4" i="8"/>
  <c r="Q4" i="8" s="1"/>
  <c r="I32" i="8"/>
  <c r="Q32" i="8" s="1"/>
  <c r="I24" i="8"/>
  <c r="Q24" i="8" s="1"/>
  <c r="I25" i="8"/>
  <c r="Q25" i="8" s="1"/>
  <c r="I26" i="8"/>
  <c r="Q26" i="8" s="1"/>
  <c r="I27" i="8"/>
  <c r="Q27" i="8" s="1"/>
  <c r="I28" i="8"/>
  <c r="Q28" i="8" s="1"/>
  <c r="I29" i="8"/>
  <c r="Q29" i="8" s="1"/>
  <c r="I30" i="8"/>
  <c r="Q30" i="8" s="1"/>
  <c r="I31" i="8"/>
  <c r="Q31" i="8" s="1"/>
  <c r="I23" i="8"/>
  <c r="Q23" i="8" s="1"/>
  <c r="I9" i="8"/>
  <c r="Q9" i="8" s="1"/>
  <c r="I10" i="8"/>
  <c r="Q10" i="8" s="1"/>
  <c r="I11" i="8"/>
  <c r="Q11" i="8" s="1"/>
  <c r="I12" i="8"/>
  <c r="Q12" i="8" s="1"/>
  <c r="I13" i="8"/>
  <c r="Q13" i="8" s="1"/>
  <c r="I14" i="8"/>
  <c r="Q14" i="8" s="1"/>
  <c r="I15" i="8"/>
  <c r="Q15" i="8" s="1"/>
  <c r="I16" i="8"/>
  <c r="Q16" i="8" s="1"/>
  <c r="I17" i="8"/>
  <c r="Q17" i="8" s="1"/>
  <c r="I18" i="8"/>
  <c r="Q18" i="8" s="1"/>
  <c r="I19" i="8"/>
  <c r="Q19" i="8" s="1"/>
  <c r="I20" i="8"/>
  <c r="Q20" i="8" s="1"/>
  <c r="I21" i="8"/>
  <c r="Q21" i="8" s="1"/>
  <c r="I8" i="8"/>
  <c r="Q8" i="8" s="1"/>
  <c r="Z29" i="5"/>
  <c r="AA29" i="5"/>
  <c r="AA30" i="5" s="1"/>
  <c r="D3" i="7"/>
  <c r="F3" i="7" s="1"/>
  <c r="G3" i="7" s="1"/>
  <c r="I3" i="7" s="1"/>
  <c r="D4" i="7"/>
  <c r="F4" i="7" s="1"/>
  <c r="G4" i="7" s="1"/>
  <c r="I4" i="7" s="1"/>
  <c r="D5" i="7"/>
  <c r="F5" i="7" s="1"/>
  <c r="G5" i="7" s="1"/>
  <c r="I5" i="7" s="1"/>
  <c r="D6" i="7"/>
  <c r="F6" i="7" s="1"/>
  <c r="G6" i="7" s="1"/>
  <c r="I6" i="7" s="1"/>
  <c r="H3" i="6"/>
  <c r="I3" i="6"/>
  <c r="J3" i="6" s="1"/>
  <c r="P8" i="6"/>
  <c r="P12" i="6"/>
  <c r="Q14" i="6"/>
  <c r="Q15" i="6"/>
  <c r="Q16" i="6"/>
  <c r="I3" i="5"/>
  <c r="J3" i="5" s="1"/>
  <c r="M3" i="5"/>
  <c r="P3" i="5"/>
  <c r="AA3" i="5"/>
  <c r="AA4" i="5" s="1"/>
  <c r="I4" i="5"/>
  <c r="J4" i="5" s="1"/>
  <c r="M4" i="5"/>
  <c r="P4" i="5"/>
  <c r="R4" i="5"/>
  <c r="I5" i="5"/>
  <c r="J5" i="5" s="1"/>
  <c r="M5" i="5"/>
  <c r="P5" i="5"/>
  <c r="R5" i="5"/>
  <c r="I6" i="5"/>
  <c r="J6" i="5" s="1"/>
  <c r="M6" i="5"/>
  <c r="P6" i="5"/>
  <c r="R6" i="5"/>
  <c r="I7" i="5"/>
  <c r="J7" i="5" s="1"/>
  <c r="M7" i="5"/>
  <c r="P7" i="5"/>
  <c r="R7" i="5"/>
  <c r="I8" i="5"/>
  <c r="J8" i="5" s="1"/>
  <c r="M8" i="5"/>
  <c r="P8" i="5"/>
  <c r="H9" i="5"/>
  <c r="T9" i="5"/>
  <c r="L18" i="5"/>
  <c r="AF18" i="5"/>
  <c r="O19" i="5"/>
  <c r="P19" i="5" s="1"/>
  <c r="R19" i="5"/>
  <c r="M20" i="5"/>
  <c r="X16" i="10" l="1"/>
  <c r="X15" i="10"/>
  <c r="Z15" i="10" s="1"/>
  <c r="X17" i="10"/>
  <c r="S4" i="5"/>
  <c r="S5" i="5"/>
  <c r="U5" i="5" s="1"/>
  <c r="V5" i="5" s="1"/>
  <c r="R8" i="5"/>
  <c r="S8" i="5" s="1"/>
  <c r="S7" i="5"/>
  <c r="U7" i="5" s="1"/>
  <c r="V7" i="5" s="1"/>
  <c r="R36" i="8"/>
  <c r="T36" i="8" s="1"/>
  <c r="U36" i="8" s="1"/>
  <c r="R32" i="8"/>
  <c r="T32" i="8" s="1"/>
  <c r="U32" i="8" s="1"/>
  <c r="R28" i="8"/>
  <c r="T28" i="8" s="1"/>
  <c r="U28" i="8" s="1"/>
  <c r="R24" i="8"/>
  <c r="T24" i="8" s="1"/>
  <c r="U24" i="8" s="1"/>
  <c r="R20" i="8"/>
  <c r="T20" i="8" s="1"/>
  <c r="U20" i="8" s="1"/>
  <c r="R16" i="8"/>
  <c r="T16" i="8" s="1"/>
  <c r="U16" i="8" s="1"/>
  <c r="R12" i="8"/>
  <c r="T12" i="8" s="1"/>
  <c r="U12" i="8" s="1"/>
  <c r="R8" i="8"/>
  <c r="T8" i="8" s="1"/>
  <c r="U8" i="8" s="1"/>
  <c r="R4" i="8"/>
  <c r="T4" i="8" s="1"/>
  <c r="U4" i="8" s="1"/>
  <c r="Q22" i="8"/>
  <c r="R22" i="8" s="1"/>
  <c r="T22" i="8" s="1"/>
  <c r="U22" i="8" s="1"/>
  <c r="R42" i="8"/>
  <c r="T42" i="8" s="1"/>
  <c r="U42" i="8" s="1"/>
  <c r="R34" i="8"/>
  <c r="T34" i="8" s="1"/>
  <c r="U34" i="8" s="1"/>
  <c r="R30" i="8"/>
  <c r="T30" i="8" s="1"/>
  <c r="U30" i="8" s="1"/>
  <c r="R26" i="8"/>
  <c r="T26" i="8" s="1"/>
  <c r="U26" i="8" s="1"/>
  <c r="R49" i="8"/>
  <c r="T49" i="8" s="1"/>
  <c r="U49" i="8" s="1"/>
  <c r="R47" i="8"/>
  <c r="T47" i="8" s="1"/>
  <c r="U47" i="8" s="1"/>
  <c r="R45" i="8"/>
  <c r="T45" i="8" s="1"/>
  <c r="U45" i="8" s="1"/>
  <c r="R43" i="8"/>
  <c r="T43" i="8" s="1"/>
  <c r="U43" i="8" s="1"/>
  <c r="R41" i="8"/>
  <c r="T41" i="8" s="1"/>
  <c r="U41" i="8" s="1"/>
  <c r="R39" i="8"/>
  <c r="T39" i="8" s="1"/>
  <c r="U39" i="8" s="1"/>
  <c r="R37" i="8"/>
  <c r="T37" i="8" s="1"/>
  <c r="U37" i="8" s="1"/>
  <c r="R35" i="8"/>
  <c r="T35" i="8" s="1"/>
  <c r="U35" i="8" s="1"/>
  <c r="R33" i="8"/>
  <c r="T33" i="8" s="1"/>
  <c r="U33" i="8" s="1"/>
  <c r="R31" i="8"/>
  <c r="T31" i="8" s="1"/>
  <c r="U31" i="8" s="1"/>
  <c r="R29" i="8"/>
  <c r="T29" i="8" s="1"/>
  <c r="U29" i="8" s="1"/>
  <c r="R27" i="8"/>
  <c r="T27" i="8" s="1"/>
  <c r="U27" i="8" s="1"/>
  <c r="R25" i="8"/>
  <c r="T25" i="8" s="1"/>
  <c r="U25" i="8" s="1"/>
  <c r="R23" i="8"/>
  <c r="T23" i="8" s="1"/>
  <c r="U23" i="8" s="1"/>
  <c r="R21" i="8"/>
  <c r="T21" i="8" s="1"/>
  <c r="U21" i="8" s="1"/>
  <c r="R19" i="8"/>
  <c r="T19" i="8" s="1"/>
  <c r="U19" i="8" s="1"/>
  <c r="R17" i="8"/>
  <c r="T17" i="8" s="1"/>
  <c r="U17" i="8" s="1"/>
  <c r="R15" i="8"/>
  <c r="T15" i="8" s="1"/>
  <c r="U15" i="8" s="1"/>
  <c r="R13" i="8"/>
  <c r="T13" i="8" s="1"/>
  <c r="U13" i="8" s="1"/>
  <c r="R11" i="8"/>
  <c r="R9" i="8"/>
  <c r="T9" i="8" s="1"/>
  <c r="U9" i="8" s="1"/>
  <c r="R7" i="8"/>
  <c r="T7" i="8" s="1"/>
  <c r="U7" i="8" s="1"/>
  <c r="R5" i="8"/>
  <c r="T5" i="8" s="1"/>
  <c r="U5" i="8" s="1"/>
  <c r="T11" i="8"/>
  <c r="U11" i="8" s="1"/>
  <c r="R46" i="8"/>
  <c r="T46" i="8" s="1"/>
  <c r="U46" i="8" s="1"/>
  <c r="R38" i="8"/>
  <c r="T38" i="8" s="1"/>
  <c r="U38" i="8" s="1"/>
  <c r="R48" i="8"/>
  <c r="T48" i="8" s="1"/>
  <c r="U48" i="8" s="1"/>
  <c r="R44" i="8"/>
  <c r="T44" i="8" s="1"/>
  <c r="U44" i="8" s="1"/>
  <c r="R40" i="8"/>
  <c r="T40" i="8" s="1"/>
  <c r="U40" i="8" s="1"/>
  <c r="R18" i="8"/>
  <c r="T18" i="8" s="1"/>
  <c r="U18" i="8" s="1"/>
  <c r="R14" i="8"/>
  <c r="T14" i="8" s="1"/>
  <c r="U14" i="8" s="1"/>
  <c r="R10" i="8"/>
  <c r="T10" i="8" s="1"/>
  <c r="U10" i="8" s="1"/>
  <c r="R6" i="8"/>
  <c r="T6" i="8" s="1"/>
  <c r="U6" i="8" s="1"/>
  <c r="P20" i="5"/>
  <c r="O20" i="5" s="1"/>
  <c r="S6" i="5"/>
  <c r="U6" i="5" s="1"/>
  <c r="V6" i="5" s="1"/>
  <c r="R3" i="5"/>
  <c r="S3" i="5" s="1"/>
  <c r="U4" i="5"/>
  <c r="V4" i="5" s="1"/>
  <c r="AB30" i="5"/>
  <c r="AB31" i="5" s="1"/>
  <c r="I7" i="7"/>
  <c r="I9" i="5"/>
  <c r="J9" i="5" s="1"/>
  <c r="K3" i="6"/>
  <c r="H13" i="3"/>
  <c r="H19" i="3"/>
  <c r="Z17" i="10" l="1"/>
  <c r="Z18" i="10" s="1"/>
  <c r="S25" i="10"/>
  <c r="X21" i="10"/>
  <c r="U8" i="5"/>
  <c r="V8" i="5" s="1"/>
  <c r="Q50" i="8"/>
  <c r="S9" i="5"/>
  <c r="AA35" i="5"/>
  <c r="U50" i="8"/>
  <c r="U3" i="5"/>
  <c r="V3" i="5" s="1"/>
  <c r="R9" i="5"/>
  <c r="AC9" i="5" s="1"/>
  <c r="L3" i="6"/>
  <c r="L4" i="6" s="1"/>
  <c r="K4" i="6"/>
  <c r="H22" i="2"/>
  <c r="C22" i="2"/>
  <c r="C24" i="2" s="1"/>
  <c r="AC3" i="5" l="1"/>
  <c r="AA37" i="5"/>
  <c r="N9" i="6"/>
  <c r="U9" i="5"/>
  <c r="V9" i="5"/>
  <c r="AC4" i="5" s="1"/>
  <c r="Q53" i="8"/>
  <c r="Q55" i="8"/>
  <c r="Q54" i="8"/>
  <c r="AC35" i="5"/>
  <c r="AF22" i="5" s="1"/>
  <c r="AA13" i="5"/>
  <c r="AA16" i="5"/>
  <c r="AB19" i="5" s="1"/>
  <c r="F38" i="1"/>
  <c r="C38" i="1"/>
  <c r="Q57" i="8" l="1"/>
  <c r="Q59" i="8" s="1"/>
  <c r="Q60" i="8" s="1"/>
  <c r="F42" i="1"/>
  <c r="AC5" i="5"/>
  <c r="AB20" i="5"/>
  <c r="AB21" i="5"/>
  <c r="C40" i="1"/>
  <c r="C43" i="1" s="1"/>
  <c r="I18" i="7" l="1"/>
  <c r="I19" i="7" s="1"/>
  <c r="AC6" i="5"/>
  <c r="AC7" i="5"/>
  <c r="AC8" i="5"/>
  <c r="I20" i="7" l="1"/>
  <c r="I21" i="7"/>
</calcChain>
</file>

<file path=xl/sharedStrings.xml><?xml version="1.0" encoding="utf-8"?>
<sst xmlns="http://schemas.openxmlformats.org/spreadsheetml/2006/main" count="587" uniqueCount="304">
  <si>
    <t>FLOOR</t>
  </si>
  <si>
    <t>UNIT NO.</t>
  </si>
  <si>
    <t>SBU AREA (SQ.FT.)</t>
  </si>
  <si>
    <t>7TH FLOOR</t>
  </si>
  <si>
    <t>8TH FLOOR</t>
  </si>
  <si>
    <t>6TH FLOOR</t>
  </si>
  <si>
    <t xml:space="preserve">AKASHHA </t>
  </si>
  <si>
    <t>SANJAY NAGAR, NEAR ROSHANARA CLUB, GULABI BAGH, NEW DELHI</t>
  </si>
  <si>
    <t>AREA CHART</t>
  </si>
  <si>
    <t>TOTAL</t>
  </si>
  <si>
    <t>GRAND TOTAL AREA</t>
  </si>
  <si>
    <t>6A</t>
  </si>
  <si>
    <t>7A</t>
  </si>
  <si>
    <t>8A</t>
  </si>
  <si>
    <t>BASEMENT PARKING B3</t>
  </si>
  <si>
    <t>BASEMENT PARKING B2</t>
  </si>
  <si>
    <t>BASEMENT PARKING B1</t>
  </si>
  <si>
    <t>CSP S1</t>
  </si>
  <si>
    <t>CSP S2</t>
  </si>
  <si>
    <t>CSP/GYM S3</t>
  </si>
  <si>
    <t>COMMUNITY HALL/ SWIMMING POOL C</t>
  </si>
  <si>
    <t>GROUND FLOOR LOBBY L</t>
  </si>
  <si>
    <t>9TH FLOOR</t>
  </si>
  <si>
    <t>10TH FLOOR</t>
  </si>
  <si>
    <t>11TH FLOOR</t>
  </si>
  <si>
    <t>12TH FLOOR</t>
  </si>
  <si>
    <t>13TH FLOOR</t>
  </si>
  <si>
    <t>14TH FLOOR</t>
  </si>
  <si>
    <t>15TH FLOOR</t>
  </si>
  <si>
    <t>16TH FLOOR</t>
  </si>
  <si>
    <t>17TH FLOOR</t>
  </si>
  <si>
    <t>18TH FLOOR</t>
  </si>
  <si>
    <t>19TH FLOOR</t>
  </si>
  <si>
    <t>20TH FLOOR</t>
  </si>
  <si>
    <t>21TH FLOOR</t>
  </si>
  <si>
    <t>22TH FLOOR</t>
  </si>
  <si>
    <t>23TH FLOOR</t>
  </si>
  <si>
    <t>24TH FLOOR</t>
  </si>
  <si>
    <t>25TH FLOOR</t>
  </si>
  <si>
    <t>26TH FLOOR</t>
  </si>
  <si>
    <t>27TH FLOOR</t>
  </si>
  <si>
    <t>28TH FLOOR</t>
  </si>
  <si>
    <t>29TH FLOOR</t>
  </si>
  <si>
    <t>6B</t>
  </si>
  <si>
    <t>7B</t>
  </si>
  <si>
    <t>8B</t>
  </si>
  <si>
    <t>9B</t>
  </si>
  <si>
    <t>10B</t>
  </si>
  <si>
    <t>11B</t>
  </si>
  <si>
    <t>12B</t>
  </si>
  <si>
    <t>14B</t>
  </si>
  <si>
    <t>15B</t>
  </si>
  <si>
    <t>16B</t>
  </si>
  <si>
    <t>17B</t>
  </si>
  <si>
    <t>18B</t>
  </si>
  <si>
    <t>19B</t>
  </si>
  <si>
    <t>20B</t>
  </si>
  <si>
    <t>FIRE CHECK</t>
  </si>
  <si>
    <t>ALLOTTEE</t>
  </si>
  <si>
    <t>21B</t>
  </si>
  <si>
    <t>22B</t>
  </si>
  <si>
    <t>23B</t>
  </si>
  <si>
    <t>24B</t>
  </si>
  <si>
    <t>25B</t>
  </si>
  <si>
    <t>26B</t>
  </si>
  <si>
    <t>27B</t>
  </si>
  <si>
    <t>28B</t>
  </si>
  <si>
    <t>9A</t>
  </si>
  <si>
    <t>10A</t>
  </si>
  <si>
    <t>11A</t>
  </si>
  <si>
    <t>12A</t>
  </si>
  <si>
    <t>14A</t>
  </si>
  <si>
    <t>15A</t>
  </si>
  <si>
    <t>16A</t>
  </si>
  <si>
    <t>17A</t>
  </si>
  <si>
    <t>18A</t>
  </si>
  <si>
    <t>19A</t>
  </si>
  <si>
    <t>20A</t>
  </si>
  <si>
    <t>21A</t>
  </si>
  <si>
    <t>22A</t>
  </si>
  <si>
    <t>23A</t>
  </si>
  <si>
    <t>24A</t>
  </si>
  <si>
    <t>25A</t>
  </si>
  <si>
    <t>26A</t>
  </si>
  <si>
    <t>27A</t>
  </si>
  <si>
    <t>28A</t>
  </si>
  <si>
    <t>AHPL</t>
  </si>
  <si>
    <t>PENTHOUSE 2ND FLOOR</t>
  </si>
  <si>
    <t>SS</t>
  </si>
  <si>
    <t>BUILT-UP AREA (SQ.FT.)</t>
  </si>
  <si>
    <t>AREA CHART [EWS]</t>
  </si>
  <si>
    <t>1ST FLOOR</t>
  </si>
  <si>
    <t>2ND FLOOR</t>
  </si>
  <si>
    <t>3RD FLOOR</t>
  </si>
  <si>
    <t>AREA CHART [CSP]</t>
  </si>
  <si>
    <t>4TH FLOOR</t>
  </si>
  <si>
    <t>Landowner</t>
  </si>
  <si>
    <t>Developer</t>
  </si>
  <si>
    <t>AHPL (Ambition Homes Pvt. Ltd.)</t>
  </si>
  <si>
    <t>FAR</t>
  </si>
  <si>
    <t>CSP</t>
  </si>
  <si>
    <t>EWS</t>
  </si>
  <si>
    <t xml:space="preserve">Community Centre </t>
  </si>
  <si>
    <t>Permissible</t>
  </si>
  <si>
    <t>Utilized</t>
  </si>
  <si>
    <t>Community</t>
  </si>
  <si>
    <t>E category</t>
  </si>
  <si>
    <t>Gulabi Bagh</t>
  </si>
  <si>
    <t>DV</t>
  </si>
  <si>
    <t>RV</t>
  </si>
  <si>
    <t>land</t>
  </si>
  <si>
    <t>Round off</t>
  </si>
  <si>
    <t>builtup</t>
  </si>
  <si>
    <t>4. The Valuation is done by considering the depreciated replacement cost and while calculating D.R.C. 10% salvage value is considered.</t>
  </si>
  <si>
    <t>Diff. in value</t>
  </si>
  <si>
    <t>3. Age of construction taken from the information as per documents provided to us.</t>
  </si>
  <si>
    <t xml:space="preserve">2.The maintenance of the building was average as per site survey observation from external. </t>
  </si>
  <si>
    <t>1. All the details pertaining to the building area statement such as area, floor, etc has been taken from the documents provided to us.</t>
  </si>
  <si>
    <t>Remarks:</t>
  </si>
  <si>
    <t>Insurance</t>
  </si>
  <si>
    <t>Total</t>
  </si>
  <si>
    <t>First Floor</t>
  </si>
  <si>
    <t>Upper Ground Floor</t>
  </si>
  <si>
    <t>Lower Ground Floor</t>
  </si>
  <si>
    <t>2nd Villa</t>
  </si>
  <si>
    <t>FMV</t>
  </si>
  <si>
    <t>L&amp;B</t>
  </si>
  <si>
    <t xml:space="preserve">Total Value - </t>
  </si>
  <si>
    <t>RCC Structure</t>
  </si>
  <si>
    <t>1st Villa</t>
  </si>
  <si>
    <t>Market Value</t>
  </si>
  <si>
    <t>Market Rate per sq.mt.</t>
  </si>
  <si>
    <t xml:space="preserve">Govt. Value </t>
  </si>
  <si>
    <t>Govt. Rate per sq.mtr.</t>
  </si>
  <si>
    <t>Land Area in Sq.mtr.</t>
  </si>
  <si>
    <t>Land Area in Sq.yds.</t>
  </si>
  <si>
    <t>Fair Market Value         (INR)</t>
  </si>
  <si>
    <t>Depreciated Replacement Cost
(INR)</t>
  </si>
  <si>
    <t>Deterioration</t>
  </si>
  <si>
    <t xml:space="preserve">Depreciation
(INR) </t>
  </si>
  <si>
    <t>Gross Replacement value
(INR)</t>
  </si>
  <si>
    <t>Plinth Area  Rate 
(INR per sq feet)</t>
  </si>
  <si>
    <t>Depreciation Rate</t>
  </si>
  <si>
    <t>Salvage value</t>
  </si>
  <si>
    <t>Total Economical Life
(In year)</t>
  </si>
  <si>
    <t>Total Life Consumed 
(In year)</t>
  </si>
  <si>
    <t xml:space="preserve">Year of Valuation </t>
  </si>
  <si>
    <t xml:space="preserve">Year of Construction </t>
  </si>
  <si>
    <t>Total Built-up Area</t>
  </si>
  <si>
    <t>Built-up area 
(in sq ft.)</t>
  </si>
  <si>
    <t>Built-up Area 
(in sq mtr)</t>
  </si>
  <si>
    <t>Type of Structure</t>
  </si>
  <si>
    <t>Height 
(in ft.)</t>
  </si>
  <si>
    <t>Total Floors</t>
  </si>
  <si>
    <t>Floor Name</t>
  </si>
  <si>
    <t>Block Name</t>
  </si>
  <si>
    <t>Sr. No.</t>
  </si>
  <si>
    <t>M/S JM Holdings Pvt. Ltd</t>
  </si>
  <si>
    <t>LENGTH OF BOUNDARY WALL</t>
  </si>
  <si>
    <t>DRC</t>
  </si>
  <si>
    <t>Dep.</t>
  </si>
  <si>
    <t>GCRC</t>
  </si>
  <si>
    <t>SV</t>
  </si>
  <si>
    <t>EL</t>
  </si>
  <si>
    <t>CoC</t>
  </si>
  <si>
    <t>Height/Width (in mt.)</t>
  </si>
  <si>
    <t>Running   mtr.</t>
  </si>
  <si>
    <t>Aesthtics</t>
  </si>
  <si>
    <t>S.No.</t>
  </si>
  <si>
    <t xml:space="preserve">RCC Boundary Wall </t>
  </si>
  <si>
    <t>Total MV</t>
  </si>
  <si>
    <t>Total Value</t>
  </si>
  <si>
    <t>Balancing Tank</t>
  </si>
  <si>
    <t>Filtration Plant</t>
  </si>
  <si>
    <t>Seftic Tank</t>
  </si>
  <si>
    <t>Swimming Pool</t>
  </si>
  <si>
    <t>Value</t>
  </si>
  <si>
    <t>Rate/litre</t>
  </si>
  <si>
    <t>Volume(Litre)</t>
  </si>
  <si>
    <t>Volume(cubic feet)</t>
  </si>
  <si>
    <t>Depth(Ft)</t>
  </si>
  <si>
    <t>Area in sq. ft.</t>
  </si>
  <si>
    <t>Area in Sq. mt.</t>
  </si>
  <si>
    <t>Aesthetic</t>
  </si>
  <si>
    <t>Aesthetic in Villa</t>
  </si>
  <si>
    <t>A</t>
  </si>
  <si>
    <t>B</t>
  </si>
  <si>
    <t>C</t>
  </si>
  <si>
    <t>Working</t>
  </si>
  <si>
    <t>per sq.yds</t>
  </si>
  <si>
    <t>sq.mt</t>
  </si>
  <si>
    <t>Disc-40%</t>
  </si>
  <si>
    <t>Total Flats</t>
  </si>
  <si>
    <t>Category</t>
  </si>
  <si>
    <t>6th</t>
  </si>
  <si>
    <t>7th</t>
  </si>
  <si>
    <t>8th</t>
  </si>
  <si>
    <t>9th</t>
  </si>
  <si>
    <t xml:space="preserve">10th </t>
  </si>
  <si>
    <t>11th</t>
  </si>
  <si>
    <t xml:space="preserve">12th </t>
  </si>
  <si>
    <t>13th</t>
  </si>
  <si>
    <t>14th</t>
  </si>
  <si>
    <t>15th</t>
  </si>
  <si>
    <t>16th</t>
  </si>
  <si>
    <t>17th</t>
  </si>
  <si>
    <t>18th</t>
  </si>
  <si>
    <t>19th</t>
  </si>
  <si>
    <t>21st</t>
  </si>
  <si>
    <t>22nd</t>
  </si>
  <si>
    <t>23rd</t>
  </si>
  <si>
    <t>24th</t>
  </si>
  <si>
    <t>25th</t>
  </si>
  <si>
    <t>26th</t>
  </si>
  <si>
    <t>27th</t>
  </si>
  <si>
    <t>28th</t>
  </si>
  <si>
    <t>29th</t>
  </si>
  <si>
    <t>20th (Fire Check)</t>
  </si>
  <si>
    <t>Non EWS</t>
  </si>
  <si>
    <t>1st</t>
  </si>
  <si>
    <t>2nd</t>
  </si>
  <si>
    <t>3rd</t>
  </si>
  <si>
    <t>4th</t>
  </si>
  <si>
    <t>RCC</t>
  </si>
  <si>
    <t>NA</t>
  </si>
  <si>
    <t>Extra cost of fittings and construction</t>
  </si>
  <si>
    <t>Description</t>
  </si>
  <si>
    <t>Item</t>
  </si>
  <si>
    <t>Cost</t>
  </si>
  <si>
    <t>Cost of item</t>
  </si>
  <si>
    <t>Complete Italian Flooring</t>
  </si>
  <si>
    <t>Italian Flooring</t>
  </si>
  <si>
    <t>Rs. 600/ sq.ft (Inclusive all)</t>
  </si>
  <si>
    <t>Quantity</t>
  </si>
  <si>
    <t>Total Units</t>
  </si>
  <si>
    <t>Per Unit Cost</t>
  </si>
  <si>
    <t>Total Cost</t>
  </si>
  <si>
    <t>Washroom Walls and Flooring Italian</t>
  </si>
  <si>
    <t>Geyser</t>
  </si>
  <si>
    <t>Tiles behind cupboard</t>
  </si>
  <si>
    <t>Locals tiles where required</t>
  </si>
  <si>
    <t>Fans</t>
  </si>
  <si>
    <t>Per Kitchen Fittings</t>
  </si>
  <si>
    <t>7,50,000/-</t>
  </si>
  <si>
    <t>Exhaust</t>
  </si>
  <si>
    <t>AC</t>
  </si>
  <si>
    <t>Powder Washroom Sanitary Fittings washroom</t>
  </si>
  <si>
    <t>Penthouse</t>
  </si>
  <si>
    <t>Internal Wiring</t>
  </si>
  <si>
    <t>Finolex &amp; Havells</t>
  </si>
  <si>
    <t>Modular switch board</t>
  </si>
  <si>
    <t>Smart light in drawing and dining (Alexa)</t>
  </si>
  <si>
    <t>Per washroom</t>
  </si>
  <si>
    <t>4th floor/Gym</t>
  </si>
  <si>
    <t>Washroom vanities</t>
  </si>
  <si>
    <t>Main Security lock</t>
  </si>
  <si>
    <t>Yale make</t>
  </si>
  <si>
    <t>Exhast Fans</t>
  </si>
  <si>
    <t>per piece</t>
  </si>
  <si>
    <t>Fire Check(20th) Floor</t>
  </si>
  <si>
    <t>Total units</t>
  </si>
  <si>
    <t>Total Area</t>
  </si>
  <si>
    <t>Plinth Rate</t>
  </si>
  <si>
    <t>EWS/ CSP</t>
  </si>
  <si>
    <t>Basement</t>
  </si>
  <si>
    <t>Non EWS Flats</t>
  </si>
  <si>
    <t>28th-29th</t>
  </si>
  <si>
    <t>1st-4th</t>
  </si>
  <si>
    <t>Total Cost of Construction
(INR)</t>
  </si>
  <si>
    <t>Total Built-up Area (Sq.ft)</t>
  </si>
  <si>
    <t>Total Flats/ Units</t>
  </si>
  <si>
    <t xml:space="preserve">CSP </t>
  </si>
  <si>
    <t xml:space="preserve">GROUND FLOOR LOBBY </t>
  </si>
  <si>
    <t xml:space="preserve">CSP/GYM </t>
  </si>
  <si>
    <t>Fire Check</t>
  </si>
  <si>
    <t>20th</t>
  </si>
  <si>
    <t>6th-19th
21st-27th</t>
  </si>
  <si>
    <t>Group Housing Project-Akashha</t>
  </si>
  <si>
    <t xml:space="preserve">COMMUNITY HALL </t>
  </si>
  <si>
    <t>Gound Floor</t>
  </si>
  <si>
    <t xml:space="preserve">4th, 5th </t>
  </si>
  <si>
    <t xml:space="preserve">COMMUNITY HALL/ SWIMMING POOL </t>
  </si>
  <si>
    <t>Akashha-Group Hosuing Project</t>
  </si>
  <si>
    <t xml:space="preserve">Name </t>
  </si>
  <si>
    <t>Area</t>
  </si>
  <si>
    <t>Mr. Sanjay Surana</t>
  </si>
  <si>
    <t xml:space="preserve">Mrs. Chandrika Aggarwal </t>
  </si>
  <si>
    <t>Mr. Surajmal Suarna</t>
  </si>
  <si>
    <t>4006 sq.yds</t>
  </si>
  <si>
    <t>328 sq.yds</t>
  </si>
  <si>
    <t>166 sq.yds</t>
  </si>
  <si>
    <t>Non EWS-CSP/GYM</t>
  </si>
  <si>
    <t>Non EWS Residential Flats</t>
  </si>
  <si>
    <t>Non EWS-Community Centre</t>
  </si>
  <si>
    <t>4th and 5th</t>
  </si>
  <si>
    <t>Area(Sq.ft)</t>
  </si>
  <si>
    <t>Non EWS units</t>
  </si>
  <si>
    <t>Total (Rs.)</t>
  </si>
  <si>
    <t>Rate (Rs.)</t>
  </si>
  <si>
    <t xml:space="preserve">Market Value of Inventory </t>
  </si>
  <si>
    <t>Area Considered</t>
  </si>
  <si>
    <t>Built-up</t>
  </si>
  <si>
    <t>Residential Flats</t>
  </si>
  <si>
    <t>Super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</si>
</sst>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₹&quot;\ #,##0;[Red]&quot;₹&quot;\ \-#,##0"/>
    <numFmt numFmtId="43" formatCode="_ * #,##0.00_ ;_ * \-#,##0.00_ ;_ * &quot;-&quot;??_ ;_ @_ "/>
    <numFmt numFmtId="164" formatCode="_ * #,##0_ ;_ * \-#,##0_ ;_ * &quot;-&quot;??_ ;_ @_ "/>
    <numFmt numFmtId="165" formatCode="0.0000"/>
    <numFmt numFmtId="166" formatCode="_ [$₹-439]* #,##0_ ;_ [$₹-439]* \-#,##0_ ;_ [$₹-439]* &quot;-&quot;??_ ;_ @_ "/>
    <numFmt numFmtId="167" formatCode="0.0"/>
  </numFmts>
  <fonts count="1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12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3" borderId="0" applyNumberFormat="0" applyBorder="0" applyAlignment="0" applyProtection="0"/>
  </cellStyleXfs>
  <cellXfs count="200">
    <xf numFmtId="0" fontId="0" fillId="0" borderId="0" xfId="0"/>
    <xf numFmtId="0" fontId="0" fillId="0" borderId="0" xfId="0" applyAlignment="1">
      <alignment vertical="top"/>
    </xf>
    <xf numFmtId="0" fontId="2" fillId="2" borderId="23" xfId="0" applyFont="1" applyFill="1" applyBorder="1" applyAlignment="1">
      <alignment horizontal="center" vertical="top"/>
    </xf>
    <xf numFmtId="0" fontId="2" fillId="2" borderId="24" xfId="0" applyFont="1" applyFill="1" applyBorder="1" applyAlignment="1">
      <alignment horizontal="center" vertical="top"/>
    </xf>
    <xf numFmtId="0" fontId="2" fillId="2" borderId="24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2" fillId="0" borderId="27" xfId="0" applyFont="1" applyBorder="1" applyAlignment="1">
      <alignment vertical="top"/>
    </xf>
    <xf numFmtId="2" fontId="0" fillId="0" borderId="26" xfId="0" applyNumberForma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0" fontId="2" fillId="0" borderId="8" xfId="0" applyFont="1" applyBorder="1" applyAlignment="1">
      <alignment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2" fontId="0" fillId="0" borderId="10" xfId="0" applyNumberFormat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0" fontId="2" fillId="2" borderId="15" xfId="0" applyFont="1" applyFill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18" xfId="0" applyBorder="1" applyAlignment="1">
      <alignment horizontal="center" vertical="top"/>
    </xf>
    <xf numFmtId="0" fontId="0" fillId="2" borderId="5" xfId="0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3" fontId="0" fillId="0" borderId="0" xfId="0" applyNumberFormat="1"/>
    <xf numFmtId="6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/>
    </xf>
    <xf numFmtId="1" fontId="0" fillId="0" borderId="0" xfId="0" applyNumberFormat="1"/>
    <xf numFmtId="164" fontId="0" fillId="0" borderId="1" xfId="0" applyNumberFormat="1" applyBorder="1"/>
    <xf numFmtId="0" fontId="0" fillId="0" borderId="1" xfId="0" applyBorder="1"/>
    <xf numFmtId="1" fontId="0" fillId="0" borderId="1" xfId="0" applyNumberFormat="1" applyBorder="1"/>
    <xf numFmtId="164" fontId="0" fillId="0" borderId="0" xfId="1" applyNumberFormat="1" applyFont="1" applyBorder="1" applyAlignment="1">
      <alignment horizontal="center"/>
    </xf>
    <xf numFmtId="164" fontId="0" fillId="0" borderId="1" xfId="1" applyNumberFormat="1" applyFont="1" applyBorder="1"/>
    <xf numFmtId="0" fontId="0" fillId="0" borderId="0" xfId="0" applyAlignment="1">
      <alignment wrapText="1"/>
    </xf>
    <xf numFmtId="2" fontId="0" fillId="0" borderId="0" xfId="0" applyNumberFormat="1"/>
    <xf numFmtId="9" fontId="0" fillId="0" borderId="0" xfId="2" applyFont="1" applyBorder="1"/>
    <xf numFmtId="9" fontId="0" fillId="0" borderId="1" xfId="2" applyFont="1" applyBorder="1"/>
    <xf numFmtId="9" fontId="0" fillId="0" borderId="0" xfId="2" applyFont="1"/>
    <xf numFmtId="164" fontId="9" fillId="0" borderId="1" xfId="1" applyNumberFormat="1" applyFont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 wrapText="1"/>
    </xf>
    <xf numFmtId="164" fontId="0" fillId="4" borderId="0" xfId="0" applyNumberFormat="1" applyFill="1"/>
    <xf numFmtId="0" fontId="6" fillId="0" borderId="0" xfId="0" applyFont="1" applyAlignment="1">
      <alignment horizontal="right"/>
    </xf>
    <xf numFmtId="164" fontId="10" fillId="0" borderId="1" xfId="1" applyNumberFormat="1" applyFont="1" applyBorder="1" applyAlignment="1">
      <alignment horizontal="center" vertical="center" wrapText="1"/>
    </xf>
    <xf numFmtId="9" fontId="10" fillId="0" borderId="1" xfId="2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64" fontId="0" fillId="4" borderId="1" xfId="0" applyNumberFormat="1" applyFill="1" applyBorder="1"/>
    <xf numFmtId="0" fontId="6" fillId="0" borderId="13" xfId="0" applyFont="1" applyBorder="1" applyAlignment="1">
      <alignment horizontal="center" vertical="center" wrapText="1"/>
    </xf>
    <xf numFmtId="164" fontId="4" fillId="0" borderId="0" xfId="1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3" borderId="1" xfId="3" applyFont="1" applyBorder="1" applyAlignment="1">
      <alignment horizontal="center" vertical="center" wrapText="1"/>
    </xf>
    <xf numFmtId="166" fontId="6" fillId="3" borderId="1" xfId="3" applyNumberFormat="1" applyFont="1" applyBorder="1" applyAlignment="1">
      <alignment horizontal="center" vertical="center" wrapText="1"/>
    </xf>
    <xf numFmtId="0" fontId="6" fillId="5" borderId="1" xfId="3" applyFont="1" applyFill="1" applyBorder="1" applyAlignment="1">
      <alignment horizontal="center" vertical="center" wrapText="1"/>
    </xf>
    <xf numFmtId="43" fontId="0" fillId="0" borderId="0" xfId="1" applyFont="1"/>
    <xf numFmtId="164" fontId="0" fillId="0" borderId="0" xfId="1" applyNumberFormat="1" applyFont="1"/>
    <xf numFmtId="0" fontId="6" fillId="0" borderId="1" xfId="0" applyFont="1" applyBorder="1"/>
    <xf numFmtId="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/>
    <xf numFmtId="1" fontId="2" fillId="0" borderId="1" xfId="0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43" fontId="0" fillId="0" borderId="0" xfId="0" applyNumberFormat="1"/>
    <xf numFmtId="164" fontId="6" fillId="0" borderId="1" xfId="1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166" fontId="6" fillId="9" borderId="1" xfId="3" applyNumberFormat="1" applyFont="1" applyFill="1" applyBorder="1" applyAlignment="1">
      <alignment horizontal="center" vertical="center" wrapText="1"/>
    </xf>
    <xf numFmtId="0" fontId="12" fillId="11" borderId="6" xfId="0" applyFont="1" applyFill="1" applyBorder="1" applyAlignment="1">
      <alignment horizontal="center" vertical="center" wrapText="1"/>
    </xf>
    <xf numFmtId="0" fontId="12" fillId="11" borderId="26" xfId="0" applyFont="1" applyFill="1" applyBorder="1" applyAlignment="1">
      <alignment horizontal="center" vertical="center" wrapText="1"/>
    </xf>
    <xf numFmtId="0" fontId="12" fillId="11" borderId="2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3" fontId="0" fillId="0" borderId="1" xfId="0" applyNumberFormat="1" applyBorder="1"/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8" borderId="1" xfId="3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1" fontId="0" fillId="13" borderId="1" xfId="0" applyNumberFormat="1" applyFill="1" applyBorder="1" applyAlignment="1">
      <alignment horizontal="center" vertical="center" wrapText="1"/>
    </xf>
    <xf numFmtId="0" fontId="6" fillId="3" borderId="6" xfId="3" applyFont="1" applyBorder="1" applyAlignment="1">
      <alignment horizontal="center" vertical="center" wrapText="1"/>
    </xf>
    <xf numFmtId="0" fontId="6" fillId="3" borderId="26" xfId="3" applyFont="1" applyBorder="1" applyAlignment="1">
      <alignment horizontal="center" vertical="center" wrapText="1"/>
    </xf>
    <xf numFmtId="0" fontId="6" fillId="8" borderId="26" xfId="3" applyFont="1" applyFill="1" applyBorder="1" applyAlignment="1">
      <alignment horizontal="center" vertical="center" wrapText="1"/>
    </xf>
    <xf numFmtId="0" fontId="6" fillId="5" borderId="26" xfId="3" applyFont="1" applyFill="1" applyBorder="1" applyAlignment="1">
      <alignment horizontal="center" vertical="center" wrapText="1"/>
    </xf>
    <xf numFmtId="0" fontId="6" fillId="3" borderId="27" xfId="3" applyFont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 wrapText="1"/>
    </xf>
    <xf numFmtId="1" fontId="0" fillId="13" borderId="7" xfId="0" applyNumberFormat="1" applyFill="1" applyBorder="1" applyAlignment="1">
      <alignment horizontal="center" vertical="center" wrapText="1"/>
    </xf>
    <xf numFmtId="1" fontId="0" fillId="0" borderId="35" xfId="0" applyNumberFormat="1" applyBorder="1" applyAlignment="1">
      <alignment horizontal="center" vertical="center" wrapText="1"/>
    </xf>
    <xf numFmtId="1" fontId="0" fillId="0" borderId="30" xfId="0" applyNumberFormat="1" applyBorder="1" applyAlignment="1">
      <alignment horizontal="center" vertical="center" wrapText="1"/>
    </xf>
    <xf numFmtId="164" fontId="6" fillId="0" borderId="5" xfId="1" applyNumberFormat="1" applyFont="1" applyBorder="1"/>
    <xf numFmtId="164" fontId="0" fillId="0" borderId="8" xfId="1" applyNumberFormat="1" applyFont="1" applyBorder="1" applyAlignment="1">
      <alignment horizontal="center" vertical="center" wrapText="1"/>
    </xf>
    <xf numFmtId="164" fontId="0" fillId="13" borderId="8" xfId="1" applyNumberFormat="1" applyFont="1" applyFill="1" applyBorder="1" applyAlignment="1">
      <alignment horizontal="center" vertical="center" wrapText="1"/>
    </xf>
    <xf numFmtId="164" fontId="0" fillId="0" borderId="36" xfId="1" applyNumberFormat="1" applyFont="1" applyBorder="1" applyAlignment="1">
      <alignment horizontal="center" vertical="center" wrapText="1"/>
    </xf>
    <xf numFmtId="164" fontId="0" fillId="0" borderId="0" xfId="1" applyNumberFormat="1" applyFont="1" applyAlignment="1">
      <alignment wrapText="1"/>
    </xf>
    <xf numFmtId="164" fontId="6" fillId="0" borderId="34" xfId="1" applyNumberFormat="1" applyFont="1" applyFill="1" applyBorder="1" applyAlignment="1">
      <alignment horizontal="center" vertical="center" wrapText="1"/>
    </xf>
    <xf numFmtId="164" fontId="6" fillId="0" borderId="5" xfId="1" applyNumberFormat="1" applyFont="1" applyFill="1" applyBorder="1"/>
    <xf numFmtId="0" fontId="5" fillId="12" borderId="6" xfId="0" applyFont="1" applyFill="1" applyBorder="1" applyAlignment="1">
      <alignment horizontal="center" vertical="center" wrapText="1"/>
    </xf>
    <xf numFmtId="0" fontId="5" fillId="12" borderId="26" xfId="0" applyFont="1" applyFill="1" applyBorder="1" applyAlignment="1">
      <alignment horizontal="center" vertical="center" wrapText="1"/>
    </xf>
    <xf numFmtId="0" fontId="5" fillId="12" borderId="27" xfId="0" applyFont="1" applyFill="1" applyBorder="1" applyAlignment="1">
      <alignment horizontal="center" vertical="center" wrapText="1"/>
    </xf>
    <xf numFmtId="0" fontId="0" fillId="0" borderId="8" xfId="0" applyBorder="1"/>
    <xf numFmtId="167" fontId="0" fillId="0" borderId="1" xfId="0" applyNumberFormat="1" applyBorder="1" applyAlignment="1">
      <alignment horizontal="center" vertical="center"/>
    </xf>
    <xf numFmtId="1" fontId="0" fillId="0" borderId="30" xfId="0" applyNumberFormat="1" applyBorder="1" applyAlignment="1">
      <alignment horizontal="center" vertical="center"/>
    </xf>
    <xf numFmtId="3" fontId="13" fillId="0" borderId="0" xfId="0" applyNumberFormat="1" applyFont="1"/>
    <xf numFmtId="0" fontId="6" fillId="14" borderId="1" xfId="0" applyFont="1" applyFill="1" applyBorder="1" applyAlignment="1">
      <alignment horizontal="center" vertical="center"/>
    </xf>
    <xf numFmtId="0" fontId="14" fillId="3" borderId="6" xfId="3" applyFont="1" applyBorder="1" applyAlignment="1">
      <alignment horizontal="center" vertical="center" wrapText="1"/>
    </xf>
    <xf numFmtId="0" fontId="14" fillId="3" borderId="26" xfId="3" applyFont="1" applyBorder="1" applyAlignment="1">
      <alignment horizontal="center" vertical="center" wrapText="1"/>
    </xf>
    <xf numFmtId="0" fontId="14" fillId="3" borderId="27" xfId="3" applyFont="1" applyBorder="1" applyAlignment="1">
      <alignment horizontal="center" vertical="center" wrapText="1"/>
    </xf>
    <xf numFmtId="1" fontId="15" fillId="0" borderId="7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1" fontId="15" fillId="0" borderId="8" xfId="0" applyNumberFormat="1" applyFont="1" applyBorder="1" applyAlignment="1">
      <alignment horizontal="center" vertical="center" wrapText="1"/>
    </xf>
    <xf numFmtId="1" fontId="15" fillId="13" borderId="7" xfId="0" applyNumberFormat="1" applyFont="1" applyFill="1" applyBorder="1" applyAlignment="1">
      <alignment horizontal="center" vertical="center" wrapText="1"/>
    </xf>
    <xf numFmtId="1" fontId="15" fillId="13" borderId="1" xfId="0" applyNumberFormat="1" applyFont="1" applyFill="1" applyBorder="1" applyAlignment="1">
      <alignment horizontal="center" vertical="center" wrapText="1"/>
    </xf>
    <xf numFmtId="1" fontId="15" fillId="13" borderId="8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" fontId="15" fillId="0" borderId="9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2" fillId="6" borderId="13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2" fillId="6" borderId="28" xfId="0" applyFont="1" applyFill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43" fontId="0" fillId="0" borderId="1" xfId="1" applyFont="1" applyFill="1" applyBorder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/>
    </xf>
    <xf numFmtId="0" fontId="5" fillId="7" borderId="1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wrapText="1"/>
    </xf>
    <xf numFmtId="0" fontId="6" fillId="0" borderId="32" xfId="0" applyFont="1" applyBorder="1" applyAlignment="1">
      <alignment horizontal="center" wrapText="1"/>
    </xf>
    <xf numFmtId="0" fontId="6" fillId="0" borderId="33" xfId="0" applyFont="1" applyBorder="1" applyAlignment="1">
      <alignment horizontal="center" wrapText="1"/>
    </xf>
    <xf numFmtId="0" fontId="0" fillId="0" borderId="35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12" fillId="10" borderId="31" xfId="0" applyFont="1" applyFill="1" applyBorder="1" applyAlignment="1">
      <alignment horizontal="center"/>
    </xf>
    <xf numFmtId="0" fontId="12" fillId="10" borderId="32" xfId="0" applyFont="1" applyFill="1" applyBorder="1" applyAlignment="1">
      <alignment horizontal="center"/>
    </xf>
    <xf numFmtId="0" fontId="12" fillId="10" borderId="33" xfId="0" applyFont="1" applyFill="1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2" fillId="12" borderId="31" xfId="0" applyFont="1" applyFill="1" applyBorder="1" applyAlignment="1">
      <alignment horizontal="center"/>
    </xf>
    <xf numFmtId="0" fontId="12" fillId="12" borderId="32" xfId="0" applyFont="1" applyFill="1" applyBorder="1" applyAlignment="1">
      <alignment horizontal="center"/>
    </xf>
    <xf numFmtId="0" fontId="12" fillId="12" borderId="33" xfId="0" applyFont="1" applyFill="1" applyBorder="1" applyAlignment="1">
      <alignment horizontal="center"/>
    </xf>
    <xf numFmtId="0" fontId="12" fillId="12" borderId="1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</cellXfs>
  <cellStyles count="4">
    <cellStyle name="40% - Accent1" xfId="3" builtinId="31"/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3"/>
  <sheetViews>
    <sheetView topLeftCell="A25" workbookViewId="0">
      <selection activeCell="C14" sqref="C14"/>
    </sheetView>
  </sheetViews>
  <sheetFormatPr defaultColWidth="8.85546875" defaultRowHeight="15" x14ac:dyDescent="0.25"/>
  <cols>
    <col min="1" max="1" width="24.28515625" style="1" customWidth="1"/>
    <col min="2" max="2" width="11.5703125" style="1" customWidth="1"/>
    <col min="3" max="3" width="19" style="1" bestFit="1" customWidth="1"/>
    <col min="4" max="4" width="19" style="1" customWidth="1"/>
    <col min="5" max="5" width="11.42578125" style="1" customWidth="1"/>
    <col min="6" max="6" width="19" style="1" bestFit="1" customWidth="1"/>
    <col min="7" max="7" width="16.42578125" style="1" customWidth="1"/>
    <col min="8" max="11" width="8.85546875" style="1"/>
    <col min="12" max="12" width="11" style="1" bestFit="1" customWidth="1"/>
    <col min="13" max="16384" width="8.85546875" style="1"/>
  </cols>
  <sheetData>
    <row r="2" spans="1:7" ht="21" x14ac:dyDescent="0.25">
      <c r="A2" s="145" t="s">
        <v>6</v>
      </c>
      <c r="B2" s="145"/>
      <c r="C2" s="145"/>
      <c r="D2" s="145"/>
      <c r="E2" s="145"/>
      <c r="F2" s="145"/>
      <c r="G2" s="145"/>
    </row>
    <row r="3" spans="1:7" ht="15.75" x14ac:dyDescent="0.25">
      <c r="A3" s="154" t="s">
        <v>7</v>
      </c>
      <c r="B3" s="154"/>
      <c r="C3" s="154"/>
      <c r="D3" s="154"/>
      <c r="E3" s="154"/>
      <c r="F3" s="154"/>
      <c r="G3" s="154"/>
    </row>
    <row r="4" spans="1:7" ht="21.75" thickBot="1" x14ac:dyDescent="0.3">
      <c r="A4" s="153" t="s">
        <v>8</v>
      </c>
      <c r="B4" s="153"/>
      <c r="C4" s="153"/>
      <c r="D4" s="153"/>
      <c r="E4" s="153"/>
      <c r="F4" s="153"/>
      <c r="G4" s="153"/>
    </row>
    <row r="5" spans="1:7" ht="16.5" thickBot="1" x14ac:dyDescent="0.3">
      <c r="A5" s="19" t="s">
        <v>0</v>
      </c>
      <c r="B5" s="20" t="s">
        <v>1</v>
      </c>
      <c r="C5" s="20" t="s">
        <v>2</v>
      </c>
      <c r="D5" s="20" t="s">
        <v>58</v>
      </c>
      <c r="E5" s="20" t="s">
        <v>1</v>
      </c>
      <c r="F5" s="23" t="s">
        <v>2</v>
      </c>
      <c r="G5" s="21" t="s">
        <v>58</v>
      </c>
    </row>
    <row r="6" spans="1:7" ht="15.75" x14ac:dyDescent="0.25">
      <c r="A6" s="6" t="s">
        <v>42</v>
      </c>
      <c r="B6" s="147" t="s">
        <v>87</v>
      </c>
      <c r="C6" s="148"/>
      <c r="D6" s="148"/>
      <c r="E6" s="148"/>
      <c r="F6" s="148"/>
      <c r="G6" s="149"/>
    </row>
    <row r="7" spans="1:7" x14ac:dyDescent="0.25">
      <c r="A7" s="24" t="s">
        <v>41</v>
      </c>
      <c r="B7" s="29" t="s">
        <v>85</v>
      </c>
      <c r="C7" s="29">
        <v>5190.62</v>
      </c>
      <c r="D7" s="29" t="s">
        <v>86</v>
      </c>
      <c r="E7" s="29" t="s">
        <v>66</v>
      </c>
      <c r="F7" s="30">
        <v>5190.62</v>
      </c>
      <c r="G7" s="12" t="s">
        <v>88</v>
      </c>
    </row>
    <row r="8" spans="1:7" x14ac:dyDescent="0.25">
      <c r="A8" s="24" t="s">
        <v>40</v>
      </c>
      <c r="B8" s="29" t="s">
        <v>84</v>
      </c>
      <c r="C8" s="29">
        <v>3745.23</v>
      </c>
      <c r="D8" s="29" t="s">
        <v>88</v>
      </c>
      <c r="E8" s="29" t="s">
        <v>65</v>
      </c>
      <c r="F8" s="30">
        <v>3745.23</v>
      </c>
      <c r="G8" s="12" t="s">
        <v>86</v>
      </c>
    </row>
    <row r="9" spans="1:7" x14ac:dyDescent="0.25">
      <c r="A9" s="24" t="s">
        <v>39</v>
      </c>
      <c r="B9" s="29" t="s">
        <v>83</v>
      </c>
      <c r="C9" s="29">
        <v>3745.23</v>
      </c>
      <c r="D9" s="29" t="s">
        <v>86</v>
      </c>
      <c r="E9" s="29" t="s">
        <v>64</v>
      </c>
      <c r="F9" s="30">
        <v>3745.23</v>
      </c>
      <c r="G9" s="12" t="s">
        <v>88</v>
      </c>
    </row>
    <row r="10" spans="1:7" x14ac:dyDescent="0.25">
      <c r="A10" s="10" t="s">
        <v>38</v>
      </c>
      <c r="B10" s="11" t="s">
        <v>82</v>
      </c>
      <c r="C10" s="29">
        <v>3745.23</v>
      </c>
      <c r="D10" s="11" t="s">
        <v>88</v>
      </c>
      <c r="E10" s="11" t="s">
        <v>63</v>
      </c>
      <c r="F10" s="30">
        <v>3745.23</v>
      </c>
      <c r="G10" s="12" t="s">
        <v>88</v>
      </c>
    </row>
    <row r="11" spans="1:7" x14ac:dyDescent="0.25">
      <c r="A11" s="10" t="s">
        <v>37</v>
      </c>
      <c r="B11" s="11" t="s">
        <v>81</v>
      </c>
      <c r="C11" s="29">
        <v>3745.23</v>
      </c>
      <c r="D11" s="11" t="s">
        <v>86</v>
      </c>
      <c r="E11" s="11" t="s">
        <v>62</v>
      </c>
      <c r="F11" s="30">
        <v>3745.23</v>
      </c>
      <c r="G11" s="12" t="s">
        <v>86</v>
      </c>
    </row>
    <row r="12" spans="1:7" x14ac:dyDescent="0.25">
      <c r="A12" s="10" t="s">
        <v>36</v>
      </c>
      <c r="B12" s="11" t="s">
        <v>80</v>
      </c>
      <c r="C12" s="29">
        <v>3745.23</v>
      </c>
      <c r="D12" s="11" t="s">
        <v>88</v>
      </c>
      <c r="E12" s="11" t="s">
        <v>61</v>
      </c>
      <c r="F12" s="30">
        <v>3745.23</v>
      </c>
      <c r="G12" s="12" t="s">
        <v>86</v>
      </c>
    </row>
    <row r="13" spans="1:7" x14ac:dyDescent="0.25">
      <c r="A13" s="10" t="s">
        <v>35</v>
      </c>
      <c r="B13" s="11" t="s">
        <v>79</v>
      </c>
      <c r="C13" s="29">
        <v>3745.23</v>
      </c>
      <c r="D13" s="11" t="s">
        <v>86</v>
      </c>
      <c r="E13" s="11" t="s">
        <v>60</v>
      </c>
      <c r="F13" s="30">
        <v>3745.23</v>
      </c>
      <c r="G13" s="12" t="s">
        <v>88</v>
      </c>
    </row>
    <row r="14" spans="1:7" x14ac:dyDescent="0.25">
      <c r="A14" s="10" t="s">
        <v>34</v>
      </c>
      <c r="B14" s="11" t="s">
        <v>78</v>
      </c>
      <c r="C14" s="29">
        <v>3745.23</v>
      </c>
      <c r="D14" s="11" t="s">
        <v>88</v>
      </c>
      <c r="E14" s="11" t="s">
        <v>59</v>
      </c>
      <c r="F14" s="30">
        <v>3745.23</v>
      </c>
      <c r="G14" s="12" t="s">
        <v>86</v>
      </c>
    </row>
    <row r="15" spans="1:7" ht="15.75" x14ac:dyDescent="0.25">
      <c r="A15" s="10" t="s">
        <v>33</v>
      </c>
      <c r="B15" s="150" t="s">
        <v>57</v>
      </c>
      <c r="C15" s="151"/>
      <c r="D15" s="151"/>
      <c r="E15" s="151"/>
      <c r="F15" s="151"/>
      <c r="G15" s="152"/>
    </row>
    <row r="16" spans="1:7" x14ac:dyDescent="0.25">
      <c r="A16" s="10" t="s">
        <v>32</v>
      </c>
      <c r="B16" s="11" t="s">
        <v>77</v>
      </c>
      <c r="C16" s="11">
        <v>3745.23</v>
      </c>
      <c r="D16" s="11" t="s">
        <v>86</v>
      </c>
      <c r="E16" s="11" t="s">
        <v>56</v>
      </c>
      <c r="F16" s="25">
        <v>3745.23</v>
      </c>
      <c r="G16" s="12" t="s">
        <v>88</v>
      </c>
    </row>
    <row r="17" spans="1:7" x14ac:dyDescent="0.25">
      <c r="A17" s="10" t="s">
        <v>31</v>
      </c>
      <c r="B17" s="11" t="s">
        <v>76</v>
      </c>
      <c r="C17" s="11">
        <v>3745.23</v>
      </c>
      <c r="D17" s="11" t="s">
        <v>88</v>
      </c>
      <c r="E17" s="11" t="s">
        <v>55</v>
      </c>
      <c r="F17" s="25">
        <v>3745.23</v>
      </c>
      <c r="G17" s="12" t="s">
        <v>86</v>
      </c>
    </row>
    <row r="18" spans="1:7" x14ac:dyDescent="0.25">
      <c r="A18" s="10" t="s">
        <v>30</v>
      </c>
      <c r="B18" s="11" t="s">
        <v>75</v>
      </c>
      <c r="C18" s="11">
        <v>3745.23</v>
      </c>
      <c r="D18" s="11" t="s">
        <v>86</v>
      </c>
      <c r="E18" s="11" t="s">
        <v>54</v>
      </c>
      <c r="F18" s="25">
        <v>3745.23</v>
      </c>
      <c r="G18" s="12" t="s">
        <v>86</v>
      </c>
    </row>
    <row r="19" spans="1:7" x14ac:dyDescent="0.25">
      <c r="A19" s="10" t="s">
        <v>29</v>
      </c>
      <c r="B19" s="11" t="s">
        <v>74</v>
      </c>
      <c r="C19" s="11">
        <v>3745.23</v>
      </c>
      <c r="D19" s="11" t="s">
        <v>88</v>
      </c>
      <c r="E19" s="11" t="s">
        <v>53</v>
      </c>
      <c r="F19" s="25">
        <v>3745.23</v>
      </c>
      <c r="G19" s="12" t="s">
        <v>88</v>
      </c>
    </row>
    <row r="20" spans="1:7" x14ac:dyDescent="0.25">
      <c r="A20" s="10" t="s">
        <v>28</v>
      </c>
      <c r="B20" s="11" t="s">
        <v>73</v>
      </c>
      <c r="C20" s="11">
        <v>3745.23</v>
      </c>
      <c r="D20" s="11" t="s">
        <v>88</v>
      </c>
      <c r="E20" s="11" t="s">
        <v>52</v>
      </c>
      <c r="F20" s="25">
        <v>3745.23</v>
      </c>
      <c r="G20" s="12" t="s">
        <v>88</v>
      </c>
    </row>
    <row r="21" spans="1:7" x14ac:dyDescent="0.25">
      <c r="A21" s="10" t="s">
        <v>27</v>
      </c>
      <c r="B21" s="11" t="s">
        <v>72</v>
      </c>
      <c r="C21" s="11">
        <v>3745.23</v>
      </c>
      <c r="D21" s="11" t="s">
        <v>88</v>
      </c>
      <c r="E21" s="11" t="s">
        <v>51</v>
      </c>
      <c r="F21" s="25">
        <v>3745.23</v>
      </c>
      <c r="G21" s="12" t="s">
        <v>88</v>
      </c>
    </row>
    <row r="22" spans="1:7" x14ac:dyDescent="0.25">
      <c r="A22" s="10" t="s">
        <v>26</v>
      </c>
      <c r="B22" s="11" t="s">
        <v>71</v>
      </c>
      <c r="C22" s="11">
        <v>3745.23</v>
      </c>
      <c r="D22" s="11" t="s">
        <v>86</v>
      </c>
      <c r="E22" s="11" t="s">
        <v>50</v>
      </c>
      <c r="F22" s="25">
        <v>3745.23</v>
      </c>
      <c r="G22" s="12" t="s">
        <v>88</v>
      </c>
    </row>
    <row r="23" spans="1:7" x14ac:dyDescent="0.25">
      <c r="A23" s="10" t="s">
        <v>25</v>
      </c>
      <c r="B23" s="11" t="s">
        <v>70</v>
      </c>
      <c r="C23" s="11">
        <v>3745.23</v>
      </c>
      <c r="D23" s="11" t="s">
        <v>86</v>
      </c>
      <c r="E23" s="11" t="s">
        <v>49</v>
      </c>
      <c r="F23" s="25">
        <v>3745.23</v>
      </c>
      <c r="G23" s="12" t="s">
        <v>88</v>
      </c>
    </row>
    <row r="24" spans="1:7" x14ac:dyDescent="0.25">
      <c r="A24" s="10" t="s">
        <v>24</v>
      </c>
      <c r="B24" s="11" t="s">
        <v>69</v>
      </c>
      <c r="C24" s="11">
        <v>3745.23</v>
      </c>
      <c r="D24" s="11" t="s">
        <v>88</v>
      </c>
      <c r="E24" s="11" t="s">
        <v>48</v>
      </c>
      <c r="F24" s="25">
        <v>3745.23</v>
      </c>
      <c r="G24" s="12" t="s">
        <v>86</v>
      </c>
    </row>
    <row r="25" spans="1:7" x14ac:dyDescent="0.25">
      <c r="A25" s="10" t="s">
        <v>23</v>
      </c>
      <c r="B25" s="11" t="s">
        <v>68</v>
      </c>
      <c r="C25" s="11">
        <v>3745.23</v>
      </c>
      <c r="D25" s="11" t="s">
        <v>88</v>
      </c>
      <c r="E25" s="11" t="s">
        <v>47</v>
      </c>
      <c r="F25" s="25">
        <v>3745.23</v>
      </c>
      <c r="G25" s="12" t="s">
        <v>86</v>
      </c>
    </row>
    <row r="26" spans="1:7" x14ac:dyDescent="0.25">
      <c r="A26" s="10" t="s">
        <v>22</v>
      </c>
      <c r="B26" s="11" t="s">
        <v>67</v>
      </c>
      <c r="C26" s="11">
        <v>3745.23</v>
      </c>
      <c r="D26" s="11" t="s">
        <v>86</v>
      </c>
      <c r="E26" s="11" t="s">
        <v>46</v>
      </c>
      <c r="F26" s="25">
        <v>3745.23</v>
      </c>
      <c r="G26" s="12" t="s">
        <v>88</v>
      </c>
    </row>
    <row r="27" spans="1:7" x14ac:dyDescent="0.25">
      <c r="A27" s="10" t="s">
        <v>4</v>
      </c>
      <c r="B27" s="11" t="s">
        <v>13</v>
      </c>
      <c r="C27" s="11">
        <v>3745.23</v>
      </c>
      <c r="D27" s="11" t="s">
        <v>86</v>
      </c>
      <c r="E27" s="11" t="s">
        <v>45</v>
      </c>
      <c r="F27" s="25">
        <v>3745.23</v>
      </c>
      <c r="G27" s="12" t="s">
        <v>88</v>
      </c>
    </row>
    <row r="28" spans="1:7" x14ac:dyDescent="0.25">
      <c r="A28" s="10" t="s">
        <v>3</v>
      </c>
      <c r="B28" s="11" t="s">
        <v>12</v>
      </c>
      <c r="C28" s="11">
        <v>3745.23</v>
      </c>
      <c r="D28" s="11" t="s">
        <v>88</v>
      </c>
      <c r="E28" s="11" t="s">
        <v>44</v>
      </c>
      <c r="F28" s="25">
        <v>3745.23</v>
      </c>
      <c r="G28" s="12" t="s">
        <v>86</v>
      </c>
    </row>
    <row r="29" spans="1:7" x14ac:dyDescent="0.25">
      <c r="A29" s="10" t="s">
        <v>5</v>
      </c>
      <c r="B29" s="11" t="s">
        <v>11</v>
      </c>
      <c r="C29" s="11">
        <v>4709.87</v>
      </c>
      <c r="D29" s="11" t="s">
        <v>88</v>
      </c>
      <c r="E29" s="11" t="s">
        <v>43</v>
      </c>
      <c r="F29" s="25">
        <v>4709.87</v>
      </c>
      <c r="G29" s="12" t="s">
        <v>86</v>
      </c>
    </row>
    <row r="30" spans="1:7" ht="30" x14ac:dyDescent="0.25">
      <c r="A30" s="26" t="s">
        <v>20</v>
      </c>
      <c r="B30" s="11"/>
      <c r="C30" s="11"/>
      <c r="D30" s="11"/>
      <c r="E30" s="11"/>
      <c r="F30" s="25"/>
      <c r="G30" s="12"/>
    </row>
    <row r="31" spans="1:7" x14ac:dyDescent="0.25">
      <c r="A31" s="10" t="s">
        <v>19</v>
      </c>
      <c r="B31" s="11"/>
      <c r="C31" s="11"/>
      <c r="D31" s="11"/>
      <c r="E31" s="11"/>
      <c r="F31" s="25"/>
      <c r="G31" s="12"/>
    </row>
    <row r="32" spans="1:7" x14ac:dyDescent="0.25">
      <c r="A32" s="10" t="s">
        <v>18</v>
      </c>
      <c r="B32" s="11"/>
      <c r="C32" s="11"/>
      <c r="D32" s="11"/>
      <c r="E32" s="11"/>
      <c r="F32" s="25"/>
      <c r="G32" s="12"/>
    </row>
    <row r="33" spans="1:7" x14ac:dyDescent="0.25">
      <c r="A33" s="10" t="s">
        <v>17</v>
      </c>
      <c r="B33" s="11"/>
      <c r="C33" s="11"/>
      <c r="D33" s="11"/>
      <c r="E33" s="11"/>
      <c r="F33" s="25"/>
      <c r="G33" s="12"/>
    </row>
    <row r="34" spans="1:7" x14ac:dyDescent="0.25">
      <c r="A34" s="10" t="s">
        <v>21</v>
      </c>
      <c r="B34" s="11"/>
      <c r="C34" s="11"/>
      <c r="D34" s="11"/>
      <c r="E34" s="11"/>
      <c r="F34" s="25"/>
      <c r="G34" s="12"/>
    </row>
    <row r="35" spans="1:7" x14ac:dyDescent="0.25">
      <c r="A35" s="10" t="s">
        <v>16</v>
      </c>
      <c r="B35" s="11"/>
      <c r="C35" s="11"/>
      <c r="D35" s="11"/>
      <c r="E35" s="11"/>
      <c r="F35" s="25"/>
      <c r="G35" s="12"/>
    </row>
    <row r="36" spans="1:7" x14ac:dyDescent="0.25">
      <c r="A36" s="10" t="s">
        <v>15</v>
      </c>
      <c r="B36" s="11"/>
      <c r="C36" s="11"/>
      <c r="D36" s="11"/>
      <c r="E36" s="11"/>
      <c r="F36" s="25"/>
      <c r="G36" s="12"/>
    </row>
    <row r="37" spans="1:7" ht="15.75" thickBot="1" x14ac:dyDescent="0.3">
      <c r="A37" s="15" t="s">
        <v>14</v>
      </c>
      <c r="B37" s="16"/>
      <c r="C37" s="16"/>
      <c r="D37" s="16"/>
      <c r="E37" s="16"/>
      <c r="F37" s="27"/>
      <c r="G37" s="17"/>
    </row>
    <row r="38" spans="1:7" ht="16.5" thickBot="1" x14ac:dyDescent="0.3">
      <c r="A38" s="19" t="s">
        <v>9</v>
      </c>
      <c r="B38" s="20"/>
      <c r="C38" s="20">
        <f>SUM(C6:C37)</f>
        <v>84805.090000000011</v>
      </c>
      <c r="D38" s="20"/>
      <c r="E38" s="20"/>
      <c r="F38" s="23">
        <f>SUM(F6:F37)</f>
        <v>84805.090000000011</v>
      </c>
      <c r="G38" s="28"/>
    </row>
    <row r="40" spans="1:7" ht="18.75" x14ac:dyDescent="0.25">
      <c r="A40" s="146" t="s">
        <v>10</v>
      </c>
      <c r="B40" s="146"/>
      <c r="C40" s="22">
        <f>C38+F38</f>
        <v>169610.18000000002</v>
      </c>
      <c r="D40" s="22"/>
      <c r="E40" s="22"/>
      <c r="F40" s="22"/>
    </row>
    <row r="42" spans="1:7" x14ac:dyDescent="0.25">
      <c r="A42" s="1" t="s">
        <v>88</v>
      </c>
      <c r="B42" s="1" t="s">
        <v>96</v>
      </c>
      <c r="C42" s="1">
        <f>5190.62*2</f>
        <v>10381.24</v>
      </c>
      <c r="F42" s="1">
        <f>C38+F38+'EWS &amp; CSP'!H22+'EWS &amp; CSP'!C22</f>
        <v>182691.62000000002</v>
      </c>
    </row>
    <row r="43" spans="1:7" x14ac:dyDescent="0.25">
      <c r="A43" s="1" t="s">
        <v>98</v>
      </c>
      <c r="B43" s="1" t="s">
        <v>97</v>
      </c>
      <c r="C43" s="1">
        <f>C40-C42</f>
        <v>159228.94000000003</v>
      </c>
    </row>
  </sheetData>
  <mergeCells count="6">
    <mergeCell ref="A2:G2"/>
    <mergeCell ref="A40:B40"/>
    <mergeCell ref="B6:G6"/>
    <mergeCell ref="B15:G15"/>
    <mergeCell ref="A4:G4"/>
    <mergeCell ref="A3:G3"/>
  </mergeCells>
  <pageMargins left="0.7" right="0.7" top="0.75" bottom="0.75" header="0.3" footer="0.3"/>
  <pageSetup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4"/>
  <sheetViews>
    <sheetView workbookViewId="0">
      <selection activeCell="C6" sqref="C6"/>
    </sheetView>
  </sheetViews>
  <sheetFormatPr defaultColWidth="8.85546875" defaultRowHeight="15" x14ac:dyDescent="0.25"/>
  <cols>
    <col min="1" max="1" width="24.28515625" style="1" customWidth="1"/>
    <col min="2" max="2" width="11.5703125" style="1" customWidth="1"/>
    <col min="3" max="3" width="19" style="1" bestFit="1" customWidth="1"/>
    <col min="4" max="4" width="19" style="1" customWidth="1"/>
    <col min="5" max="5" width="8.85546875" style="1"/>
    <col min="6" max="6" width="15.85546875" style="1" customWidth="1"/>
    <col min="7" max="7" width="13.42578125" style="1" customWidth="1"/>
    <col min="8" max="8" width="16.42578125" style="1" customWidth="1"/>
    <col min="9" max="9" width="23.5703125" style="1" customWidth="1"/>
    <col min="10" max="16384" width="8.85546875" style="1"/>
  </cols>
  <sheetData>
    <row r="2" spans="1:9" ht="21" x14ac:dyDescent="0.25">
      <c r="A2" s="145" t="s">
        <v>6</v>
      </c>
      <c r="B2" s="145"/>
      <c r="C2" s="145"/>
      <c r="D2" s="145"/>
      <c r="F2" s="145" t="s">
        <v>6</v>
      </c>
      <c r="G2" s="145"/>
      <c r="H2" s="145"/>
      <c r="I2" s="145"/>
    </row>
    <row r="3" spans="1:9" ht="15.75" x14ac:dyDescent="0.25">
      <c r="A3" s="154" t="s">
        <v>7</v>
      </c>
      <c r="B3" s="154"/>
      <c r="C3" s="154"/>
      <c r="D3" s="154"/>
      <c r="F3" s="154" t="s">
        <v>7</v>
      </c>
      <c r="G3" s="154"/>
      <c r="H3" s="154"/>
      <c r="I3" s="154"/>
    </row>
    <row r="4" spans="1:9" ht="21.75" thickBot="1" x14ac:dyDescent="0.3">
      <c r="A4" s="153" t="s">
        <v>90</v>
      </c>
      <c r="B4" s="153"/>
      <c r="C4" s="153"/>
      <c r="D4" s="153"/>
      <c r="F4" s="153" t="s">
        <v>94</v>
      </c>
      <c r="G4" s="153"/>
      <c r="H4" s="153"/>
      <c r="I4" s="153"/>
    </row>
    <row r="5" spans="1:9" ht="32.25" thickBot="1" x14ac:dyDescent="0.3">
      <c r="A5" s="2" t="s">
        <v>0</v>
      </c>
      <c r="B5" s="3" t="s">
        <v>1</v>
      </c>
      <c r="C5" s="4" t="s">
        <v>89</v>
      </c>
      <c r="D5" s="5" t="s">
        <v>58</v>
      </c>
      <c r="F5" s="2" t="s">
        <v>0</v>
      </c>
      <c r="G5" s="3" t="s">
        <v>1</v>
      </c>
      <c r="H5" s="4" t="s">
        <v>89</v>
      </c>
      <c r="I5" s="5" t="s">
        <v>58</v>
      </c>
    </row>
    <row r="6" spans="1:9" ht="15.75" x14ac:dyDescent="0.25">
      <c r="A6" s="6" t="s">
        <v>91</v>
      </c>
      <c r="B6" s="7">
        <v>101</v>
      </c>
      <c r="C6" s="7">
        <v>413.01</v>
      </c>
      <c r="D6" s="8"/>
      <c r="F6" s="6" t="s">
        <v>92</v>
      </c>
      <c r="G6" s="7">
        <v>206</v>
      </c>
      <c r="H6" s="9">
        <v>446.6</v>
      </c>
      <c r="I6" s="8"/>
    </row>
    <row r="7" spans="1:9" x14ac:dyDescent="0.25">
      <c r="A7" s="10"/>
      <c r="B7" s="11">
        <v>102</v>
      </c>
      <c r="C7" s="11">
        <v>413.01</v>
      </c>
      <c r="D7" s="12"/>
      <c r="F7" s="10"/>
      <c r="G7" s="11">
        <v>207</v>
      </c>
      <c r="H7" s="13">
        <v>463.93</v>
      </c>
      <c r="I7" s="12"/>
    </row>
    <row r="8" spans="1:9" x14ac:dyDescent="0.25">
      <c r="A8" s="10"/>
      <c r="B8" s="11">
        <v>103</v>
      </c>
      <c r="C8" s="11">
        <v>413.01</v>
      </c>
      <c r="D8" s="12"/>
      <c r="F8" s="10"/>
      <c r="G8" s="11">
        <v>208</v>
      </c>
      <c r="H8" s="13">
        <v>437.02</v>
      </c>
      <c r="I8" s="12"/>
    </row>
    <row r="9" spans="1:9" x14ac:dyDescent="0.25">
      <c r="A9" s="10"/>
      <c r="B9" s="11">
        <v>104</v>
      </c>
      <c r="C9" s="11">
        <v>413.01</v>
      </c>
      <c r="D9" s="12"/>
      <c r="F9" s="10"/>
      <c r="G9" s="11">
        <v>209</v>
      </c>
      <c r="H9" s="13">
        <v>437.02</v>
      </c>
      <c r="I9" s="12"/>
    </row>
    <row r="10" spans="1:9" x14ac:dyDescent="0.25">
      <c r="A10" s="10"/>
      <c r="B10" s="11">
        <v>105</v>
      </c>
      <c r="C10" s="11">
        <v>413.01</v>
      </c>
      <c r="D10" s="12"/>
      <c r="F10" s="10"/>
      <c r="G10" s="11">
        <v>210</v>
      </c>
      <c r="H10" s="13">
        <v>383.2</v>
      </c>
      <c r="I10" s="12"/>
    </row>
    <row r="11" spans="1:9" x14ac:dyDescent="0.25">
      <c r="A11" s="10" t="s">
        <v>92</v>
      </c>
      <c r="B11" s="11">
        <v>201</v>
      </c>
      <c r="C11" s="11">
        <v>413.01</v>
      </c>
      <c r="D11" s="12"/>
      <c r="F11" s="10"/>
      <c r="G11" s="11">
        <v>211</v>
      </c>
      <c r="H11" s="13">
        <v>502.68</v>
      </c>
      <c r="I11" s="12"/>
    </row>
    <row r="12" spans="1:9" x14ac:dyDescent="0.25">
      <c r="A12" s="10"/>
      <c r="B12" s="11">
        <v>202</v>
      </c>
      <c r="C12" s="11">
        <v>413.01</v>
      </c>
      <c r="D12" s="12"/>
      <c r="F12" s="10" t="s">
        <v>93</v>
      </c>
      <c r="G12" s="11">
        <v>306</v>
      </c>
      <c r="H12" s="13">
        <v>446.6</v>
      </c>
      <c r="I12" s="12"/>
    </row>
    <row r="13" spans="1:9" x14ac:dyDescent="0.25">
      <c r="A13" s="10"/>
      <c r="B13" s="11">
        <v>203</v>
      </c>
      <c r="C13" s="11">
        <v>413.01</v>
      </c>
      <c r="D13" s="12"/>
      <c r="F13" s="10"/>
      <c r="G13" s="11">
        <v>307</v>
      </c>
      <c r="H13" s="13">
        <v>463.93</v>
      </c>
      <c r="I13" s="12"/>
    </row>
    <row r="14" spans="1:9" x14ac:dyDescent="0.25">
      <c r="A14" s="10"/>
      <c r="B14" s="11">
        <v>204</v>
      </c>
      <c r="C14" s="11">
        <v>413.01</v>
      </c>
      <c r="D14" s="12"/>
      <c r="F14" s="10"/>
      <c r="G14" s="11">
        <v>308</v>
      </c>
      <c r="H14" s="13">
        <v>437.02</v>
      </c>
      <c r="I14" s="12"/>
    </row>
    <row r="15" spans="1:9" ht="15.75" x14ac:dyDescent="0.25">
      <c r="A15" s="10"/>
      <c r="B15" s="11">
        <v>205</v>
      </c>
      <c r="C15" s="11">
        <v>413.01</v>
      </c>
      <c r="D15" s="14"/>
      <c r="F15" s="10"/>
      <c r="G15" s="11">
        <v>309</v>
      </c>
      <c r="H15" s="13">
        <v>437.02</v>
      </c>
      <c r="I15" s="14"/>
    </row>
    <row r="16" spans="1:9" x14ac:dyDescent="0.25">
      <c r="A16" s="10" t="s">
        <v>93</v>
      </c>
      <c r="B16" s="11">
        <v>301</v>
      </c>
      <c r="C16" s="11">
        <v>413.01</v>
      </c>
      <c r="D16" s="12"/>
      <c r="F16" s="10"/>
      <c r="G16" s="11">
        <v>310</v>
      </c>
      <c r="H16" s="13">
        <v>383.2</v>
      </c>
      <c r="I16" s="12"/>
    </row>
    <row r="17" spans="1:9" x14ac:dyDescent="0.25">
      <c r="A17" s="10"/>
      <c r="B17" s="11">
        <v>302</v>
      </c>
      <c r="C17" s="11">
        <v>413.01</v>
      </c>
      <c r="D17" s="12"/>
      <c r="F17" s="10"/>
      <c r="G17" s="11">
        <v>311</v>
      </c>
      <c r="H17" s="13">
        <v>502.68</v>
      </c>
      <c r="I17" s="12"/>
    </row>
    <row r="18" spans="1:9" x14ac:dyDescent="0.25">
      <c r="A18" s="10"/>
      <c r="B18" s="11">
        <v>303</v>
      </c>
      <c r="C18" s="11">
        <v>413.01</v>
      </c>
      <c r="D18" s="12"/>
      <c r="F18" s="10" t="s">
        <v>95</v>
      </c>
      <c r="G18" s="11">
        <v>401</v>
      </c>
      <c r="H18" s="13">
        <v>645.52</v>
      </c>
      <c r="I18" s="12"/>
    </row>
    <row r="19" spans="1:9" x14ac:dyDescent="0.25">
      <c r="A19" s="10"/>
      <c r="B19" s="11">
        <v>304</v>
      </c>
      <c r="C19" s="11">
        <v>413.01</v>
      </c>
      <c r="D19" s="12"/>
      <c r="F19" s="10"/>
      <c r="G19" s="11">
        <v>402</v>
      </c>
      <c r="H19" s="13">
        <v>462.85</v>
      </c>
      <c r="I19" s="12"/>
    </row>
    <row r="20" spans="1:9" x14ac:dyDescent="0.25">
      <c r="A20" s="10"/>
      <c r="B20" s="11">
        <v>305</v>
      </c>
      <c r="C20" s="11">
        <v>413.01</v>
      </c>
      <c r="D20" s="12"/>
      <c r="F20" s="10"/>
      <c r="G20" s="11">
        <v>403</v>
      </c>
      <c r="H20" s="13">
        <v>437.02</v>
      </c>
      <c r="I20" s="12"/>
    </row>
    <row r="21" spans="1:9" ht="15.75" thickBot="1" x14ac:dyDescent="0.3">
      <c r="A21" s="15"/>
      <c r="B21" s="16"/>
      <c r="C21" s="16"/>
      <c r="D21" s="17"/>
      <c r="F21" s="15"/>
      <c r="G21" s="16"/>
      <c r="H21" s="18"/>
      <c r="I21" s="17"/>
    </row>
    <row r="22" spans="1:9" ht="16.5" thickBot="1" x14ac:dyDescent="0.3">
      <c r="A22" s="19" t="s">
        <v>9</v>
      </c>
      <c r="B22" s="20"/>
      <c r="C22" s="20">
        <f>SUM(C6:C21)</f>
        <v>6195.1500000000024</v>
      </c>
      <c r="D22" s="21"/>
      <c r="F22" s="19" t="s">
        <v>9</v>
      </c>
      <c r="G22" s="20"/>
      <c r="H22" s="20">
        <f>SUM(H6:H21)</f>
        <v>6886.2900000000009</v>
      </c>
      <c r="I22" s="21"/>
    </row>
    <row r="24" spans="1:9" ht="18.75" x14ac:dyDescent="0.25">
      <c r="A24" s="146" t="s">
        <v>10</v>
      </c>
      <c r="B24" s="146"/>
      <c r="C24" s="22">
        <f>C22+H22</f>
        <v>13081.440000000002</v>
      </c>
      <c r="D24" s="22"/>
    </row>
  </sheetData>
  <mergeCells count="7">
    <mergeCell ref="A24:B24"/>
    <mergeCell ref="F2:I2"/>
    <mergeCell ref="F3:I3"/>
    <mergeCell ref="F4:I4"/>
    <mergeCell ref="A2:D2"/>
    <mergeCell ref="A3:D3"/>
    <mergeCell ref="A4:D4"/>
  </mergeCells>
  <pageMargins left="0.7" right="0.7" top="0.75" bottom="0.75" header="0.3" footer="0.3"/>
  <pageSetup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8:O19"/>
  <sheetViews>
    <sheetView workbookViewId="0">
      <selection activeCell="O9" sqref="O9"/>
    </sheetView>
  </sheetViews>
  <sheetFormatPr defaultRowHeight="15" x14ac:dyDescent="0.25"/>
  <cols>
    <col min="14" max="14" width="10" bestFit="1" customWidth="1"/>
  </cols>
  <sheetData>
    <row r="8" spans="7:15" x14ac:dyDescent="0.25">
      <c r="G8" t="s">
        <v>103</v>
      </c>
      <c r="H8" t="s">
        <v>99</v>
      </c>
      <c r="N8" t="s">
        <v>106</v>
      </c>
      <c r="O8" t="s">
        <v>107</v>
      </c>
    </row>
    <row r="9" spans="7:15" x14ac:dyDescent="0.25">
      <c r="H9">
        <v>7481.82</v>
      </c>
    </row>
    <row r="10" spans="7:15" x14ac:dyDescent="0.25">
      <c r="G10" t="s">
        <v>100</v>
      </c>
      <c r="H10">
        <v>1122.27</v>
      </c>
    </row>
    <row r="11" spans="7:15" x14ac:dyDescent="0.25">
      <c r="G11" t="s">
        <v>101</v>
      </c>
      <c r="H11">
        <v>400</v>
      </c>
    </row>
    <row r="12" spans="7:15" x14ac:dyDescent="0.25">
      <c r="G12" t="s">
        <v>102</v>
      </c>
      <c r="H12">
        <v>100</v>
      </c>
    </row>
    <row r="13" spans="7:15" x14ac:dyDescent="0.25">
      <c r="H13">
        <f>SUM(H9,H10,H11,H12)</f>
        <v>9104.09</v>
      </c>
    </row>
    <row r="15" spans="7:15" x14ac:dyDescent="0.25">
      <c r="G15" t="s">
        <v>104</v>
      </c>
      <c r="H15">
        <v>7476.39</v>
      </c>
    </row>
    <row r="16" spans="7:15" x14ac:dyDescent="0.25">
      <c r="G16" t="s">
        <v>101</v>
      </c>
      <c r="H16">
        <v>562.5</v>
      </c>
    </row>
    <row r="17" spans="7:8" x14ac:dyDescent="0.25">
      <c r="G17" t="s">
        <v>100</v>
      </c>
      <c r="H17">
        <v>561.69000000000005</v>
      </c>
    </row>
    <row r="18" spans="7:8" x14ac:dyDescent="0.25">
      <c r="G18" t="s">
        <v>105</v>
      </c>
      <c r="H18">
        <v>468.82</v>
      </c>
    </row>
    <row r="19" spans="7:8" x14ac:dyDescent="0.25">
      <c r="H19">
        <f>SUM(H15,H16,H17,H18)</f>
        <v>9069.4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7"/>
  <sheetViews>
    <sheetView topLeftCell="I1" zoomScale="85" zoomScaleNormal="85" workbookViewId="0">
      <selection activeCell="AC3" sqref="AC3:AD3"/>
    </sheetView>
  </sheetViews>
  <sheetFormatPr defaultRowHeight="15" x14ac:dyDescent="0.25"/>
  <cols>
    <col min="1" max="1" width="4.28515625" customWidth="1"/>
    <col min="2" max="3" width="12.5703125" customWidth="1"/>
    <col min="4" max="4" width="8.28515625" customWidth="1"/>
    <col min="5" max="5" width="7" customWidth="1"/>
    <col min="6" max="6" width="6.7109375" customWidth="1"/>
    <col min="7" max="7" width="8.85546875" customWidth="1"/>
    <col min="8" max="8" width="11.140625" customWidth="1"/>
    <col min="9" max="10" width="10" customWidth="1"/>
    <col min="11" max="11" width="12" customWidth="1"/>
    <col min="12" max="12" width="9.7109375" customWidth="1"/>
    <col min="13" max="13" width="10.140625" customWidth="1"/>
    <col min="14" max="14" width="10.7109375" customWidth="1"/>
    <col min="15" max="15" width="9" customWidth="1"/>
    <col min="16" max="16" width="14.28515625" customWidth="1"/>
    <col min="17" max="17" width="9.140625" customWidth="1"/>
    <col min="18" max="18" width="11.5703125" customWidth="1"/>
    <col min="19" max="19" width="10.85546875" customWidth="1"/>
    <col min="20" max="20" width="9.140625" customWidth="1"/>
    <col min="21" max="21" width="12.7109375" customWidth="1"/>
    <col min="22" max="22" width="11.5703125" customWidth="1"/>
    <col min="23" max="23" width="14.42578125" bestFit="1" customWidth="1"/>
    <col min="24" max="24" width="7.5703125" customWidth="1"/>
    <col min="25" max="25" width="9.7109375" customWidth="1"/>
    <col min="26" max="26" width="13.42578125" customWidth="1"/>
    <col min="27" max="27" width="15.42578125" bestFit="1" customWidth="1"/>
    <col min="28" max="28" width="14.42578125" bestFit="1" customWidth="1"/>
    <col min="29" max="29" width="17" bestFit="1" customWidth="1"/>
    <col min="30" max="30" width="6.140625" customWidth="1"/>
    <col min="32" max="32" width="11.7109375" bestFit="1" customWidth="1"/>
  </cols>
  <sheetData>
    <row r="1" spans="1:31" ht="15.75" customHeight="1" x14ac:dyDescent="0.25">
      <c r="A1" s="155" t="s">
        <v>157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7"/>
    </row>
    <row r="2" spans="1:31" ht="75" x14ac:dyDescent="0.25">
      <c r="A2" s="71" t="s">
        <v>156</v>
      </c>
      <c r="B2" s="71" t="s">
        <v>155</v>
      </c>
      <c r="C2" s="71" t="s">
        <v>154</v>
      </c>
      <c r="D2" s="71" t="s">
        <v>153</v>
      </c>
      <c r="E2" s="71"/>
      <c r="F2" s="71" t="s">
        <v>152</v>
      </c>
      <c r="G2" s="71" t="s">
        <v>151</v>
      </c>
      <c r="H2" s="71" t="s">
        <v>150</v>
      </c>
      <c r="I2" s="71" t="s">
        <v>149</v>
      </c>
      <c r="J2" s="71" t="s">
        <v>148</v>
      </c>
      <c r="K2" s="71" t="s">
        <v>147</v>
      </c>
      <c r="L2" s="73" t="s">
        <v>146</v>
      </c>
      <c r="M2" s="71" t="s">
        <v>145</v>
      </c>
      <c r="N2" s="71" t="s">
        <v>144</v>
      </c>
      <c r="O2" s="73" t="s">
        <v>143</v>
      </c>
      <c r="P2" s="73" t="s">
        <v>142</v>
      </c>
      <c r="Q2" s="71" t="s">
        <v>141</v>
      </c>
      <c r="R2" s="72" t="s">
        <v>140</v>
      </c>
      <c r="S2" s="72" t="s">
        <v>139</v>
      </c>
      <c r="T2" s="72" t="s">
        <v>138</v>
      </c>
      <c r="U2" s="71" t="s">
        <v>137</v>
      </c>
      <c r="V2" s="71" t="s">
        <v>136</v>
      </c>
      <c r="X2" s="69" t="s">
        <v>135</v>
      </c>
      <c r="Y2" s="69" t="s">
        <v>134</v>
      </c>
      <c r="Z2" s="67" t="s">
        <v>133</v>
      </c>
      <c r="AA2" s="70" t="s">
        <v>132</v>
      </c>
      <c r="AB2" s="65" t="s">
        <v>131</v>
      </c>
      <c r="AC2" s="169" t="s">
        <v>130</v>
      </c>
      <c r="AD2" s="170"/>
    </row>
    <row r="3" spans="1:31" ht="24" x14ac:dyDescent="0.25">
      <c r="A3" s="51">
        <v>1</v>
      </c>
      <c r="B3" s="158" t="s">
        <v>129</v>
      </c>
      <c r="C3" s="62" t="s">
        <v>123</v>
      </c>
      <c r="D3" s="60">
        <v>1</v>
      </c>
      <c r="E3" s="60"/>
      <c r="F3" s="60">
        <v>20</v>
      </c>
      <c r="G3" s="161" t="s">
        <v>128</v>
      </c>
      <c r="H3" s="52">
        <v>75.31</v>
      </c>
      <c r="I3" s="52">
        <f t="shared" ref="I3:I8" si="0">H3*10.7639</f>
        <v>810.62930900000003</v>
      </c>
      <c r="J3" s="52">
        <f t="shared" ref="J3:J9" si="1">I3</f>
        <v>810.62930900000003</v>
      </c>
      <c r="K3" s="51">
        <v>2024</v>
      </c>
      <c r="L3" s="59">
        <v>2024</v>
      </c>
      <c r="M3" s="59">
        <f t="shared" ref="M3:M8" si="2">L3-K3</f>
        <v>0</v>
      </c>
      <c r="N3" s="59">
        <v>70</v>
      </c>
      <c r="O3" s="49">
        <v>0.1</v>
      </c>
      <c r="P3" s="48">
        <f t="shared" ref="P3:P8" si="3">(1-O3)/N3</f>
        <v>1.2857142857142857E-2</v>
      </c>
      <c r="Q3" s="58">
        <v>1500</v>
      </c>
      <c r="R3" s="56">
        <f t="shared" ref="R3:R8" si="4">Q3*I3</f>
        <v>1215943.9635000001</v>
      </c>
      <c r="S3" s="56">
        <f t="shared" ref="S3:S8" si="5">P3*M3*R3</f>
        <v>0</v>
      </c>
      <c r="T3" s="57">
        <v>0</v>
      </c>
      <c r="U3" s="56">
        <f t="shared" ref="U3:U8" si="6">R3-S3</f>
        <v>1215943.9635000001</v>
      </c>
      <c r="V3" s="56">
        <f t="shared" ref="V3:V8" si="7">U3-T3*U3</f>
        <v>1215943.9635000001</v>
      </c>
      <c r="X3" s="69">
        <v>4471</v>
      </c>
      <c r="Y3" s="68">
        <v>3740.91</v>
      </c>
      <c r="Z3" s="84">
        <v>70080</v>
      </c>
      <c r="AA3" s="66">
        <f>Z3*Y3</f>
        <v>262162972.79999998</v>
      </c>
      <c r="AB3" s="65">
        <v>250838.21771085041</v>
      </c>
      <c r="AC3" s="172">
        <f>AA35*X3</f>
        <v>1341300000</v>
      </c>
      <c r="AD3" s="173"/>
    </row>
    <row r="4" spans="1:31" ht="24.75" x14ac:dyDescent="0.25">
      <c r="A4" s="51">
        <v>2</v>
      </c>
      <c r="B4" s="159"/>
      <c r="C4" s="61" t="s">
        <v>122</v>
      </c>
      <c r="D4" s="60">
        <v>1</v>
      </c>
      <c r="E4" s="60"/>
      <c r="F4" s="60">
        <v>20</v>
      </c>
      <c r="G4" s="162"/>
      <c r="H4" s="52">
        <v>476.17</v>
      </c>
      <c r="I4" s="52">
        <f t="shared" si="0"/>
        <v>5125.4462629999998</v>
      </c>
      <c r="J4" s="52">
        <f t="shared" si="1"/>
        <v>5125.4462629999998</v>
      </c>
      <c r="K4" s="51">
        <v>2024</v>
      </c>
      <c r="L4" s="59">
        <v>2024</v>
      </c>
      <c r="M4" s="59">
        <f t="shared" si="2"/>
        <v>0</v>
      </c>
      <c r="N4" s="59">
        <v>70</v>
      </c>
      <c r="O4" s="49">
        <v>0.1</v>
      </c>
      <c r="P4" s="48">
        <f t="shared" si="3"/>
        <v>1.2857142857142857E-2</v>
      </c>
      <c r="Q4" s="58">
        <v>1500</v>
      </c>
      <c r="R4" s="56">
        <f t="shared" si="4"/>
        <v>7688169.3944999995</v>
      </c>
      <c r="S4" s="56">
        <f t="shared" si="5"/>
        <v>0</v>
      </c>
      <c r="T4" s="57">
        <v>0</v>
      </c>
      <c r="U4" s="56">
        <f t="shared" si="6"/>
        <v>7688169.3944999995</v>
      </c>
      <c r="V4" s="56">
        <f t="shared" si="7"/>
        <v>7688169.3944999995</v>
      </c>
      <c r="X4" s="174" t="s">
        <v>127</v>
      </c>
      <c r="Y4" s="174"/>
      <c r="Z4" s="174"/>
      <c r="AA4" s="64">
        <f>SUM(AA3:AA3)</f>
        <v>262162972.79999998</v>
      </c>
      <c r="AB4" s="63" t="s">
        <v>126</v>
      </c>
      <c r="AC4" s="165">
        <f>V9</f>
        <v>31520735.662499998</v>
      </c>
      <c r="AD4" s="166"/>
    </row>
    <row r="5" spans="1:31" x14ac:dyDescent="0.25">
      <c r="A5" s="51">
        <v>3</v>
      </c>
      <c r="B5" s="160"/>
      <c r="C5" s="61" t="s">
        <v>121</v>
      </c>
      <c r="D5" s="60">
        <v>1</v>
      </c>
      <c r="E5" s="60"/>
      <c r="F5" s="60">
        <v>20</v>
      </c>
      <c r="G5" s="162"/>
      <c r="H5" s="52">
        <v>375.31</v>
      </c>
      <c r="I5" s="52">
        <f t="shared" si="0"/>
        <v>4039.799309</v>
      </c>
      <c r="J5" s="52">
        <f t="shared" si="1"/>
        <v>4039.799309</v>
      </c>
      <c r="K5" s="51">
        <v>2024</v>
      </c>
      <c r="L5" s="59">
        <v>2024</v>
      </c>
      <c r="M5" s="59">
        <f t="shared" si="2"/>
        <v>0</v>
      </c>
      <c r="N5" s="59">
        <v>70</v>
      </c>
      <c r="O5" s="49">
        <v>0.1</v>
      </c>
      <c r="P5" s="48">
        <f t="shared" si="3"/>
        <v>1.2857142857142857E-2</v>
      </c>
      <c r="Q5" s="58">
        <v>1500</v>
      </c>
      <c r="R5" s="56">
        <f t="shared" si="4"/>
        <v>6059698.9634999996</v>
      </c>
      <c r="S5" s="56">
        <f t="shared" si="5"/>
        <v>0</v>
      </c>
      <c r="T5" s="57">
        <v>0</v>
      </c>
      <c r="U5" s="56">
        <f t="shared" si="6"/>
        <v>6059698.9634999996</v>
      </c>
      <c r="V5" s="56">
        <f t="shared" si="7"/>
        <v>6059698.9634999996</v>
      </c>
      <c r="X5" s="55"/>
      <c r="Y5" s="55"/>
      <c r="Z5" s="55"/>
      <c r="AA5" s="54"/>
      <c r="AB5" s="37" t="s">
        <v>125</v>
      </c>
      <c r="AC5" s="165">
        <f>AC4+AC3</f>
        <v>1372820735.6624999</v>
      </c>
      <c r="AD5" s="166"/>
    </row>
    <row r="6" spans="1:31" ht="24" x14ac:dyDescent="0.25">
      <c r="A6" s="51"/>
      <c r="B6" s="158" t="s">
        <v>124</v>
      </c>
      <c r="C6" s="62" t="s">
        <v>123</v>
      </c>
      <c r="D6" s="60">
        <v>1</v>
      </c>
      <c r="E6" s="60"/>
      <c r="F6" s="60">
        <v>20</v>
      </c>
      <c r="G6" s="162"/>
      <c r="H6" s="52">
        <v>72.069999999999993</v>
      </c>
      <c r="I6" s="52">
        <f t="shared" si="0"/>
        <v>775.7542729999999</v>
      </c>
      <c r="J6" s="52">
        <f t="shared" si="1"/>
        <v>775.7542729999999</v>
      </c>
      <c r="K6" s="51">
        <v>2024</v>
      </c>
      <c r="L6" s="59">
        <v>2024</v>
      </c>
      <c r="M6" s="59">
        <f t="shared" si="2"/>
        <v>0</v>
      </c>
      <c r="N6" s="59">
        <v>70</v>
      </c>
      <c r="O6" s="49">
        <v>0.1</v>
      </c>
      <c r="P6" s="48">
        <f t="shared" si="3"/>
        <v>1.2857142857142857E-2</v>
      </c>
      <c r="Q6" s="58">
        <v>1500</v>
      </c>
      <c r="R6" s="56">
        <f t="shared" si="4"/>
        <v>1163631.4094999998</v>
      </c>
      <c r="S6" s="56">
        <f t="shared" si="5"/>
        <v>0</v>
      </c>
      <c r="T6" s="57">
        <v>0</v>
      </c>
      <c r="U6" s="56">
        <f t="shared" si="6"/>
        <v>1163631.4094999998</v>
      </c>
      <c r="V6" s="56">
        <f t="shared" si="7"/>
        <v>1163631.4094999998</v>
      </c>
      <c r="X6" s="55"/>
      <c r="Y6" s="55"/>
      <c r="Z6" s="55"/>
      <c r="AA6" s="54"/>
      <c r="AC6" s="164">
        <f>ROUND(AC5,-6)</f>
        <v>1373000000</v>
      </c>
      <c r="AD6" s="164"/>
    </row>
    <row r="7" spans="1:31" ht="24.75" x14ac:dyDescent="0.25">
      <c r="A7" s="51"/>
      <c r="B7" s="159"/>
      <c r="C7" s="61" t="s">
        <v>122</v>
      </c>
      <c r="D7" s="60">
        <v>1</v>
      </c>
      <c r="E7" s="60"/>
      <c r="F7" s="60">
        <v>20</v>
      </c>
      <c r="G7" s="162"/>
      <c r="H7" s="52">
        <v>477.15</v>
      </c>
      <c r="I7" s="52">
        <f t="shared" si="0"/>
        <v>5135.9948849999992</v>
      </c>
      <c r="J7" s="52">
        <f t="shared" si="1"/>
        <v>5135.9948849999992</v>
      </c>
      <c r="K7" s="51">
        <v>2024</v>
      </c>
      <c r="L7" s="59">
        <v>2024</v>
      </c>
      <c r="M7" s="59">
        <f t="shared" si="2"/>
        <v>0</v>
      </c>
      <c r="N7" s="59">
        <v>70</v>
      </c>
      <c r="O7" s="49">
        <v>0.1</v>
      </c>
      <c r="P7" s="48">
        <f t="shared" si="3"/>
        <v>1.2857142857142857E-2</v>
      </c>
      <c r="Q7" s="58">
        <v>1500</v>
      </c>
      <c r="R7" s="56">
        <f t="shared" si="4"/>
        <v>7703992.3274999987</v>
      </c>
      <c r="S7" s="56">
        <f t="shared" si="5"/>
        <v>0</v>
      </c>
      <c r="T7" s="57">
        <v>0</v>
      </c>
      <c r="U7" s="56">
        <f t="shared" si="6"/>
        <v>7703992.3274999987</v>
      </c>
      <c r="V7" s="56">
        <f t="shared" si="7"/>
        <v>7703992.3274999987</v>
      </c>
      <c r="X7" s="55"/>
      <c r="Y7" s="55"/>
      <c r="Z7" s="55"/>
      <c r="AA7" s="54"/>
      <c r="AB7" s="37" t="s">
        <v>109</v>
      </c>
      <c r="AC7" s="167">
        <f>AC5*AE11</f>
        <v>1166897625.3131249</v>
      </c>
      <c r="AD7" s="168"/>
    </row>
    <row r="8" spans="1:31" x14ac:dyDescent="0.25">
      <c r="A8" s="51"/>
      <c r="B8" s="160"/>
      <c r="C8" s="61" t="s">
        <v>121</v>
      </c>
      <c r="D8" s="60">
        <v>1</v>
      </c>
      <c r="E8" s="60"/>
      <c r="F8" s="60">
        <v>20</v>
      </c>
      <c r="G8" s="163"/>
      <c r="H8" s="52">
        <v>476.24</v>
      </c>
      <c r="I8" s="52">
        <f t="shared" si="0"/>
        <v>5126.1997359999996</v>
      </c>
      <c r="J8" s="52">
        <f t="shared" si="1"/>
        <v>5126.1997359999996</v>
      </c>
      <c r="K8" s="51">
        <v>2024</v>
      </c>
      <c r="L8" s="59">
        <v>2024</v>
      </c>
      <c r="M8" s="59">
        <f t="shared" si="2"/>
        <v>0</v>
      </c>
      <c r="N8" s="59">
        <v>70</v>
      </c>
      <c r="O8" s="49">
        <v>0.1</v>
      </c>
      <c r="P8" s="48">
        <f t="shared" si="3"/>
        <v>1.2857142857142857E-2</v>
      </c>
      <c r="Q8" s="58">
        <v>1500</v>
      </c>
      <c r="R8" s="56">
        <f t="shared" si="4"/>
        <v>7689299.6039999994</v>
      </c>
      <c r="S8" s="56">
        <f t="shared" si="5"/>
        <v>0</v>
      </c>
      <c r="T8" s="57">
        <v>0</v>
      </c>
      <c r="U8" s="56">
        <f t="shared" si="6"/>
        <v>7689299.6039999994</v>
      </c>
      <c r="V8" s="56">
        <f t="shared" si="7"/>
        <v>7689299.6039999994</v>
      </c>
      <c r="X8" s="55"/>
      <c r="Y8" s="55"/>
      <c r="Z8" s="55"/>
      <c r="AA8" s="54"/>
      <c r="AB8" s="37" t="s">
        <v>108</v>
      </c>
      <c r="AC8" s="167">
        <f>AC5*AE12</f>
        <v>1029615551.7468749</v>
      </c>
      <c r="AD8" s="168"/>
    </row>
    <row r="9" spans="1:31" x14ac:dyDescent="0.25">
      <c r="A9" s="176" t="s">
        <v>120</v>
      </c>
      <c r="B9" s="176"/>
      <c r="C9" s="176"/>
      <c r="D9" s="176"/>
      <c r="E9" s="176"/>
      <c r="F9" s="176"/>
      <c r="G9" s="176"/>
      <c r="H9" s="53">
        <f>SUM(H3:H8)</f>
        <v>1952.2499999999998</v>
      </c>
      <c r="I9" s="53">
        <f>SUM(I3:I5)</f>
        <v>9975.8748809999997</v>
      </c>
      <c r="J9" s="52">
        <f t="shared" si="1"/>
        <v>9975.8748809999997</v>
      </c>
      <c r="K9" s="51"/>
      <c r="L9" s="50"/>
      <c r="M9" s="50"/>
      <c r="N9" s="50"/>
      <c r="O9" s="49"/>
      <c r="P9" s="48"/>
      <c r="Q9" s="47"/>
      <c r="R9" s="46">
        <f>SUM(R3:R8)</f>
        <v>31520735.662499998</v>
      </c>
      <c r="S9" s="46">
        <f>SUM(S3:S8)</f>
        <v>0</v>
      </c>
      <c r="T9" s="46">
        <f>SUM(T3:T4)</f>
        <v>0</v>
      </c>
      <c r="U9" s="46">
        <f>SUM(U3:U8)</f>
        <v>31520735.662499998</v>
      </c>
      <c r="V9" s="46">
        <f>SUM(V3:V8)</f>
        <v>31520735.662499998</v>
      </c>
      <c r="AB9" s="37" t="s">
        <v>119</v>
      </c>
      <c r="AC9" s="167">
        <f>R9*0.8</f>
        <v>25216588.530000001</v>
      </c>
      <c r="AD9" s="168"/>
    </row>
    <row r="10" spans="1:31" ht="15" customHeight="1" x14ac:dyDescent="0.25">
      <c r="A10" s="177" t="s">
        <v>118</v>
      </c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</row>
    <row r="11" spans="1:31" x14ac:dyDescent="0.25">
      <c r="A11" s="171" t="s">
        <v>117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Z11" s="83">
        <f>Z3/1.19599</f>
        <v>58595.807657254656</v>
      </c>
      <c r="AA11" s="83">
        <f>4500*Z11</f>
        <v>263681134.45764595</v>
      </c>
      <c r="AE11" s="45">
        <v>0.85</v>
      </c>
    </row>
    <row r="12" spans="1:31" ht="15" customHeight="1" x14ac:dyDescent="0.25">
      <c r="A12" s="171" t="s">
        <v>116</v>
      </c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AE12" s="45">
        <v>0.75</v>
      </c>
    </row>
    <row r="13" spans="1:31" ht="11.25" customHeight="1" x14ac:dyDescent="0.25">
      <c r="A13" s="171" t="s">
        <v>115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Z13" s="37" t="s">
        <v>114</v>
      </c>
      <c r="AA13" s="44">
        <f>(AC3-AA4)/AC3</f>
        <v>0.80454561037799155</v>
      </c>
      <c r="AC13" s="34"/>
      <c r="AD13" s="34"/>
    </row>
    <row r="14" spans="1:31" ht="24" customHeight="1" x14ac:dyDescent="0.25">
      <c r="A14" s="171" t="s">
        <v>113</v>
      </c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AA14" s="66">
        <v>262162972.79999998</v>
      </c>
      <c r="AC14" s="34"/>
      <c r="AD14" s="34"/>
    </row>
    <row r="15" spans="1:31" ht="26.25" customHeight="1" x14ac:dyDescent="0.25">
      <c r="W15">
        <v>375000</v>
      </c>
      <c r="AA15" s="43"/>
    </row>
    <row r="16" spans="1:31" ht="16.5" customHeight="1" x14ac:dyDescent="0.25">
      <c r="W16">
        <f>W15*0.8</f>
        <v>300000</v>
      </c>
      <c r="AA16" s="33">
        <f>V9+'Boundary Wall Length'!K4</f>
        <v>33220735.662499998</v>
      </c>
    </row>
    <row r="17" spans="12:36" ht="15" customHeight="1" x14ac:dyDescent="0.25">
      <c r="V17" s="42">
        <v>0.42</v>
      </c>
      <c r="AD17" s="39"/>
      <c r="AJ17" s="42">
        <v>0.42</v>
      </c>
    </row>
    <row r="18" spans="12:36" x14ac:dyDescent="0.25">
      <c r="L18" s="166">
        <f>220*10^7</f>
        <v>2200000000</v>
      </c>
      <c r="M18" s="166"/>
      <c r="N18" s="37"/>
      <c r="O18" s="37"/>
      <c r="P18" s="37"/>
      <c r="Q18" s="41"/>
      <c r="R18" s="41"/>
      <c r="S18" s="41"/>
      <c r="T18" s="41"/>
      <c r="V18" s="41"/>
      <c r="Z18" s="175"/>
      <c r="AA18" s="175"/>
      <c r="AB18" s="33">
        <v>1350000000</v>
      </c>
      <c r="AC18" s="65"/>
      <c r="AD18" s="39"/>
      <c r="AE18" s="39"/>
      <c r="AF18" s="41">
        <f>1952+'Boundary Wall Length'!C3*5</f>
        <v>3002</v>
      </c>
      <c r="AG18" s="41"/>
      <c r="AH18" s="41"/>
      <c r="AJ18" s="41"/>
    </row>
    <row r="19" spans="12:36" x14ac:dyDescent="0.25">
      <c r="L19" s="37" t="s">
        <v>112</v>
      </c>
      <c r="M19" s="37">
        <v>18494</v>
      </c>
      <c r="N19" s="37">
        <v>1500</v>
      </c>
      <c r="O19" s="37">
        <f>N19*V17</f>
        <v>630</v>
      </c>
      <c r="P19" s="40">
        <f>O19*M19</f>
        <v>11651220</v>
      </c>
      <c r="R19" s="31">
        <f>2170+1050</f>
        <v>3220</v>
      </c>
      <c r="S19" s="31"/>
      <c r="T19" s="32"/>
      <c r="U19" s="31"/>
      <c r="V19" s="31"/>
      <c r="W19">
        <f>3740.91*1.19599</f>
        <v>4474.0909509000003</v>
      </c>
      <c r="AA19" t="s">
        <v>111</v>
      </c>
      <c r="AB19" s="33">
        <f>ROUND(AB18,-6)</f>
        <v>1350000000</v>
      </c>
      <c r="AC19" s="33">
        <f>AC18/1.19599</f>
        <v>0</v>
      </c>
      <c r="AD19" s="34"/>
      <c r="AE19" s="39"/>
      <c r="AF19" s="31"/>
      <c r="AG19" s="31"/>
      <c r="AH19" s="32"/>
      <c r="AI19" s="31"/>
      <c r="AJ19" s="31"/>
    </row>
    <row r="20" spans="12:36" x14ac:dyDescent="0.25">
      <c r="L20" s="37" t="s">
        <v>110</v>
      </c>
      <c r="M20" s="38">
        <f>19883/9</f>
        <v>2209.2222222222222</v>
      </c>
      <c r="N20" s="37"/>
      <c r="O20" s="36">
        <f>P20/M20</f>
        <v>990551.67831816128</v>
      </c>
      <c r="P20" s="36">
        <f>L18-P19</f>
        <v>2188348780</v>
      </c>
      <c r="R20" s="31"/>
      <c r="S20" s="31"/>
      <c r="T20" s="32"/>
      <c r="U20" s="31"/>
      <c r="V20" s="31"/>
      <c r="AA20" s="35" t="s">
        <v>109</v>
      </c>
      <c r="AB20" s="33">
        <f>AB19*AE11</f>
        <v>1147500000</v>
      </c>
      <c r="AE20" s="34"/>
      <c r="AF20" s="31"/>
      <c r="AG20" s="31"/>
      <c r="AH20" s="32"/>
      <c r="AI20" s="31"/>
      <c r="AJ20" s="31"/>
    </row>
    <row r="21" spans="12:36" x14ac:dyDescent="0.25">
      <c r="R21" s="31"/>
      <c r="S21" s="31"/>
      <c r="T21" s="32"/>
      <c r="U21" s="31"/>
      <c r="V21" s="31"/>
      <c r="AA21" t="s">
        <v>108</v>
      </c>
      <c r="AB21" s="33">
        <f>AB19*AE12</f>
        <v>1012500000</v>
      </c>
      <c r="AF21" s="31"/>
      <c r="AG21" s="31"/>
      <c r="AH21" s="32"/>
      <c r="AI21" s="31"/>
      <c r="AJ21" s="31"/>
    </row>
    <row r="22" spans="12:36" ht="29.25" customHeight="1" x14ac:dyDescent="0.25">
      <c r="R22" s="31"/>
      <c r="S22" s="31"/>
      <c r="T22" s="32"/>
      <c r="U22" s="31">
        <f>10*10^7</f>
        <v>100000000</v>
      </c>
      <c r="V22" s="31">
        <v>160</v>
      </c>
      <c r="AF22" s="83">
        <f>AC35/Y3</f>
        <v>358549.12307433219</v>
      </c>
    </row>
    <row r="23" spans="12:36" x14ac:dyDescent="0.25">
      <c r="R23" s="31"/>
      <c r="S23" s="31"/>
      <c r="T23" s="32"/>
      <c r="U23" s="31">
        <f>10*10^7</f>
        <v>100000000</v>
      </c>
      <c r="V23" s="31">
        <v>250</v>
      </c>
      <c r="W23">
        <f t="shared" ref="W23:W24" si="8">U23/V23</f>
        <v>400000</v>
      </c>
    </row>
    <row r="24" spans="12:36" x14ac:dyDescent="0.25">
      <c r="R24" s="31"/>
      <c r="S24" s="31"/>
      <c r="T24" s="32"/>
      <c r="U24" s="31">
        <f>7.5*10^7</f>
        <v>75000000</v>
      </c>
      <c r="V24" s="31">
        <v>200</v>
      </c>
      <c r="W24">
        <f t="shared" si="8"/>
        <v>375000</v>
      </c>
    </row>
    <row r="25" spans="12:36" ht="28.5" customHeight="1" x14ac:dyDescent="0.25">
      <c r="R25" s="31"/>
      <c r="S25" s="31"/>
      <c r="T25" s="32"/>
      <c r="U25" s="31"/>
      <c r="V25" s="31"/>
      <c r="W25" s="75">
        <v>310000</v>
      </c>
    </row>
    <row r="26" spans="12:36" ht="15" customHeight="1" x14ac:dyDescent="0.25">
      <c r="R26" s="31"/>
      <c r="S26" s="31"/>
      <c r="T26" s="32"/>
      <c r="U26" s="31"/>
      <c r="V26" s="31"/>
      <c r="W26" s="33"/>
    </row>
    <row r="27" spans="12:36" ht="15" customHeight="1" x14ac:dyDescent="0.25">
      <c r="S27" s="31"/>
      <c r="T27" s="31"/>
      <c r="U27" s="31"/>
      <c r="Z27" t="s">
        <v>188</v>
      </c>
    </row>
    <row r="28" spans="12:36" ht="15" customHeight="1" x14ac:dyDescent="0.25">
      <c r="Z28" t="s">
        <v>185</v>
      </c>
      <c r="AA28" t="s">
        <v>186</v>
      </c>
      <c r="AB28" t="s">
        <v>187</v>
      </c>
    </row>
    <row r="29" spans="12:36" ht="28.5" customHeight="1" x14ac:dyDescent="0.25">
      <c r="Z29">
        <f>10^7*10</f>
        <v>100000000</v>
      </c>
      <c r="AA29">
        <f>7.5*10^7</f>
        <v>75000000</v>
      </c>
    </row>
    <row r="30" spans="12:36" ht="15" customHeight="1" x14ac:dyDescent="0.25">
      <c r="AA30">
        <f>AA29/200</f>
        <v>375000</v>
      </c>
      <c r="AB30">
        <f>Z29/250</f>
        <v>400000</v>
      </c>
    </row>
    <row r="31" spans="12:36" x14ac:dyDescent="0.25">
      <c r="AB31">
        <f>AVERAGE(AA30,AB30)</f>
        <v>387500</v>
      </c>
    </row>
    <row r="32" spans="12:36" ht="33" customHeight="1" x14ac:dyDescent="0.25">
      <c r="AA32">
        <v>375000</v>
      </c>
    </row>
    <row r="34" spans="26:29" x14ac:dyDescent="0.25">
      <c r="Z34" t="s">
        <v>191</v>
      </c>
      <c r="AA34" s="79">
        <v>0.8</v>
      </c>
    </row>
    <row r="35" spans="26:29" x14ac:dyDescent="0.25">
      <c r="Z35" t="s">
        <v>189</v>
      </c>
      <c r="AA35" s="75">
        <f>AA32*AA34</f>
        <v>300000</v>
      </c>
      <c r="AC35" s="75">
        <f>AA35*X3</f>
        <v>1341300000</v>
      </c>
    </row>
    <row r="36" spans="26:29" x14ac:dyDescent="0.25">
      <c r="Z36" t="s">
        <v>190</v>
      </c>
    </row>
    <row r="37" spans="26:29" x14ac:dyDescent="0.25">
      <c r="AA37" s="83">
        <f>AA35/1.19599</f>
        <v>250838.21771085041</v>
      </c>
    </row>
  </sheetData>
  <mergeCells count="21">
    <mergeCell ref="A11:V11"/>
    <mergeCell ref="AC3:AD3"/>
    <mergeCell ref="X4:Z4"/>
    <mergeCell ref="AC4:AD4"/>
    <mergeCell ref="Z18:AA18"/>
    <mergeCell ref="L18:M18"/>
    <mergeCell ref="A14:V14"/>
    <mergeCell ref="A13:V13"/>
    <mergeCell ref="A9:G9"/>
    <mergeCell ref="A10:V10"/>
    <mergeCell ref="A12:V12"/>
    <mergeCell ref="AC9:AD9"/>
    <mergeCell ref="A1:V1"/>
    <mergeCell ref="B3:B5"/>
    <mergeCell ref="B6:B8"/>
    <mergeCell ref="G3:G8"/>
    <mergeCell ref="AC6:AD6"/>
    <mergeCell ref="AC5:AD5"/>
    <mergeCell ref="AC7:AD7"/>
    <mergeCell ref="AC8:AD8"/>
    <mergeCell ref="AC2:A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>
      <selection activeCell="H4" sqref="H4"/>
    </sheetView>
  </sheetViews>
  <sheetFormatPr defaultRowHeight="15" x14ac:dyDescent="0.25"/>
  <cols>
    <col min="2" max="2" width="27" bestFit="1" customWidth="1"/>
    <col min="3" max="3" width="8.140625" customWidth="1"/>
    <col min="4" max="4" width="13.28515625" customWidth="1"/>
    <col min="6" max="6" width="9" bestFit="1" customWidth="1"/>
    <col min="7" max="8" width="0" hidden="1" customWidth="1"/>
    <col min="9" max="9" width="14.28515625" bestFit="1" customWidth="1"/>
    <col min="10" max="10" width="10" hidden="1" customWidth="1"/>
    <col min="11" max="12" width="11.5703125" bestFit="1" customWidth="1"/>
    <col min="14" max="14" width="11.5703125" bestFit="1" customWidth="1"/>
    <col min="17" max="17" width="16.85546875" bestFit="1" customWidth="1"/>
  </cols>
  <sheetData>
    <row r="1" spans="1:17" x14ac:dyDescent="0.25">
      <c r="A1" s="178" t="s">
        <v>169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17" ht="30" x14ac:dyDescent="0.25">
      <c r="A2" s="70" t="s">
        <v>168</v>
      </c>
      <c r="B2" s="70" t="s">
        <v>167</v>
      </c>
      <c r="C2" s="67" t="s">
        <v>166</v>
      </c>
      <c r="D2" s="67" t="s">
        <v>165</v>
      </c>
      <c r="E2" s="70" t="s">
        <v>164</v>
      </c>
      <c r="F2" s="70" t="s">
        <v>163</v>
      </c>
      <c r="G2" s="70" t="s">
        <v>162</v>
      </c>
      <c r="H2" s="70"/>
      <c r="I2" s="70" t="s">
        <v>161</v>
      </c>
      <c r="J2" s="70" t="s">
        <v>160</v>
      </c>
      <c r="K2" s="70" t="s">
        <v>159</v>
      </c>
    </row>
    <row r="3" spans="1:17" x14ac:dyDescent="0.25">
      <c r="A3" s="63">
        <v>1</v>
      </c>
      <c r="B3" s="37" t="s">
        <v>158</v>
      </c>
      <c r="C3" s="63">
        <v>210</v>
      </c>
      <c r="D3" s="63">
        <v>5</v>
      </c>
      <c r="E3" s="63">
        <v>8000</v>
      </c>
      <c r="F3" s="63">
        <v>25</v>
      </c>
      <c r="G3" s="77">
        <v>0</v>
      </c>
      <c r="H3" s="63">
        <f>2024-2023</f>
        <v>1</v>
      </c>
      <c r="I3" s="40">
        <f>E3*C3</f>
        <v>1680000</v>
      </c>
      <c r="J3" s="36">
        <f>I3*(G3/F3)*H3</f>
        <v>0</v>
      </c>
      <c r="K3" s="36">
        <f>I3-J3</f>
        <v>1680000</v>
      </c>
      <c r="L3" s="33">
        <f>ROUND(K3,-5)</f>
        <v>1700000</v>
      </c>
    </row>
    <row r="4" spans="1:17" x14ac:dyDescent="0.25">
      <c r="A4" s="37"/>
      <c r="B4" s="37"/>
      <c r="C4" s="37"/>
      <c r="D4" s="37"/>
      <c r="E4" s="37"/>
      <c r="F4" s="37"/>
      <c r="G4" s="37"/>
      <c r="H4" s="37"/>
      <c r="I4" s="37"/>
      <c r="J4" s="76" t="s">
        <v>120</v>
      </c>
      <c r="K4" s="36">
        <f>ROUND(SUM(K3:K3),-5)</f>
        <v>1700000</v>
      </c>
      <c r="L4" s="33">
        <f>SUM(L3:L3)</f>
        <v>1700000</v>
      </c>
    </row>
    <row r="5" spans="1:17" x14ac:dyDescent="0.25">
      <c r="K5" s="33"/>
    </row>
    <row r="7" spans="1:17" x14ac:dyDescent="0.25">
      <c r="P7">
        <v>1952</v>
      </c>
    </row>
    <row r="8" spans="1:17" x14ac:dyDescent="0.25">
      <c r="N8" s="33"/>
      <c r="P8">
        <f>210*5</f>
        <v>1050</v>
      </c>
    </row>
    <row r="9" spans="1:17" x14ac:dyDescent="0.25">
      <c r="F9" s="75"/>
      <c r="N9" s="33">
        <f>K4+1375267+'Sheet1 (2)'!V9</f>
        <v>34596002.662499994</v>
      </c>
    </row>
    <row r="12" spans="1:17" x14ac:dyDescent="0.25">
      <c r="P12">
        <f>2600*10.764</f>
        <v>27986.399999999998</v>
      </c>
    </row>
    <row r="13" spans="1:17" x14ac:dyDescent="0.25">
      <c r="Q13">
        <v>10.763999999999999</v>
      </c>
    </row>
    <row r="14" spans="1:17" x14ac:dyDescent="0.25">
      <c r="Q14">
        <f>3.46*Q13</f>
        <v>37.24344</v>
      </c>
    </row>
    <row r="15" spans="1:17" x14ac:dyDescent="0.25">
      <c r="Q15" s="74">
        <f>327228.81*3500</f>
        <v>1145300835</v>
      </c>
    </row>
    <row r="16" spans="1:17" x14ac:dyDescent="0.25">
      <c r="Q16">
        <f>4886*10000</f>
        <v>48860000</v>
      </c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workbookViewId="0">
      <selection activeCell="H4" sqref="H4"/>
    </sheetView>
  </sheetViews>
  <sheetFormatPr defaultRowHeight="15" x14ac:dyDescent="0.25"/>
  <cols>
    <col min="2" max="2" width="14.85546875" style="78" bestFit="1" customWidth="1"/>
    <col min="3" max="3" width="14" style="78" hidden="1" customWidth="1"/>
    <col min="4" max="4" width="12.7109375" bestFit="1" customWidth="1"/>
    <col min="5" max="5" width="10.28515625" bestFit="1" customWidth="1"/>
    <col min="6" max="6" width="18.42578125" bestFit="1" customWidth="1"/>
    <col min="7" max="7" width="14.42578125" bestFit="1" customWidth="1"/>
    <col min="8" max="8" width="9.5703125" bestFit="1" customWidth="1"/>
    <col min="9" max="9" width="20.85546875" bestFit="1" customWidth="1"/>
  </cols>
  <sheetData>
    <row r="1" spans="2:9" ht="15.75" x14ac:dyDescent="0.25">
      <c r="B1" s="179" t="s">
        <v>184</v>
      </c>
      <c r="C1" s="179"/>
      <c r="D1" s="179"/>
      <c r="E1" s="179"/>
      <c r="F1" s="179"/>
      <c r="G1" s="179"/>
      <c r="H1" s="179"/>
      <c r="I1" s="179"/>
    </row>
    <row r="2" spans="2:9" x14ac:dyDescent="0.25">
      <c r="B2" s="71" t="s">
        <v>183</v>
      </c>
      <c r="C2" s="71" t="s">
        <v>182</v>
      </c>
      <c r="D2" s="71" t="s">
        <v>181</v>
      </c>
      <c r="E2" s="71" t="s">
        <v>180</v>
      </c>
      <c r="F2" s="71" t="s">
        <v>179</v>
      </c>
      <c r="G2" s="71" t="s">
        <v>178</v>
      </c>
      <c r="H2" s="71" t="s">
        <v>177</v>
      </c>
      <c r="I2" s="71" t="s">
        <v>176</v>
      </c>
    </row>
    <row r="3" spans="2:9" x14ac:dyDescent="0.25">
      <c r="B3" s="63" t="s">
        <v>175</v>
      </c>
      <c r="C3" s="63">
        <v>200</v>
      </c>
      <c r="D3" s="63">
        <f>C3*10.764</f>
        <v>2152.7999999999997</v>
      </c>
      <c r="E3" s="63">
        <v>6</v>
      </c>
      <c r="F3" s="63">
        <f>E3*D3</f>
        <v>12916.8</v>
      </c>
      <c r="G3" s="82">
        <f>F3*28.3168</f>
        <v>365762.44224</v>
      </c>
      <c r="H3" s="63">
        <v>3</v>
      </c>
      <c r="I3" s="81">
        <f>G3*H3</f>
        <v>1097287.32672</v>
      </c>
    </row>
    <row r="4" spans="2:9" x14ac:dyDescent="0.25">
      <c r="B4" s="63" t="s">
        <v>174</v>
      </c>
      <c r="C4" s="63">
        <v>48</v>
      </c>
      <c r="D4" s="63">
        <f>C4*10.764</f>
        <v>516.67200000000003</v>
      </c>
      <c r="E4" s="63">
        <v>10</v>
      </c>
      <c r="F4" s="63">
        <f>E4*D4</f>
        <v>5166.72</v>
      </c>
      <c r="G4" s="82">
        <f>F4*28.3168</f>
        <v>146304.97689600001</v>
      </c>
      <c r="H4" s="63">
        <v>6</v>
      </c>
      <c r="I4" s="81">
        <f>G4*H4</f>
        <v>877829.8613760001</v>
      </c>
    </row>
    <row r="5" spans="2:9" x14ac:dyDescent="0.25">
      <c r="B5" s="63" t="s">
        <v>173</v>
      </c>
      <c r="C5" s="63">
        <v>8</v>
      </c>
      <c r="D5" s="63">
        <f>C5*10.764</f>
        <v>86.111999999999995</v>
      </c>
      <c r="E5" s="63">
        <v>8</v>
      </c>
      <c r="F5" s="63">
        <f>E5*D5</f>
        <v>688.89599999999996</v>
      </c>
      <c r="G5" s="82">
        <f>F5*28.3168</f>
        <v>19507.330252799999</v>
      </c>
      <c r="H5" s="63">
        <v>6</v>
      </c>
      <c r="I5" s="81">
        <f>G5*H5</f>
        <v>117043.98151679999</v>
      </c>
    </row>
    <row r="6" spans="2:9" x14ac:dyDescent="0.25">
      <c r="B6" s="63" t="s">
        <v>172</v>
      </c>
      <c r="C6" s="63">
        <v>32</v>
      </c>
      <c r="D6" s="63">
        <f>C6*10.764</f>
        <v>344.44799999999998</v>
      </c>
      <c r="E6" s="63">
        <v>6.5</v>
      </c>
      <c r="F6" s="63">
        <f>E6*D6</f>
        <v>2238.9119999999998</v>
      </c>
      <c r="G6" s="82">
        <f>F6*28.3168</f>
        <v>63398.823321599994</v>
      </c>
      <c r="H6" s="63">
        <v>6</v>
      </c>
      <c r="I6" s="81">
        <f>G6*H6</f>
        <v>380392.93992959999</v>
      </c>
    </row>
    <row r="7" spans="2:9" ht="15.75" x14ac:dyDescent="0.25">
      <c r="B7" s="180" t="s">
        <v>171</v>
      </c>
      <c r="C7" s="180"/>
      <c r="D7" s="180"/>
      <c r="E7" s="180"/>
      <c r="F7" s="180"/>
      <c r="G7" s="180"/>
      <c r="H7" s="180"/>
      <c r="I7" s="80">
        <f>SUM(I3:I6)</f>
        <v>2472554.1095424001</v>
      </c>
    </row>
    <row r="18" spans="8:9" x14ac:dyDescent="0.25">
      <c r="H18" t="s">
        <v>170</v>
      </c>
      <c r="I18" s="75">
        <f>I7+'Boundary Wall Length'!K4+'Sheet1 (2)'!AC5</f>
        <v>1376993289.7720423</v>
      </c>
    </row>
    <row r="19" spans="8:9" x14ac:dyDescent="0.25">
      <c r="I19" s="33">
        <f>ROUND(I18,-6)</f>
        <v>1377000000</v>
      </c>
    </row>
    <row r="20" spans="8:9" x14ac:dyDescent="0.25">
      <c r="H20" s="79">
        <v>0.85</v>
      </c>
      <c r="I20" s="33">
        <f>I19*H20</f>
        <v>1170450000</v>
      </c>
    </row>
    <row r="21" spans="8:9" x14ac:dyDescent="0.25">
      <c r="H21" s="79">
        <v>0.75</v>
      </c>
      <c r="I21" s="33">
        <f>I19*H21</f>
        <v>1032750000</v>
      </c>
    </row>
  </sheetData>
  <mergeCells count="2">
    <mergeCell ref="B1:I1"/>
    <mergeCell ref="B7:H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4"/>
  <sheetViews>
    <sheetView topLeftCell="A37" zoomScaleNormal="100" workbookViewId="0">
      <selection activeCell="Q61" sqref="Q61"/>
    </sheetView>
  </sheetViews>
  <sheetFormatPr defaultRowHeight="15" x14ac:dyDescent="0.25"/>
  <cols>
    <col min="1" max="1" width="6.85546875" bestFit="1" customWidth="1"/>
    <col min="2" max="2" width="8.85546875" bestFit="1" customWidth="1"/>
    <col min="3" max="3" width="15.7109375" customWidth="1"/>
    <col min="4" max="4" width="10" bestFit="1" customWidth="1"/>
    <col min="5" max="5" width="14.140625" hidden="1" customWidth="1"/>
    <col min="6" max="6" width="16.28515625" hidden="1" customWidth="1"/>
    <col min="7" max="7" width="23.85546875" hidden="1" customWidth="1"/>
    <col min="8" max="8" width="22.42578125" hidden="1" customWidth="1"/>
    <col min="9" max="9" width="17.85546875" bestFit="1" customWidth="1"/>
    <col min="10" max="10" width="19.7109375" hidden="1" customWidth="1"/>
    <col min="11" max="11" width="16.85546875" hidden="1" customWidth="1"/>
    <col min="12" max="12" width="28.5703125" hidden="1" customWidth="1"/>
    <col min="13" max="13" width="28.7109375" hidden="1" customWidth="1"/>
    <col min="14" max="14" width="13.140625" hidden="1" customWidth="1"/>
    <col min="15" max="15" width="17" hidden="1" customWidth="1"/>
    <col min="16" max="16" width="32.5703125" bestFit="1" customWidth="1"/>
    <col min="17" max="17" width="30.7109375" bestFit="1" customWidth="1"/>
    <col min="18" max="18" width="19.7109375" hidden="1" customWidth="1"/>
    <col min="19" max="19" width="14" hidden="1" customWidth="1"/>
    <col min="20" max="20" width="34.85546875" hidden="1" customWidth="1"/>
    <col min="21" max="21" width="25.7109375" hidden="1" customWidth="1"/>
  </cols>
  <sheetData>
    <row r="1" spans="1:21" ht="15.75" x14ac:dyDescent="0.25">
      <c r="A1" s="155" t="s">
        <v>277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7"/>
    </row>
    <row r="2" spans="1:21" ht="30" x14ac:dyDescent="0.25">
      <c r="A2" s="71" t="s">
        <v>156</v>
      </c>
      <c r="B2" s="71" t="s">
        <v>193</v>
      </c>
      <c r="C2" s="71" t="s">
        <v>154</v>
      </c>
      <c r="D2" s="71" t="s">
        <v>192</v>
      </c>
      <c r="E2" s="71" t="s">
        <v>152</v>
      </c>
      <c r="F2" s="71" t="s">
        <v>151</v>
      </c>
      <c r="G2" s="71" t="s">
        <v>150</v>
      </c>
      <c r="H2" s="71" t="s">
        <v>149</v>
      </c>
      <c r="I2" s="71" t="s">
        <v>148</v>
      </c>
      <c r="J2" s="71" t="s">
        <v>147</v>
      </c>
      <c r="K2" s="98" t="s">
        <v>146</v>
      </c>
      <c r="L2" s="71" t="s">
        <v>145</v>
      </c>
      <c r="M2" s="71" t="s">
        <v>144</v>
      </c>
      <c r="N2" s="73" t="s">
        <v>143</v>
      </c>
      <c r="O2" s="73" t="s">
        <v>142</v>
      </c>
      <c r="P2" s="71" t="s">
        <v>141</v>
      </c>
      <c r="Q2" s="87" t="s">
        <v>268</v>
      </c>
      <c r="R2" s="72" t="s">
        <v>139</v>
      </c>
      <c r="S2" s="72" t="s">
        <v>138</v>
      </c>
      <c r="T2" s="71" t="s">
        <v>137</v>
      </c>
      <c r="U2" s="71" t="s">
        <v>136</v>
      </c>
    </row>
    <row r="3" spans="1:21" ht="30" x14ac:dyDescent="0.25">
      <c r="A3" s="85">
        <v>1</v>
      </c>
      <c r="B3" s="85" t="s">
        <v>218</v>
      </c>
      <c r="C3" s="85" t="s">
        <v>278</v>
      </c>
      <c r="D3" s="85" t="s">
        <v>224</v>
      </c>
      <c r="E3" s="85"/>
      <c r="F3" s="85" t="s">
        <v>223</v>
      </c>
      <c r="G3" s="85">
        <f>186.67+282.15+412.08</f>
        <v>880.89999999999986</v>
      </c>
      <c r="H3" s="85">
        <f>G3*10.764</f>
        <v>9482.0075999999972</v>
      </c>
      <c r="I3" s="85">
        <f>H3</f>
        <v>9482.0075999999972</v>
      </c>
      <c r="J3" s="85">
        <v>2025</v>
      </c>
      <c r="K3" s="85">
        <v>2025</v>
      </c>
      <c r="L3" s="85">
        <f>K3-J3</f>
        <v>0</v>
      </c>
      <c r="M3" s="85">
        <v>70</v>
      </c>
      <c r="N3" s="85">
        <v>0.9</v>
      </c>
      <c r="O3" s="85">
        <f>(1-N3)/M3</f>
        <v>1.4285714285714284E-3</v>
      </c>
      <c r="P3" s="85">
        <v>2200</v>
      </c>
      <c r="Q3" s="85">
        <f>I3*P3</f>
        <v>20860416.719999995</v>
      </c>
      <c r="R3" s="85">
        <f>O3*Q3*L3</f>
        <v>0</v>
      </c>
      <c r="S3" s="85">
        <v>0</v>
      </c>
      <c r="T3" s="85">
        <f>Q3-R3</f>
        <v>20860416.719999995</v>
      </c>
      <c r="U3" s="85">
        <f>T3-S3*T3</f>
        <v>20860416.719999995</v>
      </c>
    </row>
    <row r="4" spans="1:21" ht="30" x14ac:dyDescent="0.25">
      <c r="A4" s="85">
        <v>5</v>
      </c>
      <c r="B4" s="85" t="s">
        <v>218</v>
      </c>
      <c r="C4" s="85" t="s">
        <v>21</v>
      </c>
      <c r="D4" s="85">
        <v>1</v>
      </c>
      <c r="E4" s="85"/>
      <c r="F4" s="85" t="s">
        <v>223</v>
      </c>
      <c r="G4" s="85"/>
      <c r="H4" s="85">
        <v>4545.4972679999992</v>
      </c>
      <c r="I4" s="85">
        <f t="shared" ref="I4" si="0">H4</f>
        <v>4545.4972679999992</v>
      </c>
      <c r="J4" s="85">
        <v>2025</v>
      </c>
      <c r="K4" s="85">
        <v>2025</v>
      </c>
      <c r="L4" s="85">
        <f t="shared" ref="L4:L49" si="1">K4-J4</f>
        <v>0</v>
      </c>
      <c r="M4" s="85">
        <v>70</v>
      </c>
      <c r="N4" s="85">
        <v>0.9</v>
      </c>
      <c r="O4" s="85">
        <f t="shared" ref="O4:O49" si="2">(1-N4)/M4</f>
        <v>1.4285714285714284E-3</v>
      </c>
      <c r="P4" s="85">
        <v>1800</v>
      </c>
      <c r="Q4" s="85">
        <f t="shared" ref="Q4:Q49" si="3">I4*P4</f>
        <v>8181895.0823999988</v>
      </c>
      <c r="R4" s="85">
        <f t="shared" ref="R4:R49" si="4">O4*Q4*L4</f>
        <v>0</v>
      </c>
      <c r="S4" s="85">
        <v>0</v>
      </c>
      <c r="T4" s="85">
        <f t="shared" ref="T4:T49" si="5">Q4-R4</f>
        <v>8181895.0823999988</v>
      </c>
      <c r="U4" s="85">
        <f t="shared" ref="U4:U49" si="6">T4-S4*T4</f>
        <v>8181895.0823999988</v>
      </c>
    </row>
    <row r="5" spans="1:21" ht="30" x14ac:dyDescent="0.25">
      <c r="A5" s="85">
        <v>6</v>
      </c>
      <c r="B5" s="85" t="s">
        <v>218</v>
      </c>
      <c r="C5" s="85" t="s">
        <v>16</v>
      </c>
      <c r="D5" s="85">
        <v>1</v>
      </c>
      <c r="E5" s="85"/>
      <c r="F5" s="85" t="s">
        <v>223</v>
      </c>
      <c r="G5" s="85">
        <v>1934.64</v>
      </c>
      <c r="H5" s="85">
        <f>G5*10.764</f>
        <v>20824.464960000001</v>
      </c>
      <c r="I5" s="85">
        <f>H5</f>
        <v>20824.464960000001</v>
      </c>
      <c r="J5" s="85">
        <v>2025</v>
      </c>
      <c r="K5" s="85">
        <v>2025</v>
      </c>
      <c r="L5" s="85">
        <f t="shared" si="1"/>
        <v>0</v>
      </c>
      <c r="M5" s="85">
        <v>70</v>
      </c>
      <c r="N5" s="85">
        <v>0.9</v>
      </c>
      <c r="O5" s="85">
        <f t="shared" si="2"/>
        <v>1.4285714285714284E-3</v>
      </c>
      <c r="P5" s="85">
        <v>2000</v>
      </c>
      <c r="Q5" s="85">
        <f t="shared" si="3"/>
        <v>41648929.920000002</v>
      </c>
      <c r="R5" s="85">
        <f t="shared" si="4"/>
        <v>0</v>
      </c>
      <c r="S5" s="85">
        <v>0</v>
      </c>
      <c r="T5" s="85">
        <f t="shared" si="5"/>
        <v>41648929.920000002</v>
      </c>
      <c r="U5" s="85">
        <f t="shared" si="6"/>
        <v>41648929.920000002</v>
      </c>
    </row>
    <row r="6" spans="1:21" ht="30" x14ac:dyDescent="0.25">
      <c r="A6" s="85">
        <v>7</v>
      </c>
      <c r="B6" s="85" t="s">
        <v>218</v>
      </c>
      <c r="C6" s="85" t="s">
        <v>15</v>
      </c>
      <c r="D6" s="85">
        <v>1</v>
      </c>
      <c r="E6" s="85"/>
      <c r="F6" s="85" t="s">
        <v>223</v>
      </c>
      <c r="G6" s="85">
        <v>2113.37</v>
      </c>
      <c r="H6" s="85">
        <f t="shared" ref="H6:H7" si="7">G6*10.764</f>
        <v>22748.314679999996</v>
      </c>
      <c r="I6" s="85">
        <f t="shared" ref="I6:I7" si="8">H6</f>
        <v>22748.314679999996</v>
      </c>
      <c r="J6" s="85">
        <v>2025</v>
      </c>
      <c r="K6" s="85">
        <v>2025</v>
      </c>
      <c r="L6" s="85">
        <f t="shared" si="1"/>
        <v>0</v>
      </c>
      <c r="M6" s="85">
        <v>70</v>
      </c>
      <c r="N6" s="85">
        <v>0.9</v>
      </c>
      <c r="O6" s="85">
        <f t="shared" si="2"/>
        <v>1.4285714285714284E-3</v>
      </c>
      <c r="P6" s="85">
        <v>2000</v>
      </c>
      <c r="Q6" s="85">
        <f t="shared" si="3"/>
        <v>45496629.359999992</v>
      </c>
      <c r="R6" s="85">
        <f t="shared" si="4"/>
        <v>0</v>
      </c>
      <c r="S6" s="85">
        <v>0</v>
      </c>
      <c r="T6" s="85">
        <f t="shared" si="5"/>
        <v>45496629.359999992</v>
      </c>
      <c r="U6" s="85">
        <f t="shared" si="6"/>
        <v>45496629.359999992</v>
      </c>
    </row>
    <row r="7" spans="1:21" ht="30" x14ac:dyDescent="0.25">
      <c r="A7" s="85">
        <v>8</v>
      </c>
      <c r="B7" s="85" t="s">
        <v>218</v>
      </c>
      <c r="C7" s="85" t="s">
        <v>14</v>
      </c>
      <c r="D7" s="85">
        <v>1</v>
      </c>
      <c r="E7" s="85"/>
      <c r="F7" s="85" t="s">
        <v>223</v>
      </c>
      <c r="G7" s="85">
        <v>1312.56</v>
      </c>
      <c r="H7" s="85">
        <f t="shared" si="7"/>
        <v>14128.395839999999</v>
      </c>
      <c r="I7" s="85">
        <f t="shared" si="8"/>
        <v>14128.395839999999</v>
      </c>
      <c r="J7" s="85">
        <v>2025</v>
      </c>
      <c r="K7" s="85">
        <v>2025</v>
      </c>
      <c r="L7" s="85">
        <f t="shared" si="1"/>
        <v>0</v>
      </c>
      <c r="M7" s="85">
        <v>70</v>
      </c>
      <c r="N7" s="85">
        <v>0.9</v>
      </c>
      <c r="O7" s="85">
        <f t="shared" si="2"/>
        <v>1.4285714285714284E-3</v>
      </c>
      <c r="P7" s="85">
        <v>2000</v>
      </c>
      <c r="Q7" s="85">
        <f t="shared" si="3"/>
        <v>28256791.68</v>
      </c>
      <c r="R7" s="85">
        <f t="shared" si="4"/>
        <v>0</v>
      </c>
      <c r="S7" s="85">
        <v>0</v>
      </c>
      <c r="T7" s="85">
        <f t="shared" si="5"/>
        <v>28256791.68</v>
      </c>
      <c r="U7" s="85">
        <f t="shared" si="6"/>
        <v>28256791.68</v>
      </c>
    </row>
    <row r="8" spans="1:21" ht="30" x14ac:dyDescent="0.25">
      <c r="A8" s="85">
        <v>9</v>
      </c>
      <c r="B8" s="85" t="s">
        <v>218</v>
      </c>
      <c r="C8" s="85" t="s">
        <v>194</v>
      </c>
      <c r="D8" s="85">
        <v>2</v>
      </c>
      <c r="E8" s="85"/>
      <c r="F8" s="85" t="s">
        <v>223</v>
      </c>
      <c r="G8" s="85"/>
      <c r="H8" s="85">
        <v>4709.87</v>
      </c>
      <c r="I8" s="85">
        <f t="shared" ref="I8:I21" si="9">H8*D8</f>
        <v>9419.74</v>
      </c>
      <c r="J8" s="85">
        <v>2025</v>
      </c>
      <c r="K8" s="85">
        <v>2025</v>
      </c>
      <c r="L8" s="85">
        <f t="shared" si="1"/>
        <v>0</v>
      </c>
      <c r="M8" s="85">
        <v>70</v>
      </c>
      <c r="N8" s="85">
        <v>0.9</v>
      </c>
      <c r="O8" s="85">
        <f t="shared" si="2"/>
        <v>1.4285714285714284E-3</v>
      </c>
      <c r="P8" s="85">
        <v>2000</v>
      </c>
      <c r="Q8" s="85">
        <f t="shared" si="3"/>
        <v>18839480</v>
      </c>
      <c r="R8" s="85">
        <f t="shared" si="4"/>
        <v>0</v>
      </c>
      <c r="S8" s="85">
        <v>0</v>
      </c>
      <c r="T8" s="85">
        <f t="shared" si="5"/>
        <v>18839480</v>
      </c>
      <c r="U8" s="85">
        <f t="shared" si="6"/>
        <v>18839480</v>
      </c>
    </row>
    <row r="9" spans="1:21" ht="30" x14ac:dyDescent="0.25">
      <c r="A9" s="85">
        <v>10</v>
      </c>
      <c r="B9" s="85" t="s">
        <v>218</v>
      </c>
      <c r="C9" s="85" t="s">
        <v>195</v>
      </c>
      <c r="D9" s="85">
        <v>2</v>
      </c>
      <c r="E9" s="85"/>
      <c r="F9" s="85" t="s">
        <v>223</v>
      </c>
      <c r="G9" s="85"/>
      <c r="H9" s="85">
        <v>3745.23</v>
      </c>
      <c r="I9" s="85">
        <f t="shared" si="9"/>
        <v>7490.46</v>
      </c>
      <c r="J9" s="85">
        <v>2025</v>
      </c>
      <c r="K9" s="85">
        <v>2025</v>
      </c>
      <c r="L9" s="85">
        <f t="shared" si="1"/>
        <v>0</v>
      </c>
      <c r="M9" s="85">
        <v>70</v>
      </c>
      <c r="N9" s="85">
        <v>0.9</v>
      </c>
      <c r="O9" s="85">
        <f t="shared" si="2"/>
        <v>1.4285714285714284E-3</v>
      </c>
      <c r="P9" s="85">
        <v>2000</v>
      </c>
      <c r="Q9" s="85">
        <f t="shared" si="3"/>
        <v>14980920</v>
      </c>
      <c r="R9" s="85">
        <f t="shared" si="4"/>
        <v>0</v>
      </c>
      <c r="S9" s="85">
        <v>0</v>
      </c>
      <c r="T9" s="85">
        <f t="shared" si="5"/>
        <v>14980920</v>
      </c>
      <c r="U9" s="85">
        <f t="shared" si="6"/>
        <v>14980920</v>
      </c>
    </row>
    <row r="10" spans="1:21" ht="30" x14ac:dyDescent="0.25">
      <c r="A10" s="85">
        <v>11</v>
      </c>
      <c r="B10" s="85" t="s">
        <v>218</v>
      </c>
      <c r="C10" s="85" t="s">
        <v>196</v>
      </c>
      <c r="D10" s="85">
        <v>2</v>
      </c>
      <c r="E10" s="85"/>
      <c r="F10" s="85" t="s">
        <v>223</v>
      </c>
      <c r="G10" s="85"/>
      <c r="H10" s="85">
        <v>3745.23</v>
      </c>
      <c r="I10" s="85">
        <f t="shared" si="9"/>
        <v>7490.46</v>
      </c>
      <c r="J10" s="85">
        <v>2025</v>
      </c>
      <c r="K10" s="85">
        <v>2025</v>
      </c>
      <c r="L10" s="85">
        <f t="shared" si="1"/>
        <v>0</v>
      </c>
      <c r="M10" s="85">
        <v>70</v>
      </c>
      <c r="N10" s="85">
        <v>0.9</v>
      </c>
      <c r="O10" s="85">
        <f t="shared" si="2"/>
        <v>1.4285714285714284E-3</v>
      </c>
      <c r="P10" s="85">
        <v>2000</v>
      </c>
      <c r="Q10" s="85">
        <f t="shared" si="3"/>
        <v>14980920</v>
      </c>
      <c r="R10" s="85">
        <f t="shared" si="4"/>
        <v>0</v>
      </c>
      <c r="S10" s="85">
        <v>0</v>
      </c>
      <c r="T10" s="85">
        <f t="shared" si="5"/>
        <v>14980920</v>
      </c>
      <c r="U10" s="85">
        <f t="shared" si="6"/>
        <v>14980920</v>
      </c>
    </row>
    <row r="11" spans="1:21" ht="30" x14ac:dyDescent="0.25">
      <c r="A11" s="85">
        <v>12</v>
      </c>
      <c r="B11" s="85" t="s">
        <v>218</v>
      </c>
      <c r="C11" s="85" t="s">
        <v>197</v>
      </c>
      <c r="D11" s="85">
        <v>2</v>
      </c>
      <c r="E11" s="85"/>
      <c r="F11" s="85" t="s">
        <v>223</v>
      </c>
      <c r="G11" s="85"/>
      <c r="H11" s="85">
        <v>3745.23</v>
      </c>
      <c r="I11" s="85">
        <f t="shared" si="9"/>
        <v>7490.46</v>
      </c>
      <c r="J11" s="85">
        <v>2025</v>
      </c>
      <c r="K11" s="85">
        <v>2025</v>
      </c>
      <c r="L11" s="85">
        <f t="shared" si="1"/>
        <v>0</v>
      </c>
      <c r="M11" s="85">
        <v>70</v>
      </c>
      <c r="N11" s="85">
        <v>0.9</v>
      </c>
      <c r="O11" s="85">
        <f t="shared" si="2"/>
        <v>1.4285714285714284E-3</v>
      </c>
      <c r="P11" s="85">
        <v>2000</v>
      </c>
      <c r="Q11" s="85">
        <f t="shared" si="3"/>
        <v>14980920</v>
      </c>
      <c r="R11" s="85">
        <f t="shared" si="4"/>
        <v>0</v>
      </c>
      <c r="S11" s="85">
        <v>0</v>
      </c>
      <c r="T11" s="85">
        <f t="shared" si="5"/>
        <v>14980920</v>
      </c>
      <c r="U11" s="85">
        <f t="shared" si="6"/>
        <v>14980920</v>
      </c>
    </row>
    <row r="12" spans="1:21" ht="30" x14ac:dyDescent="0.25">
      <c r="A12" s="85">
        <v>13</v>
      </c>
      <c r="B12" s="85" t="s">
        <v>218</v>
      </c>
      <c r="C12" s="85" t="s">
        <v>198</v>
      </c>
      <c r="D12" s="85">
        <v>2</v>
      </c>
      <c r="E12" s="85"/>
      <c r="F12" s="85" t="s">
        <v>223</v>
      </c>
      <c r="G12" s="85"/>
      <c r="H12" s="85">
        <v>3745.23</v>
      </c>
      <c r="I12" s="85">
        <f t="shared" si="9"/>
        <v>7490.46</v>
      </c>
      <c r="J12" s="85">
        <v>2025</v>
      </c>
      <c r="K12" s="85">
        <v>2025</v>
      </c>
      <c r="L12" s="85">
        <f t="shared" si="1"/>
        <v>0</v>
      </c>
      <c r="M12" s="85">
        <v>70</v>
      </c>
      <c r="N12" s="85">
        <v>0.9</v>
      </c>
      <c r="O12" s="85">
        <f t="shared" si="2"/>
        <v>1.4285714285714284E-3</v>
      </c>
      <c r="P12" s="85">
        <v>2000</v>
      </c>
      <c r="Q12" s="85">
        <f t="shared" si="3"/>
        <v>14980920</v>
      </c>
      <c r="R12" s="85">
        <f t="shared" si="4"/>
        <v>0</v>
      </c>
      <c r="S12" s="85">
        <v>0</v>
      </c>
      <c r="T12" s="85">
        <f t="shared" si="5"/>
        <v>14980920</v>
      </c>
      <c r="U12" s="85">
        <f t="shared" si="6"/>
        <v>14980920</v>
      </c>
    </row>
    <row r="13" spans="1:21" ht="30" x14ac:dyDescent="0.25">
      <c r="A13" s="85">
        <v>14</v>
      </c>
      <c r="B13" s="85" t="s">
        <v>218</v>
      </c>
      <c r="C13" s="85" t="s">
        <v>199</v>
      </c>
      <c r="D13" s="85">
        <v>2</v>
      </c>
      <c r="E13" s="85"/>
      <c r="F13" s="85" t="s">
        <v>223</v>
      </c>
      <c r="G13" s="85"/>
      <c r="H13" s="85">
        <v>3745.23</v>
      </c>
      <c r="I13" s="85">
        <f t="shared" si="9"/>
        <v>7490.46</v>
      </c>
      <c r="J13" s="85">
        <v>2025</v>
      </c>
      <c r="K13" s="85">
        <v>2025</v>
      </c>
      <c r="L13" s="85">
        <f t="shared" si="1"/>
        <v>0</v>
      </c>
      <c r="M13" s="85">
        <v>70</v>
      </c>
      <c r="N13" s="85">
        <v>0.9</v>
      </c>
      <c r="O13" s="85">
        <f t="shared" si="2"/>
        <v>1.4285714285714284E-3</v>
      </c>
      <c r="P13" s="85">
        <v>2000</v>
      </c>
      <c r="Q13" s="85">
        <f t="shared" si="3"/>
        <v>14980920</v>
      </c>
      <c r="R13" s="85">
        <f t="shared" si="4"/>
        <v>0</v>
      </c>
      <c r="S13" s="85">
        <v>0</v>
      </c>
      <c r="T13" s="85">
        <f t="shared" si="5"/>
        <v>14980920</v>
      </c>
      <c r="U13" s="85">
        <f t="shared" si="6"/>
        <v>14980920</v>
      </c>
    </row>
    <row r="14" spans="1:21" ht="30" x14ac:dyDescent="0.25">
      <c r="A14" s="85">
        <v>15</v>
      </c>
      <c r="B14" s="85" t="s">
        <v>218</v>
      </c>
      <c r="C14" s="85" t="s">
        <v>200</v>
      </c>
      <c r="D14" s="85">
        <v>2</v>
      </c>
      <c r="E14" s="85"/>
      <c r="F14" s="85" t="s">
        <v>223</v>
      </c>
      <c r="G14" s="85"/>
      <c r="H14" s="85">
        <v>3745.23</v>
      </c>
      <c r="I14" s="85">
        <f t="shared" si="9"/>
        <v>7490.46</v>
      </c>
      <c r="J14" s="85">
        <v>2025</v>
      </c>
      <c r="K14" s="85">
        <v>2025</v>
      </c>
      <c r="L14" s="85">
        <f t="shared" si="1"/>
        <v>0</v>
      </c>
      <c r="M14" s="85">
        <v>70</v>
      </c>
      <c r="N14" s="85">
        <v>0.9</v>
      </c>
      <c r="O14" s="85">
        <f t="shared" si="2"/>
        <v>1.4285714285714284E-3</v>
      </c>
      <c r="P14" s="85">
        <v>2000</v>
      </c>
      <c r="Q14" s="85">
        <f t="shared" si="3"/>
        <v>14980920</v>
      </c>
      <c r="R14" s="85">
        <f t="shared" si="4"/>
        <v>0</v>
      </c>
      <c r="S14" s="85">
        <v>0</v>
      </c>
      <c r="T14" s="85">
        <f t="shared" si="5"/>
        <v>14980920</v>
      </c>
      <c r="U14" s="85">
        <f t="shared" si="6"/>
        <v>14980920</v>
      </c>
    </row>
    <row r="15" spans="1:21" ht="30" x14ac:dyDescent="0.25">
      <c r="A15" s="85">
        <v>16</v>
      </c>
      <c r="B15" s="85" t="s">
        <v>218</v>
      </c>
      <c r="C15" s="85" t="s">
        <v>201</v>
      </c>
      <c r="D15" s="85">
        <v>2</v>
      </c>
      <c r="E15" s="85"/>
      <c r="F15" s="85" t="s">
        <v>223</v>
      </c>
      <c r="G15" s="85"/>
      <c r="H15" s="85">
        <v>3745.23</v>
      </c>
      <c r="I15" s="85">
        <f t="shared" si="9"/>
        <v>7490.46</v>
      </c>
      <c r="J15" s="85">
        <v>2025</v>
      </c>
      <c r="K15" s="85">
        <v>2025</v>
      </c>
      <c r="L15" s="85">
        <f t="shared" si="1"/>
        <v>0</v>
      </c>
      <c r="M15" s="85">
        <v>70</v>
      </c>
      <c r="N15" s="85">
        <v>0.9</v>
      </c>
      <c r="O15" s="85">
        <f t="shared" si="2"/>
        <v>1.4285714285714284E-3</v>
      </c>
      <c r="P15" s="85">
        <v>2000</v>
      </c>
      <c r="Q15" s="85">
        <f t="shared" si="3"/>
        <v>14980920</v>
      </c>
      <c r="R15" s="85">
        <f t="shared" si="4"/>
        <v>0</v>
      </c>
      <c r="S15" s="85">
        <v>0</v>
      </c>
      <c r="T15" s="85">
        <f t="shared" si="5"/>
        <v>14980920</v>
      </c>
      <c r="U15" s="85">
        <f t="shared" si="6"/>
        <v>14980920</v>
      </c>
    </row>
    <row r="16" spans="1:21" ht="30" x14ac:dyDescent="0.25">
      <c r="A16" s="85">
        <v>17</v>
      </c>
      <c r="B16" s="85" t="s">
        <v>218</v>
      </c>
      <c r="C16" s="85" t="s">
        <v>202</v>
      </c>
      <c r="D16" s="85">
        <v>2</v>
      </c>
      <c r="E16" s="85"/>
      <c r="F16" s="85" t="s">
        <v>223</v>
      </c>
      <c r="G16" s="85"/>
      <c r="H16" s="85">
        <v>3745.23</v>
      </c>
      <c r="I16" s="85">
        <f t="shared" si="9"/>
        <v>7490.46</v>
      </c>
      <c r="J16" s="85">
        <v>2025</v>
      </c>
      <c r="K16" s="85">
        <v>2025</v>
      </c>
      <c r="L16" s="85">
        <f t="shared" si="1"/>
        <v>0</v>
      </c>
      <c r="M16" s="85">
        <v>70</v>
      </c>
      <c r="N16" s="85">
        <v>0.9</v>
      </c>
      <c r="O16" s="85">
        <f t="shared" si="2"/>
        <v>1.4285714285714284E-3</v>
      </c>
      <c r="P16" s="85">
        <v>2000</v>
      </c>
      <c r="Q16" s="85">
        <f t="shared" si="3"/>
        <v>14980920</v>
      </c>
      <c r="R16" s="85">
        <f t="shared" si="4"/>
        <v>0</v>
      </c>
      <c r="S16" s="85">
        <v>0</v>
      </c>
      <c r="T16" s="85">
        <f t="shared" si="5"/>
        <v>14980920</v>
      </c>
      <c r="U16" s="85">
        <f t="shared" si="6"/>
        <v>14980920</v>
      </c>
    </row>
    <row r="17" spans="1:21" ht="30" x14ac:dyDescent="0.25">
      <c r="A17" s="85">
        <v>18</v>
      </c>
      <c r="B17" s="85" t="s">
        <v>218</v>
      </c>
      <c r="C17" s="85" t="s">
        <v>203</v>
      </c>
      <c r="D17" s="85">
        <v>2</v>
      </c>
      <c r="E17" s="85"/>
      <c r="F17" s="85" t="s">
        <v>223</v>
      </c>
      <c r="G17" s="85"/>
      <c r="H17" s="85">
        <v>3745.23</v>
      </c>
      <c r="I17" s="85">
        <f t="shared" si="9"/>
        <v>7490.46</v>
      </c>
      <c r="J17" s="85">
        <v>2025</v>
      </c>
      <c r="K17" s="85">
        <v>2025</v>
      </c>
      <c r="L17" s="85">
        <f t="shared" si="1"/>
        <v>0</v>
      </c>
      <c r="M17" s="85">
        <v>70</v>
      </c>
      <c r="N17" s="85">
        <v>0.9</v>
      </c>
      <c r="O17" s="85">
        <f t="shared" si="2"/>
        <v>1.4285714285714284E-3</v>
      </c>
      <c r="P17" s="85">
        <v>2000</v>
      </c>
      <c r="Q17" s="85">
        <f t="shared" si="3"/>
        <v>14980920</v>
      </c>
      <c r="R17" s="85">
        <f t="shared" si="4"/>
        <v>0</v>
      </c>
      <c r="S17" s="85">
        <v>0</v>
      </c>
      <c r="T17" s="85">
        <f t="shared" si="5"/>
        <v>14980920</v>
      </c>
      <c r="U17" s="86">
        <f>T17-S17*T17</f>
        <v>14980920</v>
      </c>
    </row>
    <row r="18" spans="1:21" ht="30" x14ac:dyDescent="0.25">
      <c r="A18" s="85">
        <v>19</v>
      </c>
      <c r="B18" s="85" t="s">
        <v>218</v>
      </c>
      <c r="C18" s="85" t="s">
        <v>204</v>
      </c>
      <c r="D18" s="85">
        <v>2</v>
      </c>
      <c r="E18" s="85"/>
      <c r="F18" s="85" t="s">
        <v>223</v>
      </c>
      <c r="G18" s="85"/>
      <c r="H18" s="85">
        <v>3745.23</v>
      </c>
      <c r="I18" s="85">
        <f t="shared" si="9"/>
        <v>7490.46</v>
      </c>
      <c r="J18" s="85">
        <v>2025</v>
      </c>
      <c r="K18" s="85">
        <v>2025</v>
      </c>
      <c r="L18" s="85">
        <f t="shared" si="1"/>
        <v>0</v>
      </c>
      <c r="M18" s="85">
        <v>70</v>
      </c>
      <c r="N18" s="85">
        <v>0.9</v>
      </c>
      <c r="O18" s="85">
        <f t="shared" si="2"/>
        <v>1.4285714285714284E-3</v>
      </c>
      <c r="P18" s="85">
        <v>2000</v>
      </c>
      <c r="Q18" s="85">
        <f t="shared" si="3"/>
        <v>14980920</v>
      </c>
      <c r="R18" s="85">
        <f t="shared" si="4"/>
        <v>0</v>
      </c>
      <c r="S18" s="85">
        <v>0</v>
      </c>
      <c r="T18" s="85">
        <f t="shared" si="5"/>
        <v>14980920</v>
      </c>
      <c r="U18" s="85">
        <f t="shared" si="6"/>
        <v>14980920</v>
      </c>
    </row>
    <row r="19" spans="1:21" ht="30" x14ac:dyDescent="0.25">
      <c r="A19" s="85">
        <v>20</v>
      </c>
      <c r="B19" s="85" t="s">
        <v>218</v>
      </c>
      <c r="C19" s="85" t="s">
        <v>205</v>
      </c>
      <c r="D19" s="85">
        <v>2</v>
      </c>
      <c r="E19" s="85"/>
      <c r="F19" s="85" t="s">
        <v>223</v>
      </c>
      <c r="G19" s="85"/>
      <c r="H19" s="85">
        <v>3745.23</v>
      </c>
      <c r="I19" s="85">
        <f t="shared" si="9"/>
        <v>7490.46</v>
      </c>
      <c r="J19" s="85">
        <v>2025</v>
      </c>
      <c r="K19" s="85">
        <v>2025</v>
      </c>
      <c r="L19" s="85">
        <f t="shared" si="1"/>
        <v>0</v>
      </c>
      <c r="M19" s="85">
        <v>70</v>
      </c>
      <c r="N19" s="85">
        <v>0.9</v>
      </c>
      <c r="O19" s="85">
        <f t="shared" si="2"/>
        <v>1.4285714285714284E-3</v>
      </c>
      <c r="P19" s="85">
        <v>2000</v>
      </c>
      <c r="Q19" s="85">
        <f t="shared" si="3"/>
        <v>14980920</v>
      </c>
      <c r="R19" s="85">
        <f t="shared" si="4"/>
        <v>0</v>
      </c>
      <c r="S19" s="85">
        <v>0</v>
      </c>
      <c r="T19" s="85">
        <f t="shared" si="5"/>
        <v>14980920</v>
      </c>
      <c r="U19" s="85">
        <f t="shared" si="6"/>
        <v>14980920</v>
      </c>
    </row>
    <row r="20" spans="1:21" ht="30" x14ac:dyDescent="0.25">
      <c r="A20" s="85">
        <v>21</v>
      </c>
      <c r="B20" s="85" t="s">
        <v>218</v>
      </c>
      <c r="C20" s="85" t="s">
        <v>206</v>
      </c>
      <c r="D20" s="85">
        <v>2</v>
      </c>
      <c r="E20" s="85"/>
      <c r="F20" s="85" t="s">
        <v>223</v>
      </c>
      <c r="G20" s="85"/>
      <c r="H20" s="85">
        <v>3745.23</v>
      </c>
      <c r="I20" s="85">
        <f t="shared" si="9"/>
        <v>7490.46</v>
      </c>
      <c r="J20" s="85">
        <v>2025</v>
      </c>
      <c r="K20" s="85">
        <v>2025</v>
      </c>
      <c r="L20" s="85">
        <f t="shared" si="1"/>
        <v>0</v>
      </c>
      <c r="M20" s="85">
        <v>70</v>
      </c>
      <c r="N20" s="85">
        <v>0.9</v>
      </c>
      <c r="O20" s="85">
        <f t="shared" si="2"/>
        <v>1.4285714285714284E-3</v>
      </c>
      <c r="P20" s="85">
        <v>2000</v>
      </c>
      <c r="Q20" s="85">
        <f t="shared" si="3"/>
        <v>14980920</v>
      </c>
      <c r="R20" s="85">
        <f t="shared" si="4"/>
        <v>0</v>
      </c>
      <c r="S20" s="85">
        <v>0</v>
      </c>
      <c r="T20" s="85">
        <f t="shared" si="5"/>
        <v>14980920</v>
      </c>
      <c r="U20" s="85">
        <f t="shared" si="6"/>
        <v>14980920</v>
      </c>
    </row>
    <row r="21" spans="1:21" ht="30" x14ac:dyDescent="0.25">
      <c r="A21" s="85">
        <v>22</v>
      </c>
      <c r="B21" s="85" t="s">
        <v>218</v>
      </c>
      <c r="C21" s="85" t="s">
        <v>207</v>
      </c>
      <c r="D21" s="85">
        <v>2</v>
      </c>
      <c r="E21" s="85"/>
      <c r="F21" s="85" t="s">
        <v>223</v>
      </c>
      <c r="G21" s="85"/>
      <c r="H21" s="85">
        <v>3745.23</v>
      </c>
      <c r="I21" s="85">
        <f t="shared" si="9"/>
        <v>7490.46</v>
      </c>
      <c r="J21" s="85">
        <v>2025</v>
      </c>
      <c r="K21" s="85">
        <v>2025</v>
      </c>
      <c r="L21" s="85">
        <f t="shared" si="1"/>
        <v>0</v>
      </c>
      <c r="M21" s="85">
        <v>70</v>
      </c>
      <c r="N21" s="85">
        <v>0.9</v>
      </c>
      <c r="O21" s="85">
        <f t="shared" si="2"/>
        <v>1.4285714285714284E-3</v>
      </c>
      <c r="P21" s="85">
        <v>2000</v>
      </c>
      <c r="Q21" s="85">
        <f t="shared" si="3"/>
        <v>14980920</v>
      </c>
      <c r="R21" s="85">
        <f t="shared" si="4"/>
        <v>0</v>
      </c>
      <c r="S21" s="85">
        <v>0</v>
      </c>
      <c r="T21" s="85">
        <f t="shared" si="5"/>
        <v>14980920</v>
      </c>
      <c r="U21" s="85">
        <f t="shared" si="6"/>
        <v>14980920</v>
      </c>
    </row>
    <row r="22" spans="1:21" ht="30" x14ac:dyDescent="0.25">
      <c r="A22" s="85">
        <v>23</v>
      </c>
      <c r="B22" s="85" t="s">
        <v>218</v>
      </c>
      <c r="C22" s="85" t="s">
        <v>217</v>
      </c>
      <c r="D22" s="85">
        <v>2</v>
      </c>
      <c r="E22" s="85"/>
      <c r="F22" s="85" t="s">
        <v>223</v>
      </c>
      <c r="G22" s="85">
        <v>583.75</v>
      </c>
      <c r="H22" s="85">
        <f t="shared" ref="H22" si="10">G22*10.764</f>
        <v>6283.4849999999997</v>
      </c>
      <c r="I22" s="85">
        <f>H22</f>
        <v>6283.4849999999997</v>
      </c>
      <c r="J22" s="85">
        <v>2025</v>
      </c>
      <c r="K22" s="85">
        <v>2025</v>
      </c>
      <c r="L22" s="85">
        <f t="shared" si="1"/>
        <v>0</v>
      </c>
      <c r="M22" s="85">
        <v>70</v>
      </c>
      <c r="N22" s="85">
        <v>0.9</v>
      </c>
      <c r="O22" s="85">
        <f t="shared" si="2"/>
        <v>1.4285714285714284E-3</v>
      </c>
      <c r="P22" s="85">
        <v>1300</v>
      </c>
      <c r="Q22" s="85">
        <f t="shared" si="3"/>
        <v>8168530.5</v>
      </c>
      <c r="R22" s="85">
        <f t="shared" si="4"/>
        <v>0</v>
      </c>
      <c r="S22" s="85">
        <v>0</v>
      </c>
      <c r="T22" s="85">
        <f t="shared" si="5"/>
        <v>8168530.5</v>
      </c>
      <c r="U22" s="85">
        <f t="shared" si="6"/>
        <v>8168530.5</v>
      </c>
    </row>
    <row r="23" spans="1:21" ht="30" x14ac:dyDescent="0.25">
      <c r="A23" s="85">
        <v>24</v>
      </c>
      <c r="B23" s="85" t="s">
        <v>218</v>
      </c>
      <c r="C23" s="85" t="s">
        <v>208</v>
      </c>
      <c r="D23" s="85">
        <v>2</v>
      </c>
      <c r="E23" s="85"/>
      <c r="F23" s="85" t="s">
        <v>223</v>
      </c>
      <c r="G23" s="85"/>
      <c r="H23" s="85">
        <v>3745.23</v>
      </c>
      <c r="I23" s="85">
        <f t="shared" ref="I23:I49" si="11">H23*D23</f>
        <v>7490.46</v>
      </c>
      <c r="J23" s="85">
        <v>2025</v>
      </c>
      <c r="K23" s="85">
        <v>2025</v>
      </c>
      <c r="L23" s="85">
        <f t="shared" si="1"/>
        <v>0</v>
      </c>
      <c r="M23" s="85">
        <v>70</v>
      </c>
      <c r="N23" s="85">
        <v>0.9</v>
      </c>
      <c r="O23" s="85">
        <f t="shared" si="2"/>
        <v>1.4285714285714284E-3</v>
      </c>
      <c r="P23" s="85">
        <v>2000</v>
      </c>
      <c r="Q23" s="85">
        <f t="shared" si="3"/>
        <v>14980920</v>
      </c>
      <c r="R23" s="85">
        <f t="shared" si="4"/>
        <v>0</v>
      </c>
      <c r="S23" s="85">
        <v>0</v>
      </c>
      <c r="T23" s="85">
        <f t="shared" si="5"/>
        <v>14980920</v>
      </c>
      <c r="U23" s="85">
        <f t="shared" si="6"/>
        <v>14980920</v>
      </c>
    </row>
    <row r="24" spans="1:21" ht="30" x14ac:dyDescent="0.25">
      <c r="A24" s="85">
        <v>25</v>
      </c>
      <c r="B24" s="85" t="s">
        <v>218</v>
      </c>
      <c r="C24" s="85" t="s">
        <v>209</v>
      </c>
      <c r="D24" s="85">
        <v>2</v>
      </c>
      <c r="E24" s="85"/>
      <c r="F24" s="85" t="s">
        <v>223</v>
      </c>
      <c r="G24" s="85"/>
      <c r="H24" s="85">
        <v>3745.23</v>
      </c>
      <c r="I24" s="85">
        <f t="shared" si="11"/>
        <v>7490.46</v>
      </c>
      <c r="J24" s="85">
        <v>2025</v>
      </c>
      <c r="K24" s="85">
        <v>2025</v>
      </c>
      <c r="L24" s="85">
        <f t="shared" si="1"/>
        <v>0</v>
      </c>
      <c r="M24" s="85">
        <v>70</v>
      </c>
      <c r="N24" s="85">
        <v>0.9</v>
      </c>
      <c r="O24" s="85">
        <f t="shared" si="2"/>
        <v>1.4285714285714284E-3</v>
      </c>
      <c r="P24" s="85">
        <v>2000</v>
      </c>
      <c r="Q24" s="85">
        <f t="shared" si="3"/>
        <v>14980920</v>
      </c>
      <c r="R24" s="85">
        <f t="shared" si="4"/>
        <v>0</v>
      </c>
      <c r="S24" s="85">
        <v>0</v>
      </c>
      <c r="T24" s="85">
        <f t="shared" si="5"/>
        <v>14980920</v>
      </c>
      <c r="U24" s="85">
        <f t="shared" si="6"/>
        <v>14980920</v>
      </c>
    </row>
    <row r="25" spans="1:21" ht="30" x14ac:dyDescent="0.25">
      <c r="A25" s="85">
        <v>26</v>
      </c>
      <c r="B25" s="85" t="s">
        <v>218</v>
      </c>
      <c r="C25" s="85" t="s">
        <v>210</v>
      </c>
      <c r="D25" s="85">
        <v>2</v>
      </c>
      <c r="E25" s="85"/>
      <c r="F25" s="85" t="s">
        <v>223</v>
      </c>
      <c r="G25" s="85"/>
      <c r="H25" s="85">
        <v>3745.23</v>
      </c>
      <c r="I25" s="85">
        <f t="shared" si="11"/>
        <v>7490.46</v>
      </c>
      <c r="J25" s="85">
        <v>2025</v>
      </c>
      <c r="K25" s="85">
        <v>2025</v>
      </c>
      <c r="L25" s="85">
        <f t="shared" si="1"/>
        <v>0</v>
      </c>
      <c r="M25" s="85">
        <v>70</v>
      </c>
      <c r="N25" s="85">
        <v>0.9</v>
      </c>
      <c r="O25" s="85">
        <f t="shared" si="2"/>
        <v>1.4285714285714284E-3</v>
      </c>
      <c r="P25" s="85">
        <v>2000</v>
      </c>
      <c r="Q25" s="85">
        <f t="shared" si="3"/>
        <v>14980920</v>
      </c>
      <c r="R25" s="85">
        <f t="shared" si="4"/>
        <v>0</v>
      </c>
      <c r="S25" s="85">
        <v>0</v>
      </c>
      <c r="T25" s="85">
        <f t="shared" si="5"/>
        <v>14980920</v>
      </c>
      <c r="U25" s="85">
        <f t="shared" si="6"/>
        <v>14980920</v>
      </c>
    </row>
    <row r="26" spans="1:21" ht="30" x14ac:dyDescent="0.25">
      <c r="A26" s="85">
        <v>27</v>
      </c>
      <c r="B26" s="85" t="s">
        <v>218</v>
      </c>
      <c r="C26" s="85" t="s">
        <v>211</v>
      </c>
      <c r="D26" s="85">
        <v>2</v>
      </c>
      <c r="E26" s="85"/>
      <c r="F26" s="85" t="s">
        <v>223</v>
      </c>
      <c r="G26" s="85"/>
      <c r="H26" s="85">
        <v>3745.23</v>
      </c>
      <c r="I26" s="85">
        <f t="shared" si="11"/>
        <v>7490.46</v>
      </c>
      <c r="J26" s="85">
        <v>2025</v>
      </c>
      <c r="K26" s="85">
        <v>2025</v>
      </c>
      <c r="L26" s="85">
        <f t="shared" si="1"/>
        <v>0</v>
      </c>
      <c r="M26" s="85">
        <v>70</v>
      </c>
      <c r="N26" s="85">
        <v>0.9</v>
      </c>
      <c r="O26" s="85">
        <f t="shared" si="2"/>
        <v>1.4285714285714284E-3</v>
      </c>
      <c r="P26" s="85">
        <v>2000</v>
      </c>
      <c r="Q26" s="85">
        <f t="shared" si="3"/>
        <v>14980920</v>
      </c>
      <c r="R26" s="85">
        <f t="shared" si="4"/>
        <v>0</v>
      </c>
      <c r="S26" s="85">
        <v>0</v>
      </c>
      <c r="T26" s="85">
        <f t="shared" si="5"/>
        <v>14980920</v>
      </c>
      <c r="U26" s="85">
        <f t="shared" si="6"/>
        <v>14980920</v>
      </c>
    </row>
    <row r="27" spans="1:21" ht="30" x14ac:dyDescent="0.25">
      <c r="A27" s="85">
        <v>28</v>
      </c>
      <c r="B27" s="85" t="s">
        <v>218</v>
      </c>
      <c r="C27" s="85" t="s">
        <v>212</v>
      </c>
      <c r="D27" s="85">
        <v>2</v>
      </c>
      <c r="E27" s="85"/>
      <c r="F27" s="85" t="s">
        <v>223</v>
      </c>
      <c r="G27" s="85"/>
      <c r="H27" s="85">
        <v>3745.23</v>
      </c>
      <c r="I27" s="85">
        <f t="shared" si="11"/>
        <v>7490.46</v>
      </c>
      <c r="J27" s="85">
        <v>2025</v>
      </c>
      <c r="K27" s="85">
        <v>2025</v>
      </c>
      <c r="L27" s="85">
        <f t="shared" si="1"/>
        <v>0</v>
      </c>
      <c r="M27" s="85">
        <v>70</v>
      </c>
      <c r="N27" s="85">
        <v>0.9</v>
      </c>
      <c r="O27" s="85">
        <f t="shared" si="2"/>
        <v>1.4285714285714284E-3</v>
      </c>
      <c r="P27" s="85">
        <v>2000</v>
      </c>
      <c r="Q27" s="85">
        <f t="shared" si="3"/>
        <v>14980920</v>
      </c>
      <c r="R27" s="85">
        <f t="shared" si="4"/>
        <v>0</v>
      </c>
      <c r="S27" s="85">
        <v>0</v>
      </c>
      <c r="T27" s="85">
        <f t="shared" si="5"/>
        <v>14980920</v>
      </c>
      <c r="U27" s="85">
        <f t="shared" si="6"/>
        <v>14980920</v>
      </c>
    </row>
    <row r="28" spans="1:21" ht="30" x14ac:dyDescent="0.25">
      <c r="A28" s="85">
        <v>29</v>
      </c>
      <c r="B28" s="85" t="s">
        <v>218</v>
      </c>
      <c r="C28" s="85" t="s">
        <v>213</v>
      </c>
      <c r="D28" s="85">
        <v>2</v>
      </c>
      <c r="E28" s="85"/>
      <c r="F28" s="85" t="s">
        <v>223</v>
      </c>
      <c r="G28" s="85"/>
      <c r="H28" s="85">
        <v>3745.23</v>
      </c>
      <c r="I28" s="85">
        <f t="shared" si="11"/>
        <v>7490.46</v>
      </c>
      <c r="J28" s="85">
        <v>2025</v>
      </c>
      <c r="K28" s="85">
        <v>2025</v>
      </c>
      <c r="L28" s="85">
        <f t="shared" si="1"/>
        <v>0</v>
      </c>
      <c r="M28" s="85">
        <v>70</v>
      </c>
      <c r="N28" s="85">
        <v>0.9</v>
      </c>
      <c r="O28" s="85">
        <f t="shared" si="2"/>
        <v>1.4285714285714284E-3</v>
      </c>
      <c r="P28" s="85">
        <v>2000</v>
      </c>
      <c r="Q28" s="85">
        <f t="shared" si="3"/>
        <v>14980920</v>
      </c>
      <c r="R28" s="85">
        <f t="shared" si="4"/>
        <v>0</v>
      </c>
      <c r="S28" s="85">
        <v>0</v>
      </c>
      <c r="T28" s="85">
        <f t="shared" si="5"/>
        <v>14980920</v>
      </c>
      <c r="U28" s="85">
        <f t="shared" si="6"/>
        <v>14980920</v>
      </c>
    </row>
    <row r="29" spans="1:21" ht="30" x14ac:dyDescent="0.25">
      <c r="A29" s="85">
        <v>30</v>
      </c>
      <c r="B29" s="85" t="s">
        <v>218</v>
      </c>
      <c r="C29" s="85" t="s">
        <v>214</v>
      </c>
      <c r="D29" s="85">
        <v>2</v>
      </c>
      <c r="E29" s="85"/>
      <c r="F29" s="85" t="s">
        <v>223</v>
      </c>
      <c r="G29" s="85"/>
      <c r="H29" s="85">
        <v>3745.23</v>
      </c>
      <c r="I29" s="85">
        <f t="shared" si="11"/>
        <v>7490.46</v>
      </c>
      <c r="J29" s="85">
        <v>2025</v>
      </c>
      <c r="K29" s="85">
        <v>2025</v>
      </c>
      <c r="L29" s="85">
        <f t="shared" si="1"/>
        <v>0</v>
      </c>
      <c r="M29" s="85">
        <v>70</v>
      </c>
      <c r="N29" s="85">
        <v>0.9</v>
      </c>
      <c r="O29" s="85">
        <f t="shared" si="2"/>
        <v>1.4285714285714284E-3</v>
      </c>
      <c r="P29" s="85">
        <v>2000</v>
      </c>
      <c r="Q29" s="85">
        <f t="shared" si="3"/>
        <v>14980920</v>
      </c>
      <c r="R29" s="85">
        <f t="shared" si="4"/>
        <v>0</v>
      </c>
      <c r="S29" s="85">
        <v>0</v>
      </c>
      <c r="T29" s="85">
        <f t="shared" si="5"/>
        <v>14980920</v>
      </c>
      <c r="U29" s="85">
        <f t="shared" si="6"/>
        <v>14980920</v>
      </c>
    </row>
    <row r="30" spans="1:21" ht="30" x14ac:dyDescent="0.25">
      <c r="A30" s="85">
        <v>31</v>
      </c>
      <c r="B30" s="85" t="s">
        <v>218</v>
      </c>
      <c r="C30" s="85" t="s">
        <v>215</v>
      </c>
      <c r="D30" s="85">
        <v>1</v>
      </c>
      <c r="E30" s="85"/>
      <c r="F30" s="85" t="s">
        <v>223</v>
      </c>
      <c r="G30" s="85"/>
      <c r="H30" s="85">
        <v>5190.62</v>
      </c>
      <c r="I30" s="85">
        <f t="shared" si="11"/>
        <v>5190.62</v>
      </c>
      <c r="J30" s="85">
        <v>2025</v>
      </c>
      <c r="K30" s="85">
        <v>2025</v>
      </c>
      <c r="L30" s="85">
        <f t="shared" si="1"/>
        <v>0</v>
      </c>
      <c r="M30" s="85">
        <v>70</v>
      </c>
      <c r="N30" s="85">
        <v>0.9</v>
      </c>
      <c r="O30" s="85">
        <f t="shared" si="2"/>
        <v>1.4285714285714284E-3</v>
      </c>
      <c r="P30" s="85">
        <v>2000</v>
      </c>
      <c r="Q30" s="85">
        <f t="shared" si="3"/>
        <v>10381240</v>
      </c>
      <c r="R30" s="85">
        <f t="shared" si="4"/>
        <v>0</v>
      </c>
      <c r="S30" s="85">
        <v>0</v>
      </c>
      <c r="T30" s="85">
        <f t="shared" si="5"/>
        <v>10381240</v>
      </c>
      <c r="U30" s="85">
        <f t="shared" si="6"/>
        <v>10381240</v>
      </c>
    </row>
    <row r="31" spans="1:21" ht="30" x14ac:dyDescent="0.25">
      <c r="A31" s="85">
        <v>32</v>
      </c>
      <c r="B31" s="85" t="s">
        <v>218</v>
      </c>
      <c r="C31" s="85" t="s">
        <v>216</v>
      </c>
      <c r="D31" s="85">
        <v>1</v>
      </c>
      <c r="E31" s="85"/>
      <c r="F31" s="85" t="s">
        <v>223</v>
      </c>
      <c r="G31" s="85"/>
      <c r="H31" s="85">
        <v>5190.62</v>
      </c>
      <c r="I31" s="85">
        <f t="shared" si="11"/>
        <v>5190.62</v>
      </c>
      <c r="J31" s="85">
        <v>2025</v>
      </c>
      <c r="K31" s="85">
        <v>2025</v>
      </c>
      <c r="L31" s="85">
        <f t="shared" si="1"/>
        <v>0</v>
      </c>
      <c r="M31" s="85">
        <v>70</v>
      </c>
      <c r="N31" s="85">
        <v>0.9</v>
      </c>
      <c r="O31" s="85">
        <f t="shared" si="2"/>
        <v>1.4285714285714284E-3</v>
      </c>
      <c r="P31" s="85">
        <v>2000</v>
      </c>
      <c r="Q31" s="85">
        <f t="shared" si="3"/>
        <v>10381240</v>
      </c>
      <c r="R31" s="85">
        <f t="shared" si="4"/>
        <v>0</v>
      </c>
      <c r="S31" s="85">
        <v>0</v>
      </c>
      <c r="T31" s="85">
        <f t="shared" si="5"/>
        <v>10381240</v>
      </c>
      <c r="U31" s="85">
        <f t="shared" si="6"/>
        <v>10381240</v>
      </c>
    </row>
    <row r="32" spans="1:21" x14ac:dyDescent="0.25">
      <c r="A32" s="85">
        <v>33</v>
      </c>
      <c r="B32" s="85" t="s">
        <v>101</v>
      </c>
      <c r="C32" s="85" t="s">
        <v>219</v>
      </c>
      <c r="D32" s="85">
        <v>5</v>
      </c>
      <c r="E32" s="85"/>
      <c r="F32" s="85" t="s">
        <v>223</v>
      </c>
      <c r="G32" s="85"/>
      <c r="H32" s="85">
        <v>413.01</v>
      </c>
      <c r="I32" s="85">
        <f t="shared" si="11"/>
        <v>2065.0500000000002</v>
      </c>
      <c r="J32" s="85">
        <v>2025</v>
      </c>
      <c r="K32" s="85">
        <v>2025</v>
      </c>
      <c r="L32" s="85">
        <f t="shared" si="1"/>
        <v>0</v>
      </c>
      <c r="M32" s="85">
        <v>70</v>
      </c>
      <c r="N32" s="85">
        <v>0.9</v>
      </c>
      <c r="O32" s="85">
        <f t="shared" si="2"/>
        <v>1.4285714285714284E-3</v>
      </c>
      <c r="P32" s="85">
        <v>1400</v>
      </c>
      <c r="Q32" s="85">
        <f t="shared" si="3"/>
        <v>2891070.0000000005</v>
      </c>
      <c r="R32" s="85">
        <f t="shared" si="4"/>
        <v>0</v>
      </c>
      <c r="S32" s="85">
        <v>0</v>
      </c>
      <c r="T32" s="85">
        <f t="shared" si="5"/>
        <v>2891070.0000000005</v>
      </c>
      <c r="U32" s="85">
        <f t="shared" si="6"/>
        <v>2891070.0000000005</v>
      </c>
    </row>
    <row r="33" spans="1:21" x14ac:dyDescent="0.25">
      <c r="A33" s="85">
        <v>34</v>
      </c>
      <c r="B33" s="85" t="s">
        <v>101</v>
      </c>
      <c r="C33" s="85" t="s">
        <v>220</v>
      </c>
      <c r="D33" s="85">
        <v>5</v>
      </c>
      <c r="E33" s="85"/>
      <c r="F33" s="85" t="s">
        <v>223</v>
      </c>
      <c r="G33" s="85"/>
      <c r="H33" s="85">
        <v>413.01</v>
      </c>
      <c r="I33" s="85">
        <f t="shared" si="11"/>
        <v>2065.0500000000002</v>
      </c>
      <c r="J33" s="85">
        <v>2025</v>
      </c>
      <c r="K33" s="85">
        <v>2025</v>
      </c>
      <c r="L33" s="85">
        <f t="shared" si="1"/>
        <v>0</v>
      </c>
      <c r="M33" s="85">
        <v>70</v>
      </c>
      <c r="N33" s="85">
        <v>0.9</v>
      </c>
      <c r="O33" s="85">
        <f t="shared" si="2"/>
        <v>1.4285714285714284E-3</v>
      </c>
      <c r="P33" s="85">
        <v>1400</v>
      </c>
      <c r="Q33" s="85">
        <f t="shared" si="3"/>
        <v>2891070.0000000005</v>
      </c>
      <c r="R33" s="85">
        <f t="shared" si="4"/>
        <v>0</v>
      </c>
      <c r="S33" s="85">
        <v>0</v>
      </c>
      <c r="T33" s="85">
        <f t="shared" si="5"/>
        <v>2891070.0000000005</v>
      </c>
      <c r="U33" s="85">
        <f t="shared" si="6"/>
        <v>2891070.0000000005</v>
      </c>
    </row>
    <row r="34" spans="1:21" x14ac:dyDescent="0.25">
      <c r="A34" s="85">
        <v>35</v>
      </c>
      <c r="B34" s="85" t="s">
        <v>101</v>
      </c>
      <c r="C34" s="85" t="s">
        <v>221</v>
      </c>
      <c r="D34" s="85">
        <v>5</v>
      </c>
      <c r="E34" s="85"/>
      <c r="F34" s="85" t="s">
        <v>223</v>
      </c>
      <c r="G34" s="85"/>
      <c r="H34" s="85">
        <v>413.01</v>
      </c>
      <c r="I34" s="85">
        <f t="shared" si="11"/>
        <v>2065.0500000000002</v>
      </c>
      <c r="J34" s="85">
        <v>2025</v>
      </c>
      <c r="K34" s="85">
        <v>2025</v>
      </c>
      <c r="L34" s="85">
        <f t="shared" si="1"/>
        <v>0</v>
      </c>
      <c r="M34" s="85">
        <v>70</v>
      </c>
      <c r="N34" s="85">
        <v>0.9</v>
      </c>
      <c r="O34" s="85">
        <f t="shared" si="2"/>
        <v>1.4285714285714284E-3</v>
      </c>
      <c r="P34" s="85">
        <v>1400</v>
      </c>
      <c r="Q34" s="85">
        <f t="shared" si="3"/>
        <v>2891070.0000000005</v>
      </c>
      <c r="R34" s="85">
        <f t="shared" si="4"/>
        <v>0</v>
      </c>
      <c r="S34" s="85">
        <v>0</v>
      </c>
      <c r="T34" s="85">
        <f t="shared" si="5"/>
        <v>2891070.0000000005</v>
      </c>
      <c r="U34" s="85">
        <f t="shared" si="6"/>
        <v>2891070.0000000005</v>
      </c>
    </row>
    <row r="35" spans="1:21" x14ac:dyDescent="0.25">
      <c r="A35" s="85">
        <v>36</v>
      </c>
      <c r="B35" s="85" t="s">
        <v>100</v>
      </c>
      <c r="C35" s="85" t="s">
        <v>220</v>
      </c>
      <c r="D35" s="85">
        <v>1</v>
      </c>
      <c r="E35" s="85"/>
      <c r="F35" s="85" t="s">
        <v>223</v>
      </c>
      <c r="G35" s="85"/>
      <c r="H35" s="85">
        <v>446.6</v>
      </c>
      <c r="I35" s="85">
        <f t="shared" si="11"/>
        <v>446.6</v>
      </c>
      <c r="J35" s="85">
        <v>2025</v>
      </c>
      <c r="K35" s="85">
        <v>2025</v>
      </c>
      <c r="L35" s="85">
        <f t="shared" si="1"/>
        <v>0</v>
      </c>
      <c r="M35" s="85">
        <v>70</v>
      </c>
      <c r="N35" s="85">
        <v>0.9</v>
      </c>
      <c r="O35" s="85">
        <f t="shared" si="2"/>
        <v>1.4285714285714284E-3</v>
      </c>
      <c r="P35" s="85">
        <v>1400</v>
      </c>
      <c r="Q35" s="85">
        <f t="shared" si="3"/>
        <v>625240</v>
      </c>
      <c r="R35" s="85">
        <f t="shared" si="4"/>
        <v>0</v>
      </c>
      <c r="S35" s="85">
        <v>0</v>
      </c>
      <c r="T35" s="85">
        <f t="shared" si="5"/>
        <v>625240</v>
      </c>
      <c r="U35" s="85">
        <f t="shared" si="6"/>
        <v>625240</v>
      </c>
    </row>
    <row r="36" spans="1:21" x14ac:dyDescent="0.25">
      <c r="A36" s="85">
        <v>37</v>
      </c>
      <c r="B36" s="85" t="s">
        <v>100</v>
      </c>
      <c r="C36" s="85" t="s">
        <v>220</v>
      </c>
      <c r="D36" s="85">
        <v>1</v>
      </c>
      <c r="E36" s="85"/>
      <c r="F36" s="85" t="s">
        <v>223</v>
      </c>
      <c r="G36" s="85"/>
      <c r="H36" s="85">
        <v>463.93</v>
      </c>
      <c r="I36" s="85">
        <f t="shared" si="11"/>
        <v>463.93</v>
      </c>
      <c r="J36" s="85">
        <v>2025</v>
      </c>
      <c r="K36" s="85">
        <v>2025</v>
      </c>
      <c r="L36" s="85">
        <f t="shared" si="1"/>
        <v>0</v>
      </c>
      <c r="M36" s="85">
        <v>70</v>
      </c>
      <c r="N36" s="85">
        <v>0.9</v>
      </c>
      <c r="O36" s="85">
        <f t="shared" si="2"/>
        <v>1.4285714285714284E-3</v>
      </c>
      <c r="P36" s="85">
        <v>1400</v>
      </c>
      <c r="Q36" s="85">
        <f t="shared" si="3"/>
        <v>649502</v>
      </c>
      <c r="R36" s="85">
        <f t="shared" si="4"/>
        <v>0</v>
      </c>
      <c r="S36" s="85">
        <v>0</v>
      </c>
      <c r="T36" s="85">
        <f t="shared" si="5"/>
        <v>649502</v>
      </c>
      <c r="U36" s="85">
        <f t="shared" si="6"/>
        <v>649502</v>
      </c>
    </row>
    <row r="37" spans="1:21" x14ac:dyDescent="0.25">
      <c r="A37" s="85">
        <v>38</v>
      </c>
      <c r="B37" s="85" t="s">
        <v>100</v>
      </c>
      <c r="C37" s="85" t="s">
        <v>220</v>
      </c>
      <c r="D37" s="85">
        <v>1</v>
      </c>
      <c r="E37" s="85"/>
      <c r="F37" s="85" t="s">
        <v>223</v>
      </c>
      <c r="G37" s="85"/>
      <c r="H37" s="85">
        <v>437.02</v>
      </c>
      <c r="I37" s="85">
        <f t="shared" si="11"/>
        <v>437.02</v>
      </c>
      <c r="J37" s="85">
        <v>2025</v>
      </c>
      <c r="K37" s="85">
        <v>2025</v>
      </c>
      <c r="L37" s="85">
        <f t="shared" si="1"/>
        <v>0</v>
      </c>
      <c r="M37" s="85">
        <v>70</v>
      </c>
      <c r="N37" s="85">
        <v>0.9</v>
      </c>
      <c r="O37" s="85">
        <f t="shared" si="2"/>
        <v>1.4285714285714284E-3</v>
      </c>
      <c r="P37" s="85">
        <v>1400</v>
      </c>
      <c r="Q37" s="85">
        <f t="shared" si="3"/>
        <v>611828</v>
      </c>
      <c r="R37" s="85">
        <f t="shared" si="4"/>
        <v>0</v>
      </c>
      <c r="S37" s="85">
        <v>0</v>
      </c>
      <c r="T37" s="85">
        <f t="shared" si="5"/>
        <v>611828</v>
      </c>
      <c r="U37" s="85">
        <f t="shared" si="6"/>
        <v>611828</v>
      </c>
    </row>
    <row r="38" spans="1:21" x14ac:dyDescent="0.25">
      <c r="A38" s="85">
        <v>39</v>
      </c>
      <c r="B38" s="85" t="s">
        <v>100</v>
      </c>
      <c r="C38" s="85" t="s">
        <v>220</v>
      </c>
      <c r="D38" s="85">
        <v>1</v>
      </c>
      <c r="E38" s="85"/>
      <c r="F38" s="85" t="s">
        <v>223</v>
      </c>
      <c r="G38" s="85"/>
      <c r="H38" s="85">
        <v>437.02</v>
      </c>
      <c r="I38" s="85">
        <f t="shared" si="11"/>
        <v>437.02</v>
      </c>
      <c r="J38" s="85">
        <v>2025</v>
      </c>
      <c r="K38" s="85">
        <v>2025</v>
      </c>
      <c r="L38" s="85">
        <f t="shared" si="1"/>
        <v>0</v>
      </c>
      <c r="M38" s="85">
        <v>70</v>
      </c>
      <c r="N38" s="85">
        <v>0.9</v>
      </c>
      <c r="O38" s="85">
        <f t="shared" si="2"/>
        <v>1.4285714285714284E-3</v>
      </c>
      <c r="P38" s="85">
        <v>1400</v>
      </c>
      <c r="Q38" s="85">
        <f t="shared" si="3"/>
        <v>611828</v>
      </c>
      <c r="R38" s="85">
        <f t="shared" si="4"/>
        <v>0</v>
      </c>
      <c r="S38" s="85">
        <v>0</v>
      </c>
      <c r="T38" s="85">
        <f t="shared" si="5"/>
        <v>611828</v>
      </c>
      <c r="U38" s="85">
        <f t="shared" si="6"/>
        <v>611828</v>
      </c>
    </row>
    <row r="39" spans="1:21" x14ac:dyDescent="0.25">
      <c r="A39" s="85">
        <v>40</v>
      </c>
      <c r="B39" s="85" t="s">
        <v>100</v>
      </c>
      <c r="C39" s="85" t="s">
        <v>220</v>
      </c>
      <c r="D39" s="85">
        <v>1</v>
      </c>
      <c r="E39" s="85"/>
      <c r="F39" s="85" t="s">
        <v>223</v>
      </c>
      <c r="G39" s="85"/>
      <c r="H39" s="85">
        <v>383.2</v>
      </c>
      <c r="I39" s="85">
        <f t="shared" si="11"/>
        <v>383.2</v>
      </c>
      <c r="J39" s="85">
        <v>2025</v>
      </c>
      <c r="K39" s="85">
        <v>2025</v>
      </c>
      <c r="L39" s="85">
        <f t="shared" si="1"/>
        <v>0</v>
      </c>
      <c r="M39" s="85">
        <v>70</v>
      </c>
      <c r="N39" s="85">
        <v>0.9</v>
      </c>
      <c r="O39" s="85">
        <f t="shared" si="2"/>
        <v>1.4285714285714284E-3</v>
      </c>
      <c r="P39" s="85">
        <v>1400</v>
      </c>
      <c r="Q39" s="85">
        <f t="shared" si="3"/>
        <v>536480</v>
      </c>
      <c r="R39" s="85">
        <f t="shared" si="4"/>
        <v>0</v>
      </c>
      <c r="S39" s="85">
        <v>0</v>
      </c>
      <c r="T39" s="85">
        <f t="shared" si="5"/>
        <v>536480</v>
      </c>
      <c r="U39" s="85">
        <f t="shared" si="6"/>
        <v>536480</v>
      </c>
    </row>
    <row r="40" spans="1:21" x14ac:dyDescent="0.25">
      <c r="A40" s="85">
        <v>41</v>
      </c>
      <c r="B40" s="85" t="s">
        <v>100</v>
      </c>
      <c r="C40" s="85" t="s">
        <v>220</v>
      </c>
      <c r="D40" s="85">
        <v>1</v>
      </c>
      <c r="E40" s="85"/>
      <c r="F40" s="85" t="s">
        <v>223</v>
      </c>
      <c r="G40" s="85"/>
      <c r="H40" s="85">
        <v>502.68</v>
      </c>
      <c r="I40" s="85">
        <f t="shared" si="11"/>
        <v>502.68</v>
      </c>
      <c r="J40" s="85">
        <v>2025</v>
      </c>
      <c r="K40" s="85">
        <v>2025</v>
      </c>
      <c r="L40" s="85">
        <f t="shared" si="1"/>
        <v>0</v>
      </c>
      <c r="M40" s="85">
        <v>70</v>
      </c>
      <c r="N40" s="85">
        <v>0.9</v>
      </c>
      <c r="O40" s="85">
        <f t="shared" si="2"/>
        <v>1.4285714285714284E-3</v>
      </c>
      <c r="P40" s="85">
        <v>1400</v>
      </c>
      <c r="Q40" s="85">
        <f t="shared" si="3"/>
        <v>703752</v>
      </c>
      <c r="R40" s="85">
        <f t="shared" si="4"/>
        <v>0</v>
      </c>
      <c r="S40" s="85">
        <v>0</v>
      </c>
      <c r="T40" s="85">
        <f t="shared" si="5"/>
        <v>703752</v>
      </c>
      <c r="U40" s="85">
        <f t="shared" si="6"/>
        <v>703752</v>
      </c>
    </row>
    <row r="41" spans="1:21" x14ac:dyDescent="0.25">
      <c r="A41" s="85">
        <v>42</v>
      </c>
      <c r="B41" s="85" t="s">
        <v>100</v>
      </c>
      <c r="C41" s="85" t="s">
        <v>221</v>
      </c>
      <c r="D41" s="85">
        <v>1</v>
      </c>
      <c r="E41" s="85"/>
      <c r="F41" s="85" t="s">
        <v>223</v>
      </c>
      <c r="G41" s="85"/>
      <c r="H41" s="85">
        <v>446.6</v>
      </c>
      <c r="I41" s="85">
        <f t="shared" si="11"/>
        <v>446.6</v>
      </c>
      <c r="J41" s="85">
        <v>2025</v>
      </c>
      <c r="K41" s="85">
        <v>2025</v>
      </c>
      <c r="L41" s="85">
        <f t="shared" si="1"/>
        <v>0</v>
      </c>
      <c r="M41" s="85">
        <v>70</v>
      </c>
      <c r="N41" s="85">
        <v>0.9</v>
      </c>
      <c r="O41" s="85">
        <f t="shared" si="2"/>
        <v>1.4285714285714284E-3</v>
      </c>
      <c r="P41" s="85">
        <v>1400</v>
      </c>
      <c r="Q41" s="85">
        <f t="shared" si="3"/>
        <v>625240</v>
      </c>
      <c r="R41" s="85">
        <f t="shared" si="4"/>
        <v>0</v>
      </c>
      <c r="S41" s="85">
        <v>0</v>
      </c>
      <c r="T41" s="85">
        <f t="shared" si="5"/>
        <v>625240</v>
      </c>
      <c r="U41" s="85">
        <f t="shared" si="6"/>
        <v>625240</v>
      </c>
    </row>
    <row r="42" spans="1:21" x14ac:dyDescent="0.25">
      <c r="A42" s="85">
        <v>43</v>
      </c>
      <c r="B42" s="85" t="s">
        <v>100</v>
      </c>
      <c r="C42" s="85" t="s">
        <v>221</v>
      </c>
      <c r="D42" s="85">
        <v>1</v>
      </c>
      <c r="E42" s="85"/>
      <c r="F42" s="85" t="s">
        <v>223</v>
      </c>
      <c r="G42" s="85"/>
      <c r="H42" s="85">
        <v>463.93</v>
      </c>
      <c r="I42" s="85">
        <f t="shared" si="11"/>
        <v>463.93</v>
      </c>
      <c r="J42" s="85">
        <v>2025</v>
      </c>
      <c r="K42" s="85">
        <v>2025</v>
      </c>
      <c r="L42" s="85">
        <f t="shared" si="1"/>
        <v>0</v>
      </c>
      <c r="M42" s="85">
        <v>70</v>
      </c>
      <c r="N42" s="85">
        <v>0.9</v>
      </c>
      <c r="O42" s="85">
        <f t="shared" si="2"/>
        <v>1.4285714285714284E-3</v>
      </c>
      <c r="P42" s="85">
        <v>1400</v>
      </c>
      <c r="Q42" s="85">
        <f t="shared" si="3"/>
        <v>649502</v>
      </c>
      <c r="R42" s="85">
        <f t="shared" si="4"/>
        <v>0</v>
      </c>
      <c r="S42" s="85">
        <v>0</v>
      </c>
      <c r="T42" s="85">
        <f t="shared" si="5"/>
        <v>649502</v>
      </c>
      <c r="U42" s="85">
        <f t="shared" si="6"/>
        <v>649502</v>
      </c>
    </row>
    <row r="43" spans="1:21" x14ac:dyDescent="0.25">
      <c r="A43" s="85">
        <v>44</v>
      </c>
      <c r="B43" s="85" t="s">
        <v>100</v>
      </c>
      <c r="C43" s="85" t="s">
        <v>221</v>
      </c>
      <c r="D43" s="85">
        <v>1</v>
      </c>
      <c r="E43" s="85"/>
      <c r="F43" s="85" t="s">
        <v>223</v>
      </c>
      <c r="G43" s="85"/>
      <c r="H43" s="85">
        <v>437.02</v>
      </c>
      <c r="I43" s="85">
        <f t="shared" si="11"/>
        <v>437.02</v>
      </c>
      <c r="J43" s="85">
        <v>2025</v>
      </c>
      <c r="K43" s="85">
        <v>2025</v>
      </c>
      <c r="L43" s="85">
        <f t="shared" si="1"/>
        <v>0</v>
      </c>
      <c r="M43" s="85">
        <v>70</v>
      </c>
      <c r="N43" s="85">
        <v>0.9</v>
      </c>
      <c r="O43" s="85">
        <f t="shared" si="2"/>
        <v>1.4285714285714284E-3</v>
      </c>
      <c r="P43" s="85">
        <v>1400</v>
      </c>
      <c r="Q43" s="85">
        <f t="shared" si="3"/>
        <v>611828</v>
      </c>
      <c r="R43" s="85">
        <f t="shared" si="4"/>
        <v>0</v>
      </c>
      <c r="S43" s="85">
        <v>0</v>
      </c>
      <c r="T43" s="85">
        <f t="shared" si="5"/>
        <v>611828</v>
      </c>
      <c r="U43" s="85">
        <f t="shared" si="6"/>
        <v>611828</v>
      </c>
    </row>
    <row r="44" spans="1:21" x14ac:dyDescent="0.25">
      <c r="A44" s="85">
        <v>45</v>
      </c>
      <c r="B44" s="85" t="s">
        <v>100</v>
      </c>
      <c r="C44" s="85" t="s">
        <v>221</v>
      </c>
      <c r="D44" s="85">
        <v>1</v>
      </c>
      <c r="E44" s="85"/>
      <c r="F44" s="85" t="s">
        <v>223</v>
      </c>
      <c r="G44" s="85"/>
      <c r="H44" s="85">
        <v>437.02</v>
      </c>
      <c r="I44" s="85">
        <f t="shared" si="11"/>
        <v>437.02</v>
      </c>
      <c r="J44" s="85">
        <v>2025</v>
      </c>
      <c r="K44" s="85">
        <v>2025</v>
      </c>
      <c r="L44" s="85">
        <f t="shared" si="1"/>
        <v>0</v>
      </c>
      <c r="M44" s="85">
        <v>70</v>
      </c>
      <c r="N44" s="85">
        <v>0.9</v>
      </c>
      <c r="O44" s="85">
        <f t="shared" si="2"/>
        <v>1.4285714285714284E-3</v>
      </c>
      <c r="P44" s="85">
        <v>1400</v>
      </c>
      <c r="Q44" s="85">
        <f t="shared" si="3"/>
        <v>611828</v>
      </c>
      <c r="R44" s="85">
        <f t="shared" si="4"/>
        <v>0</v>
      </c>
      <c r="S44" s="85">
        <v>0</v>
      </c>
      <c r="T44" s="85">
        <f t="shared" si="5"/>
        <v>611828</v>
      </c>
      <c r="U44" s="85">
        <f t="shared" si="6"/>
        <v>611828</v>
      </c>
    </row>
    <row r="45" spans="1:21" x14ac:dyDescent="0.25">
      <c r="A45" s="85">
        <v>46</v>
      </c>
      <c r="B45" s="85" t="s">
        <v>100</v>
      </c>
      <c r="C45" s="85" t="s">
        <v>221</v>
      </c>
      <c r="D45" s="85">
        <v>1</v>
      </c>
      <c r="E45" s="85"/>
      <c r="F45" s="85" t="s">
        <v>223</v>
      </c>
      <c r="G45" s="85"/>
      <c r="H45" s="85">
        <v>383.2</v>
      </c>
      <c r="I45" s="85">
        <f t="shared" si="11"/>
        <v>383.2</v>
      </c>
      <c r="J45" s="85">
        <v>2025</v>
      </c>
      <c r="K45" s="85">
        <v>2025</v>
      </c>
      <c r="L45" s="85">
        <f t="shared" si="1"/>
        <v>0</v>
      </c>
      <c r="M45" s="85">
        <v>70</v>
      </c>
      <c r="N45" s="85">
        <v>0.9</v>
      </c>
      <c r="O45" s="85">
        <f t="shared" si="2"/>
        <v>1.4285714285714284E-3</v>
      </c>
      <c r="P45" s="85">
        <v>1400</v>
      </c>
      <c r="Q45" s="85">
        <f t="shared" si="3"/>
        <v>536480</v>
      </c>
      <c r="R45" s="85">
        <f t="shared" si="4"/>
        <v>0</v>
      </c>
      <c r="S45" s="85">
        <v>0</v>
      </c>
      <c r="T45" s="85">
        <f t="shared" si="5"/>
        <v>536480</v>
      </c>
      <c r="U45" s="85">
        <f t="shared" si="6"/>
        <v>536480</v>
      </c>
    </row>
    <row r="46" spans="1:21" x14ac:dyDescent="0.25">
      <c r="A46" s="85">
        <v>47</v>
      </c>
      <c r="B46" s="85" t="s">
        <v>100</v>
      </c>
      <c r="C46" s="85" t="s">
        <v>221</v>
      </c>
      <c r="D46" s="85">
        <v>1</v>
      </c>
      <c r="E46" s="85"/>
      <c r="F46" s="85" t="s">
        <v>223</v>
      </c>
      <c r="G46" s="85"/>
      <c r="H46" s="85">
        <v>502.68</v>
      </c>
      <c r="I46" s="85">
        <f t="shared" si="11"/>
        <v>502.68</v>
      </c>
      <c r="J46" s="85">
        <v>2025</v>
      </c>
      <c r="K46" s="85">
        <v>2025</v>
      </c>
      <c r="L46" s="85">
        <f t="shared" si="1"/>
        <v>0</v>
      </c>
      <c r="M46" s="85">
        <v>70</v>
      </c>
      <c r="N46" s="85">
        <v>0.9</v>
      </c>
      <c r="O46" s="85">
        <f t="shared" si="2"/>
        <v>1.4285714285714284E-3</v>
      </c>
      <c r="P46" s="85">
        <v>1400</v>
      </c>
      <c r="Q46" s="85">
        <f t="shared" si="3"/>
        <v>703752</v>
      </c>
      <c r="R46" s="85">
        <f t="shared" si="4"/>
        <v>0</v>
      </c>
      <c r="S46" s="85">
        <v>0</v>
      </c>
      <c r="T46" s="85">
        <f t="shared" si="5"/>
        <v>703752</v>
      </c>
      <c r="U46" s="85">
        <f t="shared" si="6"/>
        <v>703752</v>
      </c>
    </row>
    <row r="47" spans="1:21" x14ac:dyDescent="0.25">
      <c r="A47" s="85">
        <v>48</v>
      </c>
      <c r="B47" s="85" t="s">
        <v>100</v>
      </c>
      <c r="C47" s="85" t="s">
        <v>222</v>
      </c>
      <c r="D47" s="85">
        <v>1</v>
      </c>
      <c r="E47" s="85"/>
      <c r="F47" s="85" t="s">
        <v>223</v>
      </c>
      <c r="G47" s="85"/>
      <c r="H47" s="85">
        <v>645.52</v>
      </c>
      <c r="I47" s="85">
        <f t="shared" si="11"/>
        <v>645.52</v>
      </c>
      <c r="J47" s="85">
        <v>2025</v>
      </c>
      <c r="K47" s="85">
        <v>2025</v>
      </c>
      <c r="L47" s="85">
        <f t="shared" si="1"/>
        <v>0</v>
      </c>
      <c r="M47" s="85">
        <v>70</v>
      </c>
      <c r="N47" s="85">
        <v>0.9</v>
      </c>
      <c r="O47" s="85">
        <f t="shared" si="2"/>
        <v>1.4285714285714284E-3</v>
      </c>
      <c r="P47" s="85">
        <v>1400</v>
      </c>
      <c r="Q47" s="85">
        <f t="shared" si="3"/>
        <v>903728</v>
      </c>
      <c r="R47" s="85">
        <f t="shared" si="4"/>
        <v>0</v>
      </c>
      <c r="S47" s="85">
        <v>0</v>
      </c>
      <c r="T47" s="85">
        <f t="shared" si="5"/>
        <v>903728</v>
      </c>
      <c r="U47" s="85">
        <f t="shared" si="6"/>
        <v>903728</v>
      </c>
    </row>
    <row r="48" spans="1:21" x14ac:dyDescent="0.25">
      <c r="A48" s="85">
        <v>49</v>
      </c>
      <c r="B48" s="85" t="s">
        <v>100</v>
      </c>
      <c r="C48" s="85" t="s">
        <v>222</v>
      </c>
      <c r="D48" s="85">
        <v>1</v>
      </c>
      <c r="E48" s="85"/>
      <c r="F48" s="85" t="s">
        <v>223</v>
      </c>
      <c r="G48" s="85"/>
      <c r="H48" s="85">
        <v>462.85</v>
      </c>
      <c r="I48" s="85">
        <f t="shared" si="11"/>
        <v>462.85</v>
      </c>
      <c r="J48" s="85">
        <v>2025</v>
      </c>
      <c r="K48" s="85">
        <v>2025</v>
      </c>
      <c r="L48" s="85">
        <f t="shared" si="1"/>
        <v>0</v>
      </c>
      <c r="M48" s="85">
        <v>70</v>
      </c>
      <c r="N48" s="85">
        <v>0.9</v>
      </c>
      <c r="O48" s="85">
        <f t="shared" si="2"/>
        <v>1.4285714285714284E-3</v>
      </c>
      <c r="P48" s="85">
        <v>1400</v>
      </c>
      <c r="Q48" s="85">
        <f t="shared" si="3"/>
        <v>647990</v>
      </c>
      <c r="R48" s="85">
        <f t="shared" si="4"/>
        <v>0</v>
      </c>
      <c r="S48" s="85">
        <v>0</v>
      </c>
      <c r="T48" s="85">
        <f t="shared" si="5"/>
        <v>647990</v>
      </c>
      <c r="U48" s="85">
        <f t="shared" si="6"/>
        <v>647990</v>
      </c>
    </row>
    <row r="49" spans="1:22" ht="15.75" thickBot="1" x14ac:dyDescent="0.3">
      <c r="A49" s="110">
        <v>50</v>
      </c>
      <c r="B49" s="110" t="s">
        <v>100</v>
      </c>
      <c r="C49" s="110" t="s">
        <v>222</v>
      </c>
      <c r="D49" s="110">
        <v>1</v>
      </c>
      <c r="E49" s="110"/>
      <c r="F49" s="110" t="s">
        <v>223</v>
      </c>
      <c r="G49" s="110"/>
      <c r="H49" s="110">
        <v>437.02</v>
      </c>
      <c r="I49" s="110">
        <f t="shared" si="11"/>
        <v>437.02</v>
      </c>
      <c r="J49" s="110">
        <v>2025</v>
      </c>
      <c r="K49" s="110">
        <v>2025</v>
      </c>
      <c r="L49" s="110">
        <f t="shared" si="1"/>
        <v>0</v>
      </c>
      <c r="M49" s="110">
        <v>70</v>
      </c>
      <c r="N49" s="110">
        <v>0.9</v>
      </c>
      <c r="O49" s="110">
        <f t="shared" si="2"/>
        <v>1.4285714285714284E-3</v>
      </c>
      <c r="P49" s="110">
        <v>1400</v>
      </c>
      <c r="Q49" s="110">
        <f t="shared" si="3"/>
        <v>611828</v>
      </c>
      <c r="R49" s="85">
        <f t="shared" si="4"/>
        <v>0</v>
      </c>
      <c r="S49" s="85">
        <v>0</v>
      </c>
      <c r="T49" s="85">
        <f t="shared" si="5"/>
        <v>611828</v>
      </c>
      <c r="U49" s="85">
        <f t="shared" si="6"/>
        <v>611828</v>
      </c>
    </row>
    <row r="50" spans="1:22" ht="15.75" thickBot="1" x14ac:dyDescent="0.3">
      <c r="A50" s="181" t="s">
        <v>120</v>
      </c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3"/>
      <c r="Q50" s="116">
        <f>SUM(Q3:Q49)</f>
        <v>510147569.26240003</v>
      </c>
      <c r="R50" s="41"/>
      <c r="S50" s="41"/>
      <c r="T50" s="41"/>
      <c r="U50" s="115">
        <f>SUM(U3:U49)</f>
        <v>510147569.26240003</v>
      </c>
    </row>
    <row r="53" spans="1:22" x14ac:dyDescent="0.25">
      <c r="P53" s="79">
        <v>7.0000000000000007E-2</v>
      </c>
      <c r="Q53" s="33">
        <f>P53*Q50</f>
        <v>35710329.848368004</v>
      </c>
    </row>
    <row r="54" spans="1:22" x14ac:dyDescent="0.25">
      <c r="P54" s="79">
        <v>0.09</v>
      </c>
      <c r="Q54" s="33">
        <f>Q50*P54</f>
        <v>45913281.233616002</v>
      </c>
    </row>
    <row r="55" spans="1:22" x14ac:dyDescent="0.25">
      <c r="P55" s="79">
        <v>0.05</v>
      </c>
      <c r="Q55" s="33">
        <f>P55*Q50</f>
        <v>25507378.463120002</v>
      </c>
    </row>
    <row r="57" spans="1:22" x14ac:dyDescent="0.25">
      <c r="Q57" s="33">
        <f>Q55+Q54+21892500</f>
        <v>93313159.696736008</v>
      </c>
    </row>
    <row r="59" spans="1:22" x14ac:dyDescent="0.25">
      <c r="Q59" s="83">
        <f>1386968194+Q57+Q50</f>
        <v>1990428922.959136</v>
      </c>
    </row>
    <row r="60" spans="1:22" x14ac:dyDescent="0.25">
      <c r="Q60" s="83">
        <f>ROUND(Q59,-6)</f>
        <v>1990000000</v>
      </c>
    </row>
    <row r="61" spans="1:22" x14ac:dyDescent="0.25">
      <c r="Q61">
        <f>195*10^7</f>
        <v>1950000000</v>
      </c>
      <c r="V61" s="79">
        <v>0.85</v>
      </c>
    </row>
    <row r="62" spans="1:22" x14ac:dyDescent="0.25">
      <c r="V62" s="79">
        <v>0.75</v>
      </c>
    </row>
    <row r="63" spans="1:22" x14ac:dyDescent="0.25">
      <c r="Q63" s="75">
        <f>Q61*V61</f>
        <v>1657500000</v>
      </c>
    </row>
    <row r="64" spans="1:22" x14ac:dyDescent="0.25">
      <c r="Q64" s="75">
        <f>Q61*V62</f>
        <v>1462500000</v>
      </c>
    </row>
  </sheetData>
  <mergeCells count="2">
    <mergeCell ref="A1:U1"/>
    <mergeCell ref="A50:P5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29"/>
  <sheetViews>
    <sheetView topLeftCell="A4" workbookViewId="0">
      <selection activeCell="M21" sqref="M21"/>
    </sheetView>
  </sheetViews>
  <sheetFormatPr defaultRowHeight="15" x14ac:dyDescent="0.25"/>
  <cols>
    <col min="2" max="2" width="34.140625" customWidth="1"/>
    <col min="3" max="3" width="33.140625" customWidth="1"/>
    <col min="4" max="4" width="25" bestFit="1" customWidth="1"/>
    <col min="5" max="5" width="10" bestFit="1" customWidth="1"/>
    <col min="6" max="6" width="12.7109375" bestFit="1" customWidth="1"/>
    <col min="8" max="8" width="20.7109375" bestFit="1" customWidth="1"/>
    <col min="13" max="13" width="14.28515625" bestFit="1" customWidth="1"/>
  </cols>
  <sheetData>
    <row r="2" spans="2:24" ht="15.75" thickBot="1" x14ac:dyDescent="0.3"/>
    <row r="3" spans="2:24" ht="16.5" thickBot="1" x14ac:dyDescent="0.3">
      <c r="B3" s="189" t="s">
        <v>225</v>
      </c>
      <c r="C3" s="190"/>
      <c r="D3" s="190"/>
      <c r="E3" s="190"/>
      <c r="F3" s="191"/>
    </row>
    <row r="4" spans="2:24" ht="16.5" thickBot="1" x14ac:dyDescent="0.3">
      <c r="B4" s="88" t="s">
        <v>226</v>
      </c>
      <c r="C4" s="89" t="s">
        <v>227</v>
      </c>
      <c r="D4" s="89" t="s">
        <v>228</v>
      </c>
      <c r="E4" s="89"/>
      <c r="F4" s="90" t="s">
        <v>229</v>
      </c>
    </row>
    <row r="5" spans="2:24" ht="30" x14ac:dyDescent="0.25">
      <c r="B5" s="91" t="s">
        <v>230</v>
      </c>
      <c r="C5" s="92" t="s">
        <v>231</v>
      </c>
      <c r="D5" s="92" t="s">
        <v>232</v>
      </c>
      <c r="E5" s="92">
        <v>600</v>
      </c>
      <c r="F5" s="93">
        <v>400</v>
      </c>
      <c r="H5" s="118" t="s">
        <v>193</v>
      </c>
      <c r="I5" s="119" t="s">
        <v>227</v>
      </c>
      <c r="J5" s="119" t="s">
        <v>233</v>
      </c>
      <c r="K5" s="119" t="s">
        <v>234</v>
      </c>
      <c r="L5" s="119" t="s">
        <v>235</v>
      </c>
      <c r="M5" s="120" t="s">
        <v>236</v>
      </c>
    </row>
    <row r="6" spans="2:24" x14ac:dyDescent="0.25">
      <c r="B6" s="91" t="s">
        <v>237</v>
      </c>
      <c r="C6" s="92" t="s">
        <v>231</v>
      </c>
      <c r="D6" s="92" t="s">
        <v>232</v>
      </c>
      <c r="E6" s="92">
        <v>600</v>
      </c>
      <c r="F6" s="93">
        <v>350</v>
      </c>
      <c r="H6" s="192" t="s">
        <v>218</v>
      </c>
      <c r="I6" s="37" t="s">
        <v>238</v>
      </c>
      <c r="J6" s="37">
        <v>4</v>
      </c>
      <c r="K6" s="37">
        <v>42</v>
      </c>
      <c r="L6" s="37">
        <v>13500</v>
      </c>
      <c r="M6" s="121">
        <f>L6*K6*J6</f>
        <v>2268000</v>
      </c>
    </row>
    <row r="7" spans="2:24" x14ac:dyDescent="0.25">
      <c r="B7" s="91" t="s">
        <v>239</v>
      </c>
      <c r="C7" s="92" t="s">
        <v>240</v>
      </c>
      <c r="D7" s="92"/>
      <c r="E7" s="92"/>
      <c r="F7" s="93"/>
      <c r="H7" s="193"/>
      <c r="I7" s="37" t="s">
        <v>241</v>
      </c>
      <c r="J7" s="37">
        <v>6</v>
      </c>
      <c r="K7" s="37">
        <v>42</v>
      </c>
      <c r="L7" s="37">
        <v>3000</v>
      </c>
      <c r="M7" s="121">
        <f t="shared" ref="M7:M20" si="0">L7*K7*J7</f>
        <v>756000</v>
      </c>
    </row>
    <row r="8" spans="2:24" x14ac:dyDescent="0.25">
      <c r="B8" s="91" t="s">
        <v>242</v>
      </c>
      <c r="C8" s="92"/>
      <c r="D8" s="92" t="s">
        <v>243</v>
      </c>
      <c r="E8" s="92">
        <v>750000</v>
      </c>
      <c r="F8" s="93"/>
      <c r="H8" s="193"/>
      <c r="I8" s="37" t="s">
        <v>244</v>
      </c>
      <c r="J8" s="37">
        <v>5</v>
      </c>
      <c r="K8" s="37">
        <v>42</v>
      </c>
      <c r="L8" s="37">
        <v>3000</v>
      </c>
      <c r="M8" s="121">
        <f t="shared" si="0"/>
        <v>630000</v>
      </c>
    </row>
    <row r="9" spans="2:24" ht="30" x14ac:dyDescent="0.25">
      <c r="B9" s="91" t="s">
        <v>246</v>
      </c>
      <c r="C9" s="92"/>
      <c r="D9" s="92">
        <v>40000</v>
      </c>
      <c r="E9" s="92"/>
      <c r="F9" s="93"/>
      <c r="H9" s="192" t="s">
        <v>247</v>
      </c>
      <c r="I9" s="37" t="s">
        <v>238</v>
      </c>
      <c r="J9" s="37">
        <v>5</v>
      </c>
      <c r="K9" s="37">
        <v>2</v>
      </c>
      <c r="L9" s="37">
        <v>13500</v>
      </c>
      <c r="M9" s="121">
        <f t="shared" si="0"/>
        <v>135000</v>
      </c>
    </row>
    <row r="10" spans="2:24" x14ac:dyDescent="0.25">
      <c r="B10" s="91" t="s">
        <v>248</v>
      </c>
      <c r="C10" s="92" t="s">
        <v>249</v>
      </c>
      <c r="D10" s="92"/>
      <c r="E10" s="92"/>
      <c r="F10" s="93"/>
      <c r="H10" s="193"/>
      <c r="I10" s="37" t="s">
        <v>241</v>
      </c>
      <c r="J10" s="37">
        <v>7</v>
      </c>
      <c r="K10" s="37">
        <v>2</v>
      </c>
      <c r="L10" s="37">
        <v>3000</v>
      </c>
      <c r="M10" s="121">
        <f t="shared" si="0"/>
        <v>42000</v>
      </c>
    </row>
    <row r="11" spans="2:24" ht="30" x14ac:dyDescent="0.25">
      <c r="B11" s="91" t="s">
        <v>250</v>
      </c>
      <c r="C11" s="92" t="s">
        <v>251</v>
      </c>
      <c r="D11" s="92"/>
      <c r="E11" s="92"/>
      <c r="F11" s="93"/>
      <c r="H11" s="193"/>
      <c r="I11" s="37" t="s">
        <v>244</v>
      </c>
      <c r="J11" s="37">
        <v>6</v>
      </c>
      <c r="K11" s="37">
        <v>2</v>
      </c>
      <c r="L11" s="37">
        <v>3000</v>
      </c>
      <c r="M11" s="121">
        <f t="shared" si="0"/>
        <v>36000</v>
      </c>
    </row>
    <row r="12" spans="2:24" x14ac:dyDescent="0.25">
      <c r="B12" s="91" t="s">
        <v>238</v>
      </c>
      <c r="C12" s="92" t="s">
        <v>252</v>
      </c>
      <c r="D12" s="92">
        <v>13500</v>
      </c>
      <c r="E12" s="92"/>
      <c r="F12" s="93"/>
      <c r="H12" s="192" t="s">
        <v>253</v>
      </c>
      <c r="I12" s="37" t="s">
        <v>238</v>
      </c>
      <c r="J12" s="37">
        <v>3</v>
      </c>
      <c r="K12" s="37">
        <v>1</v>
      </c>
      <c r="L12" s="37">
        <v>13500</v>
      </c>
      <c r="M12" s="121">
        <f t="shared" si="0"/>
        <v>40500</v>
      </c>
    </row>
    <row r="13" spans="2:24" x14ac:dyDescent="0.25">
      <c r="B13" s="91" t="s">
        <v>254</v>
      </c>
      <c r="C13" s="92"/>
      <c r="D13" s="92">
        <v>40000</v>
      </c>
      <c r="E13" s="92"/>
      <c r="F13" s="93"/>
      <c r="H13" s="193"/>
      <c r="I13" s="37" t="s">
        <v>244</v>
      </c>
      <c r="J13" s="37">
        <f>5+4</f>
        <v>9</v>
      </c>
      <c r="K13" s="37">
        <v>1</v>
      </c>
      <c r="L13" s="37">
        <v>3000</v>
      </c>
      <c r="M13" s="121">
        <f t="shared" si="0"/>
        <v>27000</v>
      </c>
      <c r="X13" s="33">
        <f>X18+S12+'Additional Cost'!M21</f>
        <v>4392500</v>
      </c>
    </row>
    <row r="14" spans="2:24" x14ac:dyDescent="0.25">
      <c r="B14" s="91" t="s">
        <v>255</v>
      </c>
      <c r="C14" s="92" t="s">
        <v>256</v>
      </c>
      <c r="D14" s="92">
        <v>20000</v>
      </c>
      <c r="E14" s="92"/>
      <c r="F14" s="93"/>
      <c r="H14" s="193"/>
      <c r="I14" s="37" t="s">
        <v>241</v>
      </c>
      <c r="J14" s="37">
        <f>8+6</f>
        <v>14</v>
      </c>
      <c r="K14" s="37">
        <v>1</v>
      </c>
      <c r="L14" s="37">
        <v>3000</v>
      </c>
      <c r="M14" s="121">
        <f t="shared" si="0"/>
        <v>42000</v>
      </c>
    </row>
    <row r="15" spans="2:24" x14ac:dyDescent="0.25">
      <c r="B15" s="91" t="s">
        <v>257</v>
      </c>
      <c r="C15" s="92" t="s">
        <v>258</v>
      </c>
      <c r="D15" s="92">
        <v>3000</v>
      </c>
      <c r="E15" s="92"/>
      <c r="F15" s="93"/>
      <c r="H15" s="194"/>
      <c r="I15" s="37" t="s">
        <v>245</v>
      </c>
      <c r="J15" s="37">
        <v>1</v>
      </c>
      <c r="K15" s="37">
        <v>1</v>
      </c>
      <c r="L15" s="94">
        <v>350000</v>
      </c>
      <c r="M15" s="121">
        <f t="shared" si="0"/>
        <v>350000</v>
      </c>
    </row>
    <row r="16" spans="2:24" ht="15.75" thickBot="1" x14ac:dyDescent="0.3">
      <c r="B16" s="95"/>
      <c r="C16" s="96"/>
      <c r="D16" s="96"/>
      <c r="E16" s="96"/>
      <c r="F16" s="97"/>
      <c r="H16" s="193" t="s">
        <v>279</v>
      </c>
      <c r="I16" s="37" t="s">
        <v>244</v>
      </c>
      <c r="J16" s="37">
        <v>4</v>
      </c>
      <c r="K16" s="37">
        <v>1</v>
      </c>
      <c r="L16" s="37">
        <v>3000</v>
      </c>
      <c r="M16" s="121">
        <f t="shared" si="0"/>
        <v>12000</v>
      </c>
    </row>
    <row r="17" spans="3:13" x14ac:dyDescent="0.25">
      <c r="H17" s="193"/>
      <c r="I17" s="37" t="s">
        <v>241</v>
      </c>
      <c r="J17" s="37">
        <v>6</v>
      </c>
      <c r="K17" s="37">
        <v>1</v>
      </c>
      <c r="L17" s="37">
        <v>3000</v>
      </c>
      <c r="M17" s="121">
        <f t="shared" si="0"/>
        <v>18000</v>
      </c>
    </row>
    <row r="18" spans="3:13" x14ac:dyDescent="0.25">
      <c r="H18" s="184" t="s">
        <v>259</v>
      </c>
      <c r="I18" s="37"/>
      <c r="J18" s="37"/>
      <c r="K18" s="37"/>
      <c r="L18" s="37"/>
      <c r="M18" s="121">
        <f t="shared" si="0"/>
        <v>0</v>
      </c>
    </row>
    <row r="19" spans="3:13" x14ac:dyDescent="0.25">
      <c r="H19" s="185"/>
      <c r="I19" s="37" t="s">
        <v>241</v>
      </c>
      <c r="J19" s="37">
        <v>6</v>
      </c>
      <c r="K19" s="37">
        <v>1</v>
      </c>
      <c r="L19" s="37">
        <v>3000</v>
      </c>
      <c r="M19" s="121">
        <f t="shared" si="0"/>
        <v>18000</v>
      </c>
    </row>
    <row r="20" spans="3:13" ht="15.75" thickBot="1" x14ac:dyDescent="0.3">
      <c r="H20" s="185"/>
      <c r="I20" s="37" t="s">
        <v>244</v>
      </c>
      <c r="J20" s="37">
        <v>6</v>
      </c>
      <c r="K20" s="37">
        <v>1</v>
      </c>
      <c r="L20" s="37">
        <v>3000</v>
      </c>
      <c r="M20" s="121">
        <f t="shared" si="0"/>
        <v>18000</v>
      </c>
    </row>
    <row r="21" spans="3:13" ht="15.75" thickBot="1" x14ac:dyDescent="0.3">
      <c r="H21" s="186" t="s">
        <v>120</v>
      </c>
      <c r="I21" s="187"/>
      <c r="J21" s="187"/>
      <c r="K21" s="187"/>
      <c r="L21" s="188"/>
      <c r="M21" s="117">
        <f>SUM(M6:M20)</f>
        <v>4392500</v>
      </c>
    </row>
    <row r="24" spans="3:13" x14ac:dyDescent="0.25">
      <c r="E24">
        <v>5190.62</v>
      </c>
    </row>
    <row r="25" spans="3:13" x14ac:dyDescent="0.25">
      <c r="D25" t="s">
        <v>260</v>
      </c>
      <c r="E25" t="s">
        <v>261</v>
      </c>
      <c r="F25" t="s">
        <v>262</v>
      </c>
    </row>
    <row r="26" spans="3:13" x14ac:dyDescent="0.25">
      <c r="C26" t="s">
        <v>265</v>
      </c>
      <c r="D26">
        <v>42</v>
      </c>
      <c r="E26">
        <v>169610.18</v>
      </c>
      <c r="F26">
        <v>2000</v>
      </c>
    </row>
    <row r="27" spans="3:13" x14ac:dyDescent="0.25">
      <c r="C27" t="s">
        <v>263</v>
      </c>
      <c r="D27">
        <v>30</v>
      </c>
      <c r="E27">
        <v>13081.440000000002</v>
      </c>
      <c r="F27">
        <v>1400</v>
      </c>
    </row>
    <row r="28" spans="3:13" x14ac:dyDescent="0.25">
      <c r="C28" t="s">
        <v>264</v>
      </c>
      <c r="D28">
        <v>3</v>
      </c>
      <c r="E28">
        <f>1312.56+2113.37+1934.64</f>
        <v>5360.57</v>
      </c>
      <c r="F28">
        <v>2200</v>
      </c>
    </row>
    <row r="29" spans="3:13" x14ac:dyDescent="0.25">
      <c r="C29" t="s">
        <v>247</v>
      </c>
      <c r="D29">
        <v>2</v>
      </c>
      <c r="E29">
        <f>E24*D29</f>
        <v>10381.24</v>
      </c>
      <c r="F29">
        <v>2000</v>
      </c>
    </row>
  </sheetData>
  <mergeCells count="7">
    <mergeCell ref="H18:H20"/>
    <mergeCell ref="H21:L21"/>
    <mergeCell ref="B3:F3"/>
    <mergeCell ref="H6:H8"/>
    <mergeCell ref="H9:H11"/>
    <mergeCell ref="H12:H15"/>
    <mergeCell ref="H16:H1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25"/>
  <sheetViews>
    <sheetView tabSelected="1" workbookViewId="0">
      <selection activeCell="Y9" sqref="Y9"/>
    </sheetView>
  </sheetViews>
  <sheetFormatPr defaultRowHeight="15" x14ac:dyDescent="0.25"/>
  <cols>
    <col min="2" max="2" width="6.85546875" customWidth="1"/>
    <col min="3" max="3" width="11.28515625" style="41" customWidth="1"/>
    <col min="4" max="4" width="13.42578125" customWidth="1"/>
    <col min="5" max="5" width="7.5703125" customWidth="1"/>
    <col min="6" max="6" width="10.5703125" hidden="1" customWidth="1"/>
    <col min="7" max="7" width="11" hidden="1" customWidth="1"/>
    <col min="8" max="8" width="12.7109375" hidden="1" customWidth="1"/>
    <col min="9" max="9" width="12.42578125" hidden="1" customWidth="1"/>
    <col min="10" max="10" width="17.85546875" bestFit="1" customWidth="1"/>
    <col min="11" max="11" width="17.85546875" customWidth="1"/>
    <col min="12" max="12" width="10.5703125" hidden="1" customWidth="1"/>
    <col min="13" max="13" width="9.5703125" hidden="1" customWidth="1"/>
    <col min="14" max="14" width="19.7109375" hidden="1" customWidth="1"/>
    <col min="15" max="15" width="20.7109375" hidden="1" customWidth="1"/>
    <col min="16" max="16" width="10.140625" hidden="1" customWidth="1"/>
    <col min="17" max="17" width="10.7109375" hidden="1" customWidth="1"/>
    <col min="18" max="18" width="14" customWidth="1"/>
    <col min="19" max="19" width="16.85546875" bestFit="1" customWidth="1"/>
    <col min="23" max="24" width="16.85546875" bestFit="1" customWidth="1"/>
    <col min="25" max="25" width="11.85546875" bestFit="1" customWidth="1"/>
    <col min="26" max="26" width="15.28515625" bestFit="1" customWidth="1"/>
    <col min="27" max="27" width="11" bestFit="1" customWidth="1"/>
  </cols>
  <sheetData>
    <row r="1" spans="2:27" ht="16.5" thickBot="1" x14ac:dyDescent="0.3">
      <c r="B1" s="195" t="s">
        <v>282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7"/>
    </row>
    <row r="2" spans="2:27" ht="60" x14ac:dyDescent="0.25">
      <c r="B2" s="102" t="s">
        <v>156</v>
      </c>
      <c r="C2" s="103" t="s">
        <v>193</v>
      </c>
      <c r="D2" s="103" t="s">
        <v>154</v>
      </c>
      <c r="E2" s="103" t="s">
        <v>270</v>
      </c>
      <c r="F2" s="103" t="s">
        <v>152</v>
      </c>
      <c r="G2" s="103" t="s">
        <v>151</v>
      </c>
      <c r="H2" s="103" t="s">
        <v>150</v>
      </c>
      <c r="I2" s="103" t="s">
        <v>149</v>
      </c>
      <c r="J2" s="103" t="s">
        <v>269</v>
      </c>
      <c r="K2" s="103" t="s">
        <v>300</v>
      </c>
      <c r="L2" s="103" t="s">
        <v>147</v>
      </c>
      <c r="M2" s="104" t="s">
        <v>146</v>
      </c>
      <c r="N2" s="103" t="s">
        <v>145</v>
      </c>
      <c r="O2" s="103" t="s">
        <v>144</v>
      </c>
      <c r="P2" s="105" t="s">
        <v>143</v>
      </c>
      <c r="Q2" s="105" t="s">
        <v>142</v>
      </c>
      <c r="R2" s="103" t="s">
        <v>141</v>
      </c>
      <c r="S2" s="106" t="s">
        <v>268</v>
      </c>
    </row>
    <row r="3" spans="2:27" ht="60" x14ac:dyDescent="0.25">
      <c r="B3" s="107">
        <v>1</v>
      </c>
      <c r="C3" s="85" t="s">
        <v>218</v>
      </c>
      <c r="D3" s="85" t="s">
        <v>281</v>
      </c>
      <c r="E3" s="85" t="s">
        <v>280</v>
      </c>
      <c r="F3" s="85"/>
      <c r="G3" s="85" t="s">
        <v>223</v>
      </c>
      <c r="H3" s="85">
        <f>186.67+282.15+412.08</f>
        <v>880.89999999999986</v>
      </c>
      <c r="I3" s="85">
        <f>H3*10.764</f>
        <v>9482.0075999999972</v>
      </c>
      <c r="J3" s="85">
        <f>I3</f>
        <v>9482.0075999999972</v>
      </c>
      <c r="K3" s="85" t="s">
        <v>301</v>
      </c>
      <c r="L3" s="85">
        <v>2025</v>
      </c>
      <c r="M3" s="85">
        <v>2025</v>
      </c>
      <c r="N3" s="85">
        <f>M3-L3</f>
        <v>0</v>
      </c>
      <c r="O3" s="85">
        <v>70</v>
      </c>
      <c r="P3" s="85">
        <v>0.9</v>
      </c>
      <c r="Q3" s="85">
        <f>(1-P3)/O3</f>
        <v>1.4285714285714284E-3</v>
      </c>
      <c r="R3" s="85">
        <v>2200</v>
      </c>
      <c r="S3" s="112">
        <f t="shared" ref="S3:S11" si="0">J3*R3</f>
        <v>20860416.719999995</v>
      </c>
      <c r="W3">
        <v>1341300000</v>
      </c>
    </row>
    <row r="4" spans="2:27" x14ac:dyDescent="0.25">
      <c r="B4" s="107">
        <v>2</v>
      </c>
      <c r="C4" s="85" t="s">
        <v>218</v>
      </c>
      <c r="D4" s="85" t="s">
        <v>273</v>
      </c>
      <c r="E4" s="85" t="s">
        <v>224</v>
      </c>
      <c r="F4" s="85"/>
      <c r="G4" s="85" t="s">
        <v>223</v>
      </c>
      <c r="H4" s="85">
        <v>224.08</v>
      </c>
      <c r="I4" s="85">
        <f>H4*10.764</f>
        <v>2411.99712</v>
      </c>
      <c r="J4" s="85">
        <f>I4</f>
        <v>2411.99712</v>
      </c>
      <c r="K4" s="85" t="s">
        <v>301</v>
      </c>
      <c r="L4" s="85">
        <v>2025</v>
      </c>
      <c r="M4" s="85">
        <v>2025</v>
      </c>
      <c r="N4" s="85">
        <f>M4-L4</f>
        <v>0</v>
      </c>
      <c r="O4" s="85">
        <v>70</v>
      </c>
      <c r="P4" s="85">
        <v>0.9</v>
      </c>
      <c r="Q4" s="85">
        <f>(1-P4)/O4</f>
        <v>1.4285714285714284E-3</v>
      </c>
      <c r="R4" s="101">
        <v>1400</v>
      </c>
      <c r="S4" s="112">
        <f t="shared" si="0"/>
        <v>3376795.9679999999</v>
      </c>
      <c r="W4" s="83">
        <f>W3+S12+X18</f>
        <v>1928782355.2153599</v>
      </c>
      <c r="AA4">
        <v>54</v>
      </c>
    </row>
    <row r="5" spans="2:27" x14ac:dyDescent="0.25">
      <c r="B5" s="108">
        <v>3</v>
      </c>
      <c r="C5" s="101" t="s">
        <v>218</v>
      </c>
      <c r="D5" s="101" t="s">
        <v>271</v>
      </c>
      <c r="E5" s="101" t="s">
        <v>224</v>
      </c>
      <c r="F5" s="101"/>
      <c r="G5" s="101" t="s">
        <v>223</v>
      </c>
      <c r="H5" s="101">
        <v>224.08</v>
      </c>
      <c r="I5" s="101">
        <f>H5*10.764</f>
        <v>2411.99712</v>
      </c>
      <c r="J5" s="101">
        <f>I5+1222</f>
        <v>3633.99712</v>
      </c>
      <c r="K5" s="85" t="s">
        <v>301</v>
      </c>
      <c r="L5" s="101">
        <v>2025</v>
      </c>
      <c r="M5" s="101">
        <v>2025</v>
      </c>
      <c r="N5" s="101">
        <f>M5-L5</f>
        <v>0</v>
      </c>
      <c r="O5" s="101">
        <v>70</v>
      </c>
      <c r="P5" s="101">
        <v>0.9</v>
      </c>
      <c r="Q5" s="101">
        <f>(1-P5)/O5</f>
        <v>1.4285714285714284E-3</v>
      </c>
      <c r="R5" s="101">
        <v>1400</v>
      </c>
      <c r="S5" s="113">
        <f t="shared" si="0"/>
        <v>5087595.9680000003</v>
      </c>
    </row>
    <row r="6" spans="2:27" ht="30" x14ac:dyDescent="0.25">
      <c r="B6" s="107">
        <v>4</v>
      </c>
      <c r="C6" s="85" t="s">
        <v>218</v>
      </c>
      <c r="D6" s="85" t="s">
        <v>272</v>
      </c>
      <c r="E6" s="85">
        <v>1</v>
      </c>
      <c r="F6" s="85"/>
      <c r="G6" s="85" t="s">
        <v>223</v>
      </c>
      <c r="H6" s="85"/>
      <c r="I6" s="85">
        <v>10532</v>
      </c>
      <c r="J6" s="85">
        <v>10532</v>
      </c>
      <c r="K6" s="85" t="s">
        <v>301</v>
      </c>
      <c r="L6" s="85">
        <v>2025</v>
      </c>
      <c r="M6" s="85">
        <v>2025</v>
      </c>
      <c r="N6" s="85">
        <f>M6-L6</f>
        <v>0</v>
      </c>
      <c r="O6" s="85">
        <v>70</v>
      </c>
      <c r="P6" s="85">
        <v>0.9</v>
      </c>
      <c r="Q6" s="85">
        <f>(1-P6)/O6</f>
        <v>1.4285714285714284E-3</v>
      </c>
      <c r="R6" s="85">
        <v>1600</v>
      </c>
      <c r="S6" s="112">
        <f t="shared" si="0"/>
        <v>16851200</v>
      </c>
      <c r="W6">
        <f>9360*262652.364</f>
        <v>2458426127.04</v>
      </c>
      <c r="AA6">
        <f>562.5+210.52</f>
        <v>773.02</v>
      </c>
    </row>
    <row r="7" spans="2:27" ht="30" x14ac:dyDescent="0.25">
      <c r="B7" s="107">
        <v>5</v>
      </c>
      <c r="C7" s="92" t="s">
        <v>302</v>
      </c>
      <c r="D7" s="92" t="s">
        <v>276</v>
      </c>
      <c r="E7" s="85">
        <v>42</v>
      </c>
      <c r="F7" s="63"/>
      <c r="G7" s="85" t="s">
        <v>223</v>
      </c>
      <c r="H7" s="63"/>
      <c r="I7" s="63">
        <v>159229</v>
      </c>
      <c r="J7" s="85">
        <f>I7</f>
        <v>159229</v>
      </c>
      <c r="K7" s="85" t="s">
        <v>303</v>
      </c>
      <c r="L7" s="85">
        <v>2025</v>
      </c>
      <c r="M7" s="85">
        <v>2025</v>
      </c>
      <c r="N7" s="85">
        <f t="shared" ref="N7:N11" si="1">M7-L7</f>
        <v>0</v>
      </c>
      <c r="O7" s="85">
        <v>70</v>
      </c>
      <c r="P7" s="85">
        <v>0.9</v>
      </c>
      <c r="Q7" s="85">
        <f t="shared" ref="Q7:Q11" si="2">(1-P7)/O7</f>
        <v>1.4285714285714284E-3</v>
      </c>
      <c r="R7" s="85">
        <v>1800</v>
      </c>
      <c r="S7" s="112">
        <f t="shared" si="0"/>
        <v>286612200</v>
      </c>
      <c r="W7">
        <v>9360</v>
      </c>
      <c r="AA7">
        <v>561.69000000000005</v>
      </c>
    </row>
    <row r="8" spans="2:27" x14ac:dyDescent="0.25">
      <c r="B8" s="108">
        <v>6</v>
      </c>
      <c r="C8" s="92" t="s">
        <v>263</v>
      </c>
      <c r="D8" s="85" t="s">
        <v>267</v>
      </c>
      <c r="E8" s="63">
        <v>30</v>
      </c>
      <c r="F8" s="63"/>
      <c r="G8" s="85" t="s">
        <v>223</v>
      </c>
      <c r="H8" s="63"/>
      <c r="I8" s="63">
        <v>13081.440000000002</v>
      </c>
      <c r="J8" s="122">
        <f>13081.44-6046</f>
        <v>7035.4400000000005</v>
      </c>
      <c r="K8" s="85" t="s">
        <v>301</v>
      </c>
      <c r="L8" s="85">
        <v>2025</v>
      </c>
      <c r="M8" s="85">
        <v>2025</v>
      </c>
      <c r="N8" s="85">
        <f t="shared" si="1"/>
        <v>0</v>
      </c>
      <c r="O8" s="85">
        <v>70</v>
      </c>
      <c r="P8" s="85">
        <v>0.9</v>
      </c>
      <c r="Q8" s="85">
        <f t="shared" si="2"/>
        <v>1.4285714285714284E-3</v>
      </c>
      <c r="R8" s="85">
        <v>1400</v>
      </c>
      <c r="S8" s="112">
        <f t="shared" si="0"/>
        <v>9849616</v>
      </c>
      <c r="W8" s="75">
        <v>24418.9</v>
      </c>
      <c r="X8" s="83"/>
    </row>
    <row r="9" spans="2:27" x14ac:dyDescent="0.25">
      <c r="B9" s="108"/>
      <c r="C9" s="92" t="s">
        <v>274</v>
      </c>
      <c r="D9" s="85" t="s">
        <v>275</v>
      </c>
      <c r="E9" s="63">
        <v>1</v>
      </c>
      <c r="F9" s="63"/>
      <c r="G9" s="85" t="s">
        <v>223</v>
      </c>
      <c r="H9" s="63"/>
      <c r="I9" s="63"/>
      <c r="J9" s="63">
        <v>6283</v>
      </c>
      <c r="K9" s="85" t="s">
        <v>301</v>
      </c>
      <c r="L9" s="85">
        <v>2025</v>
      </c>
      <c r="M9" s="85">
        <v>2025</v>
      </c>
      <c r="N9" s="85"/>
      <c r="O9" s="85"/>
      <c r="P9" s="85"/>
      <c r="Q9" s="85"/>
      <c r="R9" s="85">
        <v>1400</v>
      </c>
      <c r="S9" s="112">
        <f t="shared" si="0"/>
        <v>8796200</v>
      </c>
      <c r="W9" s="75">
        <f>W8*W7</f>
        <v>228560904</v>
      </c>
    </row>
    <row r="10" spans="2:27" x14ac:dyDescent="0.25">
      <c r="B10" s="107">
        <v>7</v>
      </c>
      <c r="C10" s="92" t="s">
        <v>264</v>
      </c>
      <c r="D10" s="63" t="s">
        <v>264</v>
      </c>
      <c r="E10" s="63">
        <v>3</v>
      </c>
      <c r="F10" s="63"/>
      <c r="G10" s="85" t="s">
        <v>223</v>
      </c>
      <c r="H10" s="63"/>
      <c r="I10" s="63">
        <f>1312.56+2113.37+1934.64</f>
        <v>5360.57</v>
      </c>
      <c r="J10" s="82">
        <v>57701.175479999991</v>
      </c>
      <c r="K10" s="85" t="s">
        <v>301</v>
      </c>
      <c r="L10" s="85">
        <v>2025</v>
      </c>
      <c r="M10" s="85">
        <v>2025</v>
      </c>
      <c r="N10" s="85">
        <f t="shared" si="1"/>
        <v>0</v>
      </c>
      <c r="O10" s="85">
        <v>70</v>
      </c>
      <c r="P10" s="85">
        <v>0.9</v>
      </c>
      <c r="Q10" s="85">
        <f t="shared" si="2"/>
        <v>1.4285714285714284E-3</v>
      </c>
      <c r="R10" s="85">
        <v>2000</v>
      </c>
      <c r="S10" s="112">
        <f t="shared" si="0"/>
        <v>115402350.95999998</v>
      </c>
      <c r="U10">
        <v>10.763999999999999</v>
      </c>
      <c r="W10" s="124">
        <v>262162973</v>
      </c>
    </row>
    <row r="11" spans="2:27" ht="15.75" thickBot="1" x14ac:dyDescent="0.3">
      <c r="B11" s="109">
        <v>8</v>
      </c>
      <c r="C11" s="100" t="s">
        <v>247</v>
      </c>
      <c r="D11" s="99" t="s">
        <v>266</v>
      </c>
      <c r="E11" s="99">
        <v>2</v>
      </c>
      <c r="F11" s="99"/>
      <c r="G11" s="110" t="s">
        <v>223</v>
      </c>
      <c r="H11" s="99"/>
      <c r="I11" s="99">
        <v>10381.24</v>
      </c>
      <c r="J11" s="123">
        <v>10381.24</v>
      </c>
      <c r="K11" s="85" t="s">
        <v>303</v>
      </c>
      <c r="L11" s="110">
        <v>2025</v>
      </c>
      <c r="M11" s="110">
        <v>2025</v>
      </c>
      <c r="N11" s="110">
        <f t="shared" si="1"/>
        <v>0</v>
      </c>
      <c r="O11" s="110">
        <v>70</v>
      </c>
      <c r="P11" s="110">
        <v>0.9</v>
      </c>
      <c r="Q11" s="110">
        <f t="shared" si="2"/>
        <v>1.4285714285714284E-3</v>
      </c>
      <c r="R11" s="110">
        <v>1800</v>
      </c>
      <c r="S11" s="114">
        <f t="shared" si="0"/>
        <v>18686232</v>
      </c>
      <c r="U11">
        <f>J10*U10</f>
        <v>621095.45286671992</v>
      </c>
      <c r="W11" s="33">
        <f>W10+W9</f>
        <v>490723877</v>
      </c>
    </row>
    <row r="12" spans="2:27" ht="15.75" thickBot="1" x14ac:dyDescent="0.3">
      <c r="B12" s="186" t="s">
        <v>120</v>
      </c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8"/>
      <c r="S12" s="111">
        <f>SUM(S3:S11)</f>
        <v>485522607.616</v>
      </c>
    </row>
    <row r="14" spans="2:27" x14ac:dyDescent="0.25">
      <c r="J14" s="35">
        <f>J12-J4-J5</f>
        <v>-6045.99424</v>
      </c>
      <c r="K14" s="35"/>
    </row>
    <row r="15" spans="2:27" x14ac:dyDescent="0.25">
      <c r="R15">
        <v>276834.03732</v>
      </c>
      <c r="W15" s="79">
        <v>7.0000000000000007E-2</v>
      </c>
      <c r="X15" s="33">
        <f>S12*W15</f>
        <v>33986582.533120006</v>
      </c>
      <c r="Y15" s="124">
        <v>4392500</v>
      </c>
      <c r="Z15" s="83">
        <f>Y15+X15</f>
        <v>38379082.533120006</v>
      </c>
      <c r="AA15">
        <v>1386968194.779</v>
      </c>
    </row>
    <row r="16" spans="2:27" x14ac:dyDescent="0.25">
      <c r="J16">
        <v>6046</v>
      </c>
      <c r="R16" s="35">
        <f>J3+J5+J4</f>
        <v>15528.001839999997</v>
      </c>
      <c r="S16" s="35">
        <f>R15-R16</f>
        <v>261306.03548000002</v>
      </c>
      <c r="W16" s="79">
        <v>0.09</v>
      </c>
      <c r="X16" s="33">
        <f>W16*S12</f>
        <v>43697034.685439996</v>
      </c>
    </row>
    <row r="17" spans="10:26" x14ac:dyDescent="0.25">
      <c r="W17" s="79">
        <v>0.05</v>
      </c>
      <c r="X17" s="33">
        <f>S12*W17</f>
        <v>24276130.380800001</v>
      </c>
      <c r="Z17" s="33">
        <f>Z15+X16+X17</f>
        <v>106352247.59936002</v>
      </c>
    </row>
    <row r="18" spans="10:26" x14ac:dyDescent="0.25">
      <c r="X18" s="83">
        <f>SUM(X15,X16,X17)</f>
        <v>101959747.59936002</v>
      </c>
      <c r="Z18" s="33">
        <f>Z17+AA15+S12</f>
        <v>1978843049.99436</v>
      </c>
    </row>
    <row r="19" spans="10:26" x14ac:dyDescent="0.25">
      <c r="S19" s="35">
        <f>S16+S17+S18</f>
        <v>261306.03548000002</v>
      </c>
    </row>
    <row r="20" spans="10:26" x14ac:dyDescent="0.25">
      <c r="J20">
        <f>584*42*10.764/2</f>
        <v>132009.696</v>
      </c>
    </row>
    <row r="21" spans="10:26" x14ac:dyDescent="0.25">
      <c r="X21" s="83">
        <f>S12+X18+1386968194</f>
        <v>1974450549.2153602</v>
      </c>
    </row>
    <row r="22" spans="10:26" x14ac:dyDescent="0.25">
      <c r="X22" s="124">
        <v>262162973</v>
      </c>
    </row>
    <row r="23" spans="10:26" x14ac:dyDescent="0.25">
      <c r="X23" s="124">
        <v>35014918</v>
      </c>
    </row>
    <row r="24" spans="10:26" x14ac:dyDescent="0.25">
      <c r="X24" s="31">
        <f>X23+X22</f>
        <v>297177891</v>
      </c>
    </row>
    <row r="25" spans="10:26" x14ac:dyDescent="0.25">
      <c r="S25" s="83">
        <f>135*10^7+S12+X15+X16+X17+Y15</f>
        <v>1941874855.2153599</v>
      </c>
    </row>
  </sheetData>
  <mergeCells count="2">
    <mergeCell ref="B1:S1"/>
    <mergeCell ref="B12:R1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N32"/>
  <sheetViews>
    <sheetView topLeftCell="A13" workbookViewId="0">
      <selection activeCell="K32" sqref="K32"/>
    </sheetView>
  </sheetViews>
  <sheetFormatPr defaultRowHeight="15" x14ac:dyDescent="0.25"/>
  <cols>
    <col min="4" max="4" width="14" bestFit="1" customWidth="1"/>
    <col min="5" max="5" width="17.42578125" customWidth="1"/>
    <col min="6" max="6" width="11" bestFit="1" customWidth="1"/>
    <col min="7" max="7" width="10.7109375" bestFit="1" customWidth="1"/>
    <col min="8" max="8" width="16.85546875" bestFit="1" customWidth="1"/>
    <col min="12" max="12" width="11.7109375" customWidth="1"/>
    <col min="13" max="13" width="16.5703125" customWidth="1"/>
    <col min="14" max="14" width="7.7109375" bestFit="1" customWidth="1"/>
  </cols>
  <sheetData>
    <row r="7" spans="5:14" x14ac:dyDescent="0.25">
      <c r="E7" s="125" t="s">
        <v>283</v>
      </c>
      <c r="F7" s="125" t="s">
        <v>284</v>
      </c>
    </row>
    <row r="8" spans="5:14" x14ac:dyDescent="0.25">
      <c r="E8" s="63" t="s">
        <v>285</v>
      </c>
      <c r="F8" s="63" t="s">
        <v>288</v>
      </c>
    </row>
    <row r="9" spans="5:14" x14ac:dyDescent="0.25">
      <c r="E9" s="63" t="s">
        <v>286</v>
      </c>
      <c r="F9" s="63" t="s">
        <v>289</v>
      </c>
    </row>
    <row r="10" spans="5:14" x14ac:dyDescent="0.25">
      <c r="E10" s="63" t="s">
        <v>287</v>
      </c>
      <c r="F10" s="63" t="s">
        <v>290</v>
      </c>
    </row>
    <row r="13" spans="5:14" ht="15.75" thickBot="1" x14ac:dyDescent="0.3"/>
    <row r="14" spans="5:14" ht="38.25" x14ac:dyDescent="0.25">
      <c r="K14" s="126" t="s">
        <v>156</v>
      </c>
      <c r="L14" s="127" t="s">
        <v>193</v>
      </c>
      <c r="M14" s="127" t="s">
        <v>154</v>
      </c>
      <c r="N14" s="128" t="s">
        <v>270</v>
      </c>
    </row>
    <row r="15" spans="5:14" ht="25.5" x14ac:dyDescent="0.25">
      <c r="K15" s="129">
        <v>1</v>
      </c>
      <c r="L15" s="130" t="s">
        <v>218</v>
      </c>
      <c r="M15" s="130" t="s">
        <v>281</v>
      </c>
      <c r="N15" s="131" t="s">
        <v>280</v>
      </c>
    </row>
    <row r="16" spans="5:14" ht="25.5" x14ac:dyDescent="0.25">
      <c r="K16" s="129">
        <v>2</v>
      </c>
      <c r="L16" s="130" t="s">
        <v>291</v>
      </c>
      <c r="M16" s="130" t="s">
        <v>222</v>
      </c>
      <c r="N16" s="131">
        <v>1</v>
      </c>
    </row>
    <row r="17" spans="4:14" ht="38.25" x14ac:dyDescent="0.25">
      <c r="D17" s="198" t="s">
        <v>299</v>
      </c>
      <c r="E17" s="198"/>
      <c r="F17" s="198"/>
      <c r="G17" s="198"/>
      <c r="H17" s="198"/>
      <c r="K17" s="132">
        <v>3</v>
      </c>
      <c r="L17" s="133" t="s">
        <v>293</v>
      </c>
      <c r="M17" s="133" t="s">
        <v>294</v>
      </c>
      <c r="N17" s="134" t="s">
        <v>224</v>
      </c>
    </row>
    <row r="18" spans="4:14" ht="25.5" x14ac:dyDescent="0.25">
      <c r="D18" s="144" t="s">
        <v>226</v>
      </c>
      <c r="E18" s="144"/>
      <c r="F18" s="144" t="s">
        <v>298</v>
      </c>
      <c r="G18" s="144" t="s">
        <v>295</v>
      </c>
      <c r="H18" s="144" t="s">
        <v>297</v>
      </c>
      <c r="K18" s="129">
        <v>4</v>
      </c>
      <c r="L18" s="130" t="s">
        <v>218</v>
      </c>
      <c r="M18" s="130" t="s">
        <v>272</v>
      </c>
      <c r="N18" s="131">
        <v>1</v>
      </c>
    </row>
    <row r="19" spans="4:14" ht="38.25" x14ac:dyDescent="0.25">
      <c r="D19" s="63" t="s">
        <v>296</v>
      </c>
      <c r="E19" s="63">
        <v>42</v>
      </c>
      <c r="F19" s="142">
        <v>20000</v>
      </c>
      <c r="G19" s="63">
        <v>159228.94000000003</v>
      </c>
      <c r="H19" s="81">
        <f>F19*G19</f>
        <v>3184578800.0000005</v>
      </c>
      <c r="K19" s="129">
        <v>5</v>
      </c>
      <c r="L19" s="135" t="s">
        <v>292</v>
      </c>
      <c r="M19" s="135" t="s">
        <v>276</v>
      </c>
      <c r="N19" s="131">
        <v>42</v>
      </c>
    </row>
    <row r="20" spans="4:14" x14ac:dyDescent="0.25">
      <c r="D20" s="63" t="s">
        <v>100</v>
      </c>
      <c r="E20" s="63">
        <v>15</v>
      </c>
      <c r="F20" s="142">
        <v>20000</v>
      </c>
      <c r="G20" s="63">
        <v>6886.2900000000009</v>
      </c>
      <c r="H20" s="81">
        <f t="shared" ref="H20:H21" si="0">F20*G20</f>
        <v>137725800.00000003</v>
      </c>
      <c r="K20" s="132">
        <v>6</v>
      </c>
      <c r="L20" s="135" t="s">
        <v>263</v>
      </c>
      <c r="M20" s="130" t="s">
        <v>267</v>
      </c>
      <c r="N20" s="136">
        <v>30</v>
      </c>
    </row>
    <row r="21" spans="4:14" x14ac:dyDescent="0.25">
      <c r="D21" s="63" t="s">
        <v>247</v>
      </c>
      <c r="E21" s="63">
        <v>2</v>
      </c>
      <c r="F21" s="142">
        <v>20000</v>
      </c>
      <c r="G21" s="63">
        <v>10381.24</v>
      </c>
      <c r="H21" s="81">
        <f t="shared" si="0"/>
        <v>207624800</v>
      </c>
      <c r="K21" s="132"/>
      <c r="L21" s="135" t="s">
        <v>274</v>
      </c>
      <c r="M21" s="130" t="s">
        <v>275</v>
      </c>
      <c r="N21" s="136">
        <v>1</v>
      </c>
    </row>
    <row r="22" spans="4:14" x14ac:dyDescent="0.25">
      <c r="D22" s="169" t="s">
        <v>120</v>
      </c>
      <c r="E22" s="199"/>
      <c r="F22" s="170"/>
      <c r="G22" s="70">
        <f>SUM(G19:G21)</f>
        <v>176496.47000000003</v>
      </c>
      <c r="H22" s="143">
        <f>SUM(H21,H20,H19)</f>
        <v>3529929400.0000005</v>
      </c>
      <c r="K22" s="129">
        <v>7</v>
      </c>
      <c r="L22" s="135" t="s">
        <v>264</v>
      </c>
      <c r="M22" s="137" t="s">
        <v>264</v>
      </c>
      <c r="N22" s="136">
        <v>3</v>
      </c>
    </row>
    <row r="23" spans="4:14" ht="15.75" thickBot="1" x14ac:dyDescent="0.3">
      <c r="K23" s="138">
        <v>8</v>
      </c>
      <c r="L23" s="139" t="s">
        <v>247</v>
      </c>
      <c r="M23" s="140" t="s">
        <v>266</v>
      </c>
      <c r="N23" s="141">
        <v>2</v>
      </c>
    </row>
    <row r="30" spans="4:14" x14ac:dyDescent="0.25">
      <c r="H30" s="75">
        <f>262652.364*9360</f>
        <v>2458426127.04</v>
      </c>
    </row>
    <row r="31" spans="4:14" x14ac:dyDescent="0.25">
      <c r="H31">
        <v>262162973</v>
      </c>
    </row>
    <row r="32" spans="4:14" x14ac:dyDescent="0.25">
      <c r="H32" s="33">
        <f>H31+H30</f>
        <v>2720589100.04</v>
      </c>
    </row>
  </sheetData>
  <mergeCells count="2">
    <mergeCell ref="D17:H17"/>
    <mergeCell ref="D22:F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Non-EWS</vt:lpstr>
      <vt:lpstr>EWS &amp; CSP</vt:lpstr>
      <vt:lpstr>Sheet1</vt:lpstr>
      <vt:lpstr>Sheet1 (2)</vt:lpstr>
      <vt:lpstr>Boundary Wall Length</vt:lpstr>
      <vt:lpstr>Aesthetic</vt:lpstr>
      <vt:lpstr>Sheet6</vt:lpstr>
      <vt:lpstr>Additional Cost</vt:lpstr>
      <vt:lpstr>Sheet3</vt:lpstr>
      <vt:lpstr>Sheet2</vt:lpstr>
      <vt:lpstr>'EWS &amp; CSP'!Print_Area</vt:lpstr>
      <vt:lpstr>'Non-EWS'!Print_Area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2025-01-30T13:32:50Z</dcterms:modified>
</cp:coreProperties>
</file>