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activeTab="2"/>
  </bookViews>
  <sheets>
    <sheet name="Area Details" sheetId="1" r:id="rId1"/>
    <sheet name="Building calculation" sheetId="2" r:id="rId2"/>
    <sheet name="values" sheetId="3" r:id="rId3"/>
  </sheets>
  <calcPr calcId="152511"/>
</workbook>
</file>

<file path=xl/calcChain.xml><?xml version="1.0" encoding="utf-8"?>
<calcChain xmlns="http://schemas.openxmlformats.org/spreadsheetml/2006/main">
  <c r="C16" i="3" l="1"/>
  <c r="I18" i="3"/>
  <c r="L10" i="3"/>
  <c r="M22" i="2"/>
  <c r="K22" i="2"/>
  <c r="L22" i="2"/>
  <c r="H6" i="3"/>
  <c r="H5" i="3"/>
  <c r="B7" i="3"/>
  <c r="G13" i="2"/>
  <c r="K13" i="2"/>
  <c r="N13" i="2"/>
  <c r="P13" i="2"/>
  <c r="G14" i="2"/>
  <c r="K14" i="2"/>
  <c r="N14" i="2"/>
  <c r="P14" i="2"/>
  <c r="Q13" i="2" l="1"/>
  <c r="Q14" i="2"/>
  <c r="R14" i="2" s="1"/>
  <c r="T14" i="2" s="1"/>
  <c r="R13" i="2"/>
  <c r="T13" i="2" s="1"/>
  <c r="I16" i="3"/>
  <c r="P9" i="2" l="1"/>
  <c r="P10" i="2"/>
  <c r="P11" i="2"/>
  <c r="P12" i="2"/>
  <c r="N9" i="2"/>
  <c r="N10" i="2"/>
  <c r="N11" i="2"/>
  <c r="N12" i="2"/>
  <c r="K9" i="2"/>
  <c r="K10" i="2"/>
  <c r="K11" i="2"/>
  <c r="Q11" i="2" s="1"/>
  <c r="K12" i="2"/>
  <c r="Q12" i="2" s="1"/>
  <c r="G9" i="2"/>
  <c r="G10" i="2"/>
  <c r="G11" i="2"/>
  <c r="G12" i="2"/>
  <c r="G8" i="2"/>
  <c r="Q10" i="2" l="1"/>
  <c r="R10" i="2" s="1"/>
  <c r="T10" i="2" s="1"/>
  <c r="Q9" i="2"/>
  <c r="R9" i="2" s="1"/>
  <c r="T9" i="2" s="1"/>
  <c r="R12" i="2"/>
  <c r="T12" i="2" s="1"/>
  <c r="R11" i="2"/>
  <c r="T11" i="2" s="1"/>
  <c r="H7" i="3"/>
  <c r="N8" i="2"/>
  <c r="K8" i="2"/>
  <c r="P8" i="2"/>
  <c r="P15" i="2" l="1"/>
  <c r="F15" i="2"/>
  <c r="G15" i="2" s="1"/>
  <c r="Q8" i="2"/>
  <c r="R8" i="2" s="1"/>
  <c r="T8" i="2" s="1"/>
  <c r="T15" i="2" l="1"/>
  <c r="Q15" i="3"/>
  <c r="J12" i="1" l="1"/>
  <c r="I7" i="3"/>
  <c r="J13" i="1" l="1"/>
  <c r="I6" i="3"/>
  <c r="J6" i="3" s="1"/>
  <c r="L6" i="3" s="1"/>
  <c r="I11" i="3" s="1"/>
  <c r="I5" i="3"/>
  <c r="I10" i="3" s="1"/>
  <c r="J14" i="1"/>
  <c r="I12" i="3" l="1"/>
  <c r="I8" i="3"/>
  <c r="D6" i="3"/>
  <c r="C9" i="3" s="1"/>
  <c r="C10" i="3" l="1"/>
  <c r="C13" i="3" l="1"/>
  <c r="C14" i="3" s="1"/>
  <c r="C17" i="3"/>
  <c r="C15" i="3" l="1"/>
</calcChain>
</file>

<file path=xl/sharedStrings.xml><?xml version="1.0" encoding="utf-8"?>
<sst xmlns="http://schemas.openxmlformats.org/spreadsheetml/2006/main" count="100" uniqueCount="84">
  <si>
    <t xml:space="preserve">S. NO </t>
  </si>
  <si>
    <t>Area ( Sqm)</t>
  </si>
  <si>
    <t>Area share( Sqm)</t>
  </si>
  <si>
    <t xml:space="preserve">In name of </t>
  </si>
  <si>
    <t>Sanjay kumar</t>
  </si>
  <si>
    <t>Shivin Singhal</t>
  </si>
  <si>
    <t>Anika Singhal</t>
  </si>
  <si>
    <t>Anchal Singhal</t>
  </si>
  <si>
    <t>Anika Singhal dated 30.03.2017</t>
  </si>
  <si>
    <t>Pradosh Singhal HUF dated 27.05.2021</t>
  </si>
  <si>
    <t>Pradosh Singhal dated 27.05.2021</t>
  </si>
  <si>
    <t>Vkram Snghal &amp; sandeep Singhal Dated 16.06.2014</t>
  </si>
  <si>
    <t>A</t>
  </si>
  <si>
    <t>SR. No.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</si>
  <si>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</si>
  <si>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</si>
  <si>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</si>
  <si>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</si>
  <si>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</si>
  <si>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</si>
  <si>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</si>
  <si>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</si>
  <si>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</si>
  <si>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</si>
  <si>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</si>
  <si>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</si>
  <si>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</si>
  <si>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</si>
  <si>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</si>
  <si>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 
(INR)</t>
  </si>
  <si>
    <t>Notes:</t>
  </si>
  <si>
    <t>3. The valuation is done by considering the depreciated replacement cost approach.</t>
  </si>
  <si>
    <t>FMV</t>
  </si>
  <si>
    <t>Land</t>
  </si>
  <si>
    <t>Rate</t>
  </si>
  <si>
    <t>Value</t>
  </si>
  <si>
    <t>land</t>
  </si>
  <si>
    <t>Building</t>
  </si>
  <si>
    <t>Boundry wall</t>
  </si>
  <si>
    <t>P&amp;M</t>
  </si>
  <si>
    <t>Fair market</t>
  </si>
  <si>
    <t>Round off</t>
  </si>
  <si>
    <t>Realizable</t>
  </si>
  <si>
    <t>Distress</t>
  </si>
  <si>
    <t>Insurance</t>
  </si>
  <si>
    <t>Area</t>
  </si>
  <si>
    <t>Circle Rate land</t>
  </si>
  <si>
    <t>Building val</t>
  </si>
  <si>
    <t>Dap rate</t>
  </si>
  <si>
    <t>Dep Value</t>
  </si>
  <si>
    <t>Circle rate land</t>
  </si>
  <si>
    <t>Circle rate Building</t>
  </si>
  <si>
    <t>Circle rate Value</t>
  </si>
  <si>
    <t>land area in sqft</t>
  </si>
  <si>
    <t>Through deed no.</t>
  </si>
  <si>
    <t>Sale dee Executed by</t>
  </si>
  <si>
    <t>Total</t>
  </si>
  <si>
    <t>TIR date</t>
  </si>
  <si>
    <t>16.06.2021</t>
  </si>
  <si>
    <t>12.05.2021</t>
  </si>
  <si>
    <t>Covered area as per bye laws</t>
  </si>
  <si>
    <t>RCC</t>
  </si>
  <si>
    <t>Shed</t>
  </si>
  <si>
    <t>Ground Floor</t>
  </si>
  <si>
    <t>First Floor</t>
  </si>
  <si>
    <t>Second Floor</t>
  </si>
  <si>
    <t>Circle  Const (Shed)</t>
  </si>
  <si>
    <t>Circle Const (RCC)</t>
  </si>
  <si>
    <t>Rates</t>
  </si>
  <si>
    <t>Premium</t>
  </si>
  <si>
    <t>Discount</t>
  </si>
  <si>
    <t>Adopted rates</t>
  </si>
  <si>
    <t xml:space="preserve">Basement </t>
  </si>
  <si>
    <t>Third Floor</t>
  </si>
  <si>
    <t>Fourth Floor</t>
  </si>
  <si>
    <t>Fifth Floor</t>
  </si>
  <si>
    <t>Floors</t>
  </si>
  <si>
    <t>BUILDING VALUATION FOR M/S. SURGICO &amp; MEDICO CENTRE</t>
  </si>
  <si>
    <t>4.All the building and structures belongs to M/S. SURGICO &amp; MEDICO CENTRE</t>
  </si>
  <si>
    <t>Mtr</t>
  </si>
  <si>
    <t>FAR</t>
  </si>
  <si>
    <t>GC</t>
  </si>
  <si>
    <t>1. All the details pertaining to the building area statement such as area, floor,type of structure etc. has been taken as per documents as site survey couldn’t be done.</t>
  </si>
  <si>
    <t>2. Construction year of the hotel has been taken from documents because owner of the property is not cooprating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</si>
</sst>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* #,##0.000_ ;_ * \-#,##0.000_ ;_ * &quot;-&quot;??_ ;_ @_ "/>
    <numFmt numFmtId="170" formatCode="_(&quot;$&quot;* #,##0.00_);_(&quot;$&quot;* \(#,##0.00\);_(&quot;$&quot;* &quot;-&quot;??_);_(@_)"/>
    <numFmt numFmtId="172" formatCode="_ &quot;₹&quot;\ * #,##0_ ;_ &quot;₹&quot;\ * \-#,##0_ ;_ &quot;₹&quot;\ * &quot;-&quot;??_ ;_ @_ "/>
    <numFmt numFmtId="17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1" applyNumberFormat="1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/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0" xfId="0" applyNumberFormat="1"/>
    <xf numFmtId="43" fontId="0" fillId="0" borderId="13" xfId="1" applyFont="1" applyBorder="1"/>
    <xf numFmtId="1" fontId="0" fillId="0" borderId="14" xfId="0" applyNumberFormat="1" applyBorder="1"/>
    <xf numFmtId="164" fontId="9" fillId="0" borderId="15" xfId="1" applyNumberFormat="1" applyFont="1" applyBorder="1"/>
    <xf numFmtId="1" fontId="0" fillId="0" borderId="16" xfId="0" applyNumberFormat="1" applyBorder="1"/>
    <xf numFmtId="164" fontId="9" fillId="0" borderId="17" xfId="1" applyNumberFormat="1" applyFont="1" applyBorder="1"/>
    <xf numFmtId="164" fontId="0" fillId="0" borderId="17" xfId="1" applyNumberFormat="1" applyFont="1" applyBorder="1"/>
    <xf numFmtId="0" fontId="9" fillId="0" borderId="0" xfId="0" applyFont="1"/>
    <xf numFmtId="1" fontId="0" fillId="0" borderId="18" xfId="0" applyNumberFormat="1" applyBorder="1"/>
    <xf numFmtId="164" fontId="0" fillId="0" borderId="19" xfId="1" applyNumberFormat="1" applyFont="1" applyBorder="1"/>
    <xf numFmtId="1" fontId="0" fillId="0" borderId="4" xfId="0" applyNumberFormat="1" applyBorder="1"/>
    <xf numFmtId="164" fontId="0" fillId="6" borderId="4" xfId="1" applyNumberFormat="1" applyFont="1" applyFill="1" applyBorder="1"/>
    <xf numFmtId="164" fontId="0" fillId="5" borderId="4" xfId="1" applyNumberFormat="1" applyFont="1" applyFill="1" applyBorder="1"/>
    <xf numFmtId="164" fontId="0" fillId="0" borderId="4" xfId="1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0" fontId="6" fillId="0" borderId="4" xfId="0" applyFont="1" applyFill="1" applyBorder="1" applyAlignment="1">
      <alignment horizontal="center" vertical="center" wrapText="1"/>
    </xf>
    <xf numFmtId="43" fontId="0" fillId="0" borderId="4" xfId="1" applyNumberFormat="1" applyFont="1" applyFill="1" applyBorder="1"/>
    <xf numFmtId="43" fontId="2" fillId="0" borderId="6" xfId="1" applyNumberFormat="1" applyFont="1" applyFill="1" applyBorder="1"/>
    <xf numFmtId="43" fontId="0" fillId="0" borderId="0" xfId="0" applyNumberFormat="1"/>
    <xf numFmtId="2" fontId="0" fillId="0" borderId="0" xfId="0" applyNumberFormat="1" applyFill="1" applyBorder="1"/>
    <xf numFmtId="9" fontId="0" fillId="0" borderId="0" xfId="0" applyNumberFormat="1"/>
    <xf numFmtId="164" fontId="0" fillId="0" borderId="0" xfId="1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75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2" fontId="0" fillId="0" borderId="4" xfId="3" applyNumberFormat="1" applyFont="1" applyBorder="1" applyAlignment="1">
      <alignment horizontal="center" vertical="center" wrapText="1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25"/>
  <sheetViews>
    <sheetView workbookViewId="0">
      <selection activeCell="J19" sqref="J19"/>
    </sheetView>
  </sheetViews>
  <sheetFormatPr defaultRowHeight="15" x14ac:dyDescent="0.25"/>
  <cols>
    <col min="5" max="5" width="10.140625" bestFit="1" customWidth="1"/>
    <col min="6" max="6" width="14.5703125" hidden="1" customWidth="1"/>
    <col min="7" max="7" width="46.28515625" bestFit="1" customWidth="1"/>
    <col min="8" max="8" width="14.5703125" customWidth="1"/>
    <col min="9" max="10" width="16.5703125" customWidth="1"/>
  </cols>
  <sheetData>
    <row r="5" spans="4:10" x14ac:dyDescent="0.25">
      <c r="D5" s="37" t="s">
        <v>0</v>
      </c>
      <c r="E5" s="37" t="s">
        <v>57</v>
      </c>
      <c r="F5" s="37" t="s">
        <v>1</v>
      </c>
      <c r="G5" s="37" t="s">
        <v>55</v>
      </c>
      <c r="H5" s="37" t="s">
        <v>3</v>
      </c>
      <c r="I5" s="37" t="s">
        <v>54</v>
      </c>
      <c r="J5" s="37" t="s">
        <v>2</v>
      </c>
    </row>
    <row r="6" spans="4:10" x14ac:dyDescent="0.25">
      <c r="D6" s="38">
        <v>1</v>
      </c>
      <c r="E6" s="38" t="s">
        <v>58</v>
      </c>
      <c r="F6" s="38">
        <v>297.5</v>
      </c>
      <c r="G6" s="38" t="s">
        <v>9</v>
      </c>
      <c r="H6" s="38" t="s">
        <v>5</v>
      </c>
      <c r="I6" s="38">
        <v>3485</v>
      </c>
      <c r="J6" s="38">
        <v>74.375</v>
      </c>
    </row>
    <row r="7" spans="4:10" x14ac:dyDescent="0.25">
      <c r="D7" s="38">
        <v>2</v>
      </c>
      <c r="E7" s="38" t="s">
        <v>58</v>
      </c>
      <c r="F7" s="38">
        <v>297.5</v>
      </c>
      <c r="G7" s="38" t="s">
        <v>10</v>
      </c>
      <c r="H7" s="38" t="s">
        <v>4</v>
      </c>
      <c r="I7" s="38">
        <v>3486</v>
      </c>
      <c r="J7" s="38">
        <v>74.375</v>
      </c>
    </row>
    <row r="8" spans="4:10" x14ac:dyDescent="0.25">
      <c r="D8" s="38">
        <v>3</v>
      </c>
      <c r="E8" s="38" t="s">
        <v>59</v>
      </c>
      <c r="F8" s="38">
        <v>297.5</v>
      </c>
      <c r="G8" s="38" t="s">
        <v>8</v>
      </c>
      <c r="H8" s="38" t="s">
        <v>6</v>
      </c>
      <c r="I8" s="38">
        <v>1625</v>
      </c>
      <c r="J8" s="38">
        <v>96.706000000000003</v>
      </c>
    </row>
    <row r="9" spans="4:10" x14ac:dyDescent="0.25">
      <c r="D9" s="38">
        <v>4</v>
      </c>
      <c r="E9" s="38" t="s">
        <v>58</v>
      </c>
      <c r="F9" s="38">
        <v>297.5</v>
      </c>
      <c r="G9" s="38" t="s">
        <v>9</v>
      </c>
      <c r="H9" s="38" t="s">
        <v>7</v>
      </c>
      <c r="I9" s="38">
        <v>3333</v>
      </c>
      <c r="J9" s="38">
        <v>74.375</v>
      </c>
    </row>
    <row r="10" spans="4:10" x14ac:dyDescent="0.25">
      <c r="D10" s="38">
        <v>5</v>
      </c>
      <c r="E10" s="38" t="s">
        <v>58</v>
      </c>
      <c r="F10" s="38">
        <v>297.5</v>
      </c>
      <c r="G10" s="38" t="s">
        <v>10</v>
      </c>
      <c r="H10" s="38" t="s">
        <v>7</v>
      </c>
      <c r="I10" s="38">
        <v>3334</v>
      </c>
      <c r="J10" s="38">
        <v>74.375</v>
      </c>
    </row>
    <row r="11" spans="4:10" x14ac:dyDescent="0.25">
      <c r="D11" s="38">
        <v>6</v>
      </c>
      <c r="E11" s="38" t="s">
        <v>59</v>
      </c>
      <c r="F11" s="38">
        <v>297.5</v>
      </c>
      <c r="G11" s="38" t="s">
        <v>11</v>
      </c>
      <c r="H11" s="38" t="s">
        <v>5</v>
      </c>
      <c r="I11" s="38">
        <v>3377</v>
      </c>
      <c r="J11" s="38">
        <v>148.75</v>
      </c>
    </row>
    <row r="12" spans="4:10" x14ac:dyDescent="0.25">
      <c r="D12" s="49" t="s">
        <v>56</v>
      </c>
      <c r="E12" s="50"/>
      <c r="F12" s="50"/>
      <c r="G12" s="50"/>
      <c r="H12" s="50"/>
      <c r="I12" s="51"/>
      <c r="J12" s="39">
        <f>SUM(J6:J11)</f>
        <v>542.95600000000002</v>
      </c>
    </row>
    <row r="13" spans="4:10" x14ac:dyDescent="0.25">
      <c r="F13" t="s">
        <v>53</v>
      </c>
      <c r="J13" s="23">
        <f>J12*10.764</f>
        <v>5844.3783839999996</v>
      </c>
    </row>
    <row r="14" spans="4:10" ht="30" x14ac:dyDescent="0.25">
      <c r="I14" s="40" t="s">
        <v>60</v>
      </c>
      <c r="J14" s="41">
        <f>J12*0.55</f>
        <v>298.62580000000003</v>
      </c>
    </row>
    <row r="25" spans="8:8" x14ac:dyDescent="0.25">
      <c r="H25" t="s">
        <v>12</v>
      </c>
    </row>
  </sheetData>
  <mergeCells count="1">
    <mergeCell ref="D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T25"/>
  <sheetViews>
    <sheetView zoomScale="85" zoomScaleNormal="85" workbookViewId="0">
      <selection activeCell="C6" sqref="C6:T20"/>
    </sheetView>
  </sheetViews>
  <sheetFormatPr defaultRowHeight="15" x14ac:dyDescent="0.25"/>
  <cols>
    <col min="4" max="4" width="16" customWidth="1"/>
    <col min="6" max="6" width="11.7109375" customWidth="1"/>
    <col min="7" max="7" width="11.28515625" hidden="1" customWidth="1"/>
    <col min="10" max="10" width="15.28515625" hidden="1" customWidth="1"/>
    <col min="11" max="11" width="11" hidden="1" customWidth="1"/>
    <col min="12" max="14" width="9.140625" hidden="1" customWidth="1"/>
    <col min="16" max="16" width="13.42578125" hidden="1" customWidth="1"/>
    <col min="17" max="17" width="9.140625" hidden="1" customWidth="1"/>
    <col min="18" max="18" width="12.7109375" hidden="1" customWidth="1"/>
    <col min="19" max="19" width="9.140625" hidden="1" customWidth="1"/>
    <col min="20" max="20" width="15.42578125" customWidth="1"/>
  </cols>
  <sheetData>
    <row r="6" spans="3:20" ht="15.75" x14ac:dyDescent="0.25">
      <c r="C6" s="55" t="s">
        <v>77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7"/>
    </row>
    <row r="7" spans="3:20" ht="70.5" x14ac:dyDescent="0.25">
      <c r="C7" s="2" t="s">
        <v>13</v>
      </c>
      <c r="D7" s="2" t="s">
        <v>76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21</v>
      </c>
      <c r="M7" s="2" t="s">
        <v>22</v>
      </c>
      <c r="N7" s="2" t="s">
        <v>23</v>
      </c>
      <c r="O7" s="2" t="s">
        <v>24</v>
      </c>
      <c r="P7" s="2" t="s">
        <v>25</v>
      </c>
      <c r="Q7" s="2" t="s">
        <v>26</v>
      </c>
      <c r="R7" s="2" t="s">
        <v>27</v>
      </c>
      <c r="S7" s="2" t="s">
        <v>28</v>
      </c>
      <c r="T7" s="3" t="s">
        <v>29</v>
      </c>
    </row>
    <row r="8" spans="3:20" x14ac:dyDescent="0.25">
      <c r="C8" s="4">
        <v>1</v>
      </c>
      <c r="D8" s="68" t="s">
        <v>72</v>
      </c>
      <c r="E8" s="5" t="s">
        <v>61</v>
      </c>
      <c r="F8" s="70">
        <v>11237.185439999999</v>
      </c>
      <c r="G8" s="43">
        <f>F8/10.764</f>
        <v>1043.96</v>
      </c>
      <c r="H8" s="71">
        <v>8</v>
      </c>
      <c r="I8" s="72">
        <v>2010</v>
      </c>
      <c r="J8" s="7">
        <v>2025</v>
      </c>
      <c r="K8" s="7">
        <f t="shared" ref="K8:K14" si="0">J8-I8</f>
        <v>15</v>
      </c>
      <c r="L8" s="42">
        <v>65</v>
      </c>
      <c r="M8" s="8">
        <v>0.1</v>
      </c>
      <c r="N8" s="9">
        <f t="shared" ref="N8:N14" si="1">(1-M8)/L8</f>
        <v>1.3846153846153847E-2</v>
      </c>
      <c r="O8" s="73">
        <v>1400</v>
      </c>
      <c r="P8" s="10">
        <f>O8*F8</f>
        <v>15732059.615999999</v>
      </c>
      <c r="Q8" s="11">
        <f t="shared" ref="Q8:Q14" si="2">N8*K8</f>
        <v>0.2076923076923077</v>
      </c>
      <c r="R8" s="12">
        <f t="shared" ref="R8:R14" si="3">P8*Q8</f>
        <v>3267427.7664000001</v>
      </c>
      <c r="S8" s="13">
        <v>0</v>
      </c>
      <c r="T8" s="14">
        <f t="shared" ref="T8:T14" si="4">(P8-R8)*(1-S8)</f>
        <v>12464631.849599998</v>
      </c>
    </row>
    <row r="9" spans="3:20" x14ac:dyDescent="0.25">
      <c r="C9" s="4">
        <v>2</v>
      </c>
      <c r="D9" s="68" t="s">
        <v>63</v>
      </c>
      <c r="E9" s="5" t="s">
        <v>61</v>
      </c>
      <c r="F9" s="70">
        <v>10970.022959999998</v>
      </c>
      <c r="G9" s="43">
        <f t="shared" ref="G9:G14" si="5">F9/10.764</f>
        <v>1019.1399999999999</v>
      </c>
      <c r="H9" s="71">
        <v>20</v>
      </c>
      <c r="I9" s="72">
        <v>2010</v>
      </c>
      <c r="J9" s="7">
        <v>2025</v>
      </c>
      <c r="K9" s="7">
        <f t="shared" si="0"/>
        <v>15</v>
      </c>
      <c r="L9" s="42">
        <v>65</v>
      </c>
      <c r="M9" s="8">
        <v>0.1</v>
      </c>
      <c r="N9" s="9">
        <f t="shared" si="1"/>
        <v>1.3846153846153847E-2</v>
      </c>
      <c r="O9" s="73">
        <v>1800</v>
      </c>
      <c r="P9" s="10">
        <f t="shared" ref="P9:P14" si="6">O9*F9</f>
        <v>19746041.327999998</v>
      </c>
      <c r="Q9" s="11">
        <f t="shared" si="2"/>
        <v>0.2076923076923077</v>
      </c>
      <c r="R9" s="12">
        <f t="shared" si="3"/>
        <v>4101100.8912</v>
      </c>
      <c r="S9" s="13">
        <v>0</v>
      </c>
      <c r="T9" s="14">
        <f t="shared" si="4"/>
        <v>15644940.436799997</v>
      </c>
    </row>
    <row r="10" spans="3:20" x14ac:dyDescent="0.25">
      <c r="C10" s="4">
        <v>3</v>
      </c>
      <c r="D10" s="68" t="s">
        <v>64</v>
      </c>
      <c r="E10" s="5" t="s">
        <v>61</v>
      </c>
      <c r="F10" s="70">
        <v>2764.94868</v>
      </c>
      <c r="G10" s="43">
        <f t="shared" si="5"/>
        <v>256.87</v>
      </c>
      <c r="H10" s="71">
        <v>15</v>
      </c>
      <c r="I10" s="72">
        <v>2010</v>
      </c>
      <c r="J10" s="7">
        <v>2025</v>
      </c>
      <c r="K10" s="7">
        <f t="shared" si="0"/>
        <v>15</v>
      </c>
      <c r="L10" s="42">
        <v>65</v>
      </c>
      <c r="M10" s="8">
        <v>0.1</v>
      </c>
      <c r="N10" s="9">
        <f t="shared" si="1"/>
        <v>1.3846153846153847E-2</v>
      </c>
      <c r="O10" s="73">
        <v>1600</v>
      </c>
      <c r="P10" s="10">
        <f t="shared" si="6"/>
        <v>4423917.8880000003</v>
      </c>
      <c r="Q10" s="11">
        <f t="shared" si="2"/>
        <v>0.2076923076923077</v>
      </c>
      <c r="R10" s="12">
        <f t="shared" si="3"/>
        <v>918813.71520000009</v>
      </c>
      <c r="S10" s="13">
        <v>0</v>
      </c>
      <c r="T10" s="14">
        <f t="shared" si="4"/>
        <v>3505104.1728000003</v>
      </c>
    </row>
    <row r="11" spans="3:20" x14ac:dyDescent="0.25">
      <c r="C11" s="4">
        <v>4</v>
      </c>
      <c r="D11" s="68" t="s">
        <v>65</v>
      </c>
      <c r="E11" s="5" t="s">
        <v>61</v>
      </c>
      <c r="F11" s="70">
        <v>2764.94868</v>
      </c>
      <c r="G11" s="43">
        <f t="shared" si="5"/>
        <v>256.87</v>
      </c>
      <c r="H11" s="71">
        <v>10</v>
      </c>
      <c r="I11" s="72">
        <v>2010</v>
      </c>
      <c r="J11" s="7">
        <v>2025</v>
      </c>
      <c r="K11" s="7">
        <f t="shared" si="0"/>
        <v>15</v>
      </c>
      <c r="L11" s="42">
        <v>65</v>
      </c>
      <c r="M11" s="8">
        <v>0.1</v>
      </c>
      <c r="N11" s="9">
        <f t="shared" si="1"/>
        <v>1.3846153846153847E-2</v>
      </c>
      <c r="O11" s="73">
        <v>1600</v>
      </c>
      <c r="P11" s="10">
        <f t="shared" si="6"/>
        <v>4423917.8880000003</v>
      </c>
      <c r="Q11" s="11">
        <f t="shared" si="2"/>
        <v>0.2076923076923077</v>
      </c>
      <c r="R11" s="12">
        <f t="shared" si="3"/>
        <v>918813.71520000009</v>
      </c>
      <c r="S11" s="13">
        <v>0</v>
      </c>
      <c r="T11" s="14">
        <f t="shared" si="4"/>
        <v>3505104.1728000003</v>
      </c>
    </row>
    <row r="12" spans="3:20" x14ac:dyDescent="0.25">
      <c r="C12" s="4">
        <v>5</v>
      </c>
      <c r="D12" s="68" t="s">
        <v>73</v>
      </c>
      <c r="E12" s="5" t="s">
        <v>61</v>
      </c>
      <c r="F12" s="70">
        <v>7039.8712799999994</v>
      </c>
      <c r="G12" s="43">
        <f t="shared" si="5"/>
        <v>654.02</v>
      </c>
      <c r="H12" s="71">
        <v>10</v>
      </c>
      <c r="I12" s="72">
        <v>2010</v>
      </c>
      <c r="J12" s="7">
        <v>2025</v>
      </c>
      <c r="K12" s="7">
        <f t="shared" si="0"/>
        <v>15</v>
      </c>
      <c r="L12" s="42">
        <v>65</v>
      </c>
      <c r="M12" s="8">
        <v>0.1</v>
      </c>
      <c r="N12" s="9">
        <f t="shared" si="1"/>
        <v>1.3846153846153847E-2</v>
      </c>
      <c r="O12" s="73">
        <v>1600</v>
      </c>
      <c r="P12" s="10">
        <f t="shared" si="6"/>
        <v>11263794.047999999</v>
      </c>
      <c r="Q12" s="11">
        <f t="shared" si="2"/>
        <v>0.2076923076923077</v>
      </c>
      <c r="R12" s="12">
        <f t="shared" si="3"/>
        <v>2339403.3791999999</v>
      </c>
      <c r="S12" s="13">
        <v>0</v>
      </c>
      <c r="T12" s="14">
        <f t="shared" si="4"/>
        <v>8924390.6687999982</v>
      </c>
    </row>
    <row r="13" spans="3:20" x14ac:dyDescent="0.25">
      <c r="C13" s="4">
        <v>6</v>
      </c>
      <c r="D13" s="69" t="s">
        <v>74</v>
      </c>
      <c r="E13" s="5" t="s">
        <v>61</v>
      </c>
      <c r="F13" s="70">
        <v>7039.8712799999994</v>
      </c>
      <c r="G13" s="43">
        <f t="shared" ref="G13:G14" si="7">F13/10.764</f>
        <v>654.02</v>
      </c>
      <c r="H13" s="71">
        <v>10</v>
      </c>
      <c r="I13" s="72">
        <v>2010</v>
      </c>
      <c r="J13" s="7">
        <v>2025</v>
      </c>
      <c r="K13" s="7">
        <f t="shared" ref="K13:K14" si="8">J13-I13</f>
        <v>15</v>
      </c>
      <c r="L13" s="42">
        <v>65</v>
      </c>
      <c r="M13" s="8">
        <v>0.1</v>
      </c>
      <c r="N13" s="9">
        <f t="shared" ref="N13:N14" si="9">(1-M13)/L13</f>
        <v>1.3846153846153847E-2</v>
      </c>
      <c r="O13" s="73">
        <v>1600</v>
      </c>
      <c r="P13" s="10">
        <f t="shared" ref="P13:P14" si="10">O13*F13</f>
        <v>11263794.047999999</v>
      </c>
      <c r="Q13" s="11">
        <f t="shared" ref="Q13:Q14" si="11">N13*K13</f>
        <v>0.2076923076923077</v>
      </c>
      <c r="R13" s="12">
        <f t="shared" ref="R13:R14" si="12">P13*Q13</f>
        <v>2339403.3791999999</v>
      </c>
      <c r="S13" s="13">
        <v>0</v>
      </c>
      <c r="T13" s="14">
        <f t="shared" ref="T13:T14" si="13">(P13-R13)*(1-S13)</f>
        <v>8924390.6687999982</v>
      </c>
    </row>
    <row r="14" spans="3:20" x14ac:dyDescent="0.25">
      <c r="C14" s="4">
        <v>7</v>
      </c>
      <c r="D14" s="69" t="s">
        <v>75</v>
      </c>
      <c r="E14" s="5" t="s">
        <v>61</v>
      </c>
      <c r="F14" s="70">
        <v>7039.8712799999994</v>
      </c>
      <c r="G14" s="43">
        <f t="shared" si="7"/>
        <v>654.02</v>
      </c>
      <c r="H14" s="71">
        <v>10</v>
      </c>
      <c r="I14" s="72">
        <v>2010</v>
      </c>
      <c r="J14" s="7">
        <v>2025</v>
      </c>
      <c r="K14" s="7">
        <f t="shared" si="8"/>
        <v>15</v>
      </c>
      <c r="L14" s="42">
        <v>65</v>
      </c>
      <c r="M14" s="8">
        <v>0.1</v>
      </c>
      <c r="N14" s="9">
        <f t="shared" si="9"/>
        <v>1.3846153846153847E-2</v>
      </c>
      <c r="O14" s="73">
        <v>1600</v>
      </c>
      <c r="P14" s="10">
        <f t="shared" si="10"/>
        <v>11263794.047999999</v>
      </c>
      <c r="Q14" s="11">
        <f t="shared" si="11"/>
        <v>0.2076923076923077</v>
      </c>
      <c r="R14" s="12">
        <f t="shared" si="12"/>
        <v>2339403.3791999999</v>
      </c>
      <c r="S14" s="13">
        <v>0</v>
      </c>
      <c r="T14" s="14">
        <f t="shared" si="13"/>
        <v>8924390.6687999982</v>
      </c>
    </row>
    <row r="15" spans="3:20" x14ac:dyDescent="0.25">
      <c r="C15" s="4"/>
      <c r="D15" s="15"/>
      <c r="E15" s="15"/>
      <c r="F15" s="18">
        <f>SUM(F8:F14)</f>
        <v>48856.719599999997</v>
      </c>
      <c r="G15" s="44">
        <f t="shared" ref="G15" si="14">F15/10.764</f>
        <v>4538.8999999999996</v>
      </c>
      <c r="H15" s="16"/>
      <c r="I15" s="17"/>
      <c r="J15" s="16"/>
      <c r="K15" s="16"/>
      <c r="L15" s="16"/>
      <c r="M15" s="16"/>
      <c r="N15" s="16"/>
      <c r="O15" s="16"/>
      <c r="P15" s="18">
        <f>SUM(P8:P14)</f>
        <v>78117318.863999993</v>
      </c>
      <c r="Q15" s="18"/>
      <c r="R15" s="18"/>
      <c r="S15" s="18"/>
      <c r="T15" s="19">
        <f>SUM(T8:T14)</f>
        <v>61892952.638399988</v>
      </c>
    </row>
    <row r="16" spans="3:20" x14ac:dyDescent="0.25">
      <c r="C16" s="58" t="s">
        <v>30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/>
    </row>
    <row r="17" spans="3:20" ht="29.25" customHeight="1" x14ac:dyDescent="0.25">
      <c r="C17" s="61" t="s">
        <v>82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</row>
    <row r="18" spans="3:20" x14ac:dyDescent="0.25">
      <c r="C18" s="61" t="s">
        <v>83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</row>
    <row r="19" spans="3:20" x14ac:dyDescent="0.25">
      <c r="C19" s="61" t="s">
        <v>31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</row>
    <row r="20" spans="3:20" x14ac:dyDescent="0.25">
      <c r="C20" s="52" t="s">
        <v>78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4"/>
    </row>
    <row r="21" spans="3:20" x14ac:dyDescent="0.25">
      <c r="L21" t="s">
        <v>80</v>
      </c>
      <c r="M21" t="s">
        <v>81</v>
      </c>
    </row>
    <row r="22" spans="3:20" x14ac:dyDescent="0.25">
      <c r="J22" t="s">
        <v>61</v>
      </c>
      <c r="K22" s="45">
        <f>SUM(G9:G14)</f>
        <v>3494.9399999999996</v>
      </c>
      <c r="L22" s="45">
        <f>K22/values!B7</f>
        <v>0.87549367353735219</v>
      </c>
      <c r="M22" s="45">
        <f>G9/values!B7</f>
        <v>0.25529783700116659</v>
      </c>
    </row>
    <row r="23" spans="3:20" x14ac:dyDescent="0.25">
      <c r="J23" t="s">
        <v>62</v>
      </c>
      <c r="K23" s="45"/>
    </row>
    <row r="24" spans="3:20" x14ac:dyDescent="0.25">
      <c r="J24" s="1"/>
    </row>
    <row r="25" spans="3:20" x14ac:dyDescent="0.25">
      <c r="J25" s="1"/>
    </row>
  </sheetData>
  <mergeCells count="6">
    <mergeCell ref="C20:T20"/>
    <mergeCell ref="C6:T6"/>
    <mergeCell ref="C16:T16"/>
    <mergeCell ref="C17:T17"/>
    <mergeCell ref="C18:T18"/>
    <mergeCell ref="C19:T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8"/>
  <sheetViews>
    <sheetView tabSelected="1" zoomScale="145" zoomScaleNormal="145" workbookViewId="0">
      <selection activeCell="I12" sqref="I12"/>
    </sheetView>
  </sheetViews>
  <sheetFormatPr defaultRowHeight="15" x14ac:dyDescent="0.25"/>
  <cols>
    <col min="2" max="2" width="14" customWidth="1"/>
    <col min="3" max="3" width="14.28515625" customWidth="1"/>
    <col min="4" max="4" width="17.85546875" customWidth="1"/>
    <col min="6" max="6" width="17" customWidth="1"/>
    <col min="9" max="9" width="14.85546875" customWidth="1"/>
    <col min="10" max="10" width="14.140625" customWidth="1"/>
    <col min="12" max="12" width="13.7109375" customWidth="1"/>
  </cols>
  <sheetData>
    <row r="3" spans="2:17" ht="15.75" thickBot="1" x14ac:dyDescent="0.3"/>
    <row r="4" spans="2:17" ht="15.75" thickBot="1" x14ac:dyDescent="0.3">
      <c r="B4" s="64" t="s">
        <v>32</v>
      </c>
      <c r="C4" s="65"/>
      <c r="D4" s="66"/>
      <c r="F4" s="6"/>
      <c r="G4" s="6"/>
      <c r="H4" s="6" t="s">
        <v>45</v>
      </c>
      <c r="I4" s="6" t="s">
        <v>35</v>
      </c>
      <c r="J4" s="23"/>
      <c r="K4" s="23"/>
      <c r="L4" s="23"/>
    </row>
    <row r="5" spans="2:17" x14ac:dyDescent="0.25">
      <c r="B5" s="20" t="s">
        <v>33</v>
      </c>
      <c r="C5" s="21" t="s">
        <v>34</v>
      </c>
      <c r="D5" s="22" t="s">
        <v>35</v>
      </c>
      <c r="F5" s="6" t="s">
        <v>46</v>
      </c>
      <c r="G5" s="6">
        <v>23000</v>
      </c>
      <c r="H5" s="6">
        <f>B7</f>
        <v>3991.9648829431444</v>
      </c>
      <c r="I5" s="35">
        <f>H5*G5</f>
        <v>91815192.307692319</v>
      </c>
      <c r="J5" s="6" t="s">
        <v>47</v>
      </c>
      <c r="K5" s="6" t="s">
        <v>48</v>
      </c>
      <c r="L5" s="6" t="s">
        <v>49</v>
      </c>
    </row>
    <row r="6" spans="2:17" ht="15.75" thickBot="1" x14ac:dyDescent="0.3">
      <c r="B6" s="41">
        <v>4774.3900000000003</v>
      </c>
      <c r="C6" s="48">
        <v>65000</v>
      </c>
      <c r="D6" s="24">
        <f>C6*B6</f>
        <v>310335350</v>
      </c>
      <c r="F6" s="6" t="s">
        <v>67</v>
      </c>
      <c r="G6" s="6">
        <v>12000</v>
      </c>
      <c r="H6" s="6">
        <f>'Building calculation'!G15</f>
        <v>4538.8999999999996</v>
      </c>
      <c r="I6" s="33">
        <f t="shared" ref="I6:I7" si="0">H6*G6</f>
        <v>54466799.999999993</v>
      </c>
      <c r="J6" s="33">
        <f>I6+I7</f>
        <v>54466799.999999993</v>
      </c>
      <c r="K6" s="6">
        <v>0.86</v>
      </c>
      <c r="L6" s="34">
        <f>J6*K6</f>
        <v>46841447.999999993</v>
      </c>
    </row>
    <row r="7" spans="2:17" x14ac:dyDescent="0.25">
      <c r="B7" s="67">
        <f>B6*9/10.764</f>
        <v>3991.9648829431444</v>
      </c>
      <c r="C7" s="23" t="s">
        <v>79</v>
      </c>
      <c r="D7" s="23"/>
      <c r="F7" s="6" t="s">
        <v>66</v>
      </c>
      <c r="G7" s="6"/>
      <c r="H7" s="6">
        <f>'Building calculation'!K23</f>
        <v>0</v>
      </c>
      <c r="I7" s="33">
        <f t="shared" si="0"/>
        <v>0</v>
      </c>
      <c r="J7" s="23"/>
      <c r="K7" s="23"/>
      <c r="L7" s="23"/>
    </row>
    <row r="8" spans="2:17" ht="15.75" thickBot="1" x14ac:dyDescent="0.3">
      <c r="B8" s="23"/>
      <c r="C8" s="23"/>
      <c r="D8" s="23"/>
      <c r="F8" s="6"/>
      <c r="G8" s="6"/>
      <c r="H8" s="6"/>
      <c r="I8" s="33">
        <f>SUM(I5:I7)</f>
        <v>146281992.30769232</v>
      </c>
      <c r="J8" s="23"/>
      <c r="K8" s="23"/>
      <c r="L8" s="23"/>
    </row>
    <row r="9" spans="2:17" x14ac:dyDescent="0.25">
      <c r="B9" s="25" t="s">
        <v>36</v>
      </c>
      <c r="C9" s="26">
        <f>D6</f>
        <v>310335350</v>
      </c>
      <c r="D9" s="23"/>
      <c r="F9" s="23"/>
      <c r="G9" s="23"/>
      <c r="H9" s="23"/>
      <c r="I9" s="23"/>
      <c r="J9" s="23"/>
      <c r="K9" s="23"/>
      <c r="L9" s="23"/>
    </row>
    <row r="10" spans="2:17" x14ac:dyDescent="0.25">
      <c r="B10" s="27" t="s">
        <v>37</v>
      </c>
      <c r="C10" s="28">
        <f>'Building calculation'!T15</f>
        <v>61892952.638399988</v>
      </c>
      <c r="D10" s="23"/>
      <c r="F10" s="23"/>
      <c r="G10" s="23"/>
      <c r="H10" s="6" t="s">
        <v>50</v>
      </c>
      <c r="I10" s="35">
        <f>I5</f>
        <v>91815192.307692319</v>
      </c>
      <c r="J10" s="23"/>
      <c r="K10" s="23">
        <v>20000</v>
      </c>
      <c r="L10" s="23">
        <f>K10*(1+0.15)</f>
        <v>23000</v>
      </c>
    </row>
    <row r="11" spans="2:17" x14ac:dyDescent="0.25">
      <c r="B11" s="27" t="s">
        <v>38</v>
      </c>
      <c r="C11" s="28">
        <v>10000000</v>
      </c>
      <c r="D11" s="23"/>
      <c r="F11" s="23"/>
      <c r="G11" s="23"/>
      <c r="H11" s="6" t="s">
        <v>51</v>
      </c>
      <c r="I11" s="34">
        <f>L6</f>
        <v>46841447.999999993</v>
      </c>
      <c r="J11" s="23"/>
      <c r="K11" s="23"/>
      <c r="L11" s="23"/>
    </row>
    <row r="12" spans="2:17" x14ac:dyDescent="0.25">
      <c r="B12" s="27" t="s">
        <v>39</v>
      </c>
      <c r="C12" s="30"/>
      <c r="D12" s="23"/>
      <c r="F12" s="23"/>
      <c r="G12" s="23"/>
      <c r="H12" s="6" t="s">
        <v>52</v>
      </c>
      <c r="I12" s="36">
        <f>SUM(I10:I11)</f>
        <v>138656640.30769232</v>
      </c>
      <c r="J12" s="23"/>
      <c r="K12" s="23"/>
      <c r="L12" s="23"/>
    </row>
    <row r="13" spans="2:17" x14ac:dyDescent="0.25">
      <c r="B13" s="27" t="s">
        <v>40</v>
      </c>
      <c r="C13" s="29">
        <f>SUM(C9:C12)</f>
        <v>382228302.63839996</v>
      </c>
      <c r="D13" s="23"/>
    </row>
    <row r="14" spans="2:17" x14ac:dyDescent="0.25">
      <c r="B14" s="27" t="s">
        <v>41</v>
      </c>
      <c r="C14" s="29">
        <f>ROUND(C13,-5)</f>
        <v>382200000</v>
      </c>
      <c r="D14" s="23"/>
      <c r="Q14">
        <v>20000</v>
      </c>
    </row>
    <row r="15" spans="2:17" x14ac:dyDescent="0.25">
      <c r="B15" s="27" t="s">
        <v>42</v>
      </c>
      <c r="C15" s="29">
        <f>0.85*C14</f>
        <v>324870000</v>
      </c>
      <c r="D15" s="23"/>
      <c r="F15" t="s">
        <v>68</v>
      </c>
      <c r="G15" t="s">
        <v>69</v>
      </c>
      <c r="H15" s="46" t="s">
        <v>70</v>
      </c>
      <c r="I15" t="s">
        <v>71</v>
      </c>
      <c r="Q15">
        <f>Q14*10.764</f>
        <v>215280</v>
      </c>
    </row>
    <row r="16" spans="2:17" x14ac:dyDescent="0.25">
      <c r="B16" s="27" t="s">
        <v>43</v>
      </c>
      <c r="C16" s="29">
        <f>0.75*C14</f>
        <v>286650000</v>
      </c>
      <c r="D16" s="23"/>
      <c r="F16">
        <v>7000</v>
      </c>
      <c r="H16" s="47">
        <v>0.1</v>
      </c>
      <c r="I16">
        <f>F16*(1+G16-H16)</f>
        <v>6300</v>
      </c>
    </row>
    <row r="17" spans="2:9" ht="15.75" thickBot="1" x14ac:dyDescent="0.3">
      <c r="B17" s="31" t="s">
        <v>44</v>
      </c>
      <c r="C17" s="32">
        <f>values!C10*0.75</f>
        <v>46419714.478799991</v>
      </c>
      <c r="D17" s="23"/>
    </row>
    <row r="18" spans="2:9" x14ac:dyDescent="0.25">
      <c r="G18">
        <v>3458</v>
      </c>
      <c r="H18">
        <v>3500</v>
      </c>
      <c r="I18" s="41">
        <f>G18*H18</f>
        <v>12103000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Details</vt:lpstr>
      <vt:lpstr>Building calculation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2025-02-01T13:27:11Z</dcterms:modified>
</cp:coreProperties>
</file>