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010F819F-CACB-4C91-8427-782038D681D8}" xr6:coauthVersionLast="47" xr6:coauthVersionMax="47" xr10:uidLastSave="{00000000-0000-0000-0000-000000000000}"/>
  <bookViews>
    <workbookView xWindow="-120" yWindow="-120" windowWidth="24240" windowHeight="13020" firstSheet="1" activeTab="2" xr2:uid="{00000000-000D-0000-FFFF-FFFF00000000}"/>
  </bookViews>
  <sheets>
    <sheet name="sheet1" sheetId="10" state="hidden" r:id="rId1"/>
    <sheet name="Assumption" sheetId="16" r:id="rId2"/>
    <sheet name="Project Cost" sheetId="1" r:id="rId3"/>
    <sheet name="Project Details" sheetId="4" r:id="rId4"/>
    <sheet name="Proj P&amp;L" sheetId="15" r:id="rId5"/>
    <sheet name="Ratio Analysis" sheetId="24" r:id="rId6"/>
    <sheet name="Breakeven &amp; Sensitivity" sheetId="26" r:id="rId7"/>
    <sheet name="Balance Sheet" sheetId="22" r:id="rId8"/>
    <sheet name="Cash Flow" sheetId="23" r:id="rId9"/>
    <sheet name="IRR" sheetId="25" r:id="rId10"/>
    <sheet name="Dep" sheetId="3" r:id="rId11"/>
    <sheet name="Pre opreating" sheetId="18" r:id="rId12"/>
    <sheet name="Repayment" sheetId="17" r:id="rId13"/>
  </sheets>
  <externalReferences>
    <externalReference r:id="rId14"/>
    <externalReference r:id="rId15"/>
  </externalReferences>
  <definedNames>
    <definedName name="__123Graph_A" hidden="1">#REF!</definedName>
    <definedName name="__123Graph_B" hidden="1">#REF!</definedName>
    <definedName name="__xlnm.Print_Area_2">#REF!</definedName>
    <definedName name="A">#REF!</definedName>
    <definedName name="Completion_date">#REF!</definedName>
    <definedName name="construction_period">#REF!</definedName>
    <definedName name="Interest_Rate">Repayment!$F$5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an_Amount">Repayment!$F$3</definedName>
    <definedName name="Loan_Start">Repayment!$F$10</definedName>
    <definedName name="Loan_Years">Repayment!$F$6</definedName>
    <definedName name="Monthly_Payment">#N/A</definedName>
    <definedName name="Number_of_Payments">Repayment!#REF!</definedName>
    <definedName name="_xlnm.Print_Area" localSheetId="7">'Balance Sheet'!$A$1:$L$33</definedName>
    <definedName name="_xlnm.Print_Area" localSheetId="8">'Cash Flow'!$A$1:$L$28</definedName>
    <definedName name="_xlnm.Print_Area" localSheetId="9">IRR!$A$1:$R$50</definedName>
    <definedName name="_xlnm.Print_Area" localSheetId="5">'Ratio Analysis'!$A$1:$W$119</definedName>
    <definedName name="_xlnm.Print_Area">#REF!</definedName>
    <definedName name="PRINT_AREA_MI">#REF!</definedName>
    <definedName name="start_date">#REF!</definedName>
    <definedName name="Values_Entered">IF(Loan_Amount*Interest_Rate*Loan_Years*Loan_Start&gt;0,1,0)</definedName>
  </definedNames>
  <calcPr calcId="191029"/>
</workbook>
</file>

<file path=xl/calcChain.xml><?xml version="1.0" encoding="utf-8"?>
<calcChain xmlns="http://schemas.openxmlformats.org/spreadsheetml/2006/main">
  <c r="B9" i="1" l="1"/>
  <c r="C5" i="3"/>
  <c r="C6" i="3"/>
  <c r="C4" i="3"/>
  <c r="O18" i="18" l="1"/>
  <c r="C10" i="1"/>
  <c r="C11" i="1"/>
  <c r="C12" i="1"/>
  <c r="C13" i="1"/>
  <c r="C14" i="1"/>
  <c r="C9" i="1"/>
  <c r="C8" i="1"/>
  <c r="B16" i="1"/>
  <c r="D13" i="1"/>
  <c r="B44" i="16"/>
  <c r="I15" i="16"/>
  <c r="F9" i="16"/>
  <c r="E14" i="16"/>
  <c r="E13" i="16"/>
  <c r="E12" i="16"/>
  <c r="E11" i="16"/>
  <c r="E10" i="16"/>
  <c r="E9" i="16"/>
  <c r="E8" i="16"/>
  <c r="E7" i="16"/>
  <c r="E4" i="16"/>
  <c r="K40" i="26"/>
  <c r="K39" i="26"/>
  <c r="K38" i="26"/>
  <c r="K37" i="26"/>
  <c r="H7" i="17"/>
  <c r="B34" i="16"/>
  <c r="J32" i="1"/>
  <c r="I24" i="1"/>
  <c r="I28" i="1"/>
  <c r="I27" i="1"/>
  <c r="I26" i="1"/>
  <c r="I25" i="1"/>
  <c r="J29" i="1"/>
  <c r="H29" i="1"/>
  <c r="C34" i="1"/>
  <c r="C24" i="1"/>
  <c r="J24" i="18"/>
  <c r="J23" i="18"/>
  <c r="B35" i="16"/>
  <c r="C8" i="16"/>
  <c r="C9" i="16"/>
  <c r="E105" i="17"/>
  <c r="J101" i="17"/>
  <c r="B43" i="16"/>
  <c r="B42" i="16"/>
  <c r="D24" i="4"/>
  <c r="J46" i="17"/>
  <c r="A115" i="17"/>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B115" i="17"/>
  <c r="B116" i="17"/>
  <c r="B117" i="17" s="1"/>
  <c r="B118" i="17" s="1"/>
  <c r="B119" i="17" s="1"/>
  <c r="B120" i="17" s="1"/>
  <c r="B121" i="17" s="1"/>
  <c r="B122" i="17" s="1"/>
  <c r="B123" i="17" s="1"/>
  <c r="B124" i="17" s="1"/>
  <c r="B125" i="17" s="1"/>
  <c r="B126" i="17" s="1"/>
  <c r="B127" i="17" s="1"/>
  <c r="B128" i="17" s="1"/>
  <c r="B129" i="17" s="1"/>
  <c r="B130" i="17" s="1"/>
  <c r="B131" i="17" s="1"/>
  <c r="B132" i="17" s="1"/>
  <c r="B133" i="17" s="1"/>
  <c r="B134" i="17" s="1"/>
  <c r="B135" i="17" s="1"/>
  <c r="X8" i="17"/>
  <c r="W13" i="17"/>
  <c r="W12" i="17"/>
  <c r="W11" i="17"/>
  <c r="W10" i="17"/>
  <c r="W9" i="17"/>
  <c r="W8" i="17"/>
  <c r="C11" i="16"/>
  <c r="C12" i="16"/>
  <c r="C13" i="16"/>
  <c r="C10" i="16"/>
  <c r="C7" i="16"/>
  <c r="F7" i="23"/>
  <c r="G7" i="23"/>
  <c r="H7" i="23"/>
  <c r="I7" i="23"/>
  <c r="J7" i="23"/>
  <c r="K7" i="23"/>
  <c r="B7" i="23"/>
  <c r="D14" i="1"/>
  <c r="C16" i="1" l="1"/>
  <c r="I29" i="1"/>
  <c r="I31" i="1" s="1"/>
  <c r="X9" i="17"/>
  <c r="X10" i="17" s="1"/>
  <c r="X11" i="17" s="1"/>
  <c r="X12" i="17" s="1"/>
  <c r="X13" i="17" s="1"/>
  <c r="X14" i="17" s="1"/>
  <c r="B39" i="16"/>
  <c r="AA18" i="17" l="1"/>
  <c r="AA16" i="17" s="1"/>
  <c r="D16" i="1"/>
  <c r="B23" i="16"/>
  <c r="B51" i="16"/>
  <c r="B30" i="22" l="1"/>
  <c r="J6" i="4" l="1"/>
  <c r="I6" i="4"/>
  <c r="H6" i="4"/>
  <c r="G6" i="4"/>
  <c r="F6" i="4"/>
  <c r="E6" i="4"/>
  <c r="D6" i="4"/>
  <c r="B50" i="15"/>
  <c r="G37" i="25"/>
  <c r="E10" i="4" l="1"/>
  <c r="E11" i="4"/>
  <c r="E8" i="4"/>
  <c r="I8" i="4"/>
  <c r="I11" i="4"/>
  <c r="I10" i="4"/>
  <c r="F8" i="15"/>
  <c r="F11" i="4"/>
  <c r="F10" i="4"/>
  <c r="F8" i="4"/>
  <c r="J8" i="4"/>
  <c r="J10" i="4"/>
  <c r="J11" i="4"/>
  <c r="G11" i="4"/>
  <c r="G10" i="4"/>
  <c r="G8" i="4"/>
  <c r="H8" i="15"/>
  <c r="H10" i="4"/>
  <c r="H11" i="4"/>
  <c r="H8" i="4"/>
  <c r="F7" i="26"/>
  <c r="D8" i="15"/>
  <c r="E8" i="15"/>
  <c r="G7" i="26"/>
  <c r="I7" i="26"/>
  <c r="K7" i="26"/>
  <c r="I8" i="15"/>
  <c r="L7" i="26"/>
  <c r="J8" i="15"/>
  <c r="G8" i="15"/>
  <c r="H7" i="26"/>
  <c r="J7" i="26"/>
  <c r="C15" i="15" l="1"/>
  <c r="E37" i="15"/>
  <c r="D37" i="15"/>
  <c r="A44" i="4"/>
  <c r="C16" i="15"/>
  <c r="E24" i="4" l="1"/>
  <c r="F22" i="26"/>
  <c r="B20" i="16"/>
  <c r="B24" i="16"/>
  <c r="B25" i="16" s="1"/>
  <c r="B29" i="16"/>
  <c r="B30" i="16" s="1"/>
  <c r="C17" i="25"/>
  <c r="D17" i="25" s="1"/>
  <c r="E17" i="25" s="1"/>
  <c r="F17" i="25" s="1"/>
  <c r="G17" i="25" s="1"/>
  <c r="H17" i="25" s="1"/>
  <c r="I17" i="25" s="1"/>
  <c r="J17" i="25" s="1"/>
  <c r="B3" i="3"/>
  <c r="E3" i="3" s="1"/>
  <c r="E9" i="23"/>
  <c r="E19" i="25"/>
  <c r="D19" i="25"/>
  <c r="G8" i="17"/>
  <c r="H9" i="17"/>
  <c r="B100" i="24"/>
  <c r="B99" i="24"/>
  <c r="B98" i="24"/>
  <c r="B95" i="24"/>
  <c r="B13" i="24"/>
  <c r="B1" i="24"/>
  <c r="N40" i="15"/>
  <c r="N39" i="15"/>
  <c r="O39" i="15" s="1"/>
  <c r="M39" i="15"/>
  <c r="M40" i="15" s="1"/>
  <c r="M9" i="23"/>
  <c r="B9" i="23"/>
  <c r="B23" i="23"/>
  <c r="C21" i="23" s="1"/>
  <c r="D48" i="15"/>
  <c r="D49" i="15"/>
  <c r="D15" i="3" l="1"/>
  <c r="H15" i="3"/>
  <c r="C15" i="3"/>
  <c r="G15" i="3"/>
  <c r="B15" i="3"/>
  <c r="E15" i="3"/>
  <c r="F15" i="3"/>
  <c r="D11" i="4"/>
  <c r="F24" i="4"/>
  <c r="G22" i="26"/>
  <c r="N41" i="15"/>
  <c r="D10" i="4"/>
  <c r="O40" i="15"/>
  <c r="O41" i="15" s="1"/>
  <c r="G24" i="4" l="1"/>
  <c r="H22" i="26"/>
  <c r="B16" i="15"/>
  <c r="B11" i="15"/>
  <c r="D8" i="22"/>
  <c r="D7" i="23" s="1"/>
  <c r="C8" i="22"/>
  <c r="C7" i="23" s="1"/>
  <c r="B10" i="22"/>
  <c r="D27" i="22"/>
  <c r="B27" i="22"/>
  <c r="D25" i="22"/>
  <c r="C27" i="22"/>
  <c r="H24" i="4" l="1"/>
  <c r="I22" i="26"/>
  <c r="D26" i="22"/>
  <c r="D28" i="22" s="1"/>
  <c r="B25" i="22"/>
  <c r="B34" i="22"/>
  <c r="C26" i="22"/>
  <c r="C28" i="22" s="1"/>
  <c r="C25" i="22"/>
  <c r="C7" i="22"/>
  <c r="B12" i="22"/>
  <c r="B31" i="22" s="1"/>
  <c r="B26" i="22"/>
  <c r="B28" i="22" s="1"/>
  <c r="B32" i="22" l="1"/>
  <c r="I24" i="4"/>
  <c r="J22" i="26"/>
  <c r="C10" i="22"/>
  <c r="C12" i="22" s="1"/>
  <c r="D7" i="22" l="1"/>
  <c r="D10" i="22" s="1"/>
  <c r="D12" i="22" s="1"/>
  <c r="C31" i="22"/>
  <c r="J24" i="4"/>
  <c r="K22" i="26"/>
  <c r="D31" i="22" l="1"/>
  <c r="L22" i="26"/>
  <c r="E7" i="22"/>
  <c r="D42" i="1" l="1"/>
  <c r="D40" i="1"/>
  <c r="C40" i="1"/>
  <c r="B40" i="1"/>
  <c r="C33" i="1"/>
  <c r="B33" i="1"/>
  <c r="B23" i="1" s="1"/>
  <c r="J19" i="18"/>
  <c r="J20" i="18" s="1"/>
  <c r="M20" i="18"/>
  <c r="L20" i="18"/>
  <c r="K20" i="18"/>
  <c r="J22" i="18"/>
  <c r="B5" i="3"/>
  <c r="B6" i="3"/>
  <c r="B4" i="3"/>
  <c r="D4" i="3" s="1"/>
  <c r="C59" i="3"/>
  <c r="C60" i="3"/>
  <c r="D60" i="3" s="1"/>
  <c r="C61" i="3"/>
  <c r="E61" i="3" s="1"/>
  <c r="C84" i="3"/>
  <c r="D82" i="3"/>
  <c r="B14" i="22" l="1"/>
  <c r="B10" i="23" s="1"/>
  <c r="B14" i="23" s="1"/>
  <c r="B25" i="1"/>
  <c r="B26" i="1"/>
  <c r="B28" i="1" s="1"/>
  <c r="C14" i="22"/>
  <c r="C10" i="23" s="1"/>
  <c r="B42" i="1"/>
  <c r="D6" i="3"/>
  <c r="C42" i="1"/>
  <c r="B16" i="22"/>
  <c r="B18" i="22" s="1"/>
  <c r="D5" i="3"/>
  <c r="B7" i="3"/>
  <c r="D61" i="3"/>
  <c r="C67" i="3"/>
  <c r="C66" i="3"/>
  <c r="D59" i="3"/>
  <c r="E59" i="3"/>
  <c r="C65" i="3"/>
  <c r="F61" i="3"/>
  <c r="G61" i="3"/>
  <c r="C62" i="3"/>
  <c r="E60" i="3"/>
  <c r="B35" i="22" l="1"/>
  <c r="B36" i="22" s="1"/>
  <c r="D14" i="22"/>
  <c r="D10" i="23" s="1"/>
  <c r="C35" i="22"/>
  <c r="B24" i="22"/>
  <c r="B17" i="22" s="1"/>
  <c r="B16" i="23"/>
  <c r="B20" i="23" s="1"/>
  <c r="D62" i="3"/>
  <c r="G59" i="3"/>
  <c r="F59" i="3"/>
  <c r="F60" i="3"/>
  <c r="G60" i="3"/>
  <c r="E62" i="3"/>
  <c r="I61" i="3"/>
  <c r="H61" i="3"/>
  <c r="D35" i="22" l="1"/>
  <c r="F62" i="3"/>
  <c r="H59" i="3"/>
  <c r="I59" i="3"/>
  <c r="H60" i="3"/>
  <c r="I60" i="3"/>
  <c r="G62" i="3"/>
  <c r="I62" i="3" l="1"/>
  <c r="H62" i="3"/>
  <c r="E84" i="3" l="1"/>
  <c r="E83" i="3"/>
  <c r="E82" i="3"/>
  <c r="D84" i="3"/>
  <c r="D83" i="3"/>
  <c r="C83" i="3"/>
  <c r="C82" i="3"/>
  <c r="I14" i="1"/>
  <c r="I15" i="1" s="1"/>
  <c r="F84" i="3" l="1"/>
  <c r="H84" i="3" s="1"/>
  <c r="E85" i="3"/>
  <c r="F83" i="3"/>
  <c r="H83" i="3" s="1"/>
  <c r="F82" i="3"/>
  <c r="H82" i="3" s="1"/>
  <c r="C85" i="3"/>
  <c r="D85" i="3"/>
  <c r="H85" i="3" l="1"/>
  <c r="F85" i="3"/>
  <c r="E22" i="16" l="1"/>
  <c r="P150" i="17" l="1"/>
  <c r="J150" i="17"/>
  <c r="I150" i="17"/>
  <c r="H150" i="17"/>
  <c r="G150" i="17"/>
  <c r="F150" i="17"/>
  <c r="E150" i="17"/>
  <c r="D150" i="17"/>
  <c r="L149" i="17"/>
  <c r="K149" i="17"/>
  <c r="J149" i="17"/>
  <c r="I149" i="17"/>
  <c r="H149" i="17"/>
  <c r="E148" i="17"/>
  <c r="O146" i="17"/>
  <c r="O143" i="17"/>
  <c r="N143" i="17"/>
  <c r="K143" i="17"/>
  <c r="J143" i="17"/>
  <c r="H96" i="24" s="1"/>
  <c r="I143" i="17"/>
  <c r="G96" i="24" s="1"/>
  <c r="H143" i="17"/>
  <c r="F96" i="24" s="1"/>
  <c r="G143" i="17"/>
  <c r="F143" i="17"/>
  <c r="E143" i="17"/>
  <c r="B40" i="17"/>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B113" i="17" s="1"/>
  <c r="B114" i="17" s="1"/>
  <c r="A18" i="17"/>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R17" i="17"/>
  <c r="Q17" i="17"/>
  <c r="P17" i="17"/>
  <c r="H17" i="17"/>
  <c r="U16" i="17"/>
  <c r="U15" i="17"/>
  <c r="U14" i="17"/>
  <c r="U13" i="17"/>
  <c r="U12" i="17"/>
  <c r="U11" i="17"/>
  <c r="U10" i="17"/>
  <c r="U9" i="17"/>
  <c r="U8" i="17"/>
  <c r="B1" i="17"/>
  <c r="A139" i="17" s="1"/>
  <c r="F8" i="1"/>
  <c r="M125" i="24" l="1"/>
  <c r="M134" i="24"/>
  <c r="E19" i="23"/>
  <c r="E96" i="24"/>
  <c r="K150" i="17"/>
  <c r="I96" i="24"/>
  <c r="H18" i="17"/>
  <c r="J18" i="17" s="1"/>
  <c r="F17" i="17"/>
  <c r="G17" i="17" s="1"/>
  <c r="U17" i="17"/>
  <c r="U19" i="17" s="1"/>
  <c r="U20" i="17" s="1"/>
  <c r="H19" i="17" l="1"/>
  <c r="E146" i="17"/>
  <c r="C13" i="22" s="1"/>
  <c r="F18" i="17"/>
  <c r="I18" i="17" s="1"/>
  <c r="F19" i="17"/>
  <c r="H20" i="17"/>
  <c r="E145" i="17" l="1"/>
  <c r="C34" i="22"/>
  <c r="C36" i="22" s="1"/>
  <c r="C30" i="22"/>
  <c r="C32" i="22" s="1"/>
  <c r="C9" i="23"/>
  <c r="C16" i="22"/>
  <c r="C18" i="22" s="1"/>
  <c r="G18" i="17"/>
  <c r="H21" i="17"/>
  <c r="F20" i="17"/>
  <c r="G19" i="17"/>
  <c r="B36" i="16"/>
  <c r="C28" i="10"/>
  <c r="B50" i="16"/>
  <c r="B15" i="16"/>
  <c r="D13" i="16"/>
  <c r="D12" i="16"/>
  <c r="D11" i="16"/>
  <c r="D10" i="16"/>
  <c r="D9" i="16"/>
  <c r="D8" i="16"/>
  <c r="D7" i="16"/>
  <c r="B49" i="10"/>
  <c r="J12" i="4" l="1"/>
  <c r="K21" i="22" s="1"/>
  <c r="F12" i="4"/>
  <c r="G21" i="22" s="1"/>
  <c r="G12" i="4"/>
  <c r="H21" i="22" s="1"/>
  <c r="I12" i="4"/>
  <c r="J21" i="22" s="1"/>
  <c r="E12" i="4"/>
  <c r="F21" i="22" s="1"/>
  <c r="H12" i="4"/>
  <c r="I21" i="22" s="1"/>
  <c r="C14" i="23"/>
  <c r="C16" i="23"/>
  <c r="C20" i="23" s="1"/>
  <c r="C22" i="23" s="1"/>
  <c r="C23" i="23" s="1"/>
  <c r="D21" i="23" s="1"/>
  <c r="C24" i="22"/>
  <c r="C17" i="22" s="1"/>
  <c r="B22" i="25"/>
  <c r="B24" i="25" s="1"/>
  <c r="D14" i="16"/>
  <c r="D16" i="16" s="1"/>
  <c r="E9" i="15" s="1"/>
  <c r="D12" i="4"/>
  <c r="D36" i="16"/>
  <c r="C51" i="16"/>
  <c r="D51" i="16" s="1"/>
  <c r="C53" i="16"/>
  <c r="D53" i="16" s="1"/>
  <c r="C52" i="16"/>
  <c r="D52" i="16" s="1"/>
  <c r="G20" i="17"/>
  <c r="H22" i="17"/>
  <c r="F21" i="17"/>
  <c r="G21" i="17" s="1"/>
  <c r="B38" i="16"/>
  <c r="E21" i="22" l="1"/>
  <c r="D21" i="4"/>
  <c r="G13" i="4"/>
  <c r="H22" i="22" s="1"/>
  <c r="J13" i="4"/>
  <c r="K22" i="22" s="1"/>
  <c r="F13" i="4"/>
  <c r="G22" i="22" s="1"/>
  <c r="I13" i="4"/>
  <c r="J22" i="22" s="1"/>
  <c r="E13" i="4"/>
  <c r="F22" i="22" s="1"/>
  <c r="H13" i="4"/>
  <c r="I22" i="22" s="1"/>
  <c r="G21" i="4"/>
  <c r="J21" i="4"/>
  <c r="E21" i="4"/>
  <c r="F21" i="4"/>
  <c r="I21" i="4"/>
  <c r="H21" i="4"/>
  <c r="D13" i="4"/>
  <c r="E22" i="22" s="1"/>
  <c r="B46" i="16"/>
  <c r="D46" i="16" s="1"/>
  <c r="E23" i="4"/>
  <c r="D8" i="4"/>
  <c r="D23" i="4" s="1"/>
  <c r="F12" i="26" s="1"/>
  <c r="D15" i="16"/>
  <c r="D54" i="16"/>
  <c r="H23" i="17"/>
  <c r="F22" i="17"/>
  <c r="I14" i="4" l="1"/>
  <c r="E14" i="4"/>
  <c r="H14" i="4"/>
  <c r="G14" i="4"/>
  <c r="J14" i="4"/>
  <c r="F14" i="4"/>
  <c r="J10" i="26"/>
  <c r="F10" i="26"/>
  <c r="K10" i="26"/>
  <c r="H10" i="26"/>
  <c r="L10" i="26"/>
  <c r="G10" i="26"/>
  <c r="I10" i="26"/>
  <c r="B47" i="16"/>
  <c r="E17" i="15"/>
  <c r="G12" i="26"/>
  <c r="F10" i="15"/>
  <c r="J10" i="15"/>
  <c r="D10" i="15"/>
  <c r="E10" i="15"/>
  <c r="G10" i="15"/>
  <c r="I10" i="15"/>
  <c r="H10" i="15"/>
  <c r="G23" i="4"/>
  <c r="G9" i="15"/>
  <c r="H23" i="4"/>
  <c r="H9" i="15"/>
  <c r="F23" i="4"/>
  <c r="F9" i="15"/>
  <c r="I23" i="4"/>
  <c r="I9" i="15"/>
  <c r="D17" i="15"/>
  <c r="D9" i="15"/>
  <c r="J23" i="4"/>
  <c r="J9" i="15"/>
  <c r="D14" i="4"/>
  <c r="D22" i="4" s="1"/>
  <c r="F11" i="26" s="1"/>
  <c r="G22" i="17"/>
  <c r="H24" i="17"/>
  <c r="F23" i="17"/>
  <c r="E15" i="22" l="1"/>
  <c r="J17" i="15"/>
  <c r="L12" i="26"/>
  <c r="F17" i="15"/>
  <c r="H12" i="26"/>
  <c r="I17" i="15"/>
  <c r="K12" i="26"/>
  <c r="H17" i="15"/>
  <c r="J12" i="26"/>
  <c r="G17" i="15"/>
  <c r="I12" i="26"/>
  <c r="E25" i="22"/>
  <c r="J25" i="22"/>
  <c r="F25" i="22"/>
  <c r="K25" i="22"/>
  <c r="I25" i="22"/>
  <c r="H25" i="22"/>
  <c r="G25" i="22"/>
  <c r="G22" i="4"/>
  <c r="H15" i="22" s="1"/>
  <c r="G11" i="15"/>
  <c r="G12" i="15" s="1"/>
  <c r="H22" i="4"/>
  <c r="I15" i="22" s="1"/>
  <c r="H11" i="15"/>
  <c r="H12" i="15" s="1"/>
  <c r="F22" i="4"/>
  <c r="G15" i="22" s="1"/>
  <c r="F11" i="15"/>
  <c r="F12" i="15" s="1"/>
  <c r="D16" i="15"/>
  <c r="D11" i="15"/>
  <c r="D12" i="15" s="1"/>
  <c r="E22" i="4"/>
  <c r="F15" i="22" s="1"/>
  <c r="E11" i="15"/>
  <c r="E12" i="15" s="1"/>
  <c r="I22" i="4"/>
  <c r="J15" i="22" s="1"/>
  <c r="I11" i="15"/>
  <c r="I12" i="15" s="1"/>
  <c r="J22" i="4"/>
  <c r="K15" i="22" s="1"/>
  <c r="J11" i="15"/>
  <c r="J12" i="15" s="1"/>
  <c r="H25" i="17"/>
  <c r="F24" i="17"/>
  <c r="G23" i="17"/>
  <c r="L6" i="24" l="1"/>
  <c r="L13" i="24" s="1"/>
  <c r="M6" i="24"/>
  <c r="M13" i="24" s="1"/>
  <c r="H16" i="15"/>
  <c r="J11" i="26"/>
  <c r="I16" i="15"/>
  <c r="K11" i="26"/>
  <c r="J16" i="15"/>
  <c r="L11" i="26"/>
  <c r="E16" i="15"/>
  <c r="G11" i="26"/>
  <c r="F16" i="15"/>
  <c r="H11" i="26"/>
  <c r="G16" i="15"/>
  <c r="I11" i="26"/>
  <c r="G15" i="15"/>
  <c r="I15" i="15"/>
  <c r="D15" i="15"/>
  <c r="J15" i="15"/>
  <c r="F15" i="15"/>
  <c r="H15" i="15"/>
  <c r="E15" i="15"/>
  <c r="G6" i="24"/>
  <c r="G13" i="24" s="1"/>
  <c r="J6" i="24"/>
  <c r="J13" i="24" s="1"/>
  <c r="I6" i="24"/>
  <c r="I13" i="24" s="1"/>
  <c r="H6" i="24"/>
  <c r="H13" i="24" s="1"/>
  <c r="F6" i="24"/>
  <c r="F13" i="24" s="1"/>
  <c r="K6" i="24"/>
  <c r="K13" i="24" s="1"/>
  <c r="G24" i="17"/>
  <c r="H26" i="17"/>
  <c r="F25" i="17"/>
  <c r="G25" i="17" s="1"/>
  <c r="M14" i="24" l="1"/>
  <c r="L14" i="24"/>
  <c r="J14" i="24"/>
  <c r="H14" i="24"/>
  <c r="G14" i="24"/>
  <c r="K14" i="24"/>
  <c r="I14" i="24"/>
  <c r="G46" i="15"/>
  <c r="I46" i="15"/>
  <c r="H46" i="15"/>
  <c r="F46" i="15"/>
  <c r="J46" i="15"/>
  <c r="H27" i="17"/>
  <c r="F26" i="17"/>
  <c r="G26" i="17" s="1"/>
  <c r="L140" i="24" l="1"/>
  <c r="L152" i="24"/>
  <c r="M140" i="24"/>
  <c r="M152" i="24"/>
  <c r="L133" i="24"/>
  <c r="M133" i="24"/>
  <c r="H28" i="17"/>
  <c r="F27" i="17"/>
  <c r="G27" i="17" s="1"/>
  <c r="L123" i="24" l="1"/>
  <c r="M123" i="24"/>
  <c r="H29" i="17"/>
  <c r="F28" i="17"/>
  <c r="G28" i="17" s="1"/>
  <c r="H30" i="17" l="1"/>
  <c r="F29" i="17"/>
  <c r="G29" i="17" s="1"/>
  <c r="F146" i="17" l="1"/>
  <c r="H31" i="17"/>
  <c r="J30" i="17"/>
  <c r="K30" i="17" s="1"/>
  <c r="F30" i="17"/>
  <c r="F152" i="17" l="1"/>
  <c r="D13" i="22"/>
  <c r="G30" i="17"/>
  <c r="F145" i="17"/>
  <c r="I30" i="17"/>
  <c r="H32" i="17"/>
  <c r="F31" i="17"/>
  <c r="D30" i="22" l="1"/>
  <c r="D32" i="22" s="1"/>
  <c r="D34" i="22"/>
  <c r="D36" i="22" s="1"/>
  <c r="D16" i="22"/>
  <c r="D18" i="22" s="1"/>
  <c r="D9" i="23"/>
  <c r="D14" i="23" s="1"/>
  <c r="H33" i="17"/>
  <c r="F32" i="17"/>
  <c r="G32" i="17" s="1"/>
  <c r="F149" i="17"/>
  <c r="G31" i="17"/>
  <c r="D24" i="22" l="1"/>
  <c r="D17" i="22" s="1"/>
  <c r="D16" i="23"/>
  <c r="D34" i="17"/>
  <c r="J33" i="17"/>
  <c r="K33" i="17" s="1"/>
  <c r="F33" i="17"/>
  <c r="C22" i="25" l="1"/>
  <c r="C24" i="25" s="1"/>
  <c r="C28" i="25" s="1"/>
  <c r="M17" i="23"/>
  <c r="D20" i="23"/>
  <c r="D22" i="23" s="1"/>
  <c r="D23" i="23" s="1"/>
  <c r="E21" i="23" s="1"/>
  <c r="I33" i="17"/>
  <c r="G33" i="17"/>
  <c r="G145" i="17"/>
  <c r="F34" i="17"/>
  <c r="H34" i="17"/>
  <c r="D35" i="17" s="1"/>
  <c r="G149" i="17" l="1"/>
  <c r="P145" i="17"/>
  <c r="P149" i="17" s="1"/>
  <c r="G34" i="17"/>
  <c r="H35" i="17"/>
  <c r="D36" i="17" s="1"/>
  <c r="F35" i="17"/>
  <c r="G35" i="17" s="1"/>
  <c r="H36" i="17" l="1"/>
  <c r="D37" i="17" s="1"/>
  <c r="F36" i="17"/>
  <c r="G36" i="17" s="1"/>
  <c r="F37" i="17" l="1"/>
  <c r="G37" i="17" s="1"/>
  <c r="H37" i="17"/>
  <c r="D38" i="17" s="1"/>
  <c r="F38" i="17" l="1"/>
  <c r="H38" i="17"/>
  <c r="D39" i="17" s="1"/>
  <c r="H39" i="17" l="1"/>
  <c r="D40" i="17" s="1"/>
  <c r="F39" i="17"/>
  <c r="G39" i="17" s="1"/>
  <c r="G38" i="17"/>
  <c r="F40" i="17" l="1"/>
  <c r="H40" i="17"/>
  <c r="D41" i="17" s="1"/>
  <c r="H41" i="17" l="1"/>
  <c r="D42" i="17" s="1"/>
  <c r="F41" i="17"/>
  <c r="G41" i="17" s="1"/>
  <c r="G40" i="17"/>
  <c r="F42" i="17" l="1"/>
  <c r="H42" i="17"/>
  <c r="G146" i="17" l="1"/>
  <c r="E13" i="22" s="1"/>
  <c r="D43" i="17"/>
  <c r="G42" i="17"/>
  <c r="G144" i="17"/>
  <c r="D37" i="4" s="1"/>
  <c r="E30" i="22" l="1"/>
  <c r="E125" i="24"/>
  <c r="E134" i="24"/>
  <c r="E34" i="22"/>
  <c r="D31" i="15"/>
  <c r="F24" i="26"/>
  <c r="H43" i="17"/>
  <c r="D44" i="17" s="1"/>
  <c r="F43" i="17"/>
  <c r="E93" i="24" l="1"/>
  <c r="E97" i="24" s="1"/>
  <c r="E98" i="24" s="1"/>
  <c r="G43" i="17"/>
  <c r="F44" i="17"/>
  <c r="G44" i="17" s="1"/>
  <c r="H44" i="17"/>
  <c r="D45" i="17" s="1"/>
  <c r="H45" i="17" l="1"/>
  <c r="D46" i="17" s="1"/>
  <c r="F45" i="17"/>
  <c r="G45" i="17" s="1"/>
  <c r="F46" i="17" l="1"/>
  <c r="G46" i="17" s="1"/>
  <c r="H46" i="17"/>
  <c r="D47" i="17" s="1"/>
  <c r="H47" i="17" l="1"/>
  <c r="D48" i="17" s="1"/>
  <c r="F47" i="17"/>
  <c r="G47" i="17" s="1"/>
  <c r="F48" i="17" l="1"/>
  <c r="H48" i="17"/>
  <c r="D49" i="17" s="1"/>
  <c r="H49" i="17" l="1"/>
  <c r="D50" i="17" s="1"/>
  <c r="F49" i="17"/>
  <c r="G49" i="17" s="1"/>
  <c r="G48" i="17"/>
  <c r="F50" i="17" l="1"/>
  <c r="G50" i="17" s="1"/>
  <c r="H50" i="17"/>
  <c r="D51" i="17" s="1"/>
  <c r="H51" i="17" l="1"/>
  <c r="D52" i="17" s="1"/>
  <c r="F51" i="17"/>
  <c r="G51" i="17" s="1"/>
  <c r="F52" i="17" l="1"/>
  <c r="G52" i="17" s="1"/>
  <c r="H52" i="17"/>
  <c r="D53" i="17" s="1"/>
  <c r="H53" i="17" l="1"/>
  <c r="D54" i="17" s="1"/>
  <c r="F53" i="17"/>
  <c r="G53" i="17" s="1"/>
  <c r="F54" i="17" l="1"/>
  <c r="H54" i="17"/>
  <c r="H146" i="17" l="1"/>
  <c r="F13" i="22" s="1"/>
  <c r="D55" i="17"/>
  <c r="G54" i="17"/>
  <c r="H144" i="17"/>
  <c r="E37" i="4" s="1"/>
  <c r="F30" i="22" l="1"/>
  <c r="F134" i="24"/>
  <c r="F125" i="24"/>
  <c r="F34" i="22"/>
  <c r="F19" i="23"/>
  <c r="F20" i="23" s="1"/>
  <c r="G24" i="26"/>
  <c r="E31" i="15"/>
  <c r="H55" i="17"/>
  <c r="D56" i="17" s="1"/>
  <c r="F55" i="17"/>
  <c r="F93" i="24" l="1"/>
  <c r="F97" i="24" s="1"/>
  <c r="F98" i="24" s="1"/>
  <c r="G55" i="17"/>
  <c r="F56" i="17"/>
  <c r="G56" i="17" s="1"/>
  <c r="H56" i="17"/>
  <c r="D57" i="17" s="1"/>
  <c r="H57" i="17" l="1"/>
  <c r="D58" i="17" s="1"/>
  <c r="F57" i="17"/>
  <c r="G57" i="17" s="1"/>
  <c r="F58" i="17" l="1"/>
  <c r="G58" i="17" s="1"/>
  <c r="H58" i="17"/>
  <c r="D59" i="17" s="1"/>
  <c r="H59" i="17" l="1"/>
  <c r="D60" i="17" s="1"/>
  <c r="F59" i="17"/>
  <c r="G59" i="17" s="1"/>
  <c r="F60" i="17" l="1"/>
  <c r="H60" i="17"/>
  <c r="D61" i="17" s="1"/>
  <c r="H61" i="17" l="1"/>
  <c r="D62" i="17" s="1"/>
  <c r="F61" i="17"/>
  <c r="G61" i="17" s="1"/>
  <c r="G60" i="17"/>
  <c r="F62" i="17" l="1"/>
  <c r="G62" i="17" s="1"/>
  <c r="H62" i="17"/>
  <c r="D63" i="17" s="1"/>
  <c r="H63" i="17" l="1"/>
  <c r="D64" i="17" s="1"/>
  <c r="F63" i="17"/>
  <c r="G63" i="17" s="1"/>
  <c r="F64" i="17" l="1"/>
  <c r="G64" i="17" s="1"/>
  <c r="H64" i="17"/>
  <c r="D65" i="17" s="1"/>
  <c r="H65" i="17" l="1"/>
  <c r="D66" i="17" s="1"/>
  <c r="F65" i="17"/>
  <c r="G65" i="17" s="1"/>
  <c r="F66" i="17" l="1"/>
  <c r="H66" i="17"/>
  <c r="I146" i="17" l="1"/>
  <c r="G13" i="22" s="1"/>
  <c r="D67" i="17"/>
  <c r="G66" i="17"/>
  <c r="I144" i="17"/>
  <c r="F37" i="4" s="1"/>
  <c r="G30" i="22" l="1"/>
  <c r="G125" i="24"/>
  <c r="G134" i="24"/>
  <c r="G34" i="22"/>
  <c r="G19" i="23"/>
  <c r="G20" i="23" s="1"/>
  <c r="F31" i="15"/>
  <c r="H24" i="26"/>
  <c r="H67" i="17"/>
  <c r="D68" i="17" s="1"/>
  <c r="F67" i="17"/>
  <c r="G93" i="24" l="1"/>
  <c r="G97" i="24" s="1"/>
  <c r="G98" i="24" s="1"/>
  <c r="G67" i="17"/>
  <c r="F68" i="17"/>
  <c r="G68" i="17" s="1"/>
  <c r="H68" i="17"/>
  <c r="D69" i="17" s="1"/>
  <c r="H69" i="17" l="1"/>
  <c r="D70" i="17" s="1"/>
  <c r="F69" i="17"/>
  <c r="G69" i="17" s="1"/>
  <c r="F70" i="17" l="1"/>
  <c r="H70" i="17"/>
  <c r="D71" i="17" s="1"/>
  <c r="H71" i="17" l="1"/>
  <c r="D72" i="17" s="1"/>
  <c r="F71" i="17"/>
  <c r="G71" i="17" s="1"/>
  <c r="G70" i="17"/>
  <c r="F72" i="17" l="1"/>
  <c r="H72" i="17"/>
  <c r="D73" i="17" s="1"/>
  <c r="H73" i="17" l="1"/>
  <c r="D74" i="17" s="1"/>
  <c r="F73" i="17"/>
  <c r="G73" i="17" s="1"/>
  <c r="G72" i="17"/>
  <c r="F74" i="17" l="1"/>
  <c r="H74" i="17"/>
  <c r="D75" i="17" s="1"/>
  <c r="H75" i="17" l="1"/>
  <c r="D76" i="17" s="1"/>
  <c r="F75" i="17"/>
  <c r="G75" i="17" s="1"/>
  <c r="G74" i="17"/>
  <c r="F76" i="17" l="1"/>
  <c r="G76" i="17" s="1"/>
  <c r="H76" i="17"/>
  <c r="D77" i="17" s="1"/>
  <c r="H77" i="17" l="1"/>
  <c r="D78" i="17" s="1"/>
  <c r="F77" i="17"/>
  <c r="G77" i="17" s="1"/>
  <c r="F78" i="17" l="1"/>
  <c r="H78" i="17"/>
  <c r="J146" i="17" l="1"/>
  <c r="H13" i="22" s="1"/>
  <c r="D79" i="17"/>
  <c r="G78" i="17"/>
  <c r="J144" i="17"/>
  <c r="G37" i="4" s="1"/>
  <c r="H30" i="22" l="1"/>
  <c r="H134" i="24"/>
  <c r="H125" i="24"/>
  <c r="H34" i="22"/>
  <c r="H19" i="23"/>
  <c r="H20" i="23" s="1"/>
  <c r="G31" i="15"/>
  <c r="I24" i="26"/>
  <c r="H79" i="17"/>
  <c r="D80" i="17" s="1"/>
  <c r="F79" i="17"/>
  <c r="H93" i="24" l="1"/>
  <c r="H97" i="24" s="1"/>
  <c r="H98" i="24" s="1"/>
  <c r="G79" i="17"/>
  <c r="F80" i="17"/>
  <c r="G80" i="17" s="1"/>
  <c r="H80" i="17"/>
  <c r="D81" i="17" s="1"/>
  <c r="H81" i="17" l="1"/>
  <c r="D82" i="17" s="1"/>
  <c r="F81" i="17"/>
  <c r="G81" i="17" s="1"/>
  <c r="F82" i="17" l="1"/>
  <c r="G82" i="17" s="1"/>
  <c r="H82" i="17"/>
  <c r="D83" i="17" s="1"/>
  <c r="F83" i="17" l="1"/>
  <c r="H83" i="17"/>
  <c r="D84" i="17" s="1"/>
  <c r="H84" i="17" l="1"/>
  <c r="D85" i="17" s="1"/>
  <c r="F84" i="17"/>
  <c r="G84" i="17" s="1"/>
  <c r="G83" i="17"/>
  <c r="H85" i="17" l="1"/>
  <c r="D86" i="17" s="1"/>
  <c r="F85" i="17"/>
  <c r="G85" i="17" l="1"/>
  <c r="F86" i="17"/>
  <c r="G86" i="17" s="1"/>
  <c r="H86" i="17"/>
  <c r="D87" i="17" s="1"/>
  <c r="H87" i="17" l="1"/>
  <c r="D88" i="17" s="1"/>
  <c r="F87" i="17"/>
  <c r="G87" i="17" s="1"/>
  <c r="F88" i="17" l="1"/>
  <c r="G88" i="17" s="1"/>
  <c r="H88" i="17"/>
  <c r="D89" i="17" s="1"/>
  <c r="H89" i="17" l="1"/>
  <c r="D90" i="17" s="1"/>
  <c r="F89" i="17"/>
  <c r="G89" i="17" s="1"/>
  <c r="F90" i="17" l="1"/>
  <c r="H90" i="17"/>
  <c r="K146" i="17" l="1"/>
  <c r="I13" i="22" s="1"/>
  <c r="D91" i="17"/>
  <c r="G90" i="17"/>
  <c r="K144" i="17"/>
  <c r="H37" i="4" s="1"/>
  <c r="I30" i="22" l="1"/>
  <c r="I125" i="24"/>
  <c r="I134" i="24"/>
  <c r="I34" i="22"/>
  <c r="I19" i="23"/>
  <c r="I20" i="23" s="1"/>
  <c r="H31" i="15"/>
  <c r="J24" i="26"/>
  <c r="H91" i="17"/>
  <c r="D92" i="17" s="1"/>
  <c r="F91" i="17"/>
  <c r="I93" i="24" l="1"/>
  <c r="I97" i="24" s="1"/>
  <c r="I98" i="24" s="1"/>
  <c r="G91" i="17"/>
  <c r="F92" i="17"/>
  <c r="G92" i="17" s="1"/>
  <c r="H92" i="17"/>
  <c r="D93" i="17" s="1"/>
  <c r="H93" i="17" l="1"/>
  <c r="D94" i="17" s="1"/>
  <c r="F93" i="17"/>
  <c r="G93" i="17" s="1"/>
  <c r="F94" i="17" l="1"/>
  <c r="H94" i="17"/>
  <c r="D95" i="17" s="1"/>
  <c r="H95" i="17" l="1"/>
  <c r="D96" i="17" s="1"/>
  <c r="F95" i="17"/>
  <c r="G95" i="17" s="1"/>
  <c r="G94" i="17"/>
  <c r="F96" i="17" l="1"/>
  <c r="H96" i="17"/>
  <c r="D97" i="17" s="1"/>
  <c r="H97" i="17" l="1"/>
  <c r="D98" i="17" s="1"/>
  <c r="F97" i="17"/>
  <c r="G97" i="17" s="1"/>
  <c r="G96" i="17"/>
  <c r="F98" i="17" l="1"/>
  <c r="H98" i="17"/>
  <c r="D99" i="17" s="1"/>
  <c r="H99" i="17" l="1"/>
  <c r="D100" i="17" s="1"/>
  <c r="F99" i="17"/>
  <c r="G99" i="17" s="1"/>
  <c r="G98" i="17"/>
  <c r="F100" i="17" l="1"/>
  <c r="G100" i="17" s="1"/>
  <c r="H100" i="17"/>
  <c r="D101" i="17" s="1"/>
  <c r="H101" i="17" l="1"/>
  <c r="F101" i="17"/>
  <c r="G101" i="17" s="1"/>
  <c r="D102" i="17" l="1"/>
  <c r="F102" i="17" s="1"/>
  <c r="L143" i="17"/>
  <c r="H102" i="17" l="1"/>
  <c r="L146" i="17" s="1"/>
  <c r="J13" i="22" s="1"/>
  <c r="L150" i="17"/>
  <c r="J96" i="24"/>
  <c r="G102" i="17"/>
  <c r="L144" i="17"/>
  <c r="I37" i="4" s="1"/>
  <c r="D103" i="17" l="1"/>
  <c r="F103" i="17" s="1"/>
  <c r="J30" i="22"/>
  <c r="J134" i="24"/>
  <c r="J125" i="24"/>
  <c r="J34" i="22"/>
  <c r="J19" i="23"/>
  <c r="J20" i="23" s="1"/>
  <c r="I31" i="15"/>
  <c r="J93" i="24" s="1"/>
  <c r="J97" i="24" s="1"/>
  <c r="J98" i="24" s="1"/>
  <c r="K24" i="26"/>
  <c r="H103" i="17"/>
  <c r="D104" i="17" s="1"/>
  <c r="G103" i="17" l="1"/>
  <c r="F104" i="17"/>
  <c r="G104" i="17" s="1"/>
  <c r="H104" i="17"/>
  <c r="D105" i="17" s="1"/>
  <c r="H105" i="17" l="1"/>
  <c r="D106" i="17" s="1"/>
  <c r="F105" i="17"/>
  <c r="G105" i="17" s="1"/>
  <c r="F106" i="17" l="1"/>
  <c r="G106" i="17" s="1"/>
  <c r="H106" i="17"/>
  <c r="D107" i="17" s="1"/>
  <c r="H107" i="17" l="1"/>
  <c r="D108" i="17" s="1"/>
  <c r="F107" i="17"/>
  <c r="G107" i="17" s="1"/>
  <c r="F108" i="17" l="1"/>
  <c r="H108" i="17"/>
  <c r="D109" i="17" s="1"/>
  <c r="H109" i="17" l="1"/>
  <c r="D110" i="17" s="1"/>
  <c r="F109" i="17"/>
  <c r="G109" i="17" s="1"/>
  <c r="G108" i="17"/>
  <c r="F110" i="17" l="1"/>
  <c r="G110" i="17" s="1"/>
  <c r="H110" i="17"/>
  <c r="D111" i="17" s="1"/>
  <c r="H111" i="17" l="1"/>
  <c r="D112" i="17" s="1"/>
  <c r="F111" i="17"/>
  <c r="G111" i="17" s="1"/>
  <c r="F112" i="17" l="1"/>
  <c r="G112" i="17" s="1"/>
  <c r="H112" i="17"/>
  <c r="D113" i="17" s="1"/>
  <c r="H113" i="17" l="1"/>
  <c r="F113" i="17"/>
  <c r="G113" i="17" s="1"/>
  <c r="D114" i="17" l="1"/>
  <c r="F114" i="17" s="1"/>
  <c r="H114" i="17" l="1"/>
  <c r="D115" i="17" s="1"/>
  <c r="F115" i="17" s="1"/>
  <c r="G115" i="17" s="1"/>
  <c r="J113" i="17"/>
  <c r="E137" i="17"/>
  <c r="M143" i="17"/>
  <c r="H115" i="17"/>
  <c r="D116" i="17" s="1"/>
  <c r="G114" i="17"/>
  <c r="M144" i="17"/>
  <c r="J37" i="4" s="1"/>
  <c r="M146" i="17" l="1"/>
  <c r="K13" i="22" s="1"/>
  <c r="K30" i="22" s="1"/>
  <c r="K96" i="24"/>
  <c r="P143" i="17"/>
  <c r="F116" i="17"/>
  <c r="G116" i="17" s="1"/>
  <c r="H116" i="17"/>
  <c r="D117" i="17" s="1"/>
  <c r="L24" i="26"/>
  <c r="J31" i="15"/>
  <c r="K93" i="24" s="1"/>
  <c r="K97" i="24" s="1"/>
  <c r="K34" i="22" l="1"/>
  <c r="K134" i="24"/>
  <c r="K125" i="24"/>
  <c r="K19" i="23"/>
  <c r="K20" i="23" s="1"/>
  <c r="K98" i="24"/>
  <c r="L98" i="24" s="1"/>
  <c r="H117" i="17"/>
  <c r="D118" i="17" s="1"/>
  <c r="F117" i="17"/>
  <c r="G117" i="17" s="1"/>
  <c r="J29" i="10"/>
  <c r="F24" i="10"/>
  <c r="B24" i="10"/>
  <c r="B29" i="10" s="1"/>
  <c r="G29" i="10" s="1"/>
  <c r="H29" i="10" s="1"/>
  <c r="B62" i="10"/>
  <c r="C59" i="10"/>
  <c r="G59" i="10" s="1"/>
  <c r="B59" i="10"/>
  <c r="F59" i="10" s="1"/>
  <c r="B44" i="10"/>
  <c r="F44" i="10"/>
  <c r="H44" i="10" s="1"/>
  <c r="F34" i="10"/>
  <c r="H34" i="10" s="1"/>
  <c r="G28" i="10"/>
  <c r="H118" i="17" l="1"/>
  <c r="D119" i="17" s="1"/>
  <c r="F118" i="17"/>
  <c r="G118" i="17" s="1"/>
  <c r="C66" i="10"/>
  <c r="G66" i="10" s="1"/>
  <c r="C65" i="10"/>
  <c r="G65" i="10" s="1"/>
  <c r="C64" i="10"/>
  <c r="G64" i="10" s="1"/>
  <c r="C62" i="10"/>
  <c r="G62" i="10" s="1"/>
  <c r="B57" i="10"/>
  <c r="F57" i="10" s="1"/>
  <c r="H57" i="10" s="1"/>
  <c r="C55" i="10"/>
  <c r="G55" i="10" s="1"/>
  <c r="H55" i="10" s="1"/>
  <c r="C54" i="10"/>
  <c r="B39" i="10"/>
  <c r="C63" i="10"/>
  <c r="G63" i="10" s="1"/>
  <c r="F56" i="10"/>
  <c r="H56" i="10" s="1"/>
  <c r="D7" i="10"/>
  <c r="D8" i="10"/>
  <c r="D9" i="10"/>
  <c r="D10" i="10"/>
  <c r="D11" i="10"/>
  <c r="D12" i="10"/>
  <c r="D6" i="10"/>
  <c r="B14" i="10"/>
  <c r="F10" i="1"/>
  <c r="H119" i="17" l="1"/>
  <c r="D120" i="17" s="1"/>
  <c r="F119" i="17"/>
  <c r="F15" i="1"/>
  <c r="B63" i="10"/>
  <c r="F63" i="10" s="1"/>
  <c r="H63" i="10" s="1"/>
  <c r="B65" i="10"/>
  <c r="F65" i="10" s="1"/>
  <c r="H65" i="10" s="1"/>
  <c r="H28" i="10"/>
  <c r="B79" i="10"/>
  <c r="B58" i="10"/>
  <c r="F58" i="10" s="1"/>
  <c r="H58" i="10" s="1"/>
  <c r="B81" i="10"/>
  <c r="F62" i="10"/>
  <c r="H62" i="10" s="1"/>
  <c r="B64" i="10"/>
  <c r="F64" i="10" s="1"/>
  <c r="H64" i="10" s="1"/>
  <c r="B66" i="10"/>
  <c r="F66" i="10" s="1"/>
  <c r="H66" i="10" s="1"/>
  <c r="G54" i="10"/>
  <c r="H54" i="10" s="1"/>
  <c r="D13" i="10"/>
  <c r="D14" i="10" s="1"/>
  <c r="G119" i="17" l="1"/>
  <c r="F120" i="17"/>
  <c r="G120" i="17" s="1"/>
  <c r="H120" i="17"/>
  <c r="D121" i="17" s="1"/>
  <c r="H59" i="10"/>
  <c r="B82" i="10"/>
  <c r="H121" i="17" l="1"/>
  <c r="D122" i="17" s="1"/>
  <c r="F121" i="17"/>
  <c r="G121" i="17" s="1"/>
  <c r="H68" i="10"/>
  <c r="H69" i="10" s="1"/>
  <c r="H70" i="10" s="1"/>
  <c r="H71" i="10" s="1"/>
  <c r="F122" i="17" l="1"/>
  <c r="G122" i="17" s="1"/>
  <c r="H122" i="17"/>
  <c r="D123" i="17" s="1"/>
  <c r="G17" i="4"/>
  <c r="I6" i="26" s="1"/>
  <c r="N15" i="15"/>
  <c r="N16" i="15" s="1"/>
  <c r="H17" i="4"/>
  <c r="J6" i="26" s="1"/>
  <c r="R15" i="15"/>
  <c r="R16" i="15" s="1"/>
  <c r="S15" i="15"/>
  <c r="S16" i="15" s="1"/>
  <c r="I17" i="4"/>
  <c r="K6" i="26" s="1"/>
  <c r="O15" i="15"/>
  <c r="O16" i="15" s="1"/>
  <c r="P15" i="15"/>
  <c r="P16" i="15" s="1"/>
  <c r="T15" i="15"/>
  <c r="Q15" i="15"/>
  <c r="Q16" i="15" s="1"/>
  <c r="H123" i="17" l="1"/>
  <c r="D124" i="17" s="1"/>
  <c r="F123" i="17"/>
  <c r="I27" i="4"/>
  <c r="I26" i="4"/>
  <c r="I25" i="4"/>
  <c r="G27" i="4"/>
  <c r="G26" i="4"/>
  <c r="G25" i="4"/>
  <c r="H27" i="4"/>
  <c r="H26" i="4"/>
  <c r="H25" i="4"/>
  <c r="E17" i="4"/>
  <c r="G6" i="26" s="1"/>
  <c r="E6" i="24"/>
  <c r="E13" i="24" s="1"/>
  <c r="F14" i="24" s="1"/>
  <c r="E19" i="24" s="1"/>
  <c r="F17" i="4"/>
  <c r="H6" i="26" s="1"/>
  <c r="D17" i="4"/>
  <c r="T16" i="15"/>
  <c r="T11" i="15"/>
  <c r="T12" i="15" s="1"/>
  <c r="J17" i="4"/>
  <c r="L6" i="26" s="1"/>
  <c r="N11" i="15"/>
  <c r="N12" i="15" s="1"/>
  <c r="Q11" i="15"/>
  <c r="Q12" i="15" s="1"/>
  <c r="R11" i="15"/>
  <c r="R12" i="15" s="1"/>
  <c r="O11" i="15"/>
  <c r="O12" i="15" s="1"/>
  <c r="S11" i="15"/>
  <c r="S12" i="15" s="1"/>
  <c r="P11" i="15"/>
  <c r="P12" i="15" s="1"/>
  <c r="F6" i="26" l="1"/>
  <c r="D25" i="4"/>
  <c r="F23" i="26" s="1"/>
  <c r="K24" i="4"/>
  <c r="G123" i="17"/>
  <c r="F124" i="17"/>
  <c r="G124" i="17" s="1"/>
  <c r="H124" i="17"/>
  <c r="D125" i="17" s="1"/>
  <c r="H19" i="15"/>
  <c r="J23" i="26"/>
  <c r="G20" i="15"/>
  <c r="I15" i="26"/>
  <c r="I21" i="15"/>
  <c r="K13" i="26"/>
  <c r="H20" i="15"/>
  <c r="J15" i="26"/>
  <c r="G21" i="15"/>
  <c r="I13" i="26"/>
  <c r="H21" i="15"/>
  <c r="J13" i="26"/>
  <c r="I19" i="15"/>
  <c r="K23" i="26"/>
  <c r="G19" i="15"/>
  <c r="I23" i="26"/>
  <c r="I20" i="15"/>
  <c r="K15" i="26"/>
  <c r="D26" i="4"/>
  <c r="D27" i="4"/>
  <c r="H18" i="15"/>
  <c r="D18" i="15"/>
  <c r="G18" i="15"/>
  <c r="I18" i="15"/>
  <c r="F27" i="4"/>
  <c r="F26" i="4"/>
  <c r="F25" i="4"/>
  <c r="E27" i="4"/>
  <c r="E26" i="4"/>
  <c r="E25" i="4"/>
  <c r="E46" i="15"/>
  <c r="J27" i="4"/>
  <c r="J26" i="4"/>
  <c r="J25" i="4"/>
  <c r="H125" i="17" l="1"/>
  <c r="D126" i="17" s="1"/>
  <c r="F125" i="17"/>
  <c r="G125" i="17" s="1"/>
  <c r="I140" i="24"/>
  <c r="I152" i="24"/>
  <c r="H140" i="24"/>
  <c r="H152" i="24"/>
  <c r="J140" i="24"/>
  <c r="J152" i="24"/>
  <c r="E140" i="24"/>
  <c r="E152" i="24"/>
  <c r="D19" i="15"/>
  <c r="F20" i="15"/>
  <c r="H15" i="26"/>
  <c r="F19" i="15"/>
  <c r="H23" i="26"/>
  <c r="J19" i="15"/>
  <c r="L23" i="26"/>
  <c r="J20" i="15"/>
  <c r="L15" i="26"/>
  <c r="F21" i="15"/>
  <c r="H13" i="26"/>
  <c r="E19" i="15"/>
  <c r="G23" i="26"/>
  <c r="E20" i="15"/>
  <c r="G15" i="26"/>
  <c r="J21" i="15"/>
  <c r="L13" i="26"/>
  <c r="E21" i="15"/>
  <c r="G13" i="26"/>
  <c r="D21" i="15"/>
  <c r="F13" i="26"/>
  <c r="D20" i="15"/>
  <c r="F15" i="26"/>
  <c r="J27" i="22"/>
  <c r="J39" i="22" s="1"/>
  <c r="I27" i="22"/>
  <c r="I133" i="24" s="1"/>
  <c r="H27" i="22"/>
  <c r="H123" i="24" s="1"/>
  <c r="E27" i="22"/>
  <c r="E39" i="22" s="1"/>
  <c r="J18" i="15"/>
  <c r="E18" i="15"/>
  <c r="F152" i="24"/>
  <c r="F18" i="15"/>
  <c r="H126" i="17" l="1"/>
  <c r="F126" i="17"/>
  <c r="E40" i="22"/>
  <c r="G140" i="24"/>
  <c r="G152" i="24"/>
  <c r="K140" i="24"/>
  <c r="K152" i="24"/>
  <c r="F27" i="22"/>
  <c r="F133" i="24" s="1"/>
  <c r="F140" i="24"/>
  <c r="H133" i="24"/>
  <c r="J123" i="24"/>
  <c r="E133" i="24"/>
  <c r="H39" i="22"/>
  <c r="J133" i="24"/>
  <c r="I39" i="22"/>
  <c r="J40" i="22" s="1"/>
  <c r="I123" i="24"/>
  <c r="E123" i="24"/>
  <c r="K27" i="22"/>
  <c r="K39" i="22" s="1"/>
  <c r="G27" i="22"/>
  <c r="G133" i="24" s="1"/>
  <c r="F12" i="1"/>
  <c r="D127" i="17" l="1"/>
  <c r="N146" i="17"/>
  <c r="G126" i="17"/>
  <c r="N144" i="17"/>
  <c r="I23" i="25"/>
  <c r="J13" i="23"/>
  <c r="D23" i="25"/>
  <c r="E13" i="23"/>
  <c r="F39" i="22"/>
  <c r="F40" i="22" s="1"/>
  <c r="F123" i="24"/>
  <c r="I40" i="22"/>
  <c r="K123" i="24"/>
  <c r="G39" i="22"/>
  <c r="G40" i="22" s="1"/>
  <c r="G123" i="24"/>
  <c r="K133" i="24"/>
  <c r="K40" i="22"/>
  <c r="F11" i="1"/>
  <c r="L134" i="24" l="1"/>
  <c r="L125" i="24"/>
  <c r="H127" i="17"/>
  <c r="D128" i="17" s="1"/>
  <c r="F127" i="17"/>
  <c r="G127" i="17" s="1"/>
  <c r="H23" i="25"/>
  <c r="I13" i="23"/>
  <c r="J23" i="25"/>
  <c r="K13" i="23"/>
  <c r="F23" i="25"/>
  <c r="G13" i="23"/>
  <c r="E23" i="25"/>
  <c r="F13" i="23"/>
  <c r="H40" i="22"/>
  <c r="F128" i="17" l="1"/>
  <c r="H128" i="17"/>
  <c r="D129" i="17" s="1"/>
  <c r="G23" i="25"/>
  <c r="H13" i="23"/>
  <c r="F14" i="1"/>
  <c r="C73" i="3"/>
  <c r="G128" i="17" l="1"/>
  <c r="H129" i="17"/>
  <c r="D130" i="17" s="1"/>
  <c r="F129" i="17"/>
  <c r="G129" i="17" s="1"/>
  <c r="D67" i="3"/>
  <c r="D73" i="3" s="1"/>
  <c r="F130" i="17" l="1"/>
  <c r="H130" i="17"/>
  <c r="D131" i="17" s="1"/>
  <c r="E67" i="3"/>
  <c r="E73" i="3" s="1"/>
  <c r="H131" i="17" l="1"/>
  <c r="D132" i="17" s="1"/>
  <c r="F131" i="17"/>
  <c r="G131" i="17" s="1"/>
  <c r="G130" i="17"/>
  <c r="F67" i="3"/>
  <c r="F73" i="3" s="1"/>
  <c r="F132" i="17" l="1"/>
  <c r="H132" i="17"/>
  <c r="D133" i="17" s="1"/>
  <c r="G67" i="3"/>
  <c r="G73" i="3" s="1"/>
  <c r="C72" i="3"/>
  <c r="D66" i="3" s="1"/>
  <c r="H133" i="17" l="1"/>
  <c r="D134" i="17" s="1"/>
  <c r="F133" i="17"/>
  <c r="G133" i="17" s="1"/>
  <c r="G132" i="17"/>
  <c r="H67" i="3"/>
  <c r="H73" i="3" s="1"/>
  <c r="F134" i="17" l="1"/>
  <c r="H134" i="17"/>
  <c r="D135" i="17" s="1"/>
  <c r="I67" i="3"/>
  <c r="I73" i="3" s="1"/>
  <c r="D72" i="3"/>
  <c r="E66" i="3" s="1"/>
  <c r="G134" i="17" l="1"/>
  <c r="H135" i="17"/>
  <c r="F135" i="17"/>
  <c r="G135" i="17" s="1"/>
  <c r="E72" i="3"/>
  <c r="G137" i="17" l="1"/>
  <c r="O144" i="17"/>
  <c r="F137" i="17"/>
  <c r="F66" i="3"/>
  <c r="F72" i="3" s="1"/>
  <c r="P144" i="17" l="1"/>
  <c r="G66" i="3"/>
  <c r="G72" i="3" s="1"/>
  <c r="H66" i="3" l="1"/>
  <c r="H72" i="3" s="1"/>
  <c r="I66" i="3" s="1"/>
  <c r="D33" i="15"/>
  <c r="K31" i="15" l="1"/>
  <c r="I72" i="3"/>
  <c r="C10" i="25" l="1"/>
  <c r="G20" i="1"/>
  <c r="C71" i="3"/>
  <c r="D65" i="3" s="1"/>
  <c r="B28" i="25" l="1"/>
  <c r="C68" i="3"/>
  <c r="D68" i="3" l="1"/>
  <c r="C74" i="3"/>
  <c r="D71" i="3" l="1"/>
  <c r="E65" i="3" s="1"/>
  <c r="E68" i="3" l="1"/>
  <c r="D74" i="3"/>
  <c r="E71" i="3" l="1"/>
  <c r="F65" i="3" l="1"/>
  <c r="F68" i="3" s="1"/>
  <c r="E33" i="15"/>
  <c r="E74" i="3"/>
  <c r="F71" i="3" l="1"/>
  <c r="G65" i="3" s="1"/>
  <c r="G71" i="3" s="1"/>
  <c r="H65" i="3" s="1"/>
  <c r="L147" i="24" l="1"/>
  <c r="F74" i="3"/>
  <c r="G68" i="3"/>
  <c r="G74" i="3"/>
  <c r="H68" i="3"/>
  <c r="H71" i="3"/>
  <c r="H74" i="3" l="1"/>
  <c r="I65" i="3"/>
  <c r="I68" i="3" s="1"/>
  <c r="M147" i="24" l="1"/>
  <c r="I71" i="3"/>
  <c r="I74" i="3" l="1"/>
  <c r="F33" i="15" l="1"/>
  <c r="G33" i="15" l="1"/>
  <c r="H33" i="15" l="1"/>
  <c r="I33" i="15" l="1"/>
  <c r="J33" i="15" l="1"/>
  <c r="E4" i="3" l="1"/>
  <c r="B16" i="3" l="1"/>
  <c r="C16" i="3" l="1"/>
  <c r="B17" i="3"/>
  <c r="B33" i="3"/>
  <c r="B34" i="3" l="1"/>
  <c r="B35" i="3" s="1"/>
  <c r="D16" i="3"/>
  <c r="C17" i="3"/>
  <c r="C33" i="3" l="1"/>
  <c r="E16" i="3"/>
  <c r="D17" i="3"/>
  <c r="F16" i="3" l="1"/>
  <c r="E17" i="3"/>
  <c r="C34" i="3"/>
  <c r="C35" i="3" s="1"/>
  <c r="D33" i="3" l="1"/>
  <c r="G16" i="3"/>
  <c r="F17" i="3"/>
  <c r="D34" i="3" l="1"/>
  <c r="D35" i="3" s="1"/>
  <c r="G17" i="3"/>
  <c r="H16" i="3"/>
  <c r="E33" i="3" l="1"/>
  <c r="H17" i="3"/>
  <c r="E34" i="3" l="1"/>
  <c r="E35" i="3" l="1"/>
  <c r="F33" i="3" l="1"/>
  <c r="F34" i="3" l="1"/>
  <c r="F35" i="3" l="1"/>
  <c r="G33" i="3" l="1"/>
  <c r="G34" i="3" l="1"/>
  <c r="G35" i="3" l="1"/>
  <c r="H33" i="3" l="1"/>
  <c r="H34" i="3" l="1"/>
  <c r="H35" i="3" l="1"/>
  <c r="I33" i="3" l="1"/>
  <c r="I34" i="3" l="1"/>
  <c r="I35" i="3" s="1"/>
  <c r="J33" i="3" l="1"/>
  <c r="J34" i="3" l="1"/>
  <c r="J35" i="3" l="1"/>
  <c r="E5" i="3"/>
  <c r="B20" i="3" s="1"/>
  <c r="E6" i="3"/>
  <c r="B18" i="3" s="1"/>
  <c r="C7" i="3"/>
  <c r="B24" i="3" l="1"/>
  <c r="E16" i="23" s="1"/>
  <c r="E20" i="23" s="1"/>
  <c r="D7" i="3"/>
  <c r="E7" i="3"/>
  <c r="M17" i="22" s="1"/>
  <c r="N17" i="22" s="1"/>
  <c r="B21" i="3"/>
  <c r="C20" i="3"/>
  <c r="B39" i="3"/>
  <c r="B36" i="3"/>
  <c r="B19" i="3"/>
  <c r="C18" i="3"/>
  <c r="M16" i="23" l="1"/>
  <c r="M18" i="23" s="1"/>
  <c r="C24" i="3"/>
  <c r="B22" i="3"/>
  <c r="D20" i="3"/>
  <c r="C21" i="3"/>
  <c r="B37" i="3"/>
  <c r="B38" i="3"/>
  <c r="C19" i="3"/>
  <c r="D18" i="3"/>
  <c r="B40" i="3"/>
  <c r="B41" i="3" s="1"/>
  <c r="C39" i="3" s="1"/>
  <c r="D24" i="3" l="1"/>
  <c r="D22" i="25"/>
  <c r="C40" i="3"/>
  <c r="C41" i="3" s="1"/>
  <c r="D39" i="3" s="1"/>
  <c r="C36" i="3"/>
  <c r="B43" i="3"/>
  <c r="D28" i="4" s="1"/>
  <c r="E18" i="3"/>
  <c r="D19" i="3"/>
  <c r="B42" i="3"/>
  <c r="E20" i="3"/>
  <c r="D21" i="3"/>
  <c r="C22" i="3"/>
  <c r="D40" i="4"/>
  <c r="F25" i="26" s="1"/>
  <c r="B23" i="3"/>
  <c r="B25" i="3" s="1"/>
  <c r="E18" i="22" s="1"/>
  <c r="E41" i="22" s="1"/>
  <c r="D58" i="15" s="1"/>
  <c r="E24" i="3" l="1"/>
  <c r="D22" i="3"/>
  <c r="F40" i="4" s="1"/>
  <c r="H25" i="26" s="1"/>
  <c r="C23" i="3"/>
  <c r="C25" i="3" s="1"/>
  <c r="F18" i="22" s="1"/>
  <c r="F41" i="22" s="1"/>
  <c r="E58" i="15" s="1"/>
  <c r="E40" i="4"/>
  <c r="G25" i="26" s="1"/>
  <c r="E19" i="3"/>
  <c r="F18" i="3"/>
  <c r="F20" i="3"/>
  <c r="E21" i="3"/>
  <c r="D40" i="3"/>
  <c r="D41" i="3" s="1"/>
  <c r="E39" i="3" s="1"/>
  <c r="C37" i="3"/>
  <c r="C42" i="3" s="1"/>
  <c r="D29" i="15"/>
  <c r="E11" i="23" s="1"/>
  <c r="D29" i="4"/>
  <c r="F14" i="26"/>
  <c r="F19" i="26" s="1"/>
  <c r="C38" i="3" l="1"/>
  <c r="F24" i="3"/>
  <c r="F29" i="26"/>
  <c r="D23" i="15"/>
  <c r="F21" i="26"/>
  <c r="F26" i="26" s="1"/>
  <c r="F27" i="26" s="1"/>
  <c r="D23" i="3"/>
  <c r="D25" i="3" s="1"/>
  <c r="G18" i="22" s="1"/>
  <c r="G41" i="22" s="1"/>
  <c r="F58" i="15" s="1"/>
  <c r="D22" i="15"/>
  <c r="D31" i="4"/>
  <c r="G18" i="3"/>
  <c r="F19" i="3"/>
  <c r="E29" i="15"/>
  <c r="F11" i="23" s="1"/>
  <c r="D36" i="3"/>
  <c r="C43" i="3"/>
  <c r="E28" i="4" s="1"/>
  <c r="E40" i="3"/>
  <c r="E41" i="3" s="1"/>
  <c r="F39" i="3" s="1"/>
  <c r="E22" i="3"/>
  <c r="D21" i="25"/>
  <c r="E92" i="24"/>
  <c r="F21" i="3"/>
  <c r="G20" i="3"/>
  <c r="F29" i="15"/>
  <c r="G11" i="23" s="1"/>
  <c r="F30" i="26" l="1"/>
  <c r="F28" i="26"/>
  <c r="D24" i="15"/>
  <c r="D25" i="15" s="1"/>
  <c r="G24" i="3"/>
  <c r="F31" i="26"/>
  <c r="F32" i="26" s="1"/>
  <c r="F40" i="3"/>
  <c r="F41" i="3" s="1"/>
  <c r="G39" i="3" s="1"/>
  <c r="E23" i="3"/>
  <c r="E25" i="3" s="1"/>
  <c r="H18" i="22" s="1"/>
  <c r="H41" i="22" s="1"/>
  <c r="G58" i="15" s="1"/>
  <c r="G40" i="4"/>
  <c r="I25" i="26" s="1"/>
  <c r="E29" i="4"/>
  <c r="G14" i="26"/>
  <c r="G19" i="26" s="1"/>
  <c r="E21" i="25"/>
  <c r="F92" i="24"/>
  <c r="D32" i="4"/>
  <c r="D33" i="4"/>
  <c r="G92" i="24"/>
  <c r="F21" i="25"/>
  <c r="D37" i="3"/>
  <c r="D42" i="3" s="1"/>
  <c r="F22" i="3"/>
  <c r="H20" i="3"/>
  <c r="G21" i="3"/>
  <c r="H18" i="3"/>
  <c r="G19" i="3"/>
  <c r="H24" i="3" l="1"/>
  <c r="D26" i="15"/>
  <c r="D28" i="15" s="1"/>
  <c r="D38" i="3"/>
  <c r="D43" i="3" s="1"/>
  <c r="F28" i="4" s="1"/>
  <c r="G29" i="26"/>
  <c r="E23" i="15"/>
  <c r="G21" i="26"/>
  <c r="G26" i="26" s="1"/>
  <c r="G27" i="26" s="1"/>
  <c r="H19" i="3"/>
  <c r="F23" i="3"/>
  <c r="F25" i="3" s="1"/>
  <c r="I18" i="22" s="1"/>
  <c r="I41" i="22" s="1"/>
  <c r="H58" i="15" s="1"/>
  <c r="H40" i="4"/>
  <c r="J25" i="26" s="1"/>
  <c r="E22" i="15"/>
  <c r="E31" i="4"/>
  <c r="G40" i="3"/>
  <c r="G41" i="3" s="1"/>
  <c r="H39" i="3" s="1"/>
  <c r="H21" i="3"/>
  <c r="D34" i="4"/>
  <c r="D35" i="4"/>
  <c r="E36" i="3"/>
  <c r="G22" i="3"/>
  <c r="G29" i="15"/>
  <c r="H11" i="23" s="1"/>
  <c r="G30" i="26" l="1"/>
  <c r="G31" i="26" s="1"/>
  <c r="G32" i="26" s="1"/>
  <c r="G28" i="26"/>
  <c r="E24" i="15"/>
  <c r="E25" i="15" s="1"/>
  <c r="D30" i="15"/>
  <c r="E145" i="24" s="1"/>
  <c r="E7" i="24"/>
  <c r="E8" i="24" s="1"/>
  <c r="D27" i="15"/>
  <c r="D43" i="15"/>
  <c r="D39" i="4"/>
  <c r="D41" i="4" s="1"/>
  <c r="D43" i="4" s="1"/>
  <c r="E32" i="4"/>
  <c r="E33" i="4"/>
  <c r="H92" i="24"/>
  <c r="G21" i="25"/>
  <c r="E37" i="3"/>
  <c r="E42" i="3" s="1"/>
  <c r="H40" i="3"/>
  <c r="H41" i="3" s="1"/>
  <c r="I39" i="3" s="1"/>
  <c r="H22" i="3"/>
  <c r="G23" i="3"/>
  <c r="G25" i="3" s="1"/>
  <c r="J18" i="22" s="1"/>
  <c r="J41" i="22" s="1"/>
  <c r="I58" i="15" s="1"/>
  <c r="I40" i="4"/>
  <c r="K25" i="26" s="1"/>
  <c r="F29" i="4"/>
  <c r="H14" i="26"/>
  <c r="H19" i="26" s="1"/>
  <c r="H29" i="15"/>
  <c r="I11" i="23" s="1"/>
  <c r="E26" i="15" l="1"/>
  <c r="E28" i="15" s="1"/>
  <c r="E9" i="24"/>
  <c r="E10" i="24" s="1"/>
  <c r="D34" i="15"/>
  <c r="D36" i="15" s="1"/>
  <c r="D18" i="25"/>
  <c r="D20" i="25" s="1"/>
  <c r="D24" i="25" s="1"/>
  <c r="D53" i="15"/>
  <c r="D44" i="15"/>
  <c r="H29" i="26"/>
  <c r="F23" i="15"/>
  <c r="H21" i="26"/>
  <c r="H26" i="26" s="1"/>
  <c r="H27" i="26" s="1"/>
  <c r="E38" i="3"/>
  <c r="F36" i="3" s="1"/>
  <c r="I92" i="24"/>
  <c r="H21" i="25"/>
  <c r="F22" i="15"/>
  <c r="F31" i="4"/>
  <c r="E43" i="3"/>
  <c r="G28" i="4" s="1"/>
  <c r="I29" i="15"/>
  <c r="J11" i="23" s="1"/>
  <c r="H23" i="3"/>
  <c r="H25" i="3" s="1"/>
  <c r="K18" i="22" s="1"/>
  <c r="K41" i="22" s="1"/>
  <c r="J58" i="15" s="1"/>
  <c r="J40" i="4"/>
  <c r="L25" i="26" s="1"/>
  <c r="I40" i="3"/>
  <c r="I41" i="3" s="1"/>
  <c r="J39" i="3" s="1"/>
  <c r="E43" i="15"/>
  <c r="D45" i="4"/>
  <c r="E34" i="4"/>
  <c r="E35" i="4"/>
  <c r="E39" i="4" s="1"/>
  <c r="E41" i="4" s="1"/>
  <c r="E43" i="4" s="1"/>
  <c r="D47" i="15" l="1"/>
  <c r="F7" i="24"/>
  <c r="F8" i="24" s="1"/>
  <c r="E30" i="15"/>
  <c r="E53" i="15" s="1"/>
  <c r="E27" i="15"/>
  <c r="H30" i="26"/>
  <c r="H31" i="26" s="1"/>
  <c r="H32" i="26" s="1"/>
  <c r="H28" i="26"/>
  <c r="F24" i="15"/>
  <c r="F25" i="15" s="1"/>
  <c r="D47" i="4"/>
  <c r="D49" i="4" s="1"/>
  <c r="J29" i="15"/>
  <c r="K11" i="23" s="1"/>
  <c r="J40" i="3"/>
  <c r="J41" i="3" s="1"/>
  <c r="E45" i="4"/>
  <c r="E18" i="25"/>
  <c r="E20" i="25" s="1"/>
  <c r="I21" i="25"/>
  <c r="J92" i="24"/>
  <c r="F37" i="3"/>
  <c r="F42" i="3" s="1"/>
  <c r="D38" i="15"/>
  <c r="E8" i="23" s="1"/>
  <c r="G29" i="4"/>
  <c r="I14" i="26"/>
  <c r="I19" i="26" s="1"/>
  <c r="F32" i="4"/>
  <c r="F33" i="4"/>
  <c r="F145" i="24" l="1"/>
  <c r="F9" i="24"/>
  <c r="F10" i="24" s="1"/>
  <c r="E34" i="15"/>
  <c r="E36" i="15" s="1"/>
  <c r="E44" i="15"/>
  <c r="F26" i="15"/>
  <c r="F28" i="15" s="1"/>
  <c r="I29" i="26"/>
  <c r="G23" i="15"/>
  <c r="I21" i="26"/>
  <c r="I26" i="26" s="1"/>
  <c r="I27" i="26" s="1"/>
  <c r="F38" i="3"/>
  <c r="G36" i="3" s="1"/>
  <c r="E47" i="4"/>
  <c r="E49" i="4" s="1"/>
  <c r="F43" i="3"/>
  <c r="H28" i="4" s="1"/>
  <c r="F34" i="4"/>
  <c r="F35" i="4"/>
  <c r="F39" i="4" s="1"/>
  <c r="F41" i="4" s="1"/>
  <c r="F43" i="4" s="1"/>
  <c r="F44" i="4" s="1"/>
  <c r="F37" i="15" s="1"/>
  <c r="K92" i="24"/>
  <c r="J21" i="25"/>
  <c r="G22" i="15"/>
  <c r="G31" i="4"/>
  <c r="E91" i="24"/>
  <c r="E95" i="24" s="1"/>
  <c r="E11" i="24"/>
  <c r="E12" i="24" s="1"/>
  <c r="D45" i="15"/>
  <c r="E9" i="22"/>
  <c r="E47" i="15" l="1"/>
  <c r="G24" i="15"/>
  <c r="G25" i="15" s="1"/>
  <c r="E99" i="24"/>
  <c r="I30" i="26"/>
  <c r="I31" i="26" s="1"/>
  <c r="I32" i="26" s="1"/>
  <c r="I28" i="26"/>
  <c r="G7" i="24"/>
  <c r="G8" i="24" s="1"/>
  <c r="F30" i="15"/>
  <c r="F53" i="15" s="1"/>
  <c r="F27" i="15"/>
  <c r="F43" i="15"/>
  <c r="E38" i="22"/>
  <c r="K29" i="15"/>
  <c r="F19" i="25"/>
  <c r="J14" i="26"/>
  <c r="J19" i="26" s="1"/>
  <c r="H29" i="4"/>
  <c r="G32" i="4"/>
  <c r="G33" i="4"/>
  <c r="E38" i="15"/>
  <c r="F8" i="23" s="1"/>
  <c r="F45" i="4"/>
  <c r="G37" i="3"/>
  <c r="G42" i="3" s="1"/>
  <c r="G26" i="15" l="1"/>
  <c r="G28" i="15" s="1"/>
  <c r="F44" i="15"/>
  <c r="F34" i="15"/>
  <c r="F47" i="15" s="1"/>
  <c r="G9" i="24"/>
  <c r="G10" i="24" s="1"/>
  <c r="F9" i="22"/>
  <c r="F38" i="22" s="1"/>
  <c r="F18" i="25"/>
  <c r="F20" i="25" s="1"/>
  <c r="G145" i="24"/>
  <c r="J29" i="26"/>
  <c r="H23" i="15"/>
  <c r="J21" i="26"/>
  <c r="J26" i="26" s="1"/>
  <c r="J27" i="26" s="1"/>
  <c r="D28" i="25"/>
  <c r="G38" i="3"/>
  <c r="H36" i="3" s="1"/>
  <c r="F47" i="4"/>
  <c r="F49" i="4" s="1"/>
  <c r="G30" i="15"/>
  <c r="F11" i="24"/>
  <c r="F12" i="24" s="1"/>
  <c r="F91" i="24"/>
  <c r="F95" i="24" s="1"/>
  <c r="E45" i="15"/>
  <c r="H22" i="15"/>
  <c r="H31" i="4"/>
  <c r="G34" i="4"/>
  <c r="G35" i="4"/>
  <c r="H7" i="24" l="1"/>
  <c r="H8" i="24" s="1"/>
  <c r="G43" i="15"/>
  <c r="G27" i="15"/>
  <c r="G43" i="3"/>
  <c r="I28" i="4" s="1"/>
  <c r="K14" i="26" s="1"/>
  <c r="K19" i="26" s="1"/>
  <c r="F36" i="15"/>
  <c r="J30" i="26"/>
  <c r="J31" i="26" s="1"/>
  <c r="J32" i="26" s="1"/>
  <c r="J28" i="26"/>
  <c r="H24" i="15"/>
  <c r="H26" i="15" s="1"/>
  <c r="H28" i="15" s="1"/>
  <c r="G53" i="15"/>
  <c r="H145" i="24"/>
  <c r="F99" i="24"/>
  <c r="H9" i="24"/>
  <c r="H10" i="24" s="1"/>
  <c r="G44" i="15"/>
  <c r="G18" i="25"/>
  <c r="G34" i="15"/>
  <c r="I29" i="4"/>
  <c r="H32" i="4"/>
  <c r="H33" i="4"/>
  <c r="G39" i="4"/>
  <c r="G41" i="4" s="1"/>
  <c r="G43" i="4" s="1"/>
  <c r="G44" i="4" s="1"/>
  <c r="G37" i="15" s="1"/>
  <c r="F38" i="15"/>
  <c r="G8" i="23" s="1"/>
  <c r="H37" i="3"/>
  <c r="H42" i="3" s="1"/>
  <c r="H25" i="15" l="1"/>
  <c r="H38" i="3"/>
  <c r="I36" i="3" s="1"/>
  <c r="G9" i="22"/>
  <c r="G38" i="22" s="1"/>
  <c r="K29" i="26"/>
  <c r="I23" i="15"/>
  <c r="K21" i="26"/>
  <c r="K26" i="26" s="1"/>
  <c r="K27" i="26" s="1"/>
  <c r="G19" i="25"/>
  <c r="G20" i="25" s="1"/>
  <c r="H43" i="3"/>
  <c r="J28" i="4" s="1"/>
  <c r="H34" i="4"/>
  <c r="H35" i="4"/>
  <c r="G11" i="24"/>
  <c r="G12" i="24" s="1"/>
  <c r="F45" i="15"/>
  <c r="G91" i="24"/>
  <c r="G95" i="24" s="1"/>
  <c r="G45" i="4"/>
  <c r="I7" i="24"/>
  <c r="I8" i="24" s="1"/>
  <c r="H27" i="15"/>
  <c r="H43" i="15"/>
  <c r="H30" i="15"/>
  <c r="G36" i="15"/>
  <c r="G47" i="15"/>
  <c r="I22" i="15"/>
  <c r="I24" i="15" s="1"/>
  <c r="I31" i="4"/>
  <c r="K30" i="26" l="1"/>
  <c r="K31" i="26" s="1"/>
  <c r="K32" i="26" s="1"/>
  <c r="K28" i="26"/>
  <c r="I25" i="15"/>
  <c r="H53" i="15"/>
  <c r="I145" i="24"/>
  <c r="I32" i="4"/>
  <c r="I33" i="4"/>
  <c r="G38" i="15"/>
  <c r="H8" i="23" s="1"/>
  <c r="G47" i="4"/>
  <c r="G49" i="4" s="1"/>
  <c r="I37" i="3"/>
  <c r="I42" i="3" s="1"/>
  <c r="I38" i="3"/>
  <c r="I26" i="15"/>
  <c r="I28" i="15" s="1"/>
  <c r="I9" i="24"/>
  <c r="I10" i="24" s="1"/>
  <c r="H34" i="15"/>
  <c r="H44" i="15"/>
  <c r="H18" i="25"/>
  <c r="G99" i="24"/>
  <c r="H39" i="4"/>
  <c r="H41" i="4" s="1"/>
  <c r="H43" i="4" s="1"/>
  <c r="H44" i="4" s="1"/>
  <c r="H37" i="15" s="1"/>
  <c r="L14" i="26"/>
  <c r="L19" i="26" s="1"/>
  <c r="J29" i="4"/>
  <c r="H9" i="22" l="1"/>
  <c r="H38" i="22" s="1"/>
  <c r="J23" i="15"/>
  <c r="L21" i="26"/>
  <c r="L26" i="26" s="1"/>
  <c r="L27" i="26" s="1"/>
  <c r="L29" i="26"/>
  <c r="H19" i="25"/>
  <c r="H20" i="25" s="1"/>
  <c r="J22" i="15"/>
  <c r="J24" i="15" s="1"/>
  <c r="J31" i="4"/>
  <c r="H47" i="15"/>
  <c r="H36" i="15"/>
  <c r="H91" i="24"/>
  <c r="H95" i="24" s="1"/>
  <c r="H11" i="24"/>
  <c r="H12" i="24" s="1"/>
  <c r="G45" i="15"/>
  <c r="J36" i="3"/>
  <c r="I43" i="3"/>
  <c r="H45" i="4"/>
  <c r="I34" i="4"/>
  <c r="I35" i="4"/>
  <c r="J7" i="24"/>
  <c r="J8" i="24" s="1"/>
  <c r="I27" i="15"/>
  <c r="I43" i="15"/>
  <c r="I30" i="15"/>
  <c r="L30" i="26" l="1"/>
  <c r="L31" i="26" s="1"/>
  <c r="L32" i="26" s="1"/>
  <c r="L28" i="26"/>
  <c r="J26" i="15"/>
  <c r="J28" i="15" s="1"/>
  <c r="I53" i="15"/>
  <c r="J145" i="24"/>
  <c r="H47" i="4"/>
  <c r="H49" i="4" s="1"/>
  <c r="I39" i="4"/>
  <c r="I41" i="4" s="1"/>
  <c r="I43" i="4" s="1"/>
  <c r="I44" i="4" s="1"/>
  <c r="I37" i="15" s="1"/>
  <c r="J32" i="4"/>
  <c r="J33" i="4"/>
  <c r="J9" i="24"/>
  <c r="J10" i="24" s="1"/>
  <c r="I44" i="15"/>
  <c r="I18" i="25"/>
  <c r="I34" i="15"/>
  <c r="J37" i="3"/>
  <c r="J42" i="3" s="1"/>
  <c r="H99" i="24"/>
  <c r="H38" i="15"/>
  <c r="J25" i="15"/>
  <c r="I8" i="23" l="1"/>
  <c r="I9" i="22"/>
  <c r="I38" i="22" s="1"/>
  <c r="J38" i="3"/>
  <c r="J43" i="3" s="1"/>
  <c r="J27" i="15"/>
  <c r="K7" i="24"/>
  <c r="K8" i="24" s="1"/>
  <c r="E16" i="24" s="1"/>
  <c r="J43" i="15"/>
  <c r="J30" i="15"/>
  <c r="J34" i="4"/>
  <c r="J35" i="4"/>
  <c r="I91" i="24"/>
  <c r="I95" i="24" s="1"/>
  <c r="H45" i="15"/>
  <c r="I11" i="24"/>
  <c r="I12" i="24" s="1"/>
  <c r="I45" i="4"/>
  <c r="I36" i="15"/>
  <c r="I47" i="15"/>
  <c r="J53" i="15" l="1"/>
  <c r="K145" i="24"/>
  <c r="I47" i="4"/>
  <c r="I49" i="4" s="1"/>
  <c r="K9" i="24"/>
  <c r="K10" i="24" s="1"/>
  <c r="E17" i="24" s="1"/>
  <c r="J44" i="15"/>
  <c r="J18" i="25"/>
  <c r="J34" i="15"/>
  <c r="I99" i="24"/>
  <c r="J39" i="4"/>
  <c r="J41" i="4" s="1"/>
  <c r="J43" i="4" s="1"/>
  <c r="J44" i="4" s="1"/>
  <c r="J37" i="15" s="1"/>
  <c r="I19" i="25" l="1"/>
  <c r="I20" i="25" s="1"/>
  <c r="I38" i="15"/>
  <c r="J45" i="4"/>
  <c r="K24" i="15"/>
  <c r="L7" i="24"/>
  <c r="L8" i="24" s="1"/>
  <c r="J47" i="15"/>
  <c r="J36" i="15"/>
  <c r="K31" i="4" l="1"/>
  <c r="J8" i="23"/>
  <c r="J9" i="22"/>
  <c r="J38" i="22" s="1"/>
  <c r="L145" i="24"/>
  <c r="J38" i="15"/>
  <c r="K8" i="23" s="1"/>
  <c r="L9" i="24"/>
  <c r="L10" i="24" s="1"/>
  <c r="M7" i="24"/>
  <c r="M8" i="24" s="1"/>
  <c r="J47" i="4"/>
  <c r="J49" i="4" s="1"/>
  <c r="J91" i="24"/>
  <c r="J95" i="24" s="1"/>
  <c r="J99" i="24" s="1"/>
  <c r="J11" i="24"/>
  <c r="J12" i="24" s="1"/>
  <c r="I45" i="15"/>
  <c r="K9" i="22" l="1"/>
  <c r="M145" i="24"/>
  <c r="M9" i="24"/>
  <c r="M10" i="24" s="1"/>
  <c r="K91" i="24"/>
  <c r="K95" i="24" s="1"/>
  <c r="L95" i="24" s="1"/>
  <c r="D100" i="24" s="1"/>
  <c r="K36" i="26" s="1"/>
  <c r="J45" i="15"/>
  <c r="K11" i="24"/>
  <c r="K12" i="24" s="1"/>
  <c r="E18" i="24" s="1"/>
  <c r="J19" i="25"/>
  <c r="J20" i="25" s="1"/>
  <c r="K38" i="22" l="1"/>
  <c r="K99" i="24"/>
  <c r="C6" i="25"/>
  <c r="C8" i="25" s="1"/>
  <c r="C12" i="25" s="1"/>
  <c r="K34" i="15"/>
  <c r="L11" i="24" l="1"/>
  <c r="L12" i="24" s="1"/>
  <c r="M11" i="24"/>
  <c r="M12" i="24" s="1"/>
  <c r="L146" i="24" l="1"/>
  <c r="L148" i="24" s="1"/>
  <c r="L149" i="24" s="1"/>
  <c r="L139" i="24" l="1"/>
  <c r="L141" i="24" s="1"/>
  <c r="L132" i="24"/>
  <c r="L135" i="24" s="1"/>
  <c r="M146" i="24"/>
  <c r="M148" i="24" s="1"/>
  <c r="M149" i="24" s="1"/>
  <c r="L151" i="24" l="1"/>
  <c r="L153" i="24" s="1"/>
  <c r="L154" i="24" s="1"/>
  <c r="L122" i="24"/>
  <c r="L124" i="24" s="1"/>
  <c r="L126" i="24" s="1"/>
  <c r="M132" i="24" l="1"/>
  <c r="M135" i="24" s="1"/>
  <c r="M139" i="24"/>
  <c r="M141" i="24" s="1"/>
  <c r="M122" i="24"/>
  <c r="M124" i="24" s="1"/>
  <c r="M126" i="24" s="1"/>
  <c r="M151" i="24" l="1"/>
  <c r="M153" i="24" s="1"/>
  <c r="M154" i="24" s="1"/>
  <c r="J24" i="25"/>
  <c r="I24" i="25"/>
  <c r="I28" i="25" s="1"/>
  <c r="H24" i="25"/>
  <c r="H28" i="25" s="1"/>
  <c r="G24" i="25"/>
  <c r="G28" i="25" s="1"/>
  <c r="F24" i="25"/>
  <c r="F28" i="25" s="1"/>
  <c r="E24" i="25"/>
  <c r="E28" i="25" s="1"/>
  <c r="G38" i="25"/>
  <c r="G39" i="25" s="1"/>
  <c r="I37" i="25" s="1"/>
  <c r="D25" i="1"/>
  <c r="F23" i="1"/>
  <c r="B37" i="1"/>
  <c r="B36" i="1" s="1"/>
  <c r="C37" i="1" l="1"/>
  <c r="C36" i="1" s="1"/>
  <c r="F18" i="1"/>
  <c r="E14" i="22"/>
  <c r="F14" i="22" s="1"/>
  <c r="C25" i="1"/>
  <c r="E8" i="22"/>
  <c r="C23" i="1"/>
  <c r="E23" i="1" s="1"/>
  <c r="I38" i="25"/>
  <c r="I39" i="25" s="1"/>
  <c r="I41" i="25" s="1"/>
  <c r="B25" i="25" s="1"/>
  <c r="J27" i="25" s="1"/>
  <c r="J28" i="25" s="1"/>
  <c r="B31" i="25" s="1"/>
  <c r="D26" i="1"/>
  <c r="E147" i="24" l="1"/>
  <c r="E10" i="23"/>
  <c r="C26" i="1"/>
  <c r="E25" i="1"/>
  <c r="E7" i="23"/>
  <c r="F7" i="22"/>
  <c r="E10" i="22"/>
  <c r="E12" i="22" s="1"/>
  <c r="E16" i="22" s="1"/>
  <c r="F10" i="23"/>
  <c r="F14" i="23" s="1"/>
  <c r="F22" i="23" s="1"/>
  <c r="F147" i="24"/>
  <c r="G14" i="22"/>
  <c r="B32" i="25" l="1"/>
  <c r="E14" i="23"/>
  <c r="E22" i="23" s="1"/>
  <c r="E146" i="24"/>
  <c r="E148" i="24" s="1"/>
  <c r="E149" i="24" s="1"/>
  <c r="D54" i="15"/>
  <c r="E31" i="22"/>
  <c r="E32" i="22" s="1"/>
  <c r="E35" i="22"/>
  <c r="E36" i="22" s="1"/>
  <c r="D50" i="15" s="1"/>
  <c r="G10" i="23"/>
  <c r="G14" i="23" s="1"/>
  <c r="G22" i="23" s="1"/>
  <c r="G147" i="24"/>
  <c r="H14" i="22"/>
  <c r="G7" i="22"/>
  <c r="F10" i="22"/>
  <c r="F12" i="22" s="1"/>
  <c r="F16" i="22" s="1"/>
  <c r="H147" i="24" l="1"/>
  <c r="H10" i="23"/>
  <c r="H14" i="23" s="1"/>
  <c r="H22" i="23" s="1"/>
  <c r="I14" i="22"/>
  <c r="D51" i="15"/>
  <c r="F31" i="22"/>
  <c r="F32" i="22" s="1"/>
  <c r="E51" i="15" s="1"/>
  <c r="F146" i="24"/>
  <c r="F148" i="24" s="1"/>
  <c r="F149" i="24" s="1"/>
  <c r="F35" i="22"/>
  <c r="F36" i="22" s="1"/>
  <c r="E50" i="15" s="1"/>
  <c r="H7" i="22"/>
  <c r="G10" i="22"/>
  <c r="G12" i="22" s="1"/>
  <c r="G16" i="22" s="1"/>
  <c r="G35" i="22" l="1"/>
  <c r="G36" i="22" s="1"/>
  <c r="F50" i="15" s="1"/>
  <c r="G146" i="24"/>
  <c r="G148" i="24" s="1"/>
  <c r="G149" i="24" s="1"/>
  <c r="G31" i="22"/>
  <c r="G32" i="22" s="1"/>
  <c r="F51" i="15" s="1"/>
  <c r="I7" i="22"/>
  <c r="H10" i="22"/>
  <c r="H12" i="22" s="1"/>
  <c r="I10" i="23"/>
  <c r="I14" i="23" s="1"/>
  <c r="I22" i="23" s="1"/>
  <c r="I147" i="24"/>
  <c r="J14" i="22"/>
  <c r="I10" i="22" l="1"/>
  <c r="I12" i="22" s="1"/>
  <c r="J7" i="22"/>
  <c r="K14" i="22"/>
  <c r="J147" i="24"/>
  <c r="J10" i="23"/>
  <c r="J14" i="23" s="1"/>
  <c r="J22" i="23" s="1"/>
  <c r="H16" i="22"/>
  <c r="H35" i="22"/>
  <c r="H36" i="22" s="1"/>
  <c r="G50" i="15" s="1"/>
  <c r="H31" i="22"/>
  <c r="H32" i="22" s="1"/>
  <c r="G51" i="15" s="1"/>
  <c r="H146" i="24"/>
  <c r="H148" i="24" s="1"/>
  <c r="H149" i="24" s="1"/>
  <c r="K10" i="23" l="1"/>
  <c r="K14" i="23" s="1"/>
  <c r="K22" i="23" s="1"/>
  <c r="K147" i="24"/>
  <c r="J10" i="22"/>
  <c r="J12" i="22" s="1"/>
  <c r="J16" i="22" s="1"/>
  <c r="K7" i="22"/>
  <c r="K10" i="22" s="1"/>
  <c r="K12" i="22" s="1"/>
  <c r="I35" i="22"/>
  <c r="I36" i="22" s="1"/>
  <c r="H50" i="15" s="1"/>
  <c r="I146" i="24"/>
  <c r="I148" i="24" s="1"/>
  <c r="I149" i="24" s="1"/>
  <c r="I16" i="22"/>
  <c r="I31" i="22"/>
  <c r="I32" i="22" s="1"/>
  <c r="H51" i="15" s="1"/>
  <c r="J146" i="24" l="1"/>
  <c r="J148" i="24" s="1"/>
  <c r="J149" i="24" s="1"/>
  <c r="J31" i="22"/>
  <c r="J32" i="22" s="1"/>
  <c r="J35" i="22"/>
  <c r="J36" i="22" s="1"/>
  <c r="I50" i="15" s="1"/>
  <c r="K16" i="22"/>
  <c r="K35" i="22"/>
  <c r="K36" i="22" s="1"/>
  <c r="J50" i="15" s="1"/>
  <c r="K146" i="24"/>
  <c r="K148" i="24" s="1"/>
  <c r="K149" i="24" s="1"/>
  <c r="K31" i="22"/>
  <c r="K32" i="22" s="1"/>
  <c r="J51" i="15" s="1"/>
  <c r="I51" i="15" l="1"/>
  <c r="E33" i="22"/>
  <c r="E23" i="23"/>
  <c r="F21" i="23" s="1"/>
  <c r="F23" i="23" s="1"/>
  <c r="F23" i="22" l="1"/>
  <c r="G21" i="23"/>
  <c r="G23" i="23" s="1"/>
  <c r="E23" i="22"/>
  <c r="E139" i="24" l="1"/>
  <c r="E141" i="24" s="1"/>
  <c r="D57" i="15" s="1"/>
  <c r="E26" i="22"/>
  <c r="E24" i="22"/>
  <c r="H21" i="23"/>
  <c r="H23" i="23" s="1"/>
  <c r="G23" i="22"/>
  <c r="F24" i="22"/>
  <c r="F26" i="22"/>
  <c r="F139" i="24"/>
  <c r="F141" i="24" s="1"/>
  <c r="E57" i="15" s="1"/>
  <c r="I21" i="23" l="1"/>
  <c r="I23" i="23" s="1"/>
  <c r="H23" i="22"/>
  <c r="E122" i="24"/>
  <c r="E124" i="24" s="1"/>
  <c r="E126" i="24" s="1"/>
  <c r="D55" i="15" s="1"/>
  <c r="E17" i="22"/>
  <c r="E151" i="24"/>
  <c r="E153" i="24" s="1"/>
  <c r="E154" i="24" s="1"/>
  <c r="D52" i="15"/>
  <c r="F17" i="22"/>
  <c r="E52" i="15"/>
  <c r="F151" i="24"/>
  <c r="F153" i="24" s="1"/>
  <c r="F154" i="24" s="1"/>
  <c r="F122" i="24"/>
  <c r="F124" i="24" s="1"/>
  <c r="F126" i="24" s="1"/>
  <c r="E55" i="15" s="1"/>
  <c r="E29" i="22"/>
  <c r="E132" i="24"/>
  <c r="E135" i="24" s="1"/>
  <c r="D56" i="15" s="1"/>
  <c r="E28" i="22"/>
  <c r="F28" i="22"/>
  <c r="F29" i="22"/>
  <c r="F132" i="24"/>
  <c r="F135" i="24" s="1"/>
  <c r="E56" i="15" s="1"/>
  <c r="G139" i="24"/>
  <c r="G141" i="24" s="1"/>
  <c r="F57" i="15" s="1"/>
  <c r="G26" i="22"/>
  <c r="G24" i="22"/>
  <c r="F52" i="15" l="1"/>
  <c r="G122" i="24"/>
  <c r="G124" i="24" s="1"/>
  <c r="G126" i="24" s="1"/>
  <c r="F55" i="15" s="1"/>
  <c r="G17" i="22"/>
  <c r="G151" i="24"/>
  <c r="G153" i="24" s="1"/>
  <c r="G154" i="24" s="1"/>
  <c r="G28" i="22"/>
  <c r="G132" i="24"/>
  <c r="G135" i="24" s="1"/>
  <c r="F56" i="15" s="1"/>
  <c r="G29" i="22"/>
  <c r="H26" i="22"/>
  <c r="H24" i="22"/>
  <c r="H139" i="24"/>
  <c r="H141" i="24" s="1"/>
  <c r="G57" i="15" s="1"/>
  <c r="J21" i="23"/>
  <c r="J23" i="23" s="1"/>
  <c r="I23" i="22"/>
  <c r="H28" i="22" l="1"/>
  <c r="H132" i="24"/>
  <c r="H135" i="24" s="1"/>
  <c r="G56" i="15" s="1"/>
  <c r="H29" i="22"/>
  <c r="I26" i="22"/>
  <c r="I139" i="24"/>
  <c r="I141" i="24" s="1"/>
  <c r="H57" i="15" s="1"/>
  <c r="I24" i="22"/>
  <c r="K21" i="23"/>
  <c r="K23" i="23" s="1"/>
  <c r="K23" i="22" s="1"/>
  <c r="J23" i="22"/>
  <c r="G52" i="15"/>
  <c r="H122" i="24"/>
  <c r="H124" i="24" s="1"/>
  <c r="H126" i="24" s="1"/>
  <c r="G55" i="15" s="1"/>
  <c r="H151" i="24"/>
  <c r="H153" i="24" s="1"/>
  <c r="H154" i="24" s="1"/>
  <c r="H17" i="22"/>
  <c r="J26" i="22" l="1"/>
  <c r="J24" i="22"/>
  <c r="J139" i="24"/>
  <c r="J141" i="24" s="1"/>
  <c r="I57" i="15" s="1"/>
  <c r="I132" i="24"/>
  <c r="I135" i="24" s="1"/>
  <c r="H56" i="15" s="1"/>
  <c r="I28" i="22"/>
  <c r="I29" i="22"/>
  <c r="K24" i="22"/>
  <c r="K26" i="22"/>
  <c r="K139" i="24"/>
  <c r="K141" i="24" s="1"/>
  <c r="J57" i="15" s="1"/>
  <c r="I122" i="24"/>
  <c r="I124" i="24" s="1"/>
  <c r="I126" i="24" s="1"/>
  <c r="H55" i="15" s="1"/>
  <c r="H52" i="15"/>
  <c r="I151" i="24"/>
  <c r="I153" i="24" s="1"/>
  <c r="I154" i="24" s="1"/>
  <c r="I17" i="22"/>
  <c r="J52" i="15" l="1"/>
  <c r="K122" i="24"/>
  <c r="K124" i="24" s="1"/>
  <c r="K126" i="24" s="1"/>
  <c r="J55" i="15" s="1"/>
  <c r="K151" i="24"/>
  <c r="K153" i="24" s="1"/>
  <c r="K154" i="24" s="1"/>
  <c r="K17" i="22"/>
  <c r="I52" i="15"/>
  <c r="J122" i="24"/>
  <c r="J124" i="24" s="1"/>
  <c r="J126" i="24" s="1"/>
  <c r="I55" i="15" s="1"/>
  <c r="J151" i="24"/>
  <c r="J153" i="24" s="1"/>
  <c r="J154" i="24" s="1"/>
  <c r="J17" i="22"/>
  <c r="K28" i="22"/>
  <c r="K132" i="24"/>
  <c r="K135" i="24" s="1"/>
  <c r="J56" i="15" s="1"/>
  <c r="K29" i="22"/>
  <c r="J132" i="24"/>
  <c r="J135" i="24" s="1"/>
  <c r="I56" i="15" s="1"/>
  <c r="J28" i="22"/>
  <c r="J29"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9" authorId="0" shapeId="0" xr:uid="{7F793170-E375-4326-B60C-3677F51AD51E}">
      <text>
        <r>
          <rPr>
            <b/>
            <sz val="9"/>
            <color indexed="81"/>
            <rFont val="Tahoma"/>
            <charset val="1"/>
          </rPr>
          <t>Author:</t>
        </r>
        <r>
          <rPr>
            <sz val="9"/>
            <color indexed="81"/>
            <rFont val="Tahoma"/>
            <charset val="1"/>
          </rPr>
          <t xml:space="preserve">
capital advance adjustment made just for adjusting te fund </t>
        </r>
      </text>
    </comment>
  </commentList>
</comments>
</file>

<file path=xl/sharedStrings.xml><?xml version="1.0" encoding="utf-8"?>
<sst xmlns="http://schemas.openxmlformats.org/spreadsheetml/2006/main" count="823" uniqueCount="481">
  <si>
    <t>Cost of Project</t>
  </si>
  <si>
    <t>Particulars</t>
  </si>
  <si>
    <t>Already Incurred</t>
  </si>
  <si>
    <t>To be Incurred</t>
  </si>
  <si>
    <t>Total Cost</t>
  </si>
  <si>
    <t>Total Project Cost</t>
  </si>
  <si>
    <t>Means of Finance</t>
  </si>
  <si>
    <t>Already Done</t>
  </si>
  <si>
    <t>Proposed</t>
  </si>
  <si>
    <t>Total</t>
  </si>
  <si>
    <t>Promoters Contribution</t>
  </si>
  <si>
    <t>Bank Finance (TL)</t>
  </si>
  <si>
    <t>Term Loan</t>
  </si>
  <si>
    <t>Month</t>
  </si>
  <si>
    <t>Interest</t>
  </si>
  <si>
    <t>Principal</t>
  </si>
  <si>
    <t>Calculation of Depriciations (As per Income Tax Act )</t>
  </si>
  <si>
    <t xml:space="preserve">Gross Block </t>
  </si>
  <si>
    <t>Building and other civil work</t>
  </si>
  <si>
    <t>Plant and Machinery</t>
  </si>
  <si>
    <t>Depreciation</t>
  </si>
  <si>
    <t>Plant and machinery</t>
  </si>
  <si>
    <t>Net Block</t>
  </si>
  <si>
    <t>Building &amp; other civil work</t>
  </si>
  <si>
    <t>PARTICULARS</t>
  </si>
  <si>
    <t>Months</t>
  </si>
  <si>
    <t>Total Revenue</t>
  </si>
  <si>
    <t>Operating Cost</t>
  </si>
  <si>
    <t>Repair &amp; Maintenance (% of Building, P&amp;M)</t>
  </si>
  <si>
    <t>Insurance (of Net Block)</t>
  </si>
  <si>
    <t>Total Cost of Operation</t>
  </si>
  <si>
    <t>OPERATING COST/SALES</t>
  </si>
  <si>
    <t>Gross Operating Profit B Intt, Tax &amp; Deprn</t>
  </si>
  <si>
    <t>PBDIT/SALES</t>
  </si>
  <si>
    <t>EBIDTA</t>
  </si>
  <si>
    <t>Financial Expenses : Interest on Term Loan</t>
  </si>
  <si>
    <t>Profit before Depreciation</t>
  </si>
  <si>
    <t>Profit after Depreciation</t>
  </si>
  <si>
    <t>Prel. Expenses W/Off</t>
  </si>
  <si>
    <t>Profit Before Tax</t>
  </si>
  <si>
    <t>Income Tax</t>
  </si>
  <si>
    <t>Profit After Tax</t>
  </si>
  <si>
    <t>Dividend</t>
  </si>
  <si>
    <t>Retaind Profit</t>
  </si>
  <si>
    <t>Net Cash Accurals</t>
  </si>
  <si>
    <t>Repayment of Term Loan</t>
  </si>
  <si>
    <t>Interest on Term Loan</t>
  </si>
  <si>
    <t xml:space="preserve">Power &amp; Fuel </t>
  </si>
  <si>
    <t>Administration &amp; Misc. Exp</t>
  </si>
  <si>
    <t>Other Operating Expenses</t>
  </si>
  <si>
    <t>Projected</t>
  </si>
  <si>
    <t>TOL/TNW</t>
  </si>
  <si>
    <t>Current Ratio</t>
  </si>
  <si>
    <t>Financial Expenses : Interest on WC</t>
  </si>
  <si>
    <t>(Values in Crs.)</t>
  </si>
  <si>
    <t>2024-25</t>
  </si>
  <si>
    <t>2025-26</t>
  </si>
  <si>
    <t>2026-27</t>
  </si>
  <si>
    <t>2027-28</t>
  </si>
  <si>
    <t>2028-29</t>
  </si>
  <si>
    <t>2029-30</t>
  </si>
  <si>
    <t>Furniture &amp; Fixtures &amp; others</t>
  </si>
  <si>
    <t>(Amts in crs)</t>
  </si>
  <si>
    <t>2023-24</t>
  </si>
  <si>
    <t xml:space="preserve">Purchase of Plant and Machinery </t>
  </si>
  <si>
    <t>Working Capital GAP</t>
  </si>
  <si>
    <t>Capacity utilisation %</t>
  </si>
  <si>
    <t>Deluxe room-1 no. @ 7000/- PDAY</t>
  </si>
  <si>
    <t>ICU- 22 nos @ 8000/-Pday</t>
  </si>
  <si>
    <t>Total room revenue per day</t>
  </si>
  <si>
    <t>Total room revenue PM</t>
  </si>
  <si>
    <t>Number of Rooms</t>
  </si>
  <si>
    <t>Rate per day</t>
  </si>
  <si>
    <t>Revenue</t>
  </si>
  <si>
    <t>Departmental Revenue PA</t>
  </si>
  <si>
    <t>Income Estimates: Room Revenue</t>
  </si>
  <si>
    <t>Income Estimates: Departmental Revenue</t>
  </si>
  <si>
    <t>Assumptions:</t>
  </si>
  <si>
    <t>Total number of Beds</t>
  </si>
  <si>
    <t>Available beds in a year</t>
  </si>
  <si>
    <t>Average length of stay</t>
  </si>
  <si>
    <t>days</t>
  </si>
  <si>
    <t>beds</t>
  </si>
  <si>
    <t>Number of addmissions</t>
  </si>
  <si>
    <t>Total number of days- Indoor</t>
  </si>
  <si>
    <t>Total number of days-OPD</t>
  </si>
  <si>
    <t>Calculation of Revenue Projections:</t>
  </si>
  <si>
    <t>Department</t>
  </si>
  <si>
    <t>Productivity</t>
  </si>
  <si>
    <t>Indoor</t>
  </si>
  <si>
    <t>OPD</t>
  </si>
  <si>
    <t>Avg. Rate per case</t>
  </si>
  <si>
    <t>Income</t>
  </si>
  <si>
    <t>Special OPD</t>
  </si>
  <si>
    <t>Cardiac OPD</t>
  </si>
  <si>
    <t>Angiography</t>
  </si>
  <si>
    <t>Angioplasty</t>
  </si>
  <si>
    <t>Urology surgeries:</t>
  </si>
  <si>
    <t>Surgeon Charges</t>
  </si>
  <si>
    <t>OT Charges</t>
  </si>
  <si>
    <t>Anesthetist Charges</t>
  </si>
  <si>
    <t>Consumables</t>
  </si>
  <si>
    <t>Ortho &amp; Spine Surgeries:</t>
  </si>
  <si>
    <t>Gynae Surgeries:</t>
  </si>
  <si>
    <t>General Procedures:</t>
  </si>
  <si>
    <t>Dialysis</t>
  </si>
  <si>
    <t>Daycare</t>
  </si>
  <si>
    <t>C Section</t>
  </si>
  <si>
    <t>Normal Delivery (Delivery Room)</t>
  </si>
  <si>
    <t>Admission fee</t>
  </si>
  <si>
    <t>Pharmacy</t>
  </si>
  <si>
    <t>Minor Procedures</t>
  </si>
  <si>
    <t>Pathology</t>
  </si>
  <si>
    <t>MRI</t>
  </si>
  <si>
    <t>CT SCAN</t>
  </si>
  <si>
    <t>X-ray</t>
  </si>
  <si>
    <t>Sonography</t>
  </si>
  <si>
    <t>ECG</t>
  </si>
  <si>
    <t>Total revenue PA @ 100% CAPACITY</t>
  </si>
  <si>
    <t>Less: 10% discount on account of charity and Professional referral cases.</t>
  </si>
  <si>
    <t>Net Revenue PA on 100% capacity</t>
  </si>
  <si>
    <t>Monthly revenue</t>
  </si>
  <si>
    <t>Income Estimates: Misc Revenue</t>
  </si>
  <si>
    <t>Revenue-PA</t>
  </si>
  <si>
    <t>Rent from cafeteria</t>
  </si>
  <si>
    <t>Certificates/ Passess</t>
  </si>
  <si>
    <t>Total Revenue-PA</t>
  </si>
  <si>
    <t>Canteen/ Kitchen in house @ 500/- PD/PBed</t>
  </si>
  <si>
    <t>Cost of Rooms maintenance, Washing of Linen etc. @ % of room revenue</t>
  </si>
  <si>
    <t>Salary and wages @ % of the total revenue</t>
  </si>
  <si>
    <t>Private Room - 30 nos. @ 4000/- Pday</t>
  </si>
  <si>
    <t>Semi.Private-4 nos. @ 2500/-Pday</t>
  </si>
  <si>
    <t>OBG Ward- 5nos. @ 2000/-Pday</t>
  </si>
  <si>
    <t>Economy- 55 nos. @ 1500/-Pday</t>
  </si>
  <si>
    <t>NICU-3 nos. @ 5000/-Pday</t>
  </si>
  <si>
    <t>Years</t>
  </si>
  <si>
    <t>EBITDA Per bed</t>
  </si>
  <si>
    <t xml:space="preserve">Projected P&amp;L Statement     </t>
  </si>
  <si>
    <t xml:space="preserve">EBITDA </t>
  </si>
  <si>
    <t>EBITDA Margin %</t>
  </si>
  <si>
    <t>Depreciation &amp; Amortization</t>
  </si>
  <si>
    <t>EBIT</t>
  </si>
  <si>
    <t>Interest on WC</t>
  </si>
  <si>
    <t>Finace Cost</t>
  </si>
  <si>
    <t>Profit before tax</t>
  </si>
  <si>
    <t>Net Profit before tax</t>
  </si>
  <si>
    <t>Profit after taxes</t>
  </si>
  <si>
    <t>EBIT Margin %</t>
  </si>
  <si>
    <t>Net Profit Margin</t>
  </si>
  <si>
    <t>Revenue Growth Rate %</t>
  </si>
  <si>
    <t>Ratio Analysis</t>
  </si>
  <si>
    <t>DSCR</t>
  </si>
  <si>
    <t>PAT</t>
  </si>
  <si>
    <t>Current ratio</t>
  </si>
  <si>
    <t>Medicine purchase @ 25% of Dep. Exp.</t>
  </si>
  <si>
    <t>Bed Revenue: Total number of beds 100</t>
  </si>
  <si>
    <t>ASHIYANA INSTITUTE OF MEDICAL SCIENCE LLP</t>
  </si>
  <si>
    <t>Projected Profitability Statement     ASHIYANA INSTITUTE OF MEDICAL SCIENCE LLP</t>
  </si>
  <si>
    <t>M/s ASHIYANA INSTITUTE OF MEDICAL SCIENCE LLP</t>
  </si>
  <si>
    <t>Project: MULTI SPECIALITY HOSPITAL (100 Beds)  Address: 17-C, Old Fatehpura, Udaipur City, Udaipur, Girwa, Rajasthan, India, 313001</t>
  </si>
  <si>
    <t>Visit of petient per day</t>
  </si>
  <si>
    <t xml:space="preserve">OPD Consultation Charges </t>
  </si>
  <si>
    <t xml:space="preserve">Inpatient revenue </t>
  </si>
  <si>
    <t>Occupancy</t>
  </si>
  <si>
    <t>Total IPD</t>
  </si>
  <si>
    <t>Total OPD</t>
  </si>
  <si>
    <t xml:space="preserve">OPD Charges per patient </t>
  </si>
  <si>
    <t xml:space="preserve">no. days in A week OPD </t>
  </si>
  <si>
    <t>No. weeks in a year</t>
  </si>
  <si>
    <t>Total no. of days for OPD</t>
  </si>
  <si>
    <t>Total Revenue from OPD</t>
  </si>
  <si>
    <t>No. Patient visit per day</t>
  </si>
  <si>
    <t>Inpatient consultancy Charges</t>
  </si>
  <si>
    <t>Maximum beds availble</t>
  </si>
  <si>
    <t>Total no of beds avaulble in a year</t>
  </si>
  <si>
    <t>Operation and Surgeries during the Year</t>
  </si>
  <si>
    <t xml:space="preserve">Average rate </t>
  </si>
  <si>
    <t>Pharmacy income</t>
  </si>
  <si>
    <t>Total No. of patient visit OPD</t>
  </si>
  <si>
    <t>Medicin Per person</t>
  </si>
  <si>
    <t>Inpatient</t>
  </si>
  <si>
    <t xml:space="preserve">OPD % of person </t>
  </si>
  <si>
    <t>Construction of Building</t>
  </si>
  <si>
    <t>Devlp. of Land</t>
  </si>
  <si>
    <t>Preoperating Ex.</t>
  </si>
  <si>
    <t xml:space="preserve">Unsecured Loan </t>
  </si>
  <si>
    <t>Annual Total income</t>
  </si>
  <si>
    <t>Monthly income</t>
  </si>
  <si>
    <t>SCHEDULE-7</t>
  </si>
  <si>
    <t xml:space="preserve"> </t>
  </si>
  <si>
    <t>(Rs. In Lacs)</t>
  </si>
  <si>
    <t>Loan amount (in lacs)</t>
  </si>
  <si>
    <t>First disbursement</t>
  </si>
  <si>
    <t>Annual interest rate %</t>
  </si>
  <si>
    <t>Percent</t>
  </si>
  <si>
    <t>Loan period in years (including moratorium)</t>
  </si>
  <si>
    <t>24-25</t>
  </si>
  <si>
    <t>Total Loan Period in Month</t>
  </si>
  <si>
    <t>25-26</t>
  </si>
  <si>
    <t>Principal Amount payment in month (after moratorium)</t>
  </si>
  <si>
    <t>26-27</t>
  </si>
  <si>
    <t>Moratorium Period  (months)</t>
  </si>
  <si>
    <t>27-28</t>
  </si>
  <si>
    <t>Start date of loan</t>
  </si>
  <si>
    <t>28-29</t>
  </si>
  <si>
    <t>DCCO</t>
  </si>
  <si>
    <t>29-30</t>
  </si>
  <si>
    <t>Total Principal amount payable per month (Rs. In lacs)</t>
  </si>
  <si>
    <t>Ballooning</t>
  </si>
  <si>
    <t>30-31</t>
  </si>
  <si>
    <t>Installment Starts From</t>
  </si>
  <si>
    <t>31-32</t>
  </si>
  <si>
    <t>32-33</t>
  </si>
  <si>
    <t>Particular</t>
  </si>
  <si>
    <t>instalment no.</t>
  </si>
  <si>
    <t>Beginning
Balance</t>
  </si>
  <si>
    <t>Total Payment (Principal + Interest)</t>
  </si>
  <si>
    <t>Balance (Month end)</t>
  </si>
  <si>
    <t>33-34</t>
  </si>
  <si>
    <t>34-35</t>
  </si>
  <si>
    <t>Total payments</t>
  </si>
  <si>
    <t>Total Principal</t>
  </si>
  <si>
    <t>Total Interest</t>
  </si>
  <si>
    <t>Analysis (Year wise)</t>
  </si>
  <si>
    <t>Year 1</t>
  </si>
  <si>
    <t>Year 2</t>
  </si>
  <si>
    <t>Year 3</t>
  </si>
  <si>
    <t>Year 4</t>
  </si>
  <si>
    <t>Year 5</t>
  </si>
  <si>
    <t>Year 6</t>
  </si>
  <si>
    <t>Year 7</t>
  </si>
  <si>
    <t>Year 8</t>
  </si>
  <si>
    <t>Year 9</t>
  </si>
  <si>
    <t>Year 10</t>
  </si>
  <si>
    <t>Year 11</t>
  </si>
  <si>
    <t>Yearly Summary</t>
  </si>
  <si>
    <t>2030-31</t>
  </si>
  <si>
    <t>2031-32</t>
  </si>
  <si>
    <t>2032-33</t>
  </si>
  <si>
    <t>2033-34</t>
  </si>
  <si>
    <t>2034-35</t>
  </si>
  <si>
    <t>Principal Repayment</t>
  </si>
  <si>
    <t>Interest ( Other than capitalised)</t>
  </si>
  <si>
    <t>Interest (capitalised)</t>
  </si>
  <si>
    <t>Balance Outstanding</t>
  </si>
  <si>
    <t xml:space="preserve">Interest Capitalise : Before commencement of commercial operation : </t>
  </si>
  <si>
    <t>Other Interest</t>
  </si>
  <si>
    <t xml:space="preserve">Principal Repayment </t>
  </si>
  <si>
    <t>WARD MALE 1 @500</t>
  </si>
  <si>
    <t>PRIVATE ROOM @ 1500</t>
  </si>
  <si>
    <t>WARD MALE 2 @ 500</t>
  </si>
  <si>
    <t>WARD FEMALE 1 @ 500</t>
  </si>
  <si>
    <t>WARD FEMALE 2 @ 500</t>
  </si>
  <si>
    <t>ICU @ 6000</t>
  </si>
  <si>
    <t>Annual Income</t>
  </si>
  <si>
    <t xml:space="preserve">Pharmacy income from OPD </t>
  </si>
  <si>
    <t xml:space="preserve">Pharmacy income Inpatient </t>
  </si>
  <si>
    <t>AMOUNT</t>
  </si>
  <si>
    <t>CONTING-</t>
  </si>
  <si>
    <t>PRE-</t>
  </si>
  <si>
    <t>TOTAL</t>
  </si>
  <si>
    <t>RATE</t>
  </si>
  <si>
    <t>ENCIES</t>
  </si>
  <si>
    <t>OPERATIVE</t>
  </si>
  <si>
    <t>OF</t>
  </si>
  <si>
    <t>EXPENSES</t>
  </si>
  <si>
    <t xml:space="preserve">    DEPRECIATION</t>
  </si>
  <si>
    <t xml:space="preserve">Mis. Fixed Assets </t>
  </si>
  <si>
    <t>Contingencies @ 5%</t>
  </si>
  <si>
    <t xml:space="preserve">Amt </t>
  </si>
  <si>
    <t>Total CoP</t>
  </si>
  <si>
    <t>WDV rate</t>
  </si>
  <si>
    <t>Total Building Cost</t>
  </si>
  <si>
    <t xml:space="preserve">Furniture &amp; Fixtures Interiors </t>
  </si>
  <si>
    <t>Plants &amp; Equipments</t>
  </si>
  <si>
    <t xml:space="preserve">YEAR/ASSET  HEAD </t>
  </si>
  <si>
    <t xml:space="preserve">Building </t>
  </si>
  <si>
    <t>Depreciation - Build</t>
  </si>
  <si>
    <t xml:space="preserve">Depreciation - Furniture &amp; Fixtures Interiors </t>
  </si>
  <si>
    <t xml:space="preserve">Plant &amp; Machinery </t>
  </si>
  <si>
    <t>Depreciation - P&amp;M</t>
  </si>
  <si>
    <t xml:space="preserve">Total Depreciation </t>
  </si>
  <si>
    <t>Accumulated Depriciation</t>
  </si>
  <si>
    <t>Total Value of assets</t>
  </si>
  <si>
    <t>Net value of Asstes</t>
  </si>
  <si>
    <t>DEPRECIATION DSCHEDULE AS PER INCOME TAX ACT  (Lakh INR)</t>
  </si>
  <si>
    <t xml:space="preserve">YEAR/ASSET HEAD </t>
  </si>
  <si>
    <t xml:space="preserve">Less : Depreciation </t>
  </si>
  <si>
    <t xml:space="preserve">WDV of Building </t>
  </si>
  <si>
    <t xml:space="preserve">WDV of Furniture &amp; Fixtures Interiors </t>
  </si>
  <si>
    <t xml:space="preserve">WDV of Plant &amp; Machinery </t>
  </si>
  <si>
    <t xml:space="preserve">Total WDV Depreciation </t>
  </si>
  <si>
    <t xml:space="preserve">Total WDV </t>
  </si>
  <si>
    <t>DEPRECIATION SCHEDULE AS PER COMPANY LAW (Lakh INR) SLM</t>
  </si>
  <si>
    <t>PREOPERATIVE EXPENSES :</t>
  </si>
  <si>
    <t>Establishment Expenses</t>
  </si>
  <si>
    <t>Travelling &amp; Conveyance</t>
  </si>
  <si>
    <t>Salaries</t>
  </si>
  <si>
    <t xml:space="preserve">Misc. Expenses </t>
  </si>
  <si>
    <t>Interest,commitment charges</t>
  </si>
  <si>
    <t>&amp; upfront fee</t>
  </si>
  <si>
    <t>Consultancy &amp; other co-</t>
  </si>
  <si>
    <t>ordinations services</t>
  </si>
  <si>
    <t>Deposit &amp; Approvals</t>
  </si>
  <si>
    <t>Or Say</t>
  </si>
  <si>
    <t>Contingencies</t>
  </si>
  <si>
    <t>IDC &amp; Other Pre Expenses</t>
  </si>
  <si>
    <t>Compnanies act SLM</t>
  </si>
  <si>
    <t xml:space="preserve">Promotes Contribution </t>
  </si>
  <si>
    <t>Unsecured Loan</t>
  </si>
  <si>
    <t>Capital Expenditure</t>
  </si>
  <si>
    <t>Diagnostic</t>
  </si>
  <si>
    <t>Total no. of cases availble</t>
  </si>
  <si>
    <t>Lab test</t>
  </si>
  <si>
    <t>XRAY/Ultrsound</t>
  </si>
  <si>
    <t xml:space="preserve">Diagnostic Revenue </t>
  </si>
  <si>
    <t>Pahrmency Operation and Surgeries during the Year</t>
  </si>
  <si>
    <t>Balance Sheet</t>
  </si>
  <si>
    <t>Rs.In Lakhs</t>
  </si>
  <si>
    <t>YEARS</t>
  </si>
  <si>
    <t>23-24</t>
  </si>
  <si>
    <t>Construction Period</t>
  </si>
  <si>
    <t>Equity &amp; Liability</t>
  </si>
  <si>
    <t>Equity (Share Capital + Securities Premium)</t>
  </si>
  <si>
    <t xml:space="preserve">Addition </t>
  </si>
  <si>
    <t>Net Profit after tax transferred to Capital a/c</t>
  </si>
  <si>
    <t>Less: Dividends</t>
  </si>
  <si>
    <t>Net Capital a/c</t>
  </si>
  <si>
    <t xml:space="preserve">Term Loan </t>
  </si>
  <si>
    <t>Unsecured Loan from Directors/Relatives</t>
  </si>
  <si>
    <t>Current Liabilities[=30day exp.,other than dep.&amp; int on term loan]</t>
  </si>
  <si>
    <t>Assets</t>
  </si>
  <si>
    <t>Fixed Assets[ Net ]/ CWIP</t>
  </si>
  <si>
    <t xml:space="preserve">Deposit &amp; Advances </t>
  </si>
  <si>
    <t>Pre- Operative Expenses Not Written Off</t>
  </si>
  <si>
    <t>Cash &amp; Bank Balance</t>
  </si>
  <si>
    <t>Current Assets other than cash &amp; bank</t>
  </si>
  <si>
    <t>Total Current Assets  = A</t>
  </si>
  <si>
    <t>Current Liabilities = B</t>
  </si>
  <si>
    <t>Net Working Capital=[ A - B ]</t>
  </si>
  <si>
    <t>Current Ratio = [ A / B ]</t>
  </si>
  <si>
    <t>Debt [ Term Loan ] = C</t>
  </si>
  <si>
    <t xml:space="preserve">Total Outside Liabilites </t>
  </si>
  <si>
    <t>Total Adjusted Networth [ share capital + unsecured loans]</t>
  </si>
  <si>
    <t>TOL/ATNW</t>
  </si>
  <si>
    <t>Cash Accrual</t>
  </si>
  <si>
    <t>Net Working Capital</t>
  </si>
  <si>
    <t>Change in New Working Capital</t>
  </si>
  <si>
    <t>Digonistic Expenses @30% % of Digonistic Revenues</t>
  </si>
  <si>
    <t>Cash Flow Statement  (Rs.In Lakhs)</t>
  </si>
  <si>
    <t>Construction period</t>
  </si>
  <si>
    <t xml:space="preserve">Sources of Funds </t>
  </si>
  <si>
    <t>Unsecured Loan from Directors/ Relatives</t>
  </si>
  <si>
    <t>Preliminary Expenses Written Off</t>
  </si>
  <si>
    <t>Application of Funds</t>
  </si>
  <si>
    <t>Investment and Deposit</t>
  </si>
  <si>
    <t>Opening Balance</t>
  </si>
  <si>
    <t>Surplus</t>
  </si>
  <si>
    <t>Closing Balance</t>
  </si>
  <si>
    <t xml:space="preserve">Profit after tax </t>
  </si>
  <si>
    <t xml:space="preserve">Add: Depreciation for the year </t>
  </si>
  <si>
    <t>Add: Interest on Term Loan</t>
  </si>
  <si>
    <t>Capital a/c</t>
  </si>
  <si>
    <t>Stock (1 Month of Pharmacy )</t>
  </si>
  <si>
    <t>Tax @ 34.94%</t>
  </si>
  <si>
    <t xml:space="preserve">Interest Service Ratio = EBIDT/Interest </t>
  </si>
  <si>
    <t xml:space="preserve">Revenue </t>
  </si>
  <si>
    <t xml:space="preserve">EBITDA  </t>
  </si>
  <si>
    <t xml:space="preserve">Net profit  </t>
  </si>
  <si>
    <t>Net Profit Margin %</t>
  </si>
  <si>
    <t>Average EBITDA Margin</t>
  </si>
  <si>
    <t>As a rule of thumb, a healthy EBITDA should not be less than 1/3 of Total Hotel Revenues combined.</t>
  </si>
  <si>
    <t>Average EBIT Margin</t>
  </si>
  <si>
    <t>Average Net Profit Margin</t>
  </si>
  <si>
    <t>There are hotels that make more than 50% EBITDA, if they are luxurious and located in developing countries where the expenses for labor are low and the ROOM Rates are high… Thailand, Philippines, Vietnam, Indonesia, China, India…</t>
  </si>
  <si>
    <t>Avergae Revenue Growth Rate</t>
  </si>
  <si>
    <t>Asset Coverage ratio</t>
  </si>
  <si>
    <t>Total Assets</t>
  </si>
  <si>
    <t>Current liabilities</t>
  </si>
  <si>
    <t>Total Assets-Current liabilities</t>
  </si>
  <si>
    <t>Total Debt</t>
  </si>
  <si>
    <t>Asset Coverage Ratio</t>
  </si>
  <si>
    <t>Current Assets</t>
  </si>
  <si>
    <t>Current Liabilities</t>
  </si>
  <si>
    <t>Cash Ratio</t>
  </si>
  <si>
    <t>Cash &amp; Cash Equivelent</t>
  </si>
  <si>
    <t xml:space="preserve">Add:Preliminary/pre-operative Expenses Written </t>
  </si>
  <si>
    <t xml:space="preserve">Calculation of ARR </t>
  </si>
  <si>
    <t>Total Net profit</t>
  </si>
  <si>
    <t>No. of years</t>
  </si>
  <si>
    <t>Average profit</t>
  </si>
  <si>
    <t>Initial cost</t>
  </si>
  <si>
    <t>ARR %</t>
  </si>
  <si>
    <t>Terminal Value</t>
  </si>
  <si>
    <t>Taxes</t>
  </si>
  <si>
    <t>NOPAT</t>
  </si>
  <si>
    <t>Depreciation + Prem Write off</t>
  </si>
  <si>
    <t>CAPEX</t>
  </si>
  <si>
    <t>Investment in WC</t>
  </si>
  <si>
    <t>FCFF</t>
  </si>
  <si>
    <t>IRR</t>
  </si>
  <si>
    <t>Discount rate</t>
  </si>
  <si>
    <t>Expected growth rate(Terminal)</t>
  </si>
  <si>
    <t>NPV</t>
  </si>
  <si>
    <t>Sundry Debtors[=15 days of Inpatient and Other Surgires]</t>
  </si>
  <si>
    <t>OPD Income</t>
  </si>
  <si>
    <t>Inpatient Income</t>
  </si>
  <si>
    <t xml:space="preserve">Surgiries and operation </t>
  </si>
  <si>
    <t>Land</t>
  </si>
  <si>
    <t>FCF+TV</t>
  </si>
  <si>
    <t>Departmental ex.OT Ex, Consumables Ex., others- @ 30% of Dep. Revenues</t>
  </si>
  <si>
    <t>Departmental ex.- OT Ex, Consumables Ex., others- @ 60% of Dep. Revenues</t>
  </si>
  <si>
    <t>Wagres &amp; Salaries</t>
  </si>
  <si>
    <t>Amount</t>
  </si>
  <si>
    <t>Cost</t>
  </si>
  <si>
    <t xml:space="preserve">Weighted Cost </t>
  </si>
  <si>
    <t>D</t>
  </si>
  <si>
    <t>E</t>
  </si>
  <si>
    <t>Company Risk Premium</t>
  </si>
  <si>
    <t>Assumption</t>
  </si>
  <si>
    <t>https://www.careratings.com/uploads/newsfiles/1702273756_Hospital%20Industry%20in%20India%20Set%20to%20Grow%20at%2012%20percent%20CAGR%20till%20FY26.pdf?utm_source=chatgpt.com</t>
  </si>
  <si>
    <t>DER</t>
  </si>
  <si>
    <t>ROCE</t>
  </si>
  <si>
    <t>ROCE 1</t>
  </si>
  <si>
    <t>ROCE2</t>
  </si>
  <si>
    <t>In  lakhs</t>
  </si>
  <si>
    <t>FINANCIAL YEAR</t>
  </si>
  <si>
    <t>Break Even Analysis</t>
  </si>
  <si>
    <t>Sales</t>
  </si>
  <si>
    <t>Variable Costs</t>
  </si>
  <si>
    <t>Total Variable Costs</t>
  </si>
  <si>
    <t>Fixed Costs</t>
  </si>
  <si>
    <t>Total Fixed Cost</t>
  </si>
  <si>
    <t xml:space="preserve">CONTRIBUTION </t>
  </si>
  <si>
    <t>PV Ratio</t>
  </si>
  <si>
    <t>Profit Volume (PV) Ratio</t>
  </si>
  <si>
    <t>Break Even Point  Sales</t>
  </si>
  <si>
    <t>Break even Point % of Sales</t>
  </si>
  <si>
    <t>Sensitivity Analysis</t>
  </si>
  <si>
    <t>Base for the sensitivity</t>
  </si>
  <si>
    <t xml:space="preserve">Sensitivity Analysis when there is increase in Interest Rate by 1.00% </t>
  </si>
  <si>
    <t>Share Capital = Equity =D</t>
  </si>
  <si>
    <t xml:space="preserve"> Debt / Equity Ratio =[ C / D ]</t>
  </si>
  <si>
    <t>Debt Equity Ratio for projected period</t>
  </si>
  <si>
    <t>Assets Coverage ratio</t>
  </si>
  <si>
    <t>-</t>
  </si>
  <si>
    <t>EBIT (A)</t>
  </si>
  <si>
    <t>Capital</t>
  </si>
  <si>
    <t>Debt</t>
  </si>
  <si>
    <t>Capital Employed (B)</t>
  </si>
  <si>
    <t>D-E</t>
  </si>
  <si>
    <t>Power 8%</t>
  </si>
  <si>
    <t>Admin</t>
  </si>
  <si>
    <t>UCL bhdao for working capital</t>
  </si>
  <si>
    <t>Departmental ex.- OT Ex, Consumables Ex., others- @ 30% of Dep. Revenues</t>
  </si>
  <si>
    <t>Digonistic Expenses @25% % of Digonistic Revenues</t>
  </si>
  <si>
    <t>Change in Working Capital</t>
  </si>
  <si>
    <t>If Operational Cost is increased by 5%</t>
  </si>
  <si>
    <t xml:space="preserve">Last payment </t>
  </si>
  <si>
    <t>Total "A"</t>
  </si>
  <si>
    <t>Total "B"</t>
  </si>
  <si>
    <t xml:space="preserve">D.S.C.R. </t>
  </si>
  <si>
    <t>Average D.S.C.R.</t>
  </si>
  <si>
    <t xml:space="preserve">Assumption taken 10% of inpatient </t>
  </si>
  <si>
    <t>Cost of Rooms maintenance, Washing of Linen etc. @ 15% of room revenue</t>
  </si>
  <si>
    <t>Repair &amp; Maintenance (1% of Building, P&amp;M)</t>
  </si>
  <si>
    <t>Insurance (1 %of Net Block)</t>
  </si>
  <si>
    <t>CONTRIBUTION mrgin</t>
  </si>
  <si>
    <t>FACR</t>
  </si>
  <si>
    <t>Number of Beds</t>
  </si>
  <si>
    <t xml:space="preserve">Sensitivity Analysis when there is decrease in Occupancy by 5% </t>
  </si>
  <si>
    <t>S. No</t>
  </si>
  <si>
    <t>Fees (Rs.)</t>
  </si>
  <si>
    <t>400 – 500</t>
  </si>
  <si>
    <t>3000-4000</t>
  </si>
  <si>
    <t>Operation (C Section)</t>
  </si>
  <si>
    <t>30000-40000</t>
  </si>
  <si>
    <t>Delivery</t>
  </si>
  <si>
    <t>25000-35000</t>
  </si>
  <si>
    <t>If Revenue is decreased by 4%</t>
  </si>
  <si>
    <t>IDC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</si>
</sst>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 #,##0.00;[Red]&quot;₹&quot;\ \-#,##0.00"/>
    <numFmt numFmtId="44" formatCode="_ &quot;₹&quot;\ * #,##0.00_ ;_ &quot;₹&quot;\ * \-#,##0.00_ ;_ &quot;₹&quot;\ * &quot;-&quot;??_ ;_ @_ "/>
    <numFmt numFmtId="43" formatCode="_ * #,##0.00_ ;_ * \-#,##0.00_ ;_ * &quot;-&quot;??_ ;_ @_ "/>
    <numFmt numFmtId="164" formatCode="_(* #,##0.00_);_(* \(#,##0.00\);_(* &quot;-&quot;??_);_(@_)"/>
    <numFmt numFmtId="165" formatCode="0_)"/>
    <numFmt numFmtId="166" formatCode="0.00_)"/>
    <numFmt numFmtId="167" formatCode="0.0_)"/>
    <numFmt numFmtId="168" formatCode="#,##0.0_);\(#,##0.0\)"/>
    <numFmt numFmtId="169" formatCode="0.0000"/>
    <numFmt numFmtId="170" formatCode="#,##0.0000"/>
    <numFmt numFmtId="171" formatCode="&quot;FY&quot;\ 0"/>
    <numFmt numFmtId="172" formatCode="0.000"/>
    <numFmt numFmtId="173" formatCode="0.0"/>
    <numFmt numFmtId="174" formatCode="_-* #,##0.00_-;\-* #,##0.00_-;_-* &quot;-&quot;??_-;_-@_-"/>
    <numFmt numFmtId="175" formatCode="0.000000"/>
    <numFmt numFmtId="176" formatCode="0.0000000000000"/>
    <numFmt numFmtId="177" formatCode="0.00000"/>
    <numFmt numFmtId="178" formatCode="0.000_)"/>
    <numFmt numFmtId="179" formatCode="0.00000_)"/>
    <numFmt numFmtId="180" formatCode="_(* #,##0.000_);_(* \(#,##0.000\);_(* &quot;-&quot;??_);_(@_)"/>
    <numFmt numFmtId="181" formatCode="0.0%"/>
  </numFmts>
  <fonts count="46"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9"/>
      <name val="Arial"/>
      <family val="2"/>
    </font>
    <font>
      <b/>
      <u/>
      <sz val="9"/>
      <name val="Arial"/>
      <family val="2"/>
    </font>
    <font>
      <b/>
      <sz val="9"/>
      <name val="Arial"/>
      <family val="2"/>
    </font>
    <font>
      <sz val="8"/>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9"/>
      <color theme="0"/>
      <name val="Arial"/>
      <family val="2"/>
    </font>
    <font>
      <b/>
      <sz val="9"/>
      <color theme="0"/>
      <name val="Arial"/>
      <family val="2"/>
    </font>
    <font>
      <b/>
      <u/>
      <sz val="11"/>
      <color theme="0"/>
      <name val="Calibri"/>
      <family val="2"/>
      <scheme val="minor"/>
    </font>
    <font>
      <sz val="11"/>
      <name val="Calibri"/>
      <family val="2"/>
      <scheme val="minor"/>
    </font>
    <font>
      <b/>
      <u/>
      <sz val="11"/>
      <name val="Calibri"/>
      <family val="2"/>
      <scheme val="minor"/>
    </font>
    <font>
      <b/>
      <sz val="12"/>
      <color rgb="FFC00000"/>
      <name val="Calibri"/>
      <family val="2"/>
      <scheme val="minor"/>
    </font>
    <font>
      <sz val="12"/>
      <color rgb="FFC00000"/>
      <name val="Calibri"/>
      <family val="2"/>
      <scheme val="minor"/>
    </font>
    <font>
      <i/>
      <sz val="11"/>
      <name val="Calibri"/>
      <family val="2"/>
      <scheme val="minor"/>
    </font>
    <font>
      <sz val="11"/>
      <color rgb="FFFF0000"/>
      <name val="Calibri"/>
      <family val="2"/>
      <scheme val="minor"/>
    </font>
    <font>
      <b/>
      <sz val="11"/>
      <color rgb="FFFF0000"/>
      <name val="Calibri"/>
      <family val="2"/>
      <scheme val="minor"/>
    </font>
    <font>
      <sz val="10"/>
      <name val="Courier"/>
    </font>
    <font>
      <b/>
      <sz val="15"/>
      <color indexed="56"/>
      <name val="Calibri"/>
      <family val="2"/>
    </font>
    <font>
      <b/>
      <sz val="13"/>
      <color indexed="56"/>
      <name val="Calibri"/>
      <family val="2"/>
    </font>
    <font>
      <sz val="10"/>
      <name val="Arial"/>
      <family val="2"/>
    </font>
    <font>
      <b/>
      <sz val="11"/>
      <color indexed="56"/>
      <name val="Calibri"/>
      <family val="2"/>
    </font>
    <font>
      <u/>
      <sz val="11"/>
      <color theme="10"/>
      <name val="Calibri"/>
      <family val="2"/>
      <scheme val="minor"/>
    </font>
    <font>
      <b/>
      <sz val="9"/>
      <name val="Times New Roman"/>
      <family val="1"/>
    </font>
    <font>
      <sz val="9"/>
      <name val="Times New Roman"/>
      <family val="1"/>
    </font>
    <font>
      <b/>
      <sz val="11"/>
      <color theme="0"/>
      <name val="Calibri"/>
      <family val="2"/>
    </font>
    <font>
      <sz val="11"/>
      <color theme="1"/>
      <name val="Calibri"/>
      <family val="2"/>
    </font>
    <font>
      <b/>
      <sz val="11"/>
      <color rgb="FFFFFFFF"/>
      <name val="Calibri"/>
      <family val="2"/>
    </font>
    <font>
      <sz val="11"/>
      <color rgb="FFFFFFFF"/>
      <name val="Calibri"/>
      <family val="2"/>
    </font>
    <font>
      <b/>
      <sz val="11"/>
      <name val="Calibri"/>
      <family val="2"/>
    </font>
    <font>
      <sz val="11"/>
      <color rgb="FF000000"/>
      <name val="Calibri"/>
      <family val="2"/>
    </font>
    <font>
      <b/>
      <sz val="11"/>
      <color rgb="FF000000"/>
      <name val="Calibri"/>
      <family val="2"/>
    </font>
    <font>
      <u/>
      <sz val="11"/>
      <name val="Calibri"/>
      <family val="2"/>
      <scheme val="minor"/>
    </font>
    <font>
      <sz val="9"/>
      <color rgb="FF282829"/>
      <name val="Segoe UI"/>
      <family val="2"/>
    </font>
    <font>
      <sz val="11"/>
      <name val="Calibri"/>
      <family val="2"/>
    </font>
    <font>
      <b/>
      <sz val="10"/>
      <color theme="0"/>
      <name val="Arial"/>
      <family val="2"/>
    </font>
    <font>
      <b/>
      <sz val="10"/>
      <name val="Arial"/>
      <family val="2"/>
    </font>
    <font>
      <sz val="10"/>
      <color indexed="8"/>
      <name val="Calibri"/>
      <family val="2"/>
      <scheme val="minor"/>
    </font>
    <font>
      <b/>
      <sz val="10"/>
      <color indexed="8"/>
      <name val="Calibri"/>
      <family val="2"/>
      <scheme val="minor"/>
    </font>
    <font>
      <b/>
      <sz val="10"/>
      <color theme="1"/>
      <name val="Calibri"/>
      <family val="2"/>
      <scheme val="minor"/>
    </font>
    <font>
      <sz val="9"/>
      <color indexed="81"/>
      <name val="Tahoma"/>
      <charset val="1"/>
    </font>
    <font>
      <b/>
      <sz val="9"/>
      <color indexed="81"/>
      <name val="Tahoma"/>
      <charset val="1"/>
    </font>
  </fonts>
  <fills count="21">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indexed="41"/>
        <bgColor indexed="64"/>
      </patternFill>
    </fill>
    <fill>
      <patternFill patternType="solid">
        <fgColor rgb="FF002060"/>
        <bgColor rgb="FF000000"/>
      </patternFill>
    </fill>
    <fill>
      <patternFill patternType="solid">
        <fgColor rgb="FFC5D9F1"/>
        <bgColor rgb="FF000000"/>
      </patternFill>
    </fill>
    <fill>
      <patternFill patternType="solid">
        <fgColor rgb="FF92D050"/>
        <bgColor rgb="FF000000"/>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FFFF"/>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right/>
      <top style="thin">
        <color auto="1"/>
      </top>
      <bottom/>
      <diagonal/>
    </border>
    <border>
      <left/>
      <right/>
      <top/>
      <bottom style="thin">
        <color auto="1"/>
      </bottom>
      <diagonal/>
    </border>
    <border>
      <left style="thin">
        <color auto="1"/>
      </left>
      <right/>
      <top/>
      <bottom/>
      <diagonal/>
    </border>
    <border>
      <left/>
      <right/>
      <top style="thin">
        <color indexed="64"/>
      </top>
      <bottom style="thin">
        <color indexed="64"/>
      </bottom>
      <diagonal/>
    </border>
    <border>
      <left/>
      <right/>
      <top/>
      <bottom style="thick">
        <color indexed="62"/>
      </bottom>
      <diagonal/>
    </border>
    <border>
      <left/>
      <right/>
      <top style="hair">
        <color theme="1" tint="0.499984740745262"/>
      </top>
      <bottom/>
      <diagonal/>
    </border>
    <border>
      <left/>
      <right/>
      <top/>
      <bottom style="thick">
        <color indexed="22"/>
      </bottom>
      <diagonal/>
    </border>
    <border>
      <left/>
      <right style="hair">
        <color theme="1" tint="0.499984740745262"/>
      </right>
      <top/>
      <bottom/>
      <diagonal/>
    </border>
    <border>
      <left/>
      <right/>
      <top/>
      <bottom style="medium">
        <color indexed="30"/>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16">
    <xf numFmtId="0" fontId="0" fillId="0" borderId="0"/>
    <xf numFmtId="164" fontId="1" fillId="0" borderId="0" applyFont="0" applyFill="0" applyBorder="0" applyAlignment="0" applyProtection="0"/>
    <xf numFmtId="9" fontId="1" fillId="0" borderId="0" applyFont="0" applyFill="0" applyBorder="0" applyAlignment="0" applyProtection="0"/>
    <xf numFmtId="165" fontId="21" fillId="0" borderId="0"/>
    <xf numFmtId="0" fontId="22" fillId="0" borderId="13" applyNumberFormat="0" applyFill="0" applyAlignment="0" applyProtection="0"/>
    <xf numFmtId="0" fontId="23" fillId="0" borderId="15" applyNumberFormat="0" applyFill="0" applyAlignment="0" applyProtection="0"/>
    <xf numFmtId="44" fontId="24" fillId="0" borderId="0" applyFont="0" applyFill="0" applyBorder="0" applyAlignment="0" applyProtection="0"/>
    <xf numFmtId="9" fontId="24" fillId="0" borderId="0" applyFont="0" applyFill="0" applyBorder="0" applyAlignment="0" applyProtection="0"/>
    <xf numFmtId="164" fontId="24" fillId="0" borderId="0" applyFont="0" applyFill="0" applyBorder="0" applyAlignment="0" applyProtection="0"/>
    <xf numFmtId="14" fontId="14" fillId="0" borderId="0" applyFont="0" applyFill="0" applyBorder="0">
      <alignment horizontal="right"/>
    </xf>
    <xf numFmtId="0" fontId="25" fillId="0" borderId="17" applyNumberFormat="0" applyFill="0" applyAlignment="0" applyProtection="0"/>
    <xf numFmtId="0" fontId="26" fillId="0" borderId="0" applyNumberFormat="0" applyFill="0" applyBorder="0" applyAlignment="0" applyProtection="0"/>
    <xf numFmtId="9" fontId="24" fillId="0" borderId="0" applyFont="0" applyFill="0" applyBorder="0" applyAlignment="0" applyProtection="0"/>
    <xf numFmtId="0" fontId="24" fillId="0" borderId="0"/>
    <xf numFmtId="0" fontId="24" fillId="0" borderId="0"/>
    <xf numFmtId="164" fontId="24" fillId="0" borderId="0" applyFont="0" applyFill="0" applyBorder="0" applyAlignment="0" applyProtection="0"/>
  </cellStyleXfs>
  <cellXfs count="441">
    <xf numFmtId="0" fontId="0" fillId="0" borderId="0" xfId="0"/>
    <xf numFmtId="0" fontId="2" fillId="0" borderId="0" xfId="0" applyFont="1"/>
    <xf numFmtId="0" fontId="3" fillId="0" borderId="0" xfId="0" applyFont="1"/>
    <xf numFmtId="0" fontId="2" fillId="0" borderId="1" xfId="0" applyFont="1" applyBorder="1"/>
    <xf numFmtId="164" fontId="0" fillId="0" borderId="0" xfId="1" applyFont="1" applyFill="1" applyBorder="1" applyAlignment="1">
      <alignment horizontal="center"/>
    </xf>
    <xf numFmtId="164" fontId="0" fillId="0" borderId="0" xfId="0" applyNumberFormat="1"/>
    <xf numFmtId="0" fontId="4" fillId="0" borderId="0" xfId="0" applyFont="1"/>
    <xf numFmtId="0" fontId="5" fillId="0" borderId="0" xfId="0" applyFont="1"/>
    <xf numFmtId="0" fontId="6" fillId="0" borderId="1" xfId="0" applyFont="1" applyBorder="1"/>
    <xf numFmtId="0" fontId="4" fillId="0" borderId="1" xfId="0" applyFont="1" applyBorder="1"/>
    <xf numFmtId="2" fontId="4" fillId="0" borderId="1" xfId="0" applyNumberFormat="1" applyFont="1" applyBorder="1"/>
    <xf numFmtId="2" fontId="0" fillId="0" borderId="0" xfId="0" applyNumberFormat="1"/>
    <xf numFmtId="0" fontId="0" fillId="0" borderId="0" xfId="0" applyAlignment="1">
      <alignment wrapText="1"/>
    </xf>
    <xf numFmtId="0" fontId="0" fillId="0" borderId="1" xfId="0" applyBorder="1"/>
    <xf numFmtId="0" fontId="2" fillId="3" borderId="0" xfId="0" applyFont="1" applyFill="1"/>
    <xf numFmtId="0" fontId="0" fillId="3" borderId="0" xfId="0" applyFill="1"/>
    <xf numFmtId="0" fontId="8" fillId="5" borderId="1" xfId="0" applyFont="1" applyFill="1" applyBorder="1"/>
    <xf numFmtId="0" fontId="2" fillId="6" borderId="1" xfId="0" applyFont="1" applyFill="1" applyBorder="1"/>
    <xf numFmtId="2" fontId="0" fillId="0" borderId="1" xfId="0" applyNumberFormat="1" applyBorder="1" applyAlignment="1">
      <alignment horizontal="center"/>
    </xf>
    <xf numFmtId="2" fontId="2" fillId="0" borderId="1" xfId="0" applyNumberFormat="1" applyFont="1" applyBorder="1" applyAlignment="1">
      <alignment horizontal="center"/>
    </xf>
    <xf numFmtId="0" fontId="8" fillId="5" borderId="0" xfId="0" applyFont="1" applyFill="1"/>
    <xf numFmtId="0" fontId="9" fillId="5" borderId="0" xfId="0" applyFont="1" applyFill="1"/>
    <xf numFmtId="0" fontId="11" fillId="5" borderId="1" xfId="0" applyFont="1" applyFill="1" applyBorder="1"/>
    <xf numFmtId="0" fontId="12" fillId="5" borderId="1" xfId="0" applyFont="1" applyFill="1" applyBorder="1"/>
    <xf numFmtId="0" fontId="6" fillId="6" borderId="1" xfId="0" applyFont="1" applyFill="1" applyBorder="1"/>
    <xf numFmtId="2" fontId="6" fillId="6" borderId="1" xfId="0" applyNumberFormat="1" applyFont="1" applyFill="1" applyBorder="1"/>
    <xf numFmtId="0" fontId="5" fillId="0" borderId="1" xfId="0" applyFont="1" applyBorder="1"/>
    <xf numFmtId="0" fontId="0" fillId="0" borderId="9" xfId="0" applyBorder="1"/>
    <xf numFmtId="0" fontId="0" fillId="0" borderId="7" xfId="0" applyBorder="1"/>
    <xf numFmtId="0" fontId="0" fillId="0" borderId="8" xfId="0" applyBorder="1"/>
    <xf numFmtId="0" fontId="2" fillId="6" borderId="9" xfId="0" applyFont="1" applyFill="1" applyBorder="1"/>
    <xf numFmtId="0" fontId="8" fillId="5" borderId="7" xfId="0" applyFont="1" applyFill="1" applyBorder="1"/>
    <xf numFmtId="0" fontId="8" fillId="5" borderId="6" xfId="0" applyFont="1" applyFill="1" applyBorder="1"/>
    <xf numFmtId="0" fontId="0" fillId="6" borderId="1" xfId="0" applyFill="1" applyBorder="1"/>
    <xf numFmtId="0" fontId="2" fillId="6" borderId="1" xfId="0" applyFont="1" applyFill="1" applyBorder="1" applyAlignment="1">
      <alignment horizontal="right"/>
    </xf>
    <xf numFmtId="1" fontId="0" fillId="0" borderId="1" xfId="0" applyNumberFormat="1" applyBorder="1"/>
    <xf numFmtId="1" fontId="2" fillId="0" borderId="1" xfId="0" applyNumberFormat="1" applyFont="1" applyBorder="1"/>
    <xf numFmtId="1" fontId="2" fillId="6" borderId="1" xfId="0" applyNumberFormat="1" applyFont="1" applyFill="1" applyBorder="1"/>
    <xf numFmtId="0" fontId="2" fillId="4" borderId="1" xfId="0" applyFont="1" applyFill="1" applyBorder="1" applyAlignment="1">
      <alignment wrapText="1"/>
    </xf>
    <xf numFmtId="1" fontId="2" fillId="4" borderId="1" xfId="0" applyNumberFormat="1" applyFont="1" applyFill="1" applyBorder="1" applyAlignment="1">
      <alignment wrapText="1"/>
    </xf>
    <xf numFmtId="0" fontId="2" fillId="4" borderId="1" xfId="0" applyFont="1" applyFill="1" applyBorder="1"/>
    <xf numFmtId="1" fontId="2" fillId="4" borderId="1" xfId="0" applyNumberFormat="1" applyFont="1" applyFill="1" applyBorder="1"/>
    <xf numFmtId="10" fontId="4" fillId="0" borderId="1" xfId="0" applyNumberFormat="1" applyFont="1" applyBorder="1"/>
    <xf numFmtId="2" fontId="2" fillId="0" borderId="1" xfId="0" applyNumberFormat="1" applyFont="1" applyBorder="1"/>
    <xf numFmtId="164" fontId="0" fillId="0" borderId="1" xfId="1" applyFont="1" applyBorder="1"/>
    <xf numFmtId="10" fontId="0" fillId="0" borderId="0" xfId="2" applyNumberFormat="1" applyFont="1"/>
    <xf numFmtId="0" fontId="8" fillId="5" borderId="0" xfId="0" applyFont="1" applyFill="1" applyAlignment="1">
      <alignment horizontal="left" vertical="center"/>
    </xf>
    <xf numFmtId="0" fontId="0" fillId="0" borderId="0" xfId="0" applyAlignment="1">
      <alignment horizontal="center" vertical="center"/>
    </xf>
    <xf numFmtId="0" fontId="17" fillId="3" borderId="0" xfId="0" applyFont="1" applyFill="1" applyAlignment="1">
      <alignment horizontal="center" vertical="center"/>
    </xf>
    <xf numFmtId="0" fontId="14" fillId="0" borderId="0" xfId="0" applyFont="1" applyAlignment="1">
      <alignment horizontal="center" vertical="center"/>
    </xf>
    <xf numFmtId="0" fontId="8" fillId="5" borderId="0" xfId="0" applyFont="1" applyFill="1" applyAlignment="1">
      <alignment horizontal="center" vertical="center"/>
    </xf>
    <xf numFmtId="0" fontId="9" fillId="5" borderId="0" xfId="0" applyFont="1" applyFill="1" applyAlignment="1">
      <alignment horizontal="center" vertical="center"/>
    </xf>
    <xf numFmtId="0" fontId="14" fillId="4" borderId="0" xfId="0" applyFont="1" applyFill="1" applyAlignment="1">
      <alignment horizontal="center" vertical="center"/>
    </xf>
    <xf numFmtId="0" fontId="10" fillId="0" borderId="0" xfId="0" applyFont="1" applyAlignment="1">
      <alignment horizontal="center" vertical="center"/>
    </xf>
    <xf numFmtId="2" fontId="14" fillId="0" borderId="0" xfId="0" applyNumberFormat="1" applyFont="1" applyAlignment="1">
      <alignment horizontal="center" vertical="center"/>
    </xf>
    <xf numFmtId="0" fontId="10" fillId="6" borderId="0" xfId="0" applyFont="1" applyFill="1" applyAlignment="1">
      <alignment horizontal="center" vertical="center"/>
    </xf>
    <xf numFmtId="2" fontId="10" fillId="6" borderId="0" xfId="0" applyNumberFormat="1" applyFont="1" applyFill="1" applyAlignment="1">
      <alignment horizontal="center" vertical="center"/>
    </xf>
    <xf numFmtId="9" fontId="10" fillId="0" borderId="0" xfId="0" applyNumberFormat="1" applyFont="1" applyAlignment="1">
      <alignment horizontal="center" vertical="center"/>
    </xf>
    <xf numFmtId="9" fontId="10" fillId="0" borderId="0" xfId="2" applyFont="1" applyFill="1" applyBorder="1" applyAlignment="1">
      <alignment horizontal="center" vertical="center"/>
    </xf>
    <xf numFmtId="2" fontId="14" fillId="0" borderId="0" xfId="1" applyNumberFormat="1" applyFont="1" applyFill="1" applyBorder="1" applyAlignment="1">
      <alignment horizontal="center" vertical="center"/>
    </xf>
    <xf numFmtId="9" fontId="14" fillId="0" borderId="0" xfId="0" applyNumberFormat="1" applyFont="1" applyAlignment="1">
      <alignment horizontal="center" vertical="center"/>
    </xf>
    <xf numFmtId="0" fontId="16" fillId="3" borderId="0" xfId="0" applyFont="1" applyFill="1" applyAlignment="1">
      <alignment horizontal="left" vertical="center"/>
    </xf>
    <xf numFmtId="0" fontId="0" fillId="0" borderId="0" xfId="0" applyAlignment="1">
      <alignment horizontal="left" vertical="center"/>
    </xf>
    <xf numFmtId="0" fontId="14" fillId="0" borderId="0" xfId="0" applyFont="1" applyAlignment="1">
      <alignment horizontal="left" vertical="center"/>
    </xf>
    <xf numFmtId="0" fontId="10" fillId="4" borderId="0" xfId="0" applyFont="1" applyFill="1" applyAlignment="1">
      <alignment horizontal="left" vertical="center"/>
    </xf>
    <xf numFmtId="0" fontId="10" fillId="0" borderId="0" xfId="0" applyFont="1" applyAlignment="1">
      <alignment horizontal="left" vertical="center"/>
    </xf>
    <xf numFmtId="0" fontId="10" fillId="6" borderId="0" xfId="0" applyFont="1" applyFill="1" applyAlignment="1">
      <alignment horizontal="left" vertical="center"/>
    </xf>
    <xf numFmtId="0" fontId="15" fillId="0" borderId="0" xfId="0" applyFont="1" applyAlignment="1">
      <alignment horizontal="left" vertical="center"/>
    </xf>
    <xf numFmtId="0" fontId="10" fillId="6" borderId="12" xfId="0" applyFont="1" applyFill="1" applyBorder="1" applyAlignment="1">
      <alignment horizontal="left" vertical="center"/>
    </xf>
    <xf numFmtId="0" fontId="10" fillId="6" borderId="12" xfId="0" applyFont="1" applyFill="1" applyBorder="1" applyAlignment="1">
      <alignment horizontal="center" vertical="center"/>
    </xf>
    <xf numFmtId="2" fontId="10" fillId="6" borderId="12" xfId="0" applyNumberFormat="1" applyFont="1" applyFill="1" applyBorder="1" applyAlignment="1">
      <alignment horizontal="center" vertical="center"/>
    </xf>
    <xf numFmtId="0" fontId="14"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center" vertical="center"/>
    </xf>
    <xf numFmtId="9" fontId="18" fillId="0" borderId="0" xfId="0" applyNumberFormat="1" applyFont="1" applyAlignment="1">
      <alignment horizontal="center" vertical="center"/>
    </xf>
    <xf numFmtId="2" fontId="18" fillId="2" borderId="0" xfId="0" applyNumberFormat="1" applyFont="1" applyFill="1" applyAlignment="1">
      <alignment horizontal="center" vertical="center"/>
    </xf>
    <xf numFmtId="0" fontId="10" fillId="8" borderId="0" xfId="0" applyFont="1" applyFill="1" applyAlignment="1">
      <alignment horizontal="left" vertical="center"/>
    </xf>
    <xf numFmtId="0" fontId="10" fillId="8" borderId="0" xfId="0" applyFont="1" applyFill="1" applyAlignment="1">
      <alignment horizontal="center" vertical="center"/>
    </xf>
    <xf numFmtId="2" fontId="10" fillId="8" borderId="0" xfId="0" applyNumberFormat="1" applyFont="1" applyFill="1" applyAlignment="1">
      <alignment horizontal="center" vertical="center"/>
    </xf>
    <xf numFmtId="9" fontId="0" fillId="0" borderId="0" xfId="0" applyNumberFormat="1"/>
    <xf numFmtId="0" fontId="2" fillId="0" borderId="0" xfId="0" applyFont="1" applyAlignment="1">
      <alignment horizontal="left" vertical="center"/>
    </xf>
    <xf numFmtId="10" fontId="14" fillId="0" borderId="0" xfId="0" applyNumberFormat="1" applyFont="1" applyAlignment="1">
      <alignment horizontal="center" vertical="center"/>
    </xf>
    <xf numFmtId="0" fontId="8" fillId="5" borderId="0" xfId="0" applyFont="1" applyFill="1" applyAlignment="1">
      <alignment vertical="center"/>
    </xf>
    <xf numFmtId="0" fontId="10" fillId="8" borderId="12" xfId="0" applyFont="1" applyFill="1" applyBorder="1" applyAlignment="1">
      <alignment horizontal="left" vertical="center"/>
    </xf>
    <xf numFmtId="0" fontId="10" fillId="8" borderId="12" xfId="0" applyFont="1" applyFill="1" applyBorder="1" applyAlignment="1">
      <alignment horizontal="center" vertical="center"/>
    </xf>
    <xf numFmtId="2" fontId="10" fillId="8" borderId="12" xfId="0" applyNumberFormat="1" applyFont="1" applyFill="1" applyBorder="1" applyAlignment="1">
      <alignment horizontal="center" vertical="center"/>
    </xf>
    <xf numFmtId="0" fontId="8" fillId="5" borderId="1" xfId="0" applyFont="1" applyFill="1" applyBorder="1" applyAlignment="1">
      <alignment horizontal="left" vertical="center"/>
    </xf>
    <xf numFmtId="0" fontId="9"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0" fillId="0" borderId="1" xfId="0" applyFont="1" applyBorder="1" applyAlignment="1">
      <alignment horizontal="left" vertical="center"/>
    </xf>
    <xf numFmtId="0" fontId="14" fillId="0" borderId="1" xfId="0" applyFont="1" applyBorder="1" applyAlignment="1">
      <alignment horizontal="center" vertical="center"/>
    </xf>
    <xf numFmtId="0" fontId="10" fillId="0" borderId="1" xfId="0" applyFont="1" applyBorder="1" applyAlignment="1">
      <alignment horizontal="center" vertical="center"/>
    </xf>
    <xf numFmtId="2" fontId="14" fillId="0" borderId="1" xfId="0" applyNumberFormat="1" applyFont="1" applyBorder="1" applyAlignment="1">
      <alignment horizontal="center" vertical="center"/>
    </xf>
    <xf numFmtId="0" fontId="10" fillId="6" borderId="1" xfId="0" applyFont="1" applyFill="1" applyBorder="1" applyAlignment="1">
      <alignment horizontal="left" vertical="center"/>
    </xf>
    <xf numFmtId="0" fontId="10" fillId="6" borderId="1" xfId="0" applyFont="1" applyFill="1" applyBorder="1" applyAlignment="1">
      <alignment horizontal="center" vertical="center"/>
    </xf>
    <xf numFmtId="2" fontId="10" fillId="6" borderId="1" xfId="0" applyNumberFormat="1" applyFont="1" applyFill="1" applyBorder="1" applyAlignment="1">
      <alignment horizontal="center" vertical="center"/>
    </xf>
    <xf numFmtId="0" fontId="15" fillId="0" borderId="1" xfId="0" applyFont="1" applyBorder="1" applyAlignment="1">
      <alignment horizontal="left" vertical="center"/>
    </xf>
    <xf numFmtId="0" fontId="10" fillId="0" borderId="1" xfId="0" applyFont="1" applyBorder="1" applyAlignment="1">
      <alignment horizontal="left" vertical="center" wrapText="1"/>
    </xf>
    <xf numFmtId="9" fontId="10" fillId="0" borderId="1" xfId="0" applyNumberFormat="1" applyFont="1" applyBorder="1" applyAlignment="1">
      <alignment horizontal="center" vertical="center"/>
    </xf>
    <xf numFmtId="9" fontId="10" fillId="0" borderId="1" xfId="2" applyFont="1" applyFill="1" applyBorder="1" applyAlignment="1">
      <alignment horizontal="center" vertical="center"/>
    </xf>
    <xf numFmtId="2" fontId="14" fillId="0" borderId="1" xfId="1" applyNumberFormat="1" applyFont="1" applyFill="1" applyBorder="1" applyAlignment="1">
      <alignment horizontal="center" vertical="center"/>
    </xf>
    <xf numFmtId="0" fontId="14" fillId="6" borderId="1" xfId="0" applyFont="1" applyFill="1" applyBorder="1" applyAlignment="1">
      <alignment horizontal="center" vertical="center"/>
    </xf>
    <xf numFmtId="9" fontId="14" fillId="0" borderId="1" xfId="0" applyNumberFormat="1" applyFont="1" applyBorder="1" applyAlignment="1">
      <alignment horizontal="center" vertical="center"/>
    </xf>
    <xf numFmtId="2" fontId="14" fillId="2" borderId="1" xfId="0" applyNumberFormat="1" applyFont="1" applyFill="1" applyBorder="1" applyAlignment="1">
      <alignment horizontal="center" vertical="center"/>
    </xf>
    <xf numFmtId="0" fontId="14" fillId="0" borderId="0" xfId="0" applyFont="1"/>
    <xf numFmtId="2" fontId="0" fillId="0" borderId="0" xfId="0" applyNumberFormat="1" applyAlignment="1">
      <alignment horizontal="center" vertical="center"/>
    </xf>
    <xf numFmtId="9" fontId="14" fillId="6" borderId="1" xfId="0" applyNumberFormat="1" applyFont="1" applyFill="1" applyBorder="1" applyAlignment="1">
      <alignment horizontal="center" vertical="center"/>
    </xf>
    <xf numFmtId="9" fontId="0" fillId="0" borderId="0" xfId="0" applyNumberFormat="1" applyAlignment="1">
      <alignment horizontal="center" vertical="center"/>
    </xf>
    <xf numFmtId="164" fontId="0" fillId="0" borderId="0" xfId="1" applyFont="1" applyAlignment="1">
      <alignment vertical="center"/>
    </xf>
    <xf numFmtId="0" fontId="19" fillId="7" borderId="0" xfId="0" applyFont="1" applyFill="1" applyAlignment="1">
      <alignment horizontal="left" vertical="center" wrapText="1"/>
    </xf>
    <xf numFmtId="164" fontId="20" fillId="7" borderId="0" xfId="1" applyFont="1" applyFill="1" applyAlignment="1">
      <alignment vertical="center"/>
    </xf>
    <xf numFmtId="9" fontId="19" fillId="7" borderId="0" xfId="0" applyNumberFormat="1" applyFont="1" applyFill="1" applyAlignment="1">
      <alignment horizontal="center" vertical="center"/>
    </xf>
    <xf numFmtId="164" fontId="0" fillId="0" borderId="0" xfId="1" applyFont="1"/>
    <xf numFmtId="43" fontId="0" fillId="0" borderId="0" xfId="0" applyNumberFormat="1" applyAlignment="1">
      <alignment horizontal="center" vertical="center"/>
    </xf>
    <xf numFmtId="10" fontId="0" fillId="0" borderId="0" xfId="2" applyNumberFormat="1" applyFont="1" applyAlignment="1">
      <alignment vertical="center"/>
    </xf>
    <xf numFmtId="0" fontId="3" fillId="7" borderId="0" xfId="0" applyFont="1" applyFill="1"/>
    <xf numFmtId="0" fontId="0" fillId="0" borderId="0" xfId="1" applyNumberFormat="1" applyFont="1"/>
    <xf numFmtId="164" fontId="0" fillId="0" borderId="0" xfId="1" applyFont="1" applyAlignment="1">
      <alignment horizontal="right"/>
    </xf>
    <xf numFmtId="43" fontId="0" fillId="0" borderId="0" xfId="0" applyNumberFormat="1"/>
    <xf numFmtId="165" fontId="14" fillId="0" borderId="0" xfId="3" applyFont="1"/>
    <xf numFmtId="165" fontId="15" fillId="0" borderId="0" xfId="3" applyFont="1"/>
    <xf numFmtId="14" fontId="14" fillId="0" borderId="0" xfId="3" applyNumberFormat="1" applyFont="1"/>
    <xf numFmtId="2" fontId="14" fillId="0" borderId="0" xfId="3" applyNumberFormat="1" applyFont="1"/>
    <xf numFmtId="2" fontId="14" fillId="0" borderId="0" xfId="3" applyNumberFormat="1" applyFont="1" applyAlignment="1">
      <alignment horizontal="right"/>
    </xf>
    <xf numFmtId="17" fontId="14" fillId="0" borderId="0" xfId="3" applyNumberFormat="1" applyFont="1"/>
    <xf numFmtId="0" fontId="10" fillId="10" borderId="1" xfId="5" applyNumberFormat="1" applyFont="1" applyFill="1" applyBorder="1" applyAlignment="1">
      <alignment horizontal="left"/>
    </xf>
    <xf numFmtId="2" fontId="10" fillId="10" borderId="1" xfId="6" applyNumberFormat="1" applyFont="1" applyFill="1" applyBorder="1" applyAlignment="1">
      <alignment horizontal="right"/>
    </xf>
    <xf numFmtId="2" fontId="10" fillId="10" borderId="1" xfId="3" applyNumberFormat="1" applyFont="1" applyFill="1" applyBorder="1" applyAlignment="1">
      <alignment horizontal="right"/>
    </xf>
    <xf numFmtId="0" fontId="10" fillId="10" borderId="1" xfId="3" applyNumberFormat="1" applyFont="1" applyFill="1" applyBorder="1"/>
    <xf numFmtId="14" fontId="10" fillId="10" borderId="1" xfId="6" quotePrefix="1" applyNumberFormat="1" applyFont="1" applyFill="1" applyBorder="1" applyAlignment="1">
      <alignment horizontal="right"/>
    </xf>
    <xf numFmtId="2" fontId="10" fillId="10" borderId="1" xfId="7" applyNumberFormat="1" applyFont="1" applyFill="1" applyBorder="1" applyAlignment="1">
      <alignment horizontal="right"/>
    </xf>
    <xf numFmtId="2" fontId="10" fillId="10" borderId="1" xfId="8" applyNumberFormat="1" applyFont="1" applyFill="1" applyBorder="1" applyAlignment="1">
      <alignment horizontal="right"/>
    </xf>
    <xf numFmtId="1" fontId="10" fillId="10" borderId="1" xfId="8" applyNumberFormat="1" applyFont="1" applyFill="1" applyBorder="1" applyAlignment="1">
      <alignment horizontal="right"/>
    </xf>
    <xf numFmtId="166" fontId="14" fillId="0" borderId="0" xfId="3" applyNumberFormat="1" applyFont="1"/>
    <xf numFmtId="14" fontId="10" fillId="10" borderId="1" xfId="9" quotePrefix="1" applyFont="1" applyFill="1" applyBorder="1">
      <alignment horizontal="right"/>
    </xf>
    <xf numFmtId="14" fontId="10" fillId="10" borderId="1" xfId="6" applyNumberFormat="1" applyFont="1" applyFill="1" applyBorder="1" applyAlignment="1">
      <alignment horizontal="right"/>
    </xf>
    <xf numFmtId="165" fontId="14" fillId="7" borderId="1" xfId="3" applyFont="1" applyFill="1" applyBorder="1"/>
    <xf numFmtId="1" fontId="14" fillId="7" borderId="1" xfId="10" applyNumberFormat="1" applyFont="1" applyFill="1" applyBorder="1" applyAlignment="1">
      <alignment horizontal="left" wrapText="1"/>
    </xf>
    <xf numFmtId="14" fontId="14" fillId="7" borderId="1" xfId="10" applyNumberFormat="1" applyFont="1" applyFill="1" applyBorder="1" applyAlignment="1">
      <alignment horizontal="center" wrapText="1"/>
    </xf>
    <xf numFmtId="2" fontId="14" fillId="7" borderId="1" xfId="10" applyNumberFormat="1" applyFont="1" applyFill="1" applyBorder="1" applyAlignment="1">
      <alignment horizontal="center" wrapText="1"/>
    </xf>
    <xf numFmtId="165" fontId="14" fillId="0" borderId="1" xfId="3" applyFont="1" applyBorder="1"/>
    <xf numFmtId="14" fontId="14" fillId="0" borderId="1" xfId="3" applyNumberFormat="1" applyFont="1" applyBorder="1"/>
    <xf numFmtId="2" fontId="14" fillId="0" borderId="1" xfId="3" applyNumberFormat="1" applyFont="1" applyBorder="1"/>
    <xf numFmtId="165" fontId="14" fillId="11" borderId="1" xfId="3" applyFont="1" applyFill="1" applyBorder="1"/>
    <xf numFmtId="14" fontId="14" fillId="11" borderId="1" xfId="3" applyNumberFormat="1" applyFont="1" applyFill="1" applyBorder="1"/>
    <xf numFmtId="2" fontId="14" fillId="11" borderId="1" xfId="3" applyNumberFormat="1" applyFont="1" applyFill="1" applyBorder="1"/>
    <xf numFmtId="165" fontId="14" fillId="12" borderId="1" xfId="3" applyFont="1" applyFill="1" applyBorder="1"/>
    <xf numFmtId="14" fontId="14" fillId="12" borderId="1" xfId="3" applyNumberFormat="1" applyFont="1" applyFill="1" applyBorder="1"/>
    <xf numFmtId="2" fontId="14" fillId="12" borderId="1" xfId="3" applyNumberFormat="1" applyFont="1" applyFill="1" applyBorder="1"/>
    <xf numFmtId="165" fontId="14" fillId="4" borderId="1" xfId="3" applyFont="1" applyFill="1" applyBorder="1"/>
    <xf numFmtId="14" fontId="14" fillId="4" borderId="1" xfId="3" applyNumberFormat="1" applyFont="1" applyFill="1" applyBorder="1"/>
    <xf numFmtId="2" fontId="14" fillId="4" borderId="1" xfId="3" applyNumberFormat="1" applyFont="1" applyFill="1" applyBorder="1"/>
    <xf numFmtId="14" fontId="14" fillId="7" borderId="1" xfId="3" applyNumberFormat="1" applyFont="1" applyFill="1" applyBorder="1"/>
    <xf numFmtId="2" fontId="14" fillId="7" borderId="1" xfId="3" applyNumberFormat="1" applyFont="1" applyFill="1" applyBorder="1"/>
    <xf numFmtId="165" fontId="10" fillId="0" borderId="0" xfId="3" applyFont="1"/>
    <xf numFmtId="2" fontId="10" fillId="13" borderId="12" xfId="3" applyNumberFormat="1" applyFont="1" applyFill="1" applyBorder="1"/>
    <xf numFmtId="2" fontId="10" fillId="13" borderId="12" xfId="3" applyNumberFormat="1" applyFont="1" applyFill="1" applyBorder="1" applyAlignment="1">
      <alignment horizontal="center" vertical="center"/>
    </xf>
    <xf numFmtId="2" fontId="10" fillId="13" borderId="0" xfId="3" applyNumberFormat="1" applyFont="1" applyFill="1"/>
    <xf numFmtId="2" fontId="10" fillId="14" borderId="0" xfId="3" applyNumberFormat="1" applyFont="1" applyFill="1"/>
    <xf numFmtId="165" fontId="10" fillId="13" borderId="12" xfId="3" applyFont="1" applyFill="1" applyBorder="1" applyAlignment="1">
      <alignment horizontal="center"/>
    </xf>
    <xf numFmtId="165" fontId="10" fillId="13" borderId="12" xfId="3" applyFont="1" applyFill="1" applyBorder="1" applyAlignment="1">
      <alignment horizontal="center" vertical="center"/>
    </xf>
    <xf numFmtId="2" fontId="14" fillId="14" borderId="0" xfId="3" applyNumberFormat="1" applyFont="1" applyFill="1"/>
    <xf numFmtId="2" fontId="14" fillId="14" borderId="0" xfId="3" applyNumberFormat="1" applyFont="1" applyFill="1" applyAlignment="1">
      <alignment horizontal="left" indent="2"/>
    </xf>
    <xf numFmtId="2" fontId="14" fillId="14" borderId="0" xfId="8" applyNumberFormat="1" applyFont="1" applyFill="1" applyBorder="1"/>
    <xf numFmtId="2" fontId="14" fillId="14" borderId="18" xfId="8" applyNumberFormat="1" applyFont="1" applyFill="1" applyBorder="1"/>
    <xf numFmtId="2" fontId="10" fillId="0" borderId="0" xfId="3" applyNumberFormat="1" applyFont="1"/>
    <xf numFmtId="165" fontId="10" fillId="11" borderId="1" xfId="3" applyFont="1" applyFill="1" applyBorder="1"/>
    <xf numFmtId="14" fontId="10" fillId="11" borderId="1" xfId="3" applyNumberFormat="1" applyFont="1" applyFill="1" applyBorder="1"/>
    <xf numFmtId="2" fontId="10" fillId="11" borderId="1" xfId="3" applyNumberFormat="1" applyFont="1" applyFill="1" applyBorder="1"/>
    <xf numFmtId="166" fontId="10" fillId="0" borderId="0" xfId="3" applyNumberFormat="1" applyFont="1"/>
    <xf numFmtId="164" fontId="10" fillId="0" borderId="0" xfId="8" applyFont="1"/>
    <xf numFmtId="165" fontId="10" fillId="4" borderId="1" xfId="3" applyFont="1" applyFill="1" applyBorder="1"/>
    <xf numFmtId="14" fontId="10" fillId="4" borderId="1" xfId="3" applyNumberFormat="1" applyFont="1" applyFill="1" applyBorder="1"/>
    <xf numFmtId="2" fontId="10" fillId="4" borderId="1" xfId="3" applyNumberFormat="1" applyFont="1" applyFill="1" applyBorder="1"/>
    <xf numFmtId="0" fontId="0" fillId="0" borderId="1" xfId="0" applyBorder="1" applyAlignment="1">
      <alignment horizontal="center"/>
    </xf>
    <xf numFmtId="0" fontId="14" fillId="0" borderId="1" xfId="11" applyFont="1" applyBorder="1" applyAlignment="1">
      <alignment horizontal="center"/>
    </xf>
    <xf numFmtId="0" fontId="6" fillId="6" borderId="0" xfId="0" applyFont="1" applyFill="1"/>
    <xf numFmtId="9" fontId="14" fillId="6" borderId="5" xfId="0" applyNumberFormat="1" applyFont="1" applyFill="1" applyBorder="1" applyAlignment="1">
      <alignment horizontal="center" vertical="center"/>
    </xf>
    <xf numFmtId="0" fontId="27" fillId="0" borderId="0" xfId="0" applyFont="1"/>
    <xf numFmtId="0" fontId="27" fillId="0" borderId="0" xfId="0" applyFont="1" applyAlignment="1">
      <alignment wrapText="1"/>
    </xf>
    <xf numFmtId="0" fontId="27" fillId="0" borderId="0" xfId="0" applyFont="1" applyAlignment="1">
      <alignment horizontal="right" wrapText="1"/>
    </xf>
    <xf numFmtId="0" fontId="27" fillId="0" borderId="0" xfId="0" applyFont="1" applyAlignment="1">
      <alignment horizontal="right"/>
    </xf>
    <xf numFmtId="0" fontId="27" fillId="0" borderId="10" xfId="0" applyFont="1" applyBorder="1"/>
    <xf numFmtId="0" fontId="27" fillId="0" borderId="10" xfId="0" applyFont="1" applyBorder="1" applyAlignment="1">
      <alignment wrapText="1"/>
    </xf>
    <xf numFmtId="0" fontId="27" fillId="0" borderId="10" xfId="0" applyFont="1" applyBorder="1" applyAlignment="1">
      <alignment horizontal="right"/>
    </xf>
    <xf numFmtId="0" fontId="28" fillId="0" borderId="10" xfId="0" applyFont="1" applyBorder="1"/>
    <xf numFmtId="0" fontId="27" fillId="0" borderId="10" xfId="0" applyFont="1" applyBorder="1" applyAlignment="1">
      <alignment horizontal="left" wrapText="1"/>
    </xf>
    <xf numFmtId="10" fontId="0" fillId="0" borderId="0" xfId="0" applyNumberFormat="1"/>
    <xf numFmtId="0" fontId="29" fillId="5" borderId="0" xfId="0" applyFont="1" applyFill="1" applyAlignment="1">
      <alignment horizontal="center" vertical="center"/>
    </xf>
    <xf numFmtId="0" fontId="31" fillId="15" borderId="0" xfId="0" applyFont="1" applyFill="1" applyAlignment="1">
      <alignment vertical="center"/>
    </xf>
    <xf numFmtId="0" fontId="31" fillId="15" borderId="0" xfId="0" applyFont="1" applyFill="1" applyAlignment="1">
      <alignment horizontal="center" vertical="center"/>
    </xf>
    <xf numFmtId="0" fontId="32" fillId="15" borderId="0" xfId="0" applyFont="1" applyFill="1" applyAlignment="1">
      <alignment horizontal="center" vertical="center"/>
    </xf>
    <xf numFmtId="0" fontId="33" fillId="0" borderId="0" xfId="3" applyNumberFormat="1" applyFont="1"/>
    <xf numFmtId="0" fontId="34" fillId="0" borderId="0" xfId="0" applyFont="1" applyAlignment="1">
      <alignment horizontal="center" vertical="center"/>
    </xf>
    <xf numFmtId="0" fontId="30" fillId="0" borderId="11" xfId="0" applyFont="1" applyBorder="1"/>
    <xf numFmtId="1" fontId="34" fillId="0" borderId="0" xfId="0" applyNumberFormat="1" applyFont="1" applyAlignment="1">
      <alignment horizontal="center" vertical="center"/>
    </xf>
    <xf numFmtId="10" fontId="34" fillId="0" borderId="0" xfId="12" applyNumberFormat="1" applyFont="1" applyFill="1" applyBorder="1" applyAlignment="1">
      <alignment horizontal="center" vertical="center"/>
    </xf>
    <xf numFmtId="10" fontId="34" fillId="0" borderId="0" xfId="0" applyNumberFormat="1" applyFont="1" applyAlignment="1">
      <alignment horizontal="center" vertical="center"/>
    </xf>
    <xf numFmtId="0" fontId="30" fillId="0" borderId="19" xfId="0" applyFont="1" applyBorder="1"/>
    <xf numFmtId="0" fontId="35" fillId="16" borderId="12" xfId="0" applyFont="1" applyFill="1" applyBorder="1" applyAlignment="1">
      <alignment vertical="center"/>
    </xf>
    <xf numFmtId="2" fontId="35" fillId="16" borderId="12" xfId="0" applyNumberFormat="1" applyFont="1" applyFill="1" applyBorder="1" applyAlignment="1">
      <alignment horizontal="center" vertical="center"/>
    </xf>
    <xf numFmtId="1" fontId="35" fillId="16" borderId="12" xfId="0" applyNumberFormat="1" applyFont="1" applyFill="1" applyBorder="1" applyAlignment="1">
      <alignment horizontal="center" vertical="center"/>
    </xf>
    <xf numFmtId="0" fontId="34" fillId="16" borderId="12" xfId="0" applyFont="1" applyFill="1" applyBorder="1" applyAlignment="1">
      <alignment horizontal="center" vertical="center"/>
    </xf>
    <xf numFmtId="0" fontId="35" fillId="16" borderId="0" xfId="0" applyFont="1" applyFill="1" applyAlignment="1">
      <alignment vertical="center" wrapText="1"/>
    </xf>
    <xf numFmtId="0" fontId="35" fillId="16" borderId="0" xfId="0" applyFont="1" applyFill="1" applyAlignment="1">
      <alignment horizontal="center" vertical="center" wrapText="1"/>
    </xf>
    <xf numFmtId="0" fontId="34" fillId="0" borderId="0" xfId="0" applyFont="1" applyAlignment="1">
      <alignment vertical="center"/>
    </xf>
    <xf numFmtId="0" fontId="35" fillId="0" borderId="12" xfId="0" applyFont="1" applyBorder="1" applyAlignment="1">
      <alignment vertical="center"/>
    </xf>
    <xf numFmtId="0" fontId="35" fillId="0" borderId="0" xfId="0" applyFont="1" applyAlignment="1">
      <alignment vertical="center"/>
    </xf>
    <xf numFmtId="0" fontId="35" fillId="0" borderId="0" xfId="0" applyFont="1"/>
    <xf numFmtId="0" fontId="35" fillId="16" borderId="0" xfId="0" applyFont="1" applyFill="1" applyAlignment="1">
      <alignment vertical="center"/>
    </xf>
    <xf numFmtId="0" fontId="35" fillId="16" borderId="0" xfId="0" applyFont="1" applyFill="1" applyAlignment="1">
      <alignment horizontal="center" vertical="center"/>
    </xf>
    <xf numFmtId="0" fontId="34" fillId="0" borderId="11" xfId="0" applyFont="1" applyBorder="1" applyAlignment="1">
      <alignment vertical="center"/>
    </xf>
    <xf numFmtId="169" fontId="34" fillId="0" borderId="0" xfId="0" applyNumberFormat="1" applyFont="1" applyAlignment="1">
      <alignment horizontal="center" vertical="center"/>
    </xf>
    <xf numFmtId="170" fontId="34" fillId="0" borderId="0" xfId="0" applyNumberFormat="1" applyFont="1" applyAlignment="1">
      <alignment horizontal="center" vertical="center"/>
    </xf>
    <xf numFmtId="170" fontId="35" fillId="0" borderId="12" xfId="0" applyNumberFormat="1" applyFont="1" applyBorder="1" applyAlignment="1">
      <alignment horizontal="center" vertical="center"/>
    </xf>
    <xf numFmtId="170" fontId="35" fillId="0" borderId="0" xfId="0" applyNumberFormat="1" applyFont="1" applyAlignment="1">
      <alignment horizontal="center" vertical="center"/>
    </xf>
    <xf numFmtId="170" fontId="31" fillId="15" borderId="0" xfId="0" applyNumberFormat="1" applyFont="1" applyFill="1" applyAlignment="1">
      <alignment horizontal="center" vertical="center"/>
    </xf>
    <xf numFmtId="170" fontId="0" fillId="0" borderId="0" xfId="0" applyNumberFormat="1"/>
    <xf numFmtId="0" fontId="8" fillId="5" borderId="1" xfId="0" applyFont="1" applyFill="1" applyBorder="1" applyAlignment="1">
      <alignment horizontal="center"/>
    </xf>
    <xf numFmtId="2" fontId="2" fillId="0" borderId="0" xfId="0" applyNumberFormat="1" applyFont="1"/>
    <xf numFmtId="166" fontId="14" fillId="0" borderId="1" xfId="0" applyNumberFormat="1" applyFont="1" applyBorder="1"/>
    <xf numFmtId="166" fontId="14" fillId="0" borderId="1" xfId="0" applyNumberFormat="1" applyFont="1" applyBorder="1" applyAlignment="1">
      <alignment wrapText="1"/>
    </xf>
    <xf numFmtId="166" fontId="2" fillId="0" borderId="1" xfId="0" applyNumberFormat="1" applyFont="1" applyBorder="1"/>
    <xf numFmtId="0" fontId="14" fillId="0" borderId="2" xfId="0" applyFont="1" applyBorder="1" applyAlignment="1">
      <alignment horizontal="left" wrapText="1"/>
    </xf>
    <xf numFmtId="165" fontId="14" fillId="0" borderId="2" xfId="0" applyNumberFormat="1" applyFont="1" applyBorder="1" applyAlignment="1">
      <alignment horizontal="left" wrapText="1"/>
    </xf>
    <xf numFmtId="0" fontId="2" fillId="0" borderId="2" xfId="0" applyFont="1" applyBorder="1"/>
    <xf numFmtId="0" fontId="14" fillId="0" borderId="0" xfId="13" applyFont="1"/>
    <xf numFmtId="0" fontId="8" fillId="5" borderId="6" xfId="13" applyFont="1" applyFill="1" applyBorder="1" applyAlignment="1">
      <alignment horizontal="center"/>
    </xf>
    <xf numFmtId="0" fontId="10" fillId="0" borderId="1" xfId="13" applyFont="1" applyBorder="1" applyAlignment="1">
      <alignment wrapText="1"/>
    </xf>
    <xf numFmtId="0" fontId="10" fillId="0" borderId="1" xfId="8" applyNumberFormat="1" applyFont="1" applyBorder="1" applyAlignment="1">
      <alignment horizontal="center"/>
    </xf>
    <xf numFmtId="0" fontId="14" fillId="0" borderId="4" xfId="13" applyFont="1" applyBorder="1"/>
    <xf numFmtId="164" fontId="14" fillId="0" borderId="1" xfId="8" applyFont="1" applyBorder="1" applyAlignment="1">
      <alignment horizontal="left"/>
    </xf>
    <xf numFmtId="164" fontId="14" fillId="0" borderId="2" xfId="8" applyFont="1" applyBorder="1" applyAlignment="1">
      <alignment horizontal="left"/>
    </xf>
    <xf numFmtId="0" fontId="15" fillId="0" borderId="1" xfId="13" applyFont="1" applyBorder="1"/>
    <xf numFmtId="2" fontId="14" fillId="0" borderId="1" xfId="8" applyNumberFormat="1" applyFont="1" applyBorder="1"/>
    <xf numFmtId="0" fontId="14" fillId="0" borderId="1" xfId="13" applyFont="1" applyBorder="1"/>
    <xf numFmtId="2" fontId="14" fillId="0" borderId="1" xfId="13" applyNumberFormat="1" applyFont="1" applyBorder="1"/>
    <xf numFmtId="2" fontId="14" fillId="7" borderId="1" xfId="8" applyNumberFormat="1" applyFont="1" applyFill="1" applyBorder="1"/>
    <xf numFmtId="0" fontId="10" fillId="8" borderId="1" xfId="13" applyFont="1" applyFill="1" applyBorder="1"/>
    <xf numFmtId="2" fontId="10" fillId="8" borderId="1" xfId="13" applyNumberFormat="1" applyFont="1" applyFill="1" applyBorder="1"/>
    <xf numFmtId="0" fontId="14" fillId="0" borderId="1" xfId="13" applyFont="1" applyBorder="1" applyAlignment="1">
      <alignment wrapText="1"/>
    </xf>
    <xf numFmtId="0" fontId="14" fillId="0" borderId="1" xfId="13" applyFont="1" applyBorder="1" applyAlignment="1">
      <alignment vertical="center"/>
    </xf>
    <xf numFmtId="2" fontId="14" fillId="0" borderId="1" xfId="13" applyNumberFormat="1" applyFont="1" applyBorder="1" applyAlignment="1">
      <alignment vertical="center"/>
    </xf>
    <xf numFmtId="0" fontId="36" fillId="0" borderId="1" xfId="13" applyFont="1" applyBorder="1"/>
    <xf numFmtId="2" fontId="14" fillId="0" borderId="1" xfId="8" applyNumberFormat="1" applyFont="1" applyFill="1" applyBorder="1"/>
    <xf numFmtId="2" fontId="10" fillId="8" borderId="1" xfId="8" applyNumberFormat="1" applyFont="1" applyFill="1" applyBorder="1"/>
    <xf numFmtId="2" fontId="14" fillId="0" borderId="0" xfId="13" applyNumberFormat="1" applyFont="1"/>
    <xf numFmtId="0" fontId="14" fillId="0" borderId="5" xfId="13" applyFont="1" applyBorder="1"/>
    <xf numFmtId="2" fontId="14" fillId="0" borderId="11" xfId="8" applyNumberFormat="1" applyFont="1" applyBorder="1"/>
    <xf numFmtId="2" fontId="14" fillId="0" borderId="4" xfId="8" applyNumberFormat="1" applyFont="1" applyBorder="1"/>
    <xf numFmtId="2" fontId="10" fillId="8" borderId="2" xfId="13" applyNumberFormat="1" applyFont="1" applyFill="1" applyBorder="1"/>
    <xf numFmtId="2" fontId="14" fillId="0" borderId="20" xfId="13" applyNumberFormat="1" applyFont="1" applyBorder="1"/>
    <xf numFmtId="2" fontId="10" fillId="8" borderId="19" xfId="8" applyNumberFormat="1" applyFont="1" applyFill="1" applyBorder="1"/>
    <xf numFmtId="2" fontId="10" fillId="8" borderId="4" xfId="8" applyNumberFormat="1" applyFont="1" applyFill="1" applyBorder="1"/>
    <xf numFmtId="0" fontId="10" fillId="8" borderId="0" xfId="13" applyFont="1" applyFill="1"/>
    <xf numFmtId="164" fontId="10" fillId="8" borderId="0" xfId="8" applyFont="1" applyFill="1"/>
    <xf numFmtId="164" fontId="14" fillId="0" borderId="0" xfId="8" applyFont="1"/>
    <xf numFmtId="0" fontId="10" fillId="3" borderId="0" xfId="13" applyFont="1" applyFill="1" applyAlignment="1">
      <alignment wrapText="1"/>
    </xf>
    <xf numFmtId="0" fontId="13" fillId="5" borderId="0" xfId="0" applyFont="1" applyFill="1" applyAlignment="1">
      <alignment horizontal="center" vertical="center"/>
    </xf>
    <xf numFmtId="164" fontId="8" fillId="5" borderId="1" xfId="8" applyFont="1" applyFill="1" applyBorder="1" applyAlignment="1">
      <alignment horizontal="left"/>
    </xf>
    <xf numFmtId="0" fontId="10" fillId="0" borderId="1" xfId="13" applyFont="1" applyBorder="1"/>
    <xf numFmtId="164" fontId="14" fillId="0" borderId="1" xfId="8" applyFont="1" applyBorder="1"/>
    <xf numFmtId="2" fontId="14" fillId="0" borderId="0" xfId="13" applyNumberFormat="1" applyFont="1" applyAlignment="1">
      <alignment vertical="center"/>
    </xf>
    <xf numFmtId="9" fontId="14" fillId="0" borderId="0" xfId="13" applyNumberFormat="1" applyFont="1"/>
    <xf numFmtId="0" fontId="14" fillId="9" borderId="0" xfId="13" applyFont="1" applyFill="1"/>
    <xf numFmtId="0" fontId="10" fillId="3" borderId="0" xfId="13" applyFont="1" applyFill="1"/>
    <xf numFmtId="0" fontId="10" fillId="6" borderId="10" xfId="13" applyFont="1" applyFill="1" applyBorder="1" applyAlignment="1">
      <alignment wrapText="1"/>
    </xf>
    <xf numFmtId="0" fontId="10" fillId="0" borderId="0" xfId="0" applyFont="1"/>
    <xf numFmtId="0" fontId="13" fillId="5" borderId="5" xfId="0" applyFont="1" applyFill="1" applyBorder="1" applyAlignment="1">
      <alignment horizontal="center" vertical="center"/>
    </xf>
    <xf numFmtId="0" fontId="16" fillId="18" borderId="0" xfId="13" applyFont="1" applyFill="1" applyAlignment="1">
      <alignment vertical="center"/>
    </xf>
    <xf numFmtId="0" fontId="16" fillId="18" borderId="0" xfId="13" applyFont="1" applyFill="1"/>
    <xf numFmtId="0" fontId="16" fillId="18" borderId="0" xfId="13" applyFont="1" applyFill="1" applyAlignment="1">
      <alignment horizontal="center" vertical="center"/>
    </xf>
    <xf numFmtId="0" fontId="14" fillId="0" borderId="0" xfId="13" applyFont="1" applyAlignment="1">
      <alignment horizontal="center" vertical="center"/>
    </xf>
    <xf numFmtId="0" fontId="8" fillId="5" borderId="1" xfId="13" applyFont="1" applyFill="1" applyBorder="1"/>
    <xf numFmtId="171" fontId="8" fillId="5" borderId="1" xfId="13" applyNumberFormat="1" applyFont="1" applyFill="1" applyBorder="1" applyAlignment="1">
      <alignment horizontal="center" vertical="center"/>
    </xf>
    <xf numFmtId="0" fontId="14" fillId="0" borderId="1" xfId="13" applyFont="1" applyBorder="1" applyAlignment="1">
      <alignment horizontal="center" vertical="center"/>
    </xf>
    <xf numFmtId="2" fontId="14" fillId="0" borderId="1" xfId="13" applyNumberFormat="1" applyFont="1" applyBorder="1" applyAlignment="1">
      <alignment horizontal="center" vertical="center"/>
    </xf>
    <xf numFmtId="0" fontId="10" fillId="19" borderId="1" xfId="13" applyFont="1" applyFill="1" applyBorder="1" applyAlignment="1">
      <alignment vertical="center"/>
    </xf>
    <xf numFmtId="0" fontId="10" fillId="19" borderId="1" xfId="13" applyFont="1" applyFill="1" applyBorder="1"/>
    <xf numFmtId="10" fontId="10" fillId="19" borderId="1" xfId="7" applyNumberFormat="1" applyFont="1" applyFill="1" applyBorder="1" applyAlignment="1">
      <alignment horizontal="center" vertical="center"/>
    </xf>
    <xf numFmtId="10" fontId="10" fillId="19" borderId="1" xfId="7" applyNumberFormat="1" applyFont="1" applyFill="1" applyBorder="1" applyAlignment="1">
      <alignment vertical="center"/>
    </xf>
    <xf numFmtId="0" fontId="10" fillId="0" borderId="21" xfId="13" applyFont="1" applyBorder="1"/>
    <xf numFmtId="0" fontId="14" fillId="0" borderId="22" xfId="13" applyFont="1" applyBorder="1"/>
    <xf numFmtId="0" fontId="14" fillId="0" borderId="22" xfId="13" applyFont="1" applyBorder="1" applyAlignment="1">
      <alignment horizontal="center" vertical="center"/>
    </xf>
    <xf numFmtId="10" fontId="18" fillId="0" borderId="23" xfId="7" applyNumberFormat="1" applyFont="1" applyBorder="1" applyAlignment="1">
      <alignment horizontal="center" vertical="center"/>
    </xf>
    <xf numFmtId="0" fontId="37" fillId="0" borderId="0" xfId="13" applyFont="1" applyAlignment="1">
      <alignment vertical="center" readingOrder="1"/>
    </xf>
    <xf numFmtId="0" fontId="10" fillId="0" borderId="24" xfId="13" applyFont="1" applyBorder="1"/>
    <xf numFmtId="0" fontId="24" fillId="0" borderId="0" xfId="13"/>
    <xf numFmtId="0" fontId="10" fillId="0" borderId="25" xfId="13" applyFont="1" applyBorder="1"/>
    <xf numFmtId="0" fontId="14" fillId="0" borderId="26" xfId="13" applyFont="1" applyBorder="1"/>
    <xf numFmtId="0" fontId="14" fillId="0" borderId="26" xfId="13" applyFont="1" applyBorder="1" applyAlignment="1">
      <alignment horizontal="center" vertical="center"/>
    </xf>
    <xf numFmtId="10" fontId="18" fillId="0" borderId="27" xfId="7" applyNumberFormat="1" applyFont="1" applyBorder="1" applyAlignment="1">
      <alignment horizontal="center" vertical="center"/>
    </xf>
    <xf numFmtId="0" fontId="10" fillId="0" borderId="0" xfId="13" applyFont="1"/>
    <xf numFmtId="0" fontId="14" fillId="0" borderId="1" xfId="13" applyFont="1" applyBorder="1" applyAlignment="1">
      <alignment horizontal="left" vertical="top" wrapText="1"/>
    </xf>
    <xf numFmtId="164" fontId="10" fillId="19" borderId="1" xfId="8" applyFont="1" applyFill="1" applyBorder="1" applyAlignment="1">
      <alignment horizontal="center" vertical="center"/>
    </xf>
    <xf numFmtId="164" fontId="14" fillId="0" borderId="0" xfId="13" applyNumberFormat="1" applyFont="1"/>
    <xf numFmtId="0" fontId="10" fillId="19" borderId="1" xfId="13" applyFont="1" applyFill="1" applyBorder="1" applyAlignment="1">
      <alignment horizontal="center" vertical="center"/>
    </xf>
    <xf numFmtId="2" fontId="10" fillId="19" borderId="1" xfId="13" applyNumberFormat="1" applyFont="1" applyFill="1" applyBorder="1" applyAlignment="1">
      <alignment horizontal="center" vertical="center"/>
    </xf>
    <xf numFmtId="164" fontId="8" fillId="5" borderId="1" xfId="8" applyFont="1" applyFill="1" applyBorder="1" applyAlignment="1">
      <alignment horizontal="center" vertical="center"/>
    </xf>
    <xf numFmtId="0" fontId="10" fillId="0" borderId="1" xfId="13" applyFont="1" applyBorder="1" applyAlignment="1">
      <alignment horizontal="center" vertical="center"/>
    </xf>
    <xf numFmtId="0" fontId="10" fillId="0" borderId="0" xfId="13" applyFont="1" applyAlignment="1">
      <alignment horizontal="center" vertical="center"/>
    </xf>
    <xf numFmtId="164" fontId="10" fillId="0" borderId="0" xfId="8" applyFont="1" applyAlignment="1">
      <alignment horizontal="center" vertical="center"/>
    </xf>
    <xf numFmtId="2" fontId="14" fillId="0" borderId="0" xfId="13" applyNumberFormat="1" applyFont="1" applyAlignment="1">
      <alignment horizontal="center" vertical="center"/>
    </xf>
    <xf numFmtId="0" fontId="10" fillId="9" borderId="0" xfId="13" applyFont="1" applyFill="1"/>
    <xf numFmtId="2" fontId="10" fillId="0" borderId="1" xfId="13" applyNumberFormat="1" applyFont="1" applyBorder="1" applyAlignment="1">
      <alignment horizontal="center" vertical="center"/>
    </xf>
    <xf numFmtId="172" fontId="14" fillId="0" borderId="1" xfId="13" applyNumberFormat="1" applyFont="1" applyBorder="1" applyAlignment="1">
      <alignment horizontal="center" vertical="center"/>
    </xf>
    <xf numFmtId="0" fontId="13" fillId="5" borderId="1" xfId="13" applyFont="1" applyFill="1" applyBorder="1"/>
    <xf numFmtId="0" fontId="14" fillId="5" borderId="1" xfId="13" applyFont="1" applyFill="1" applyBorder="1"/>
    <xf numFmtId="10" fontId="10" fillId="8" borderId="1" xfId="7" applyNumberFormat="1" applyFont="1" applyFill="1" applyBorder="1"/>
    <xf numFmtId="0" fontId="9" fillId="5" borderId="1" xfId="13" applyFont="1" applyFill="1" applyBorder="1"/>
    <xf numFmtId="173" fontId="14" fillId="0" borderId="1" xfId="13" applyNumberFormat="1" applyFont="1" applyBorder="1"/>
    <xf numFmtId="173" fontId="14" fillId="0" borderId="1" xfId="8" applyNumberFormat="1" applyFont="1" applyBorder="1"/>
    <xf numFmtId="0" fontId="38" fillId="0" borderId="0" xfId="0" applyFont="1" applyAlignment="1">
      <alignment vertical="center"/>
    </xf>
    <xf numFmtId="0" fontId="38" fillId="0" borderId="0" xfId="0" applyFont="1" applyAlignment="1">
      <alignment horizontal="center" vertical="center"/>
    </xf>
    <xf numFmtId="2" fontId="38" fillId="0" borderId="0" xfId="0" applyNumberFormat="1" applyFont="1" applyAlignment="1">
      <alignment horizontal="center" vertical="center"/>
    </xf>
    <xf numFmtId="2" fontId="34" fillId="0" borderId="0" xfId="0" applyNumberFormat="1" applyFont="1" applyAlignment="1">
      <alignment horizontal="center" vertical="center"/>
    </xf>
    <xf numFmtId="0" fontId="38" fillId="0" borderId="0" xfId="0" applyFont="1" applyAlignment="1">
      <alignment vertical="center" wrapText="1"/>
    </xf>
    <xf numFmtId="164" fontId="14" fillId="0" borderId="0" xfId="1" applyFont="1"/>
    <xf numFmtId="14" fontId="8" fillId="5" borderId="1" xfId="13" applyNumberFormat="1" applyFont="1" applyFill="1" applyBorder="1" applyAlignment="1">
      <alignment vertical="top" wrapText="1"/>
    </xf>
    <xf numFmtId="164" fontId="6" fillId="6" borderId="0" xfId="1" applyFont="1" applyFill="1"/>
    <xf numFmtId="164" fontId="6" fillId="0" borderId="1" xfId="1" applyFont="1" applyBorder="1"/>
    <xf numFmtId="164" fontId="6" fillId="6" borderId="1" xfId="1" applyFont="1" applyFill="1" applyBorder="1"/>
    <xf numFmtId="167" fontId="14" fillId="0" borderId="0" xfId="0" applyNumberFormat="1" applyFont="1" applyAlignment="1">
      <alignment horizontal="left"/>
    </xf>
    <xf numFmtId="167" fontId="10" fillId="17" borderId="0" xfId="0" applyNumberFormat="1" applyFont="1" applyFill="1" applyAlignment="1">
      <alignment horizontal="left"/>
    </xf>
    <xf numFmtId="165" fontId="14" fillId="0" borderId="0" xfId="0" applyNumberFormat="1" applyFont="1" applyAlignment="1">
      <alignment horizontal="left" wrapText="1"/>
    </xf>
    <xf numFmtId="165" fontId="14" fillId="0" borderId="0" xfId="0" applyNumberFormat="1" applyFont="1" applyAlignment="1">
      <alignment horizontal="left"/>
    </xf>
    <xf numFmtId="165" fontId="14" fillId="0" borderId="0" xfId="0" applyNumberFormat="1" applyFont="1"/>
    <xf numFmtId="37" fontId="14" fillId="0" borderId="0" xfId="0" applyNumberFormat="1" applyFont="1" applyAlignment="1">
      <alignment wrapText="1"/>
    </xf>
    <xf numFmtId="167" fontId="14" fillId="0" borderId="0" xfId="0" applyNumberFormat="1" applyFont="1" applyAlignment="1">
      <alignment horizontal="right"/>
    </xf>
    <xf numFmtId="166" fontId="14" fillId="0" borderId="0" xfId="0" applyNumberFormat="1" applyFont="1" applyAlignment="1">
      <alignment wrapText="1"/>
    </xf>
    <xf numFmtId="166" fontId="14" fillId="0" borderId="0" xfId="0" applyNumberFormat="1" applyFont="1"/>
    <xf numFmtId="165" fontId="14" fillId="0" borderId="0" xfId="0" applyNumberFormat="1" applyFont="1" applyAlignment="1">
      <alignment wrapText="1"/>
    </xf>
    <xf numFmtId="165" fontId="14" fillId="0" borderId="0" xfId="0" applyNumberFormat="1" applyFont="1" applyAlignment="1">
      <alignment horizontal="right"/>
    </xf>
    <xf numFmtId="167" fontId="14" fillId="0" borderId="0" xfId="0" applyNumberFormat="1" applyFont="1"/>
    <xf numFmtId="166" fontId="14" fillId="0" borderId="10" xfId="0" applyNumberFormat="1" applyFont="1" applyBorder="1" applyAlignment="1">
      <alignment horizontal="fill" wrapText="1"/>
    </xf>
    <xf numFmtId="166" fontId="14" fillId="0" borderId="10" xfId="0" applyNumberFormat="1" applyFont="1" applyBorder="1" applyAlignment="1">
      <alignment horizontal="fill"/>
    </xf>
    <xf numFmtId="165" fontId="10" fillId="0" borderId="0" xfId="0" applyNumberFormat="1" applyFont="1"/>
    <xf numFmtId="168" fontId="10" fillId="0" borderId="0" xfId="0" applyNumberFormat="1" applyFont="1"/>
    <xf numFmtId="166" fontId="10" fillId="0" borderId="0" xfId="0" applyNumberFormat="1" applyFont="1" applyAlignment="1">
      <alignment wrapText="1"/>
    </xf>
    <xf numFmtId="166" fontId="10" fillId="0" borderId="0" xfId="0" applyNumberFormat="1" applyFont="1"/>
    <xf numFmtId="165" fontId="10" fillId="0" borderId="0" xfId="0" applyNumberFormat="1" applyFont="1" applyAlignment="1">
      <alignment wrapText="1"/>
    </xf>
    <xf numFmtId="165" fontId="10" fillId="0" borderId="0" xfId="0" applyNumberFormat="1" applyFont="1" applyAlignment="1">
      <alignment horizontal="right"/>
    </xf>
    <xf numFmtId="166" fontId="0" fillId="0" borderId="0" xfId="0" applyNumberFormat="1"/>
    <xf numFmtId="0" fontId="30" fillId="0" borderId="0" xfId="0" applyFont="1" applyAlignment="1">
      <alignment horizontal="center" vertical="center"/>
    </xf>
    <xf numFmtId="0" fontId="30" fillId="0" borderId="0" xfId="0" applyFont="1"/>
    <xf numFmtId="9" fontId="30" fillId="0" borderId="0" xfId="0" applyNumberFormat="1" applyFont="1" applyAlignment="1">
      <alignment horizontal="center" vertical="center"/>
    </xf>
    <xf numFmtId="2" fontId="30" fillId="0" borderId="0" xfId="0" applyNumberFormat="1" applyFont="1" applyAlignment="1">
      <alignment horizontal="center" vertical="center"/>
    </xf>
    <xf numFmtId="10" fontId="30" fillId="0" borderId="0" xfId="0" applyNumberFormat="1" applyFont="1" applyAlignment="1">
      <alignment horizontal="center" vertical="center"/>
    </xf>
    <xf numFmtId="9" fontId="30" fillId="0" borderId="0" xfId="2" applyFont="1" applyFill="1" applyBorder="1" applyAlignment="1">
      <alignment horizontal="center" vertical="center"/>
    </xf>
    <xf numFmtId="2" fontId="10" fillId="0" borderId="0" xfId="0" applyNumberFormat="1" applyFont="1"/>
    <xf numFmtId="0" fontId="10" fillId="3" borderId="0" xfId="14" applyFont="1" applyFill="1"/>
    <xf numFmtId="0" fontId="10" fillId="0" borderId="0" xfId="14" applyFont="1"/>
    <xf numFmtId="0" fontId="2" fillId="4" borderId="28" xfId="0" applyFont="1" applyFill="1" applyBorder="1"/>
    <xf numFmtId="0" fontId="0" fillId="4" borderId="29" xfId="0" applyFill="1" applyBorder="1"/>
    <xf numFmtId="0" fontId="39" fillId="5" borderId="1" xfId="0" applyFont="1" applyFill="1" applyBorder="1"/>
    <xf numFmtId="0" fontId="40" fillId="8" borderId="1" xfId="0" applyFont="1" applyFill="1" applyBorder="1"/>
    <xf numFmtId="174" fontId="41" fillId="0" borderId="0" xfId="15" applyNumberFormat="1" applyFont="1" applyFill="1" applyBorder="1"/>
    <xf numFmtId="174" fontId="42" fillId="0" borderId="0" xfId="15" applyNumberFormat="1" applyFont="1" applyFill="1" applyBorder="1"/>
    <xf numFmtId="0" fontId="43" fillId="4" borderId="0" xfId="0" applyFont="1" applyFill="1"/>
    <xf numFmtId="0" fontId="2" fillId="4" borderId="0" xfId="0" applyFont="1" applyFill="1"/>
    <xf numFmtId="2" fontId="2" fillId="4" borderId="0" xfId="0" applyNumberFormat="1" applyFont="1" applyFill="1" applyAlignment="1">
      <alignment horizontal="center" vertical="center"/>
    </xf>
    <xf numFmtId="0" fontId="43" fillId="0" borderId="0" xfId="0" applyFont="1"/>
    <xf numFmtId="174" fontId="42" fillId="4" borderId="0" xfId="15" applyNumberFormat="1" applyFont="1" applyFill="1" applyBorder="1"/>
    <xf numFmtId="0" fontId="0" fillId="4" borderId="0" xfId="0" applyFill="1"/>
    <xf numFmtId="2" fontId="0" fillId="4" borderId="0" xfId="0" applyNumberFormat="1" applyFill="1" applyAlignment="1">
      <alignment horizontal="center" vertical="center"/>
    </xf>
    <xf numFmtId="10" fontId="0" fillId="0" borderId="0" xfId="2" applyNumberFormat="1" applyFont="1" applyAlignment="1">
      <alignment horizontal="center" vertical="center"/>
    </xf>
    <xf numFmtId="9" fontId="2" fillId="4" borderId="0" xfId="2" applyFont="1" applyFill="1" applyAlignment="1">
      <alignment horizontal="center" vertical="center"/>
    </xf>
    <xf numFmtId="2" fontId="10" fillId="0" borderId="1" xfId="0" applyNumberFormat="1" applyFont="1" applyBorder="1" applyAlignment="1">
      <alignment horizontal="center"/>
    </xf>
    <xf numFmtId="0" fontId="10" fillId="0" borderId="0" xfId="0" applyFont="1" applyAlignment="1">
      <alignment vertical="center" wrapText="1"/>
    </xf>
    <xf numFmtId="10" fontId="0" fillId="0" borderId="0" xfId="0" applyNumberFormat="1" applyAlignment="1">
      <alignment horizontal="center" vertical="center"/>
    </xf>
    <xf numFmtId="0" fontId="10" fillId="0" borderId="0" xfId="0" applyFont="1" applyAlignment="1">
      <alignment vertical="center"/>
    </xf>
    <xf numFmtId="0" fontId="10" fillId="0" borderId="0" xfId="0" applyFont="1" applyAlignment="1">
      <alignment horizontal="left" vertical="center" wrapText="1"/>
    </xf>
    <xf numFmtId="0" fontId="24" fillId="0" borderId="0" xfId="0" applyFont="1"/>
    <xf numFmtId="0" fontId="40" fillId="0" borderId="0" xfId="0" applyFont="1"/>
    <xf numFmtId="10" fontId="14" fillId="0" borderId="0" xfId="13" applyNumberFormat="1" applyFont="1" applyAlignment="1">
      <alignment horizontal="center" vertical="center"/>
    </xf>
    <xf numFmtId="10" fontId="14" fillId="0" borderId="1" xfId="7" applyNumberFormat="1" applyFont="1" applyBorder="1"/>
    <xf numFmtId="164" fontId="14" fillId="0" borderId="1" xfId="1" applyFont="1" applyBorder="1"/>
    <xf numFmtId="164" fontId="14" fillId="0" borderId="1" xfId="1" applyFont="1" applyBorder="1" applyAlignment="1">
      <alignment vertical="center"/>
    </xf>
    <xf numFmtId="164" fontId="14" fillId="0" borderId="1" xfId="1" applyFont="1" applyBorder="1" applyAlignment="1">
      <alignment horizontal="center" vertical="center"/>
    </xf>
    <xf numFmtId="0" fontId="30" fillId="0" borderId="0" xfId="0" applyFont="1" applyAlignment="1">
      <alignment horizontal="left" vertical="center"/>
    </xf>
    <xf numFmtId="175" fontId="14" fillId="0" borderId="0" xfId="13" applyNumberFormat="1" applyFont="1"/>
    <xf numFmtId="8" fontId="14" fillId="0" borderId="0" xfId="13" applyNumberFormat="1" applyFont="1"/>
    <xf numFmtId="176" fontId="14" fillId="0" borderId="0" xfId="13" applyNumberFormat="1" applyFont="1"/>
    <xf numFmtId="169" fontId="14" fillId="0" borderId="1" xfId="13" applyNumberFormat="1" applyFont="1" applyBorder="1"/>
    <xf numFmtId="177" fontId="0" fillId="0" borderId="1" xfId="0" applyNumberFormat="1" applyBorder="1" applyAlignment="1">
      <alignment horizontal="center"/>
    </xf>
    <xf numFmtId="177" fontId="2" fillId="0" borderId="1" xfId="0" applyNumberFormat="1" applyFont="1" applyBorder="1" applyAlignment="1">
      <alignment horizontal="center"/>
    </xf>
    <xf numFmtId="169" fontId="35" fillId="16" borderId="12" xfId="0" applyNumberFormat="1" applyFont="1" applyFill="1" applyBorder="1" applyAlignment="1">
      <alignment horizontal="center" vertical="center"/>
    </xf>
    <xf numFmtId="177" fontId="35" fillId="16" borderId="12" xfId="0" applyNumberFormat="1" applyFont="1" applyFill="1" applyBorder="1" applyAlignment="1">
      <alignment horizontal="center" vertical="center"/>
    </xf>
    <xf numFmtId="177" fontId="19" fillId="0" borderId="1" xfId="8" applyNumberFormat="1" applyFont="1" applyBorder="1"/>
    <xf numFmtId="172" fontId="0" fillId="0" borderId="1" xfId="0" applyNumberFormat="1" applyBorder="1"/>
    <xf numFmtId="169" fontId="0" fillId="0" borderId="1" xfId="0" applyNumberFormat="1" applyBorder="1"/>
    <xf numFmtId="178" fontId="14" fillId="0" borderId="0" xfId="3" applyNumberFormat="1" applyFont="1"/>
    <xf numFmtId="179" fontId="14" fillId="0" borderId="0" xfId="3" applyNumberFormat="1" applyFont="1"/>
    <xf numFmtId="180" fontId="10" fillId="0" borderId="1" xfId="8" applyNumberFormat="1" applyFont="1" applyBorder="1" applyAlignment="1">
      <alignment horizontal="center" vertical="center"/>
    </xf>
    <xf numFmtId="169" fontId="14" fillId="4" borderId="1" xfId="3" applyNumberFormat="1" applyFont="1" applyFill="1" applyBorder="1"/>
    <xf numFmtId="0" fontId="34" fillId="20" borderId="27" xfId="0" applyFont="1" applyFill="1" applyBorder="1" applyAlignment="1">
      <alignment horizontal="center" vertical="center" wrapText="1"/>
    </xf>
    <xf numFmtId="0" fontId="34" fillId="20" borderId="30" xfId="0" applyFont="1" applyFill="1" applyBorder="1" applyAlignment="1">
      <alignment horizontal="center" vertical="center" wrapText="1"/>
    </xf>
    <xf numFmtId="0" fontId="34" fillId="20" borderId="31" xfId="0" applyFont="1" applyFill="1" applyBorder="1" applyAlignment="1">
      <alignment horizontal="center" vertical="center" wrapText="1"/>
    </xf>
    <xf numFmtId="0" fontId="30" fillId="20" borderId="32" xfId="0" applyFont="1" applyFill="1" applyBorder="1" applyAlignment="1">
      <alignment horizontal="center" vertical="center" wrapText="1"/>
    </xf>
    <xf numFmtId="0" fontId="34" fillId="20" borderId="32" xfId="0" applyFont="1" applyFill="1" applyBorder="1" applyAlignment="1">
      <alignment horizontal="center" vertical="center" wrapText="1"/>
    </xf>
    <xf numFmtId="0" fontId="34" fillId="20" borderId="0" xfId="0" applyFont="1" applyFill="1" applyAlignment="1">
      <alignment horizontal="center" vertical="center" wrapText="1"/>
    </xf>
    <xf numFmtId="2" fontId="14" fillId="0" borderId="5" xfId="0" applyNumberFormat="1" applyFont="1" applyBorder="1" applyAlignment="1">
      <alignment horizontal="center" vertical="center"/>
    </xf>
    <xf numFmtId="0" fontId="8" fillId="5" borderId="1" xfId="0" applyFont="1" applyFill="1" applyBorder="1" applyAlignment="1">
      <alignment horizontal="center" vertical="center"/>
    </xf>
    <xf numFmtId="0" fontId="10" fillId="0" borderId="2" xfId="13" applyFont="1" applyBorder="1" applyAlignment="1">
      <alignment horizontal="center" vertical="center"/>
    </xf>
    <xf numFmtId="164" fontId="8" fillId="5" borderId="6" xfId="8" applyFont="1" applyFill="1" applyBorder="1" applyAlignment="1">
      <alignment horizontal="center" vertical="center"/>
    </xf>
    <xf numFmtId="180" fontId="0" fillId="0" borderId="1" xfId="0" applyNumberFormat="1" applyBorder="1" applyAlignment="1">
      <alignment horizontal="center" vertical="center"/>
    </xf>
    <xf numFmtId="181" fontId="14" fillId="0" borderId="0" xfId="13" applyNumberFormat="1" applyFont="1"/>
    <xf numFmtId="0" fontId="14" fillId="0" borderId="21" xfId="13" applyFont="1" applyBorder="1"/>
    <xf numFmtId="10" fontId="14" fillId="0" borderId="33" xfId="2" applyNumberFormat="1" applyFont="1" applyBorder="1"/>
    <xf numFmtId="0" fontId="14" fillId="0" borderId="25" xfId="13" applyFont="1" applyBorder="1"/>
    <xf numFmtId="164" fontId="14" fillId="0" borderId="32" xfId="1" applyFont="1" applyBorder="1"/>
    <xf numFmtId="2" fontId="0" fillId="0" borderId="0" xfId="0" applyNumberFormat="1" applyAlignment="1">
      <alignment horizontal="center"/>
    </xf>
    <xf numFmtId="177" fontId="0" fillId="0" borderId="0" xfId="0" applyNumberFormat="1"/>
    <xf numFmtId="0" fontId="8" fillId="5" borderId="2" xfId="0" applyFont="1" applyFill="1" applyBorder="1" applyAlignment="1">
      <alignment horizontal="center"/>
    </xf>
    <xf numFmtId="0" fontId="8" fillId="5" borderId="3" xfId="0" applyFont="1" applyFill="1" applyBorder="1" applyAlignment="1">
      <alignment horizontal="center"/>
    </xf>
    <xf numFmtId="0" fontId="10" fillId="0" borderId="0" xfId="0" applyFont="1" applyAlignment="1">
      <alignment horizontal="left"/>
    </xf>
    <xf numFmtId="0" fontId="8" fillId="5" borderId="0" xfId="0" applyFont="1" applyFill="1" applyAlignment="1">
      <alignment horizontal="center" vertical="center"/>
    </xf>
    <xf numFmtId="0" fontId="0" fillId="0" borderId="2" xfId="0" applyBorder="1" applyAlignment="1">
      <alignment horizontal="left"/>
    </xf>
    <xf numFmtId="0" fontId="0" fillId="0" borderId="12" xfId="0" applyBorder="1" applyAlignment="1">
      <alignment horizontal="left"/>
    </xf>
    <xf numFmtId="0" fontId="0" fillId="0" borderId="3" xfId="0" applyBorder="1" applyAlignment="1">
      <alignment horizontal="left"/>
    </xf>
    <xf numFmtId="0" fontId="8" fillId="5" borderId="11" xfId="0" applyFont="1" applyFill="1" applyBorder="1" applyAlignment="1">
      <alignment horizontal="center"/>
    </xf>
    <xf numFmtId="0" fontId="8" fillId="5" borderId="0" xfId="0" applyFont="1" applyFill="1" applyAlignment="1">
      <alignment horizontal="center"/>
    </xf>
    <xf numFmtId="0" fontId="8" fillId="5" borderId="8" xfId="0" applyFont="1" applyFill="1" applyBorder="1" applyAlignment="1">
      <alignment horizontal="center"/>
    </xf>
    <xf numFmtId="0" fontId="14" fillId="0" borderId="1" xfId="0" applyFont="1" applyBorder="1" applyAlignment="1">
      <alignment horizontal="left"/>
    </xf>
    <xf numFmtId="0" fontId="0" fillId="0" borderId="1" xfId="0" applyBorder="1" applyAlignment="1">
      <alignment horizontal="left"/>
    </xf>
    <xf numFmtId="0" fontId="10" fillId="0" borderId="10" xfId="13" applyFont="1" applyBorder="1" applyAlignment="1">
      <alignment horizontal="center"/>
    </xf>
    <xf numFmtId="0" fontId="10" fillId="0" borderId="10" xfId="13" applyFont="1" applyBorder="1" applyAlignment="1">
      <alignment horizontal="right"/>
    </xf>
    <xf numFmtId="0" fontId="14" fillId="0" borderId="2" xfId="13" applyFont="1" applyBorder="1" applyAlignment="1">
      <alignment horizontal="center"/>
    </xf>
    <xf numFmtId="0" fontId="14" fillId="0" borderId="12" xfId="13" applyFont="1" applyBorder="1" applyAlignment="1">
      <alignment horizontal="center"/>
    </xf>
    <xf numFmtId="0" fontId="8" fillId="5" borderId="1" xfId="13" applyFont="1" applyFill="1" applyBorder="1" applyAlignment="1">
      <alignment horizontal="center" wrapText="1"/>
    </xf>
    <xf numFmtId="0" fontId="8" fillId="5" borderId="2" xfId="13" applyFont="1" applyFill="1" applyBorder="1" applyAlignment="1">
      <alignment horizontal="center" vertical="top"/>
    </xf>
    <xf numFmtId="0" fontId="8" fillId="5" borderId="12" xfId="13" applyFont="1" applyFill="1" applyBorder="1" applyAlignment="1">
      <alignment horizontal="center" vertical="top"/>
    </xf>
    <xf numFmtId="0" fontId="8" fillId="5" borderId="3" xfId="13" applyFont="1" applyFill="1" applyBorder="1" applyAlignment="1">
      <alignment horizontal="center" vertical="top"/>
    </xf>
    <xf numFmtId="0" fontId="10" fillId="3" borderId="0" xfId="13" applyFont="1" applyFill="1" applyAlignment="1">
      <alignment horizontal="center"/>
    </xf>
    <xf numFmtId="0" fontId="4" fillId="0" borderId="10" xfId="0" applyFont="1" applyBorder="1" applyAlignment="1">
      <alignment horizontal="left"/>
    </xf>
    <xf numFmtId="0" fontId="10" fillId="10" borderId="1" xfId="5" applyNumberFormat="1" applyFont="1" applyFill="1" applyBorder="1" applyAlignment="1">
      <alignment horizontal="left"/>
    </xf>
    <xf numFmtId="2" fontId="10" fillId="10" borderId="1" xfId="5" applyNumberFormat="1" applyFont="1" applyFill="1" applyBorder="1" applyAlignment="1">
      <alignment horizontal="left"/>
    </xf>
    <xf numFmtId="2" fontId="14" fillId="0" borderId="0" xfId="5" applyNumberFormat="1" applyFont="1" applyBorder="1" applyAlignment="1">
      <alignment horizontal="left" indent="5"/>
    </xf>
    <xf numFmtId="2" fontId="14" fillId="0" borderId="16" xfId="5" applyNumberFormat="1" applyFont="1" applyBorder="1" applyAlignment="1">
      <alignment horizontal="left" indent="5"/>
    </xf>
    <xf numFmtId="2" fontId="10" fillId="14" borderId="0" xfId="3" applyNumberFormat="1" applyFont="1" applyFill="1" applyAlignment="1">
      <alignment horizontal="center" wrapText="1"/>
    </xf>
    <xf numFmtId="2" fontId="14" fillId="0" borderId="14" xfId="4" applyNumberFormat="1" applyFont="1" applyBorder="1" applyAlignment="1">
      <alignment horizontal="right" indent="1"/>
    </xf>
  </cellXfs>
  <cellStyles count="16">
    <cellStyle name="Comma" xfId="1" builtinId="3"/>
    <cellStyle name="Comma 2" xfId="8" xr:uid="{00000000-0005-0000-0000-000001000000}"/>
    <cellStyle name="Comma 80" xfId="15" xr:uid="{00000000-0005-0000-0000-000002000000}"/>
    <cellStyle name="Currency 2" xfId="6" xr:uid="{00000000-0005-0000-0000-000003000000}"/>
    <cellStyle name="Date" xfId="9" xr:uid="{00000000-0005-0000-0000-000004000000}"/>
    <cellStyle name="Heading 1 2" xfId="4" xr:uid="{00000000-0005-0000-0000-000005000000}"/>
    <cellStyle name="Heading 2 2" xfId="5" xr:uid="{00000000-0005-0000-0000-000006000000}"/>
    <cellStyle name="Heading 3 2" xfId="10" xr:uid="{00000000-0005-0000-0000-000007000000}"/>
    <cellStyle name="Hyperlink" xfId="11" builtinId="8"/>
    <cellStyle name="Normal" xfId="0" builtinId="0"/>
    <cellStyle name="Normal 2" xfId="3" xr:uid="{00000000-0005-0000-0000-00000A000000}"/>
    <cellStyle name="Normal 2 2" xfId="14" xr:uid="{00000000-0005-0000-0000-00000B000000}"/>
    <cellStyle name="Normal 3" xfId="13" xr:uid="{00000000-0005-0000-0000-00000C000000}"/>
    <cellStyle name="Percent" xfId="2" builtinId="5"/>
    <cellStyle name="Percent 2" xfId="7" xr:uid="{00000000-0005-0000-0000-00000E000000}"/>
    <cellStyle name="Percent 4" xfId="12"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838800149981253"/>
          <c:y val="2.6600626666528973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'Ratio Analysis'!$B$8</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strRef>
              <c:f>'Ratio Analysis'!$E$4:$M$4</c:f>
              <c:strCache>
                <c:ptCount val="9"/>
                <c:pt idx="0">
                  <c:v>2026-27</c:v>
                </c:pt>
                <c:pt idx="1">
                  <c:v>2027-28</c:v>
                </c:pt>
                <c:pt idx="2">
                  <c:v>2028-29</c:v>
                </c:pt>
                <c:pt idx="3">
                  <c:v>2029-30</c:v>
                </c:pt>
                <c:pt idx="4">
                  <c:v>2030-31</c:v>
                </c:pt>
                <c:pt idx="5">
                  <c:v>2031-32</c:v>
                </c:pt>
                <c:pt idx="6">
                  <c:v>2032-33</c:v>
                </c:pt>
                <c:pt idx="7">
                  <c:v>2033-34</c:v>
                </c:pt>
                <c:pt idx="8">
                  <c:v>2034-35</c:v>
                </c:pt>
              </c:strCache>
            </c:strRef>
          </c:cat>
          <c:val>
            <c:numRef>
              <c:f>'Ratio Analysis'!$E$8:$M$8</c:f>
              <c:numCache>
                <c:formatCode>0.00%</c:formatCode>
                <c:ptCount val="9"/>
                <c:pt idx="0">
                  <c:v>0.25411728578994064</c:v>
                </c:pt>
                <c:pt idx="1">
                  <c:v>0.31033928030956298</c:v>
                </c:pt>
                <c:pt idx="2">
                  <c:v>0.33211060070230614</c:v>
                </c:pt>
                <c:pt idx="3">
                  <c:v>0.34904414446092458</c:v>
                </c:pt>
                <c:pt idx="4">
                  <c:v>0.36231962529901685</c:v>
                </c:pt>
                <c:pt idx="5">
                  <c:v>0.37276749794083064</c:v>
                </c:pt>
                <c:pt idx="6">
                  <c:v>0.38098679203899571</c:v>
                </c:pt>
                <c:pt idx="7">
                  <c:v>0</c:v>
                </c:pt>
                <c:pt idx="8">
                  <c:v>0</c:v>
                </c:pt>
              </c:numCache>
            </c:numRef>
          </c:val>
          <c:extLst>
            <c:ext xmlns:c16="http://schemas.microsoft.com/office/drawing/2014/chart" uri="{C3380CC4-5D6E-409C-BE32-E72D297353CC}">
              <c16:uniqueId val="{00000001-097D-47C6-824B-C0D323519B02}"/>
            </c:ext>
          </c:extLst>
        </c:ser>
        <c:dLbls>
          <c:dLblPos val="outEnd"/>
          <c:showLegendKey val="0"/>
          <c:showVal val="1"/>
          <c:showCatName val="0"/>
          <c:showSerName val="0"/>
          <c:showPercent val="0"/>
          <c:showBubbleSize val="0"/>
        </c:dLbls>
        <c:gapWidth val="219"/>
        <c:overlap val="-27"/>
        <c:axId val="381784368"/>
        <c:axId val="381782016"/>
      </c:barChart>
      <c:catAx>
        <c:axId val="381784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For</a:t>
                </a:r>
                <a:r>
                  <a:rPr lang="en-IN" b="1" i="1" baseline="0"/>
                  <a:t> the Financial Year</a:t>
                </a:r>
              </a:p>
            </c:rich>
          </c:tx>
          <c:layout>
            <c:manualLayout>
              <c:xMode val="edge"/>
              <c:yMode val="edge"/>
              <c:x val="0.44981566434630449"/>
              <c:y val="0.9040618683494079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82016"/>
        <c:crosses val="autoZero"/>
        <c:auto val="1"/>
        <c:lblAlgn val="ctr"/>
        <c:lblOffset val="100"/>
        <c:noMultiLvlLbl val="0"/>
      </c:catAx>
      <c:valAx>
        <c:axId val="381782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a:t>
                </a:r>
                <a:r>
                  <a:rPr lang="en-IN" b="1" i="1" baseline="0"/>
                  <a:t> %</a:t>
                </a:r>
                <a:endParaRPr lang="en-IN" b="1" i="1"/>
              </a:p>
            </c:rich>
          </c:tx>
          <c:layout>
            <c:manualLayout>
              <c:xMode val="edge"/>
              <c:yMode val="edge"/>
              <c:x val="1.3526570048309179E-2"/>
              <c:y val="0.39225141634598198"/>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IN"/>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84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r>
              <a:rPr lang="en-US"/>
              <a:t>EBIT Margin %</a:t>
            </a:r>
          </a:p>
        </c:rich>
      </c:tx>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'Ratio Analysis'!$B$8</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strRef>
              <c:f>'Ratio Analysis'!$E$4:$M$4</c:f>
              <c:strCache>
                <c:ptCount val="9"/>
                <c:pt idx="0">
                  <c:v>2026-27</c:v>
                </c:pt>
                <c:pt idx="1">
                  <c:v>2027-28</c:v>
                </c:pt>
                <c:pt idx="2">
                  <c:v>2028-29</c:v>
                </c:pt>
                <c:pt idx="3">
                  <c:v>2029-30</c:v>
                </c:pt>
                <c:pt idx="4">
                  <c:v>2030-31</c:v>
                </c:pt>
                <c:pt idx="5">
                  <c:v>2031-32</c:v>
                </c:pt>
                <c:pt idx="6">
                  <c:v>2032-33</c:v>
                </c:pt>
                <c:pt idx="7">
                  <c:v>2033-34</c:v>
                </c:pt>
                <c:pt idx="8">
                  <c:v>2034-35</c:v>
                </c:pt>
              </c:strCache>
            </c:strRef>
          </c:cat>
          <c:val>
            <c:numRef>
              <c:f>'Ratio Analysis'!$E$10:$M$10</c:f>
              <c:numCache>
                <c:formatCode>0.00%</c:formatCode>
                <c:ptCount val="9"/>
                <c:pt idx="0">
                  <c:v>6.0948266061726313E-2</c:v>
                </c:pt>
                <c:pt idx="1">
                  <c:v>0.14476583482823638</c:v>
                </c:pt>
                <c:pt idx="2">
                  <c:v>0.18158928662837287</c:v>
                </c:pt>
                <c:pt idx="3">
                  <c:v>0.21106627322648575</c:v>
                </c:pt>
                <c:pt idx="4">
                  <c:v>0.23495543646722714</c:v>
                </c:pt>
                <c:pt idx="5">
                  <c:v>0.2545007511684545</c:v>
                </c:pt>
                <c:pt idx="6">
                  <c:v>0.27060449505144468</c:v>
                </c:pt>
                <c:pt idx="7">
                  <c:v>0</c:v>
                </c:pt>
                <c:pt idx="8">
                  <c:v>0</c:v>
                </c:pt>
              </c:numCache>
            </c:numRef>
          </c:val>
          <c:extLst>
            <c:ext xmlns:c16="http://schemas.microsoft.com/office/drawing/2014/chart" uri="{C3380CC4-5D6E-409C-BE32-E72D297353CC}">
              <c16:uniqueId val="{00000001-4682-48C9-A150-A14C1C2616F8}"/>
            </c:ext>
          </c:extLst>
        </c:ser>
        <c:dLbls>
          <c:dLblPos val="outEnd"/>
          <c:showLegendKey val="0"/>
          <c:showVal val="1"/>
          <c:showCatName val="0"/>
          <c:showSerName val="0"/>
          <c:showPercent val="0"/>
          <c:showBubbleSize val="0"/>
        </c:dLbls>
        <c:gapWidth val="219"/>
        <c:overlap val="-27"/>
        <c:axId val="381782408"/>
        <c:axId val="381784760"/>
      </c:barChart>
      <c:catAx>
        <c:axId val="381782408"/>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layout>
            <c:manualLayout>
              <c:xMode val="edge"/>
              <c:yMode val="edge"/>
              <c:x val="0.45592305961754781"/>
              <c:y val="0.90130766407420004"/>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84760"/>
        <c:crosses val="autoZero"/>
        <c:auto val="1"/>
        <c:lblAlgn val="ctr"/>
        <c:lblOffset val="100"/>
        <c:noMultiLvlLbl val="0"/>
      </c:catAx>
      <c:valAx>
        <c:axId val="381784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 %</a:t>
                </a:r>
              </a:p>
            </c:rich>
          </c:tx>
          <c:layout>
            <c:manualLayout>
              <c:xMode val="edge"/>
              <c:yMode val="edge"/>
              <c:x val="1.5238095238095238E-2"/>
              <c:y val="0.38665973675256726"/>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82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r>
              <a:rPr lang="en-US"/>
              <a:t>Net Profit Margin %</a:t>
            </a:r>
          </a:p>
        </c:rich>
      </c:tx>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'Ratio Analysis'!$B$12</c:f>
              <c:strCache>
                <c:ptCount val="1"/>
                <c:pt idx="0">
                  <c:v>Net Profit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strRef>
              <c:f>'Ratio Analysis'!$E$4:$M$4</c:f>
              <c:strCache>
                <c:ptCount val="9"/>
                <c:pt idx="0">
                  <c:v>2026-27</c:v>
                </c:pt>
                <c:pt idx="1">
                  <c:v>2027-28</c:v>
                </c:pt>
                <c:pt idx="2">
                  <c:v>2028-29</c:v>
                </c:pt>
                <c:pt idx="3">
                  <c:v>2029-30</c:v>
                </c:pt>
                <c:pt idx="4">
                  <c:v>2030-31</c:v>
                </c:pt>
                <c:pt idx="5">
                  <c:v>2031-32</c:v>
                </c:pt>
                <c:pt idx="6">
                  <c:v>2032-33</c:v>
                </c:pt>
                <c:pt idx="7">
                  <c:v>2033-34</c:v>
                </c:pt>
                <c:pt idx="8">
                  <c:v>2034-35</c:v>
                </c:pt>
              </c:strCache>
            </c:strRef>
          </c:cat>
          <c:val>
            <c:numRef>
              <c:f>'Ratio Analysis'!$E$12:$M$12</c:f>
              <c:numCache>
                <c:formatCode>0.00%</c:formatCode>
                <c:ptCount val="9"/>
                <c:pt idx="0">
                  <c:v>-8.0575939970891242E-2</c:v>
                </c:pt>
                <c:pt idx="1">
                  <c:v>3.0614985007453879E-2</c:v>
                </c:pt>
                <c:pt idx="2">
                  <c:v>6.574303819150995E-2</c:v>
                </c:pt>
                <c:pt idx="3">
                  <c:v>9.2644923842495008E-2</c:v>
                </c:pt>
                <c:pt idx="4">
                  <c:v>0.12261608744903615</c:v>
                </c:pt>
                <c:pt idx="5">
                  <c:v>0.1500333238852051</c:v>
                </c:pt>
                <c:pt idx="6">
                  <c:v>0.17446143527981861</c:v>
                </c:pt>
                <c:pt idx="7">
                  <c:v>0</c:v>
                </c:pt>
                <c:pt idx="8">
                  <c:v>0</c:v>
                </c:pt>
              </c:numCache>
            </c:numRef>
          </c:val>
          <c:extLst>
            <c:ext xmlns:c16="http://schemas.microsoft.com/office/drawing/2014/chart" uri="{C3380CC4-5D6E-409C-BE32-E72D297353CC}">
              <c16:uniqueId val="{00000001-1C26-4256-B8DB-FBF2C61CE7F7}"/>
            </c:ext>
          </c:extLst>
        </c:ser>
        <c:dLbls>
          <c:dLblPos val="outEnd"/>
          <c:showLegendKey val="0"/>
          <c:showVal val="1"/>
          <c:showCatName val="0"/>
          <c:showSerName val="0"/>
          <c:showPercent val="0"/>
          <c:showBubbleSize val="0"/>
        </c:dLbls>
        <c:gapWidth val="219"/>
        <c:overlap val="-27"/>
        <c:axId val="381781624"/>
        <c:axId val="381780056"/>
      </c:barChart>
      <c:catAx>
        <c:axId val="381781624"/>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80056"/>
        <c:crosses val="autoZero"/>
        <c:auto val="1"/>
        <c:lblAlgn val="ctr"/>
        <c:lblOffset val="100"/>
        <c:noMultiLvlLbl val="0"/>
      </c:catAx>
      <c:valAx>
        <c:axId val="381780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a:t>
                </a:r>
              </a:p>
            </c:rich>
          </c:tx>
          <c:layout>
            <c:manualLayout>
              <c:xMode val="edge"/>
              <c:yMode val="edge"/>
              <c:x val="1.532567049808429E-2"/>
              <c:y val="0.37934419655876345"/>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81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179343794364301"/>
          <c:y val="4.1025633662986082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'Ratio Analysis'!$B$14</c:f>
              <c:strCache>
                <c:ptCount val="1"/>
                <c:pt idx="0">
                  <c:v>Revenue Growth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strRef>
              <c:f>'Ratio Analysis'!$E$4:$M$4</c:f>
              <c:strCache>
                <c:ptCount val="9"/>
                <c:pt idx="0">
                  <c:v>2026-27</c:v>
                </c:pt>
                <c:pt idx="1">
                  <c:v>2027-28</c:v>
                </c:pt>
                <c:pt idx="2">
                  <c:v>2028-29</c:v>
                </c:pt>
                <c:pt idx="3">
                  <c:v>2029-30</c:v>
                </c:pt>
                <c:pt idx="4">
                  <c:v>2030-31</c:v>
                </c:pt>
                <c:pt idx="5">
                  <c:v>2031-32</c:v>
                </c:pt>
                <c:pt idx="6">
                  <c:v>2032-33</c:v>
                </c:pt>
                <c:pt idx="7">
                  <c:v>2033-34</c:v>
                </c:pt>
                <c:pt idx="8">
                  <c:v>2034-35</c:v>
                </c:pt>
              </c:strCache>
            </c:strRef>
          </c:cat>
          <c:val>
            <c:numRef>
              <c:f>'Ratio Analysis'!$E$14:$M$14</c:f>
              <c:numCache>
                <c:formatCode>0.00%</c:formatCode>
                <c:ptCount val="9"/>
                <c:pt idx="0">
                  <c:v>0</c:v>
                </c:pt>
                <c:pt idx="1">
                  <c:v>0.55555555555555558</c:v>
                </c:pt>
                <c:pt idx="2">
                  <c:v>0.10000000000000009</c:v>
                </c:pt>
                <c:pt idx="3">
                  <c:v>9.0909090909090828E-2</c:v>
                </c:pt>
                <c:pt idx="4">
                  <c:v>8.3333333333333259E-2</c:v>
                </c:pt>
                <c:pt idx="5">
                  <c:v>7.6923076923076872E-2</c:v>
                </c:pt>
                <c:pt idx="6">
                  <c:v>7.1428571428571619E-2</c:v>
                </c:pt>
                <c:pt idx="7">
                  <c:v>0</c:v>
                </c:pt>
                <c:pt idx="8">
                  <c:v>0</c:v>
                </c:pt>
              </c:numCache>
            </c:numRef>
          </c:val>
          <c:extLst>
            <c:ext xmlns:c16="http://schemas.microsoft.com/office/drawing/2014/chart" uri="{C3380CC4-5D6E-409C-BE32-E72D297353CC}">
              <c16:uniqueId val="{00000001-6FF4-46D0-8622-8AE1DC04D75F}"/>
            </c:ext>
          </c:extLst>
        </c:ser>
        <c:dLbls>
          <c:dLblPos val="outEnd"/>
          <c:showLegendKey val="0"/>
          <c:showVal val="1"/>
          <c:showCatName val="0"/>
          <c:showSerName val="0"/>
          <c:showPercent val="0"/>
          <c:showBubbleSize val="0"/>
        </c:dLbls>
        <c:gapWidth val="219"/>
        <c:overlap val="-27"/>
        <c:axId val="381783584"/>
        <c:axId val="381785544"/>
      </c:barChart>
      <c:catAx>
        <c:axId val="381783584"/>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85544"/>
        <c:crosses val="autoZero"/>
        <c:auto val="1"/>
        <c:lblAlgn val="ctr"/>
        <c:lblOffset val="100"/>
        <c:noMultiLvlLbl val="0"/>
      </c:catAx>
      <c:valAx>
        <c:axId val="381785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Growth Rate % Y-o-Y</a:t>
                </a:r>
              </a:p>
            </c:rich>
          </c:tx>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83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179343794364301"/>
          <c:y val="4.1025633662986082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'Ratio Analysis'!$B$99</c:f>
              <c:strCache>
                <c:ptCount val="1"/>
                <c:pt idx="0">
                  <c:v>D.S.C.R.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strRef>
              <c:f>'Ratio Analysis'!$E$90:$L$90</c:f>
              <c:strCache>
                <c:ptCount val="7"/>
                <c:pt idx="0">
                  <c:v>2026-27</c:v>
                </c:pt>
                <c:pt idx="1">
                  <c:v>2027-28</c:v>
                </c:pt>
                <c:pt idx="2">
                  <c:v>2028-29</c:v>
                </c:pt>
                <c:pt idx="3">
                  <c:v>2029-30</c:v>
                </c:pt>
                <c:pt idx="4">
                  <c:v>2030-31</c:v>
                </c:pt>
                <c:pt idx="5">
                  <c:v>2031-32</c:v>
                </c:pt>
                <c:pt idx="6">
                  <c:v>2032-33</c:v>
                </c:pt>
              </c:strCache>
            </c:strRef>
          </c:cat>
          <c:val>
            <c:numRef>
              <c:f>'Ratio Analysis'!$E$99:$L$99</c:f>
              <c:numCache>
                <c:formatCode>_(* #,##0.00_);_(* \(#,##0.00\);_(* "-"??_);_(@_)</c:formatCode>
                <c:ptCount val="8"/>
                <c:pt idx="0">
                  <c:v>1.4383352783444241</c:v>
                </c:pt>
                <c:pt idx="1">
                  <c:v>1.2681952082287584</c:v>
                </c:pt>
                <c:pt idx="2">
                  <c:v>1.2961925143140856</c:v>
                </c:pt>
                <c:pt idx="3">
                  <c:v>1.2679196867163829</c:v>
                </c:pt>
                <c:pt idx="4">
                  <c:v>1.2372436490952159</c:v>
                </c:pt>
                <c:pt idx="5">
                  <c:v>1.2220699997869198</c:v>
                </c:pt>
                <c:pt idx="6">
                  <c:v>2.879497242632687</c:v>
                </c:pt>
              </c:numCache>
            </c:numRef>
          </c:val>
          <c:extLst>
            <c:ext xmlns:c16="http://schemas.microsoft.com/office/drawing/2014/chart" uri="{C3380CC4-5D6E-409C-BE32-E72D297353CC}">
              <c16:uniqueId val="{00000001-8351-4690-BB5E-4EA47C8280E4}"/>
            </c:ext>
          </c:extLst>
        </c:ser>
        <c:dLbls>
          <c:dLblPos val="outEnd"/>
          <c:showLegendKey val="0"/>
          <c:showVal val="1"/>
          <c:showCatName val="0"/>
          <c:showSerName val="0"/>
          <c:showPercent val="0"/>
          <c:showBubbleSize val="0"/>
        </c:dLbls>
        <c:gapWidth val="219"/>
        <c:overlap val="-27"/>
        <c:axId val="381779272"/>
        <c:axId val="381786720"/>
      </c:barChart>
      <c:catAx>
        <c:axId val="381779272"/>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86720"/>
        <c:crosses val="autoZero"/>
        <c:auto val="1"/>
        <c:lblAlgn val="ctr"/>
        <c:lblOffset val="100"/>
        <c:noMultiLvlLbl val="0"/>
      </c:catAx>
      <c:valAx>
        <c:axId val="381786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Value</a:t>
                </a:r>
              </a:p>
            </c:rich>
          </c:tx>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81779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19050</xdr:colOff>
      <xdr:row>20</xdr:row>
      <xdr:rowOff>52386</xdr:rowOff>
    </xdr:from>
    <xdr:to>
      <xdr:col>10</xdr:col>
      <xdr:colOff>466725</xdr:colOff>
      <xdr:row>37</xdr:row>
      <xdr:rowOff>57149</xdr:rowOff>
    </xdr:to>
    <xdr:graphicFrame macro="">
      <xdr:nvGraphicFramePr>
        <xdr:cNvPr id="2" name="Chart 1">
          <a:extLst>
            <a:ext uri="{FF2B5EF4-FFF2-40B4-BE49-F238E27FC236}">
              <a16:creationId xmlns:a16="http://schemas.microsoft.com/office/drawing/2014/main" id="{F874378C-8393-400A-B753-57770E1B4A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38</xdr:row>
      <xdr:rowOff>14286</xdr:rowOff>
    </xdr:from>
    <xdr:to>
      <xdr:col>10</xdr:col>
      <xdr:colOff>466725</xdr:colOff>
      <xdr:row>54</xdr:row>
      <xdr:rowOff>19049</xdr:rowOff>
    </xdr:to>
    <xdr:graphicFrame macro="">
      <xdr:nvGraphicFramePr>
        <xdr:cNvPr id="3" name="Chart 2">
          <a:extLst>
            <a:ext uri="{FF2B5EF4-FFF2-40B4-BE49-F238E27FC236}">
              <a16:creationId xmlns:a16="http://schemas.microsoft.com/office/drawing/2014/main" id="{19D75FC1-8ADD-4D13-9BE6-A3662FD9B6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55</xdr:row>
      <xdr:rowOff>66675</xdr:rowOff>
    </xdr:from>
    <xdr:to>
      <xdr:col>10</xdr:col>
      <xdr:colOff>476250</xdr:colOff>
      <xdr:row>70</xdr:row>
      <xdr:rowOff>47625</xdr:rowOff>
    </xdr:to>
    <xdr:graphicFrame macro="">
      <xdr:nvGraphicFramePr>
        <xdr:cNvPr id="4" name="Chart 3">
          <a:extLst>
            <a:ext uri="{FF2B5EF4-FFF2-40B4-BE49-F238E27FC236}">
              <a16:creationId xmlns:a16="http://schemas.microsoft.com/office/drawing/2014/main" id="{DDABCA22-EC43-427C-A1F0-B7ED96A63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47624</xdr:colOff>
      <xdr:row>70</xdr:row>
      <xdr:rowOff>157161</xdr:rowOff>
    </xdr:from>
    <xdr:to>
      <xdr:col>10</xdr:col>
      <xdr:colOff>504825</xdr:colOff>
      <xdr:row>85</xdr:row>
      <xdr:rowOff>114300</xdr:rowOff>
    </xdr:to>
    <xdr:graphicFrame macro="">
      <xdr:nvGraphicFramePr>
        <xdr:cNvPr id="5" name="Chart 4">
          <a:extLst>
            <a:ext uri="{FF2B5EF4-FFF2-40B4-BE49-F238E27FC236}">
              <a16:creationId xmlns:a16="http://schemas.microsoft.com/office/drawing/2014/main" id="{C54014BB-5273-40B5-812A-8B1FE307E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104</xdr:row>
      <xdr:rowOff>1</xdr:rowOff>
    </xdr:from>
    <xdr:to>
      <xdr:col>11</xdr:col>
      <xdr:colOff>152400</xdr:colOff>
      <xdr:row>118</xdr:row>
      <xdr:rowOff>57151</xdr:rowOff>
    </xdr:to>
    <xdr:graphicFrame macro="">
      <xdr:nvGraphicFramePr>
        <xdr:cNvPr id="6" name="Chart 5">
          <a:extLst>
            <a:ext uri="{FF2B5EF4-FFF2-40B4-BE49-F238E27FC236}">
              <a16:creationId xmlns:a16="http://schemas.microsoft.com/office/drawing/2014/main" id="{77FE6540-EDC4-4C38-B7BF-7E1771485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20Progress%20Files\Mohd.%20Umair\TEV%20reports\Ashiyana%20Hospital%20LLP\RK%20Working\Financail%20Model\Chhavi%20desktop\TEV\Aramco%20Papers%20Pvt%20Ltd\RK%20working\Final%20report\R%20K%20%20MODEL%20ARAMCO%20PAPER%20%2005-12-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2.168.44\MCC%20Udaipur\Aai%20Shree%20Khodiyar\Project%20Report\AAISHRIKHODIYA%20DPR%200307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S"/>
      <sheetName val="PROJECT RK"/>
      <sheetName val="Building"/>
      <sheetName val="Sheet3"/>
      <sheetName val="CMA"/>
      <sheetName val="Ratio Analysis"/>
      <sheetName val="NPV&amp;IRR"/>
      <sheetName val="SISTER-CONCERNS"/>
    </sheetNames>
    <sheetDataSet>
      <sheetData sheetId="0" refreshError="1"/>
      <sheetData sheetId="1" refreshError="1">
        <row r="700">
          <cell r="B700" t="str">
            <v>Total "A"</v>
          </cell>
        </row>
        <row r="706">
          <cell r="B706" t="str">
            <v>Total "B"</v>
          </cell>
        </row>
        <row r="708">
          <cell r="B708" t="str">
            <v xml:space="preserve">D.S.C.R. </v>
          </cell>
        </row>
        <row r="710">
          <cell r="B710" t="str">
            <v>Average D.S.C.R.</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fur (2)"/>
      <sheetName val="FRONT PAGE"/>
      <sheetName val="SUMMARY 1"/>
      <sheetName val="DPR(stand alone)"/>
      <sheetName val="Land Details"/>
      <sheetName val="Building Capex "/>
      <sheetName val="PLANT MACHINERY DETAILS"/>
      <sheetName val=" BANK CMA DATA"/>
      <sheetName val="PLANT MACHINERY DETAILS (2)"/>
      <sheetName val="SENSITIVITY ANALYSIS"/>
      <sheetName val="Revenue"/>
      <sheetName val="Material Cost"/>
      <sheetName val="Power 3"/>
      <sheetName val="Salary 4"/>
      <sheetName val=" DEPRECIATION 6"/>
      <sheetName val="Loan Repayment Chart 7"/>
      <sheetName val="general and administrative 8"/>
      <sheetName val="Sheet1"/>
      <sheetName val=" cma working"/>
      <sheetName val="BANK section-II-appraisalnote"/>
    </sheetNames>
    <definedNames>
      <definedName name="kundan" refersTo="='DPR(stand alone)'!$B$2" sheetId="3"/>
    </definedNames>
    <sheetDataSet>
      <sheetData sheetId="0"/>
      <sheetData sheetId="1"/>
      <sheetData sheetId="2"/>
      <sheetData sheetId="3">
        <row r="2">
          <cell r="B2" t="str">
            <v>AAI SHRI KHODIYAR INDUSTRIES LLP</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hyperlink" Target="mailto:ICU@1500"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
  <sheetViews>
    <sheetView topLeftCell="A41" workbookViewId="0">
      <selection activeCell="D33" sqref="D33"/>
    </sheetView>
  </sheetViews>
  <sheetFormatPr defaultRowHeight="15" x14ac:dyDescent="0.25"/>
  <cols>
    <col min="1" max="1" width="41.28515625" customWidth="1"/>
    <col min="2" max="2" width="15.140625" customWidth="1"/>
    <col min="3" max="3" width="14.140625" customWidth="1"/>
    <col min="4" max="4" width="17" customWidth="1"/>
    <col min="5" max="5" width="11.7109375" customWidth="1"/>
    <col min="6" max="6" width="13" customWidth="1"/>
    <col min="7" max="7" width="14.85546875" bestFit="1" customWidth="1"/>
    <col min="8" max="8" width="14.7109375" customWidth="1"/>
  </cols>
  <sheetData>
    <row r="1" spans="1:4" x14ac:dyDescent="0.25">
      <c r="A1" s="115" t="s">
        <v>156</v>
      </c>
      <c r="B1" s="2"/>
      <c r="C1" s="2"/>
    </row>
    <row r="3" spans="1:4" x14ac:dyDescent="0.25">
      <c r="A3" s="2" t="s">
        <v>75</v>
      </c>
      <c r="B3" s="2"/>
      <c r="C3" s="2"/>
    </row>
    <row r="5" spans="1:4" x14ac:dyDescent="0.25">
      <c r="A5" s="23" t="s">
        <v>155</v>
      </c>
      <c r="B5" s="23" t="s">
        <v>71</v>
      </c>
      <c r="C5" s="23" t="s">
        <v>72</v>
      </c>
      <c r="D5" s="23" t="s">
        <v>73</v>
      </c>
    </row>
    <row r="6" spans="1:4" x14ac:dyDescent="0.25">
      <c r="A6" s="9" t="s">
        <v>67</v>
      </c>
      <c r="B6" s="9">
        <v>1</v>
      </c>
      <c r="C6" s="9">
        <v>7000</v>
      </c>
      <c r="D6" s="8">
        <f>C6*B6</f>
        <v>7000</v>
      </c>
    </row>
    <row r="7" spans="1:4" x14ac:dyDescent="0.25">
      <c r="A7" s="9" t="s">
        <v>130</v>
      </c>
      <c r="B7" s="9">
        <v>30</v>
      </c>
      <c r="C7" s="9">
        <v>4000</v>
      </c>
      <c r="D7" s="8">
        <f t="shared" ref="D7:D12" si="0">C7*B7</f>
        <v>120000</v>
      </c>
    </row>
    <row r="8" spans="1:4" x14ac:dyDescent="0.25">
      <c r="A8" s="9" t="s">
        <v>131</v>
      </c>
      <c r="B8" s="9">
        <v>4</v>
      </c>
      <c r="C8" s="9">
        <v>2500</v>
      </c>
      <c r="D8" s="8">
        <f t="shared" si="0"/>
        <v>10000</v>
      </c>
    </row>
    <row r="9" spans="1:4" x14ac:dyDescent="0.25">
      <c r="A9" s="9" t="s">
        <v>132</v>
      </c>
      <c r="B9" s="9">
        <v>5</v>
      </c>
      <c r="C9" s="9">
        <v>2000</v>
      </c>
      <c r="D9" s="8">
        <f t="shared" si="0"/>
        <v>10000</v>
      </c>
    </row>
    <row r="10" spans="1:4" x14ac:dyDescent="0.25">
      <c r="A10" s="9" t="s">
        <v>133</v>
      </c>
      <c r="B10" s="9">
        <v>55</v>
      </c>
      <c r="C10" s="9">
        <v>1500</v>
      </c>
      <c r="D10" s="8">
        <f t="shared" si="0"/>
        <v>82500</v>
      </c>
    </row>
    <row r="11" spans="1:4" x14ac:dyDescent="0.25">
      <c r="A11" s="9" t="s">
        <v>68</v>
      </c>
      <c r="B11" s="9">
        <v>22</v>
      </c>
      <c r="C11" s="9">
        <v>8000</v>
      </c>
      <c r="D11" s="8">
        <f t="shared" si="0"/>
        <v>176000</v>
      </c>
    </row>
    <row r="12" spans="1:4" x14ac:dyDescent="0.25">
      <c r="A12" s="9" t="s">
        <v>134</v>
      </c>
      <c r="B12" s="9">
        <v>3</v>
      </c>
      <c r="C12" s="9">
        <v>5000</v>
      </c>
      <c r="D12" s="8">
        <f t="shared" si="0"/>
        <v>15000</v>
      </c>
    </row>
    <row r="13" spans="1:4" x14ac:dyDescent="0.25">
      <c r="A13" s="24" t="s">
        <v>69</v>
      </c>
      <c r="B13" s="24"/>
      <c r="C13" s="24"/>
      <c r="D13" s="24">
        <f>SUM(D6:D12)</f>
        <v>420500</v>
      </c>
    </row>
    <row r="14" spans="1:4" x14ac:dyDescent="0.25">
      <c r="A14" s="24" t="s">
        <v>70</v>
      </c>
      <c r="B14" s="24">
        <f>SUM(B6:B12)</f>
        <v>120</v>
      </c>
      <c r="C14" s="24"/>
      <c r="D14" s="24">
        <f>D13*30</f>
        <v>12615000</v>
      </c>
    </row>
    <row r="17" spans="1:10" x14ac:dyDescent="0.25">
      <c r="A17" s="7" t="s">
        <v>76</v>
      </c>
    </row>
    <row r="19" spans="1:10" x14ac:dyDescent="0.25">
      <c r="A19" s="30" t="s">
        <v>77</v>
      </c>
      <c r="B19" s="27"/>
      <c r="C19" s="27"/>
      <c r="D19" s="27"/>
      <c r="E19" s="27"/>
      <c r="F19" s="27"/>
      <c r="G19" s="27"/>
      <c r="H19" s="28"/>
    </row>
    <row r="20" spans="1:10" x14ac:dyDescent="0.25">
      <c r="A20" t="s">
        <v>78</v>
      </c>
      <c r="B20">
        <v>100</v>
      </c>
      <c r="C20" t="s">
        <v>82</v>
      </c>
      <c r="D20" t="s">
        <v>160</v>
      </c>
      <c r="F20">
        <v>250</v>
      </c>
      <c r="H20" s="29"/>
    </row>
    <row r="21" spans="1:10" x14ac:dyDescent="0.25">
      <c r="A21" t="s">
        <v>79</v>
      </c>
      <c r="B21">
        <v>330</v>
      </c>
      <c r="C21" t="s">
        <v>82</v>
      </c>
      <c r="D21" t="s">
        <v>84</v>
      </c>
      <c r="F21">
        <v>330</v>
      </c>
      <c r="H21" s="29"/>
    </row>
    <row r="22" spans="1:10" x14ac:dyDescent="0.25">
      <c r="A22" t="s">
        <v>80</v>
      </c>
      <c r="B22">
        <v>3</v>
      </c>
      <c r="C22" t="s">
        <v>81</v>
      </c>
      <c r="D22" t="s">
        <v>85</v>
      </c>
      <c r="F22">
        <v>330</v>
      </c>
      <c r="H22" s="29"/>
    </row>
    <row r="23" spans="1:10" x14ac:dyDescent="0.25">
      <c r="A23" t="s">
        <v>83</v>
      </c>
      <c r="B23">
        <v>100</v>
      </c>
      <c r="D23" t="s">
        <v>163</v>
      </c>
      <c r="F23" s="79">
        <v>0.45</v>
      </c>
      <c r="H23" s="29"/>
    </row>
    <row r="24" spans="1:10" x14ac:dyDescent="0.25">
      <c r="A24" t="s">
        <v>164</v>
      </c>
      <c r="B24">
        <f>+B20*B21*F23</f>
        <v>14850</v>
      </c>
      <c r="D24" t="s">
        <v>165</v>
      </c>
      <c r="F24">
        <f>+F20*F21</f>
        <v>82500</v>
      </c>
      <c r="H24" s="29"/>
    </row>
    <row r="25" spans="1:10" x14ac:dyDescent="0.25">
      <c r="A25" t="s">
        <v>86</v>
      </c>
      <c r="H25" s="29"/>
    </row>
    <row r="26" spans="1:10" x14ac:dyDescent="0.25">
      <c r="A26" s="31" t="s">
        <v>87</v>
      </c>
      <c r="B26" s="413" t="s">
        <v>88</v>
      </c>
      <c r="C26" s="414"/>
      <c r="D26" s="413" t="s">
        <v>91</v>
      </c>
      <c r="E26" s="414"/>
      <c r="F26" s="413" t="s">
        <v>92</v>
      </c>
      <c r="G26" s="414"/>
      <c r="H26" s="32" t="s">
        <v>9</v>
      </c>
    </row>
    <row r="27" spans="1:10" x14ac:dyDescent="0.25">
      <c r="A27" s="33"/>
      <c r="B27" s="17" t="s">
        <v>89</v>
      </c>
      <c r="C27" s="34" t="s">
        <v>90</v>
      </c>
      <c r="D27" s="17" t="s">
        <v>89</v>
      </c>
      <c r="E27" s="34" t="s">
        <v>90</v>
      </c>
      <c r="F27" s="17" t="s">
        <v>89</v>
      </c>
      <c r="G27" s="34" t="s">
        <v>90</v>
      </c>
      <c r="H27" s="33"/>
    </row>
    <row r="28" spans="1:10" x14ac:dyDescent="0.25">
      <c r="A28" s="3" t="s">
        <v>161</v>
      </c>
      <c r="B28" s="35"/>
      <c r="C28" s="35">
        <f>+F20*F22</f>
        <v>82500</v>
      </c>
      <c r="D28" s="35"/>
      <c r="E28" s="35">
        <v>500</v>
      </c>
      <c r="F28" s="35"/>
      <c r="G28" s="44">
        <f>+E28*C28</f>
        <v>41250000</v>
      </c>
      <c r="H28" s="44">
        <f>F28+G28</f>
        <v>41250000</v>
      </c>
    </row>
    <row r="29" spans="1:10" x14ac:dyDescent="0.25">
      <c r="A29" s="3" t="s">
        <v>162</v>
      </c>
      <c r="B29" s="35">
        <f>+B24</f>
        <v>14850</v>
      </c>
      <c r="C29" s="35"/>
      <c r="D29" s="35">
        <v>700</v>
      </c>
      <c r="E29" s="35"/>
      <c r="F29" s="35"/>
      <c r="G29" s="44">
        <f>+D29*B29</f>
        <v>10395000</v>
      </c>
      <c r="H29" s="44">
        <f>+G29</f>
        <v>10395000</v>
      </c>
      <c r="J29">
        <f>52*5</f>
        <v>260</v>
      </c>
    </row>
    <row r="30" spans="1:10" x14ac:dyDescent="0.25">
      <c r="A30" s="3" t="s">
        <v>93</v>
      </c>
      <c r="B30" s="35"/>
      <c r="C30" s="35"/>
      <c r="D30" s="35"/>
      <c r="E30" s="35"/>
      <c r="F30" s="35"/>
      <c r="G30" s="35"/>
      <c r="H30" s="35"/>
    </row>
    <row r="31" spans="1:10" x14ac:dyDescent="0.25">
      <c r="A31" s="3" t="s">
        <v>94</v>
      </c>
      <c r="B31" s="35"/>
      <c r="C31" s="35"/>
      <c r="D31" s="35"/>
      <c r="E31" s="35"/>
      <c r="F31" s="35"/>
      <c r="G31" s="35"/>
      <c r="H31" s="35"/>
    </row>
    <row r="32" spans="1:10" x14ac:dyDescent="0.25">
      <c r="A32" s="3" t="s">
        <v>95</v>
      </c>
      <c r="B32" s="35"/>
      <c r="C32" s="35"/>
      <c r="D32" s="35"/>
      <c r="E32" s="35"/>
      <c r="F32" s="35"/>
      <c r="G32" s="35"/>
      <c r="H32" s="35"/>
    </row>
    <row r="33" spans="1:8" x14ac:dyDescent="0.25">
      <c r="A33" s="3" t="s">
        <v>96</v>
      </c>
      <c r="B33" s="35"/>
      <c r="C33" s="35"/>
      <c r="D33" s="35"/>
      <c r="E33" s="35"/>
      <c r="F33" s="35"/>
      <c r="G33" s="35"/>
      <c r="H33" s="35"/>
    </row>
    <row r="34" spans="1:8" x14ac:dyDescent="0.25">
      <c r="A34" s="3" t="s">
        <v>97</v>
      </c>
      <c r="B34" s="35"/>
      <c r="C34" s="35"/>
      <c r="D34" s="36"/>
      <c r="E34" s="35"/>
      <c r="F34" s="35">
        <f>+D34*B34</f>
        <v>0</v>
      </c>
      <c r="G34" s="35"/>
      <c r="H34" s="44">
        <f>+F34</f>
        <v>0</v>
      </c>
    </row>
    <row r="35" spans="1:8" x14ac:dyDescent="0.25">
      <c r="A35" s="3" t="s">
        <v>98</v>
      </c>
      <c r="B35" s="35"/>
      <c r="C35" s="35"/>
      <c r="D35" s="35"/>
      <c r="E35" s="35"/>
      <c r="F35" s="35"/>
      <c r="G35" s="35"/>
      <c r="H35" s="35"/>
    </row>
    <row r="36" spans="1:8" x14ac:dyDescent="0.25">
      <c r="A36" s="3" t="s">
        <v>100</v>
      </c>
      <c r="B36" s="35"/>
      <c r="C36" s="35"/>
      <c r="D36" s="35"/>
      <c r="E36" s="35"/>
      <c r="F36" s="35"/>
      <c r="G36" s="35"/>
      <c r="H36" s="35"/>
    </row>
    <row r="37" spans="1:8" x14ac:dyDescent="0.25">
      <c r="A37" s="3" t="s">
        <v>99</v>
      </c>
      <c r="B37" s="35"/>
      <c r="C37" s="35"/>
      <c r="D37" s="35"/>
      <c r="E37" s="35"/>
      <c r="F37" s="35"/>
      <c r="G37" s="35"/>
      <c r="H37" s="35"/>
    </row>
    <row r="38" spans="1:8" x14ac:dyDescent="0.25">
      <c r="A38" s="3" t="s">
        <v>101</v>
      </c>
      <c r="B38" s="35"/>
      <c r="C38" s="35"/>
      <c r="D38" s="35"/>
      <c r="E38" s="35"/>
      <c r="F38" s="35"/>
      <c r="G38" s="35"/>
      <c r="H38" s="35"/>
    </row>
    <row r="39" spans="1:8" x14ac:dyDescent="0.25">
      <c r="A39" s="3" t="s">
        <v>102</v>
      </c>
      <c r="B39" s="35">
        <f>F22*2</f>
        <v>660</v>
      </c>
      <c r="C39" s="35"/>
      <c r="D39" s="36"/>
      <c r="E39" s="35"/>
      <c r="F39" s="35"/>
      <c r="G39" s="35"/>
      <c r="H39" s="35"/>
    </row>
    <row r="40" spans="1:8" x14ac:dyDescent="0.25">
      <c r="A40" s="3" t="s">
        <v>98</v>
      </c>
      <c r="B40" s="35"/>
      <c r="C40" s="35"/>
      <c r="D40" s="35"/>
      <c r="E40" s="35"/>
      <c r="F40" s="35"/>
      <c r="G40" s="35"/>
      <c r="H40" s="35"/>
    </row>
    <row r="41" spans="1:8" x14ac:dyDescent="0.25">
      <c r="A41" s="3" t="s">
        <v>100</v>
      </c>
      <c r="B41" s="35"/>
      <c r="C41" s="35"/>
      <c r="D41" s="35"/>
      <c r="E41" s="35"/>
      <c r="F41" s="35"/>
      <c r="G41" s="35"/>
      <c r="H41" s="35"/>
    </row>
    <row r="42" spans="1:8" x14ac:dyDescent="0.25">
      <c r="A42" s="3" t="s">
        <v>99</v>
      </c>
      <c r="B42" s="35"/>
      <c r="C42" s="35"/>
      <c r="D42" s="35"/>
      <c r="E42" s="35"/>
      <c r="F42" s="35"/>
      <c r="G42" s="35"/>
      <c r="H42" s="35"/>
    </row>
    <row r="43" spans="1:8" x14ac:dyDescent="0.25">
      <c r="A43" s="3" t="s">
        <v>101</v>
      </c>
      <c r="B43" s="35"/>
      <c r="C43" s="35"/>
      <c r="D43" s="35"/>
      <c r="E43" s="35"/>
      <c r="F43" s="35"/>
      <c r="G43" s="35"/>
      <c r="H43" s="35"/>
    </row>
    <row r="44" spans="1:8" x14ac:dyDescent="0.25">
      <c r="A44" s="3" t="s">
        <v>103</v>
      </c>
      <c r="B44" s="35">
        <f>F22*0.5</f>
        <v>165</v>
      </c>
      <c r="C44" s="35"/>
      <c r="D44" s="36">
        <v>35000</v>
      </c>
      <c r="E44" s="35"/>
      <c r="F44" s="35">
        <f>+D44*B44</f>
        <v>5775000</v>
      </c>
      <c r="G44" s="35"/>
      <c r="H44" s="44">
        <f>+F44</f>
        <v>5775000</v>
      </c>
    </row>
    <row r="45" spans="1:8" x14ac:dyDescent="0.25">
      <c r="A45" s="3" t="s">
        <v>98</v>
      </c>
      <c r="B45" s="35"/>
      <c r="C45" s="35"/>
      <c r="D45" s="35"/>
      <c r="E45" s="35"/>
      <c r="F45" s="35"/>
      <c r="G45" s="35"/>
      <c r="H45" s="44"/>
    </row>
    <row r="46" spans="1:8" x14ac:dyDescent="0.25">
      <c r="A46" s="3" t="s">
        <v>100</v>
      </c>
      <c r="B46" s="35"/>
      <c r="C46" s="35"/>
      <c r="D46" s="35"/>
      <c r="E46" s="35"/>
      <c r="F46" s="35"/>
      <c r="G46" s="35"/>
      <c r="H46" s="44"/>
    </row>
    <row r="47" spans="1:8" x14ac:dyDescent="0.25">
      <c r="A47" s="3" t="s">
        <v>99</v>
      </c>
      <c r="B47" s="35"/>
      <c r="C47" s="35"/>
      <c r="D47" s="35"/>
      <c r="E47" s="35"/>
      <c r="F47" s="35"/>
      <c r="G47" s="35"/>
      <c r="H47" s="44"/>
    </row>
    <row r="48" spans="1:8" x14ac:dyDescent="0.25">
      <c r="A48" s="3" t="s">
        <v>101</v>
      </c>
      <c r="B48" s="35"/>
      <c r="C48" s="35"/>
      <c r="D48" s="35"/>
      <c r="E48" s="35"/>
      <c r="F48" s="35"/>
      <c r="G48" s="35"/>
      <c r="H48" s="44"/>
    </row>
    <row r="49" spans="1:8" x14ac:dyDescent="0.25">
      <c r="A49" s="3" t="s">
        <v>104</v>
      </c>
      <c r="B49" s="35">
        <f>F22*3</f>
        <v>990</v>
      </c>
      <c r="C49" s="35"/>
      <c r="D49" s="36">
        <v>45000</v>
      </c>
      <c r="E49" s="35"/>
      <c r="F49" s="35"/>
      <c r="G49" s="35"/>
      <c r="H49" s="44"/>
    </row>
    <row r="50" spans="1:8" x14ac:dyDescent="0.25">
      <c r="A50" s="3" t="s">
        <v>98</v>
      </c>
      <c r="B50" s="35"/>
      <c r="C50" s="35"/>
      <c r="D50" s="35"/>
      <c r="E50" s="35"/>
      <c r="F50" s="35"/>
      <c r="G50" s="35"/>
      <c r="H50" s="44"/>
    </row>
    <row r="51" spans="1:8" x14ac:dyDescent="0.25">
      <c r="A51" s="3" t="s">
        <v>100</v>
      </c>
      <c r="B51" s="35"/>
      <c r="C51" s="35"/>
      <c r="D51" s="35"/>
      <c r="E51" s="35"/>
      <c r="F51" s="35"/>
      <c r="G51" s="35"/>
      <c r="H51" s="44"/>
    </row>
    <row r="52" spans="1:8" x14ac:dyDescent="0.25">
      <c r="A52" s="3" t="s">
        <v>99</v>
      </c>
      <c r="B52" s="35"/>
      <c r="C52" s="35"/>
      <c r="D52" s="35"/>
      <c r="E52" s="35"/>
      <c r="F52" s="35"/>
      <c r="G52" s="35"/>
      <c r="H52" s="44"/>
    </row>
    <row r="53" spans="1:8" x14ac:dyDescent="0.25">
      <c r="A53" s="3" t="s">
        <v>101</v>
      </c>
      <c r="B53" s="35"/>
      <c r="C53" s="35"/>
      <c r="D53" s="35"/>
      <c r="E53" s="35"/>
      <c r="F53" s="35"/>
      <c r="G53" s="35"/>
      <c r="H53" s="44"/>
    </row>
    <row r="54" spans="1:8" x14ac:dyDescent="0.25">
      <c r="A54" s="3" t="s">
        <v>105</v>
      </c>
      <c r="B54" s="35"/>
      <c r="C54" s="35">
        <f>F22*2</f>
        <v>660</v>
      </c>
      <c r="D54" s="35"/>
      <c r="E54" s="35">
        <v>1100</v>
      </c>
      <c r="F54" s="35"/>
      <c r="G54" s="44">
        <f>C54*E54</f>
        <v>726000</v>
      </c>
      <c r="H54" s="44">
        <f t="shared" ref="H54:H66" si="1">F54+G54</f>
        <v>726000</v>
      </c>
    </row>
    <row r="55" spans="1:8" x14ac:dyDescent="0.25">
      <c r="A55" s="3" t="s">
        <v>106</v>
      </c>
      <c r="B55" s="35"/>
      <c r="C55" s="35">
        <f>F22*1</f>
        <v>330</v>
      </c>
      <c r="D55" s="35"/>
      <c r="E55" s="35">
        <v>2000</v>
      </c>
      <c r="F55" s="35"/>
      <c r="G55" s="44">
        <f>C55*E55</f>
        <v>660000</v>
      </c>
      <c r="H55" s="44">
        <f t="shared" si="1"/>
        <v>660000</v>
      </c>
    </row>
    <row r="56" spans="1:8" x14ac:dyDescent="0.25">
      <c r="A56" s="3" t="s">
        <v>107</v>
      </c>
      <c r="B56" s="35">
        <v>12</v>
      </c>
      <c r="C56" s="35"/>
      <c r="D56" s="35">
        <v>50000</v>
      </c>
      <c r="E56" s="35"/>
      <c r="F56" s="35">
        <f>B56*D56</f>
        <v>600000</v>
      </c>
      <c r="G56" s="44"/>
      <c r="H56" s="44">
        <f t="shared" si="1"/>
        <v>600000</v>
      </c>
    </row>
    <row r="57" spans="1:8" x14ac:dyDescent="0.25">
      <c r="A57" s="3" t="s">
        <v>108</v>
      </c>
      <c r="B57" s="35">
        <f>F21</f>
        <v>330</v>
      </c>
      <c r="C57" s="35"/>
      <c r="D57" s="35">
        <v>35000</v>
      </c>
      <c r="E57" s="35"/>
      <c r="F57" s="35">
        <f>B57*D57</f>
        <v>11550000</v>
      </c>
      <c r="G57" s="44"/>
      <c r="H57" s="44">
        <f t="shared" si="1"/>
        <v>11550000</v>
      </c>
    </row>
    <row r="58" spans="1:8" x14ac:dyDescent="0.25">
      <c r="A58" s="3" t="s">
        <v>109</v>
      </c>
      <c r="B58" s="35">
        <f>B23</f>
        <v>100</v>
      </c>
      <c r="C58" s="35"/>
      <c r="D58" s="35">
        <v>100</v>
      </c>
      <c r="E58" s="35"/>
      <c r="F58" s="35">
        <f>B58*D58</f>
        <v>10000</v>
      </c>
      <c r="G58" s="44"/>
      <c r="H58" s="44">
        <f t="shared" si="1"/>
        <v>10000</v>
      </c>
    </row>
    <row r="59" spans="1:8" x14ac:dyDescent="0.25">
      <c r="A59" s="3" t="s">
        <v>110</v>
      </c>
      <c r="B59" s="35">
        <f>+B29</f>
        <v>14850</v>
      </c>
      <c r="C59" s="35">
        <f>(+C28)*15%</f>
        <v>12375</v>
      </c>
      <c r="D59" s="35">
        <v>800</v>
      </c>
      <c r="E59" s="35">
        <v>500</v>
      </c>
      <c r="F59" s="35">
        <f>B59*D59</f>
        <v>11880000</v>
      </c>
      <c r="G59" s="44">
        <f>C59*E59</f>
        <v>6187500</v>
      </c>
      <c r="H59" s="44">
        <f t="shared" si="1"/>
        <v>18067500</v>
      </c>
    </row>
    <row r="60" spans="1:8" x14ac:dyDescent="0.25">
      <c r="A60" s="3" t="s">
        <v>111</v>
      </c>
      <c r="B60" s="35"/>
      <c r="C60" s="35"/>
      <c r="D60" s="35"/>
      <c r="E60" s="35"/>
      <c r="F60" s="35"/>
      <c r="G60" s="44"/>
      <c r="H60" s="44"/>
    </row>
    <row r="61" spans="1:8" x14ac:dyDescent="0.25">
      <c r="A61" s="3" t="s">
        <v>112</v>
      </c>
      <c r="B61" s="35"/>
      <c r="C61" s="35"/>
      <c r="D61" s="35"/>
      <c r="E61" s="35"/>
      <c r="F61" s="35"/>
      <c r="G61" s="44"/>
      <c r="H61" s="44"/>
    </row>
    <row r="62" spans="1:8" x14ac:dyDescent="0.25">
      <c r="A62" s="3" t="s">
        <v>113</v>
      </c>
      <c r="B62" s="35">
        <f>B23*2%</f>
        <v>2</v>
      </c>
      <c r="C62" s="35">
        <f>F22*2</f>
        <v>660</v>
      </c>
      <c r="D62" s="35">
        <v>6600</v>
      </c>
      <c r="E62" s="35">
        <v>6000</v>
      </c>
      <c r="F62" s="35">
        <f t="shared" ref="F62:F66" si="2">B62*D62</f>
        <v>13200</v>
      </c>
      <c r="G62" s="44">
        <f t="shared" ref="G62:G66" si="3">C62*E62</f>
        <v>3960000</v>
      </c>
      <c r="H62" s="44">
        <f t="shared" si="1"/>
        <v>3973200</v>
      </c>
    </row>
    <row r="63" spans="1:8" x14ac:dyDescent="0.25">
      <c r="A63" s="3" t="s">
        <v>114</v>
      </c>
      <c r="B63" s="35">
        <f>(B23+B32+B33+B34+B39+B44+B49+B56+B57)*2%</f>
        <v>45.14</v>
      </c>
      <c r="C63" s="35">
        <f>F22*4</f>
        <v>1320</v>
      </c>
      <c r="D63" s="35">
        <v>3300</v>
      </c>
      <c r="E63" s="35">
        <v>3000</v>
      </c>
      <c r="F63" s="35">
        <f t="shared" si="2"/>
        <v>148962</v>
      </c>
      <c r="G63" s="44">
        <f t="shared" si="3"/>
        <v>3960000</v>
      </c>
      <c r="H63" s="44">
        <f t="shared" si="1"/>
        <v>4108962</v>
      </c>
    </row>
    <row r="64" spans="1:8" x14ac:dyDescent="0.25">
      <c r="A64" s="3" t="s">
        <v>115</v>
      </c>
      <c r="B64" s="35">
        <f>(B23+B32+B33+B34+B39+B44+B49+B57+B56)*5%</f>
        <v>112.85000000000001</v>
      </c>
      <c r="C64" s="35">
        <f>F22*4</f>
        <v>1320</v>
      </c>
      <c r="D64" s="35">
        <v>275</v>
      </c>
      <c r="E64" s="35">
        <v>200</v>
      </c>
      <c r="F64" s="35">
        <f t="shared" si="2"/>
        <v>31033.750000000004</v>
      </c>
      <c r="G64" s="44">
        <f t="shared" si="3"/>
        <v>264000</v>
      </c>
      <c r="H64" s="44">
        <f t="shared" si="1"/>
        <v>295033.75</v>
      </c>
    </row>
    <row r="65" spans="1:8" x14ac:dyDescent="0.25">
      <c r="A65" s="3" t="s">
        <v>116</v>
      </c>
      <c r="B65" s="35">
        <f>(B23+B32+B33+B34+B39+B44+B49+B56+B57)*5%</f>
        <v>112.85000000000001</v>
      </c>
      <c r="C65" s="35">
        <f>F22*5</f>
        <v>1650</v>
      </c>
      <c r="D65" s="35">
        <v>880</v>
      </c>
      <c r="E65" s="35">
        <v>800</v>
      </c>
      <c r="F65" s="35">
        <f t="shared" si="2"/>
        <v>99308.000000000015</v>
      </c>
      <c r="G65" s="44">
        <f t="shared" si="3"/>
        <v>1320000</v>
      </c>
      <c r="H65" s="44">
        <f t="shared" si="1"/>
        <v>1419308</v>
      </c>
    </row>
    <row r="66" spans="1:8" x14ac:dyDescent="0.25">
      <c r="A66" s="3" t="s">
        <v>117</v>
      </c>
      <c r="B66" s="35">
        <f>(B23+B32+B33+B39+B44+B49+B56+B57)*20%</f>
        <v>451.40000000000003</v>
      </c>
      <c r="C66" s="35">
        <f>F22</f>
        <v>330</v>
      </c>
      <c r="D66" s="35">
        <v>220</v>
      </c>
      <c r="E66" s="35">
        <v>200</v>
      </c>
      <c r="F66" s="35">
        <f t="shared" si="2"/>
        <v>99308.000000000015</v>
      </c>
      <c r="G66" s="44">
        <f t="shared" si="3"/>
        <v>66000</v>
      </c>
      <c r="H66" s="44">
        <f t="shared" si="1"/>
        <v>165308</v>
      </c>
    </row>
    <row r="67" spans="1:8" x14ac:dyDescent="0.25">
      <c r="A67" s="13"/>
      <c r="B67" s="35"/>
      <c r="C67" s="35"/>
      <c r="D67" s="35"/>
      <c r="E67" s="35"/>
      <c r="F67" s="35"/>
      <c r="G67" s="35"/>
      <c r="H67" s="35"/>
    </row>
    <row r="68" spans="1:8" x14ac:dyDescent="0.25">
      <c r="A68" s="17" t="s">
        <v>118</v>
      </c>
      <c r="B68" s="37"/>
      <c r="C68" s="37"/>
      <c r="D68" s="37"/>
      <c r="E68" s="37"/>
      <c r="F68" s="37"/>
      <c r="G68" s="37"/>
      <c r="H68" s="37">
        <f>SUM(H28:H66)</f>
        <v>98995311.75</v>
      </c>
    </row>
    <row r="69" spans="1:8" s="12" customFormat="1" ht="30" x14ac:dyDescent="0.25">
      <c r="A69" s="38" t="s">
        <v>119</v>
      </c>
      <c r="B69" s="39"/>
      <c r="C69" s="39"/>
      <c r="D69" s="39"/>
      <c r="E69" s="39"/>
      <c r="F69" s="39"/>
      <c r="G69" s="39"/>
      <c r="H69" s="39">
        <f>H68*10%</f>
        <v>9899531.1750000007</v>
      </c>
    </row>
    <row r="70" spans="1:8" x14ac:dyDescent="0.25">
      <c r="A70" s="40" t="s">
        <v>120</v>
      </c>
      <c r="B70" s="41"/>
      <c r="C70" s="41"/>
      <c r="D70" s="41"/>
      <c r="E70" s="41"/>
      <c r="F70" s="41"/>
      <c r="G70" s="41"/>
      <c r="H70" s="41">
        <f>H68-H69</f>
        <v>89095780.575000003</v>
      </c>
    </row>
    <row r="71" spans="1:8" x14ac:dyDescent="0.25">
      <c r="A71" s="40" t="s">
        <v>121</v>
      </c>
      <c r="B71" s="41"/>
      <c r="C71" s="41"/>
      <c r="D71" s="41"/>
      <c r="E71" s="41"/>
      <c r="F71" s="41"/>
      <c r="G71" s="41"/>
      <c r="H71" s="41">
        <f>H70/12</f>
        <v>7424648.3812500006</v>
      </c>
    </row>
    <row r="78" spans="1:8" x14ac:dyDescent="0.25">
      <c r="A78" s="23" t="s">
        <v>122</v>
      </c>
      <c r="B78" s="16" t="s">
        <v>123</v>
      </c>
    </row>
    <row r="79" spans="1:8" x14ac:dyDescent="0.25">
      <c r="A79" s="13" t="s">
        <v>127</v>
      </c>
      <c r="B79" s="13">
        <f>B21*500</f>
        <v>165000</v>
      </c>
    </row>
    <row r="80" spans="1:8" x14ac:dyDescent="0.25">
      <c r="A80" s="13" t="s">
        <v>124</v>
      </c>
      <c r="B80" s="13">
        <v>150000</v>
      </c>
    </row>
    <row r="81" spans="1:2" x14ac:dyDescent="0.25">
      <c r="A81" s="13" t="s">
        <v>125</v>
      </c>
      <c r="B81" s="13">
        <f>B21*10</f>
        <v>3300</v>
      </c>
    </row>
    <row r="82" spans="1:2" x14ac:dyDescent="0.25">
      <c r="A82" s="40" t="s">
        <v>126</v>
      </c>
      <c r="B82" s="40">
        <f>SUM(B79:B81)</f>
        <v>318300</v>
      </c>
    </row>
  </sheetData>
  <mergeCells count="3">
    <mergeCell ref="B26:C26"/>
    <mergeCell ref="D26:E26"/>
    <mergeCell ref="F26:G2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43"/>
  <sheetViews>
    <sheetView view="pageBreakPreview" topLeftCell="A21" zoomScaleNormal="100" zoomScaleSheetLayoutView="100" workbookViewId="0">
      <selection activeCell="A36" sqref="A36:XFD43"/>
    </sheetView>
  </sheetViews>
  <sheetFormatPr defaultColWidth="9.140625" defaultRowHeight="15" x14ac:dyDescent="0.25"/>
  <cols>
    <col min="1" max="1" width="32.5703125" style="226" customWidth="1"/>
    <col min="2" max="2" width="17.5703125" style="226" bestFit="1" customWidth="1"/>
    <col min="3" max="3" width="13.5703125" style="226" bestFit="1" customWidth="1"/>
    <col min="4" max="4" width="11" style="226" customWidth="1"/>
    <col min="5" max="10" width="11.42578125" style="226" bestFit="1" customWidth="1"/>
    <col min="11" max="11" width="12.7109375" style="226" customWidth="1"/>
    <col min="12" max="12" width="11.42578125" style="226" customWidth="1"/>
    <col min="13" max="13" width="16.28515625" style="226" customWidth="1"/>
    <col min="14" max="16384" width="9.140625" style="226"/>
  </cols>
  <sheetData>
    <row r="1" spans="1:12" x14ac:dyDescent="0.25">
      <c r="A1" s="433"/>
      <c r="B1" s="433"/>
      <c r="C1" s="433"/>
      <c r="D1" s="433"/>
      <c r="E1" s="433"/>
      <c r="F1" s="433"/>
      <c r="G1" s="433"/>
      <c r="H1" s="433"/>
      <c r="I1" s="433"/>
      <c r="J1" s="433"/>
      <c r="K1" s="433"/>
      <c r="L1" s="433"/>
    </row>
    <row r="5" spans="1:12" x14ac:dyDescent="0.25">
      <c r="A5" s="306" t="s">
        <v>387</v>
      </c>
      <c r="B5" s="307"/>
      <c r="C5" s="307"/>
    </row>
    <row r="6" spans="1:12" x14ac:dyDescent="0.25">
      <c r="A6" s="238" t="s">
        <v>388</v>
      </c>
      <c r="B6" s="235"/>
      <c r="C6" s="261">
        <f>+SUM('Proj P&amp;L'!D34:J34)</f>
        <v>24.288387957552835</v>
      </c>
    </row>
    <row r="7" spans="1:12" x14ac:dyDescent="0.25">
      <c r="A7" s="238" t="s">
        <v>389</v>
      </c>
      <c r="B7" s="235"/>
      <c r="C7" s="261">
        <v>7</v>
      </c>
    </row>
    <row r="8" spans="1:12" x14ac:dyDescent="0.25">
      <c r="A8" s="238" t="s">
        <v>390</v>
      </c>
      <c r="B8" s="235"/>
      <c r="C8" s="261">
        <f>C6/C7</f>
        <v>3.4697697082218335</v>
      </c>
    </row>
    <row r="9" spans="1:12" x14ac:dyDescent="0.25">
      <c r="A9" s="238"/>
      <c r="B9" s="235"/>
      <c r="C9" s="261"/>
    </row>
    <row r="10" spans="1:12" x14ac:dyDescent="0.25">
      <c r="A10" s="238" t="s">
        <v>391</v>
      </c>
      <c r="B10" s="235"/>
      <c r="C10" s="261">
        <f>+'Project Cost'!D16</f>
        <v>73.577499999999986</v>
      </c>
    </row>
    <row r="11" spans="1:12" x14ac:dyDescent="0.25">
      <c r="A11" s="238"/>
      <c r="B11" s="235"/>
      <c r="C11" s="235"/>
    </row>
    <row r="12" spans="1:12" x14ac:dyDescent="0.25">
      <c r="A12" s="238" t="s">
        <v>392</v>
      </c>
      <c r="B12" s="235"/>
      <c r="C12" s="308">
        <f>C8/C10</f>
        <v>4.7158026682366676E-2</v>
      </c>
    </row>
    <row r="17" spans="1:12" x14ac:dyDescent="0.25">
      <c r="A17" s="309" t="s">
        <v>213</v>
      </c>
      <c r="B17" s="318">
        <v>45747</v>
      </c>
      <c r="C17" s="318">
        <f>+EDATE(B17,12)</f>
        <v>46112</v>
      </c>
      <c r="D17" s="318">
        <f t="shared" ref="D17:J17" si="0">+EDATE(C17,12)</f>
        <v>46477</v>
      </c>
      <c r="E17" s="318">
        <f t="shared" si="0"/>
        <v>46843</v>
      </c>
      <c r="F17" s="318">
        <f t="shared" si="0"/>
        <v>47208</v>
      </c>
      <c r="G17" s="318">
        <f t="shared" si="0"/>
        <v>47573</v>
      </c>
      <c r="H17" s="318">
        <f t="shared" si="0"/>
        <v>47938</v>
      </c>
      <c r="I17" s="318">
        <f t="shared" si="0"/>
        <v>48304</v>
      </c>
      <c r="J17" s="318">
        <f t="shared" si="0"/>
        <v>48669</v>
      </c>
      <c r="K17"/>
      <c r="L17"/>
    </row>
    <row r="18" spans="1:12" x14ac:dyDescent="0.25">
      <c r="A18" s="238" t="s">
        <v>141</v>
      </c>
      <c r="B18" s="310"/>
      <c r="C18" s="235"/>
      <c r="D18" s="236">
        <f>+'Proj P&amp;L'!D30</f>
        <v>0.78026814917096976</v>
      </c>
      <c r="E18" s="236">
        <f>+'Proj P&amp;L'!E30</f>
        <v>2.8829302150615601</v>
      </c>
      <c r="F18" s="236">
        <f>+'Proj P&amp;L'!F30</f>
        <v>3.977873411574667</v>
      </c>
      <c r="G18" s="236">
        <f>+'Proj P&amp;L'!G30</f>
        <v>5.0439194069819813</v>
      </c>
      <c r="H18" s="236">
        <f>+'Proj P&amp;L'!H30</f>
        <v>6.0827070567060062</v>
      </c>
      <c r="I18" s="236">
        <f>+'Proj P&amp;L'!I30</f>
        <v>7.0955351353302127</v>
      </c>
      <c r="J18" s="236">
        <f>+'Proj P&amp;L'!J30</f>
        <v>8.0834045827274394</v>
      </c>
      <c r="K18"/>
      <c r="L18"/>
    </row>
    <row r="19" spans="1:12" x14ac:dyDescent="0.25">
      <c r="A19" s="238" t="s">
        <v>394</v>
      </c>
      <c r="B19" s="310"/>
      <c r="C19" s="235"/>
      <c r="D19" s="236">
        <f>+'Proj P&amp;L'!D37</f>
        <v>0</v>
      </c>
      <c r="E19" s="236">
        <f>+'Proj P&amp;L'!E37</f>
        <v>0</v>
      </c>
      <c r="F19" s="236">
        <f>+'Proj P&amp;L'!F37</f>
        <v>0.54696420133806567</v>
      </c>
      <c r="G19" s="236">
        <f>+'Proj P&amp;L'!G37</f>
        <v>1.1892035175757822</v>
      </c>
      <c r="H19" s="236">
        <f>+'Proj P&amp;L'!H37</f>
        <v>1.7050774738953467</v>
      </c>
      <c r="I19" s="236">
        <f>+'Proj P&amp;L'!I37</f>
        <v>2.2468241176897901</v>
      </c>
      <c r="J19" s="236">
        <f>+'Proj P&amp;L'!J37</f>
        <v>2.7992649773882765</v>
      </c>
      <c r="K19"/>
      <c r="L19"/>
    </row>
    <row r="20" spans="1:12" x14ac:dyDescent="0.25">
      <c r="A20" s="238" t="s">
        <v>395</v>
      </c>
      <c r="B20" s="310"/>
      <c r="C20" s="235"/>
      <c r="D20" s="236">
        <f>+D18-D19</f>
        <v>0.78026814917096976</v>
      </c>
      <c r="E20" s="236">
        <f t="shared" ref="E20:J20" si="1">+E18-E19</f>
        <v>2.8829302150615601</v>
      </c>
      <c r="F20" s="236">
        <f t="shared" si="1"/>
        <v>3.4309092102366012</v>
      </c>
      <c r="G20" s="236">
        <f t="shared" si="1"/>
        <v>3.854715889406199</v>
      </c>
      <c r="H20" s="236">
        <f t="shared" si="1"/>
        <v>4.3776295828106591</v>
      </c>
      <c r="I20" s="236">
        <f t="shared" si="1"/>
        <v>4.8487110176404222</v>
      </c>
      <c r="J20" s="236">
        <f t="shared" si="1"/>
        <v>5.2841396053391634</v>
      </c>
      <c r="K20"/>
      <c r="L20"/>
    </row>
    <row r="21" spans="1:12" x14ac:dyDescent="0.25">
      <c r="A21" s="238" t="s">
        <v>396</v>
      </c>
      <c r="B21" s="311"/>
      <c r="C21" s="235"/>
      <c r="D21" s="234">
        <f>+'Proj P&amp;L'!D29</f>
        <v>2.472976562579428</v>
      </c>
      <c r="E21" s="234">
        <f>+'Proj P&amp;L'!E29</f>
        <v>3.2973020834392375</v>
      </c>
      <c r="F21" s="234">
        <f>+'Proj P&amp;L'!F29</f>
        <v>3.2973020834392375</v>
      </c>
      <c r="G21" s="234">
        <f>+'Proj P&amp;L'!G29</f>
        <v>3.2973020834392375</v>
      </c>
      <c r="H21" s="234">
        <f>+'Proj P&amp;L'!H29</f>
        <v>3.2973020834392375</v>
      </c>
      <c r="I21" s="234">
        <f>+'Proj P&amp;L'!I29</f>
        <v>3.2973020834392375</v>
      </c>
      <c r="J21" s="234">
        <f>+'Proj P&amp;L'!J29</f>
        <v>3.2973020834392375</v>
      </c>
      <c r="K21"/>
      <c r="L21"/>
    </row>
    <row r="22" spans="1:12" x14ac:dyDescent="0.25">
      <c r="A22" s="238" t="s">
        <v>397</v>
      </c>
      <c r="B22" s="236">
        <f>+'Balance Sheet'!C18</f>
        <v>21.490300000000001</v>
      </c>
      <c r="C22" s="236">
        <f>+'Cash Flow'!D16</f>
        <v>40.36</v>
      </c>
      <c r="D22" s="236">
        <f>+'Cash Flow'!E16</f>
        <v>11.377199999999991</v>
      </c>
      <c r="E22" s="236">
        <v>0</v>
      </c>
      <c r="F22" s="236">
        <v>0</v>
      </c>
      <c r="G22" s="236">
        <v>0</v>
      </c>
      <c r="H22" s="236">
        <v>0</v>
      </c>
      <c r="I22" s="236">
        <v>0</v>
      </c>
      <c r="J22" s="236">
        <v>0</v>
      </c>
      <c r="K22"/>
      <c r="L22"/>
    </row>
    <row r="23" spans="1:12" x14ac:dyDescent="0.25">
      <c r="A23" s="238" t="s">
        <v>398</v>
      </c>
      <c r="B23" s="236">
        <v>0</v>
      </c>
      <c r="C23" s="236">
        <v>0</v>
      </c>
      <c r="D23" s="236">
        <f>+'Balance Sheet'!E40</f>
        <v>-0.20059032213184924</v>
      </c>
      <c r="E23" s="236">
        <f>+'Balance Sheet'!F40</f>
        <v>-6.7137697988013723E-2</v>
      </c>
      <c r="F23" s="236">
        <f>+'Balance Sheet'!G40</f>
        <v>-6.8371855736302223E-3</v>
      </c>
      <c r="G23" s="236">
        <f>+'Balance Sheet'!H40</f>
        <v>-7.8339663955478978E-3</v>
      </c>
      <c r="H23" s="236">
        <f>+'Balance Sheet'!I40</f>
        <v>-8.8805862585618067E-3</v>
      </c>
      <c r="I23" s="236">
        <f>+'Balance Sheet'!J40</f>
        <v>-9.9795371147259893E-3</v>
      </c>
      <c r="J23" s="236">
        <f>+'Balance Sheet'!K40</f>
        <v>-1.1133435513698497E-2</v>
      </c>
      <c r="K23"/>
      <c r="L23"/>
    </row>
    <row r="24" spans="1:12" x14ac:dyDescent="0.25">
      <c r="A24" s="238" t="s">
        <v>399</v>
      </c>
      <c r="B24" s="236">
        <f t="shared" ref="B24:C24" si="2">B20+B21-B22-B23</f>
        <v>-21.490300000000001</v>
      </c>
      <c r="C24" s="236">
        <f t="shared" si="2"/>
        <v>-40.36</v>
      </c>
      <c r="D24" s="236">
        <f>D20+D21-D22-D23</f>
        <v>-7.9233649661177443</v>
      </c>
      <c r="E24" s="236">
        <f>E20+E21-E22-E23</f>
        <v>6.2473699964888114</v>
      </c>
      <c r="F24" s="236">
        <f t="shared" ref="F24:J24" si="3">F20+F21-F22-F23</f>
        <v>6.7350484792494694</v>
      </c>
      <c r="G24" s="236">
        <f t="shared" si="3"/>
        <v>7.1598519392409852</v>
      </c>
      <c r="H24" s="236">
        <f t="shared" si="3"/>
        <v>7.6838122525084591</v>
      </c>
      <c r="I24" s="236">
        <f t="shared" si="3"/>
        <v>8.1559926381943857</v>
      </c>
      <c r="J24" s="236">
        <f t="shared" si="3"/>
        <v>8.5925751242921002</v>
      </c>
      <c r="K24"/>
      <c r="L24"/>
    </row>
    <row r="25" spans="1:12" x14ac:dyDescent="0.25">
      <c r="A25" s="238" t="s">
        <v>401</v>
      </c>
      <c r="B25" s="375">
        <f>+I41</f>
        <v>0.10638241041725642</v>
      </c>
      <c r="C25" s="235"/>
      <c r="D25" s="235"/>
      <c r="E25" s="235"/>
      <c r="F25" s="235"/>
      <c r="G25" s="235"/>
      <c r="H25" s="235"/>
      <c r="I25" s="235"/>
      <c r="J25" s="235"/>
      <c r="K25"/>
      <c r="L25"/>
    </row>
    <row r="26" spans="1:12" x14ac:dyDescent="0.25">
      <c r="A26" s="238" t="s">
        <v>402</v>
      </c>
      <c r="B26" s="375">
        <v>2.5000000000000001E-2</v>
      </c>
      <c r="C26" s="235"/>
      <c r="D26" s="235"/>
      <c r="E26" s="235"/>
      <c r="F26" s="235"/>
      <c r="G26" s="235"/>
      <c r="H26" s="235"/>
      <c r="I26" s="235"/>
      <c r="J26" s="235"/>
      <c r="K26"/>
      <c r="L26"/>
    </row>
    <row r="27" spans="1:12" x14ac:dyDescent="0.25">
      <c r="A27" s="238" t="s">
        <v>393</v>
      </c>
      <c r="B27" s="376"/>
      <c r="C27" s="376"/>
      <c r="D27" s="376"/>
      <c r="E27" s="376"/>
      <c r="F27" s="376"/>
      <c r="G27" s="376"/>
      <c r="H27" s="376"/>
      <c r="I27" s="376"/>
      <c r="J27" s="377">
        <f>+J24*(1+B26)/(B25-B26)</f>
        <v>108.22227379654848</v>
      </c>
      <c r="K27"/>
      <c r="L27"/>
    </row>
    <row r="28" spans="1:12" x14ac:dyDescent="0.25">
      <c r="A28" s="238" t="s">
        <v>409</v>
      </c>
      <c r="B28" s="378">
        <f t="shared" ref="B28:I28" si="4">+B27+B24</f>
        <v>-21.490300000000001</v>
      </c>
      <c r="C28" s="378">
        <f t="shared" si="4"/>
        <v>-40.36</v>
      </c>
      <c r="D28" s="378">
        <f t="shared" si="4"/>
        <v>-7.9233649661177443</v>
      </c>
      <c r="E28" s="378">
        <f t="shared" si="4"/>
        <v>6.2473699964888114</v>
      </c>
      <c r="F28" s="378">
        <f t="shared" si="4"/>
        <v>6.7350484792494694</v>
      </c>
      <c r="G28" s="378">
        <f t="shared" si="4"/>
        <v>7.1598519392409852</v>
      </c>
      <c r="H28" s="378">
        <f t="shared" si="4"/>
        <v>7.6838122525084591</v>
      </c>
      <c r="I28" s="378">
        <f t="shared" si="4"/>
        <v>8.1559926381943857</v>
      </c>
      <c r="J28" s="378">
        <f>+J24+J27</f>
        <v>116.81484892084057</v>
      </c>
      <c r="K28"/>
      <c r="L28"/>
    </row>
    <row r="29" spans="1:12" x14ac:dyDescent="0.25">
      <c r="B29" s="317"/>
      <c r="C29" s="317"/>
      <c r="D29" s="317"/>
      <c r="E29" s="317"/>
      <c r="F29" s="317"/>
      <c r="G29" s="317"/>
      <c r="H29" s="317"/>
      <c r="I29" s="317"/>
      <c r="J29" s="317"/>
      <c r="K29" s="317"/>
      <c r="L29" s="317"/>
    </row>
    <row r="30" spans="1:12" ht="15.75" thickBot="1" x14ac:dyDescent="0.3"/>
    <row r="31" spans="1:12" x14ac:dyDescent="0.25">
      <c r="A31" s="407" t="s">
        <v>400</v>
      </c>
      <c r="B31" s="408">
        <f>+XIRR(B28:J28,B17:J17)</f>
        <v>0.12998781800270084</v>
      </c>
      <c r="D31" s="406"/>
    </row>
    <row r="32" spans="1:12" ht="15.75" thickBot="1" x14ac:dyDescent="0.3">
      <c r="A32" s="409" t="s">
        <v>403</v>
      </c>
      <c r="B32" s="410">
        <f>+XNPV(B25,B28:J28,B17:J17)</f>
        <v>9.1872426502926174</v>
      </c>
    </row>
    <row r="33" spans="2:11" x14ac:dyDescent="0.25">
      <c r="D33" s="263"/>
    </row>
    <row r="34" spans="2:11" x14ac:dyDescent="0.25">
      <c r="B34" s="380"/>
    </row>
    <row r="36" spans="2:11" hidden="1" x14ac:dyDescent="0.25">
      <c r="B36" s="381"/>
      <c r="E36" s="343"/>
      <c r="F36" s="343"/>
      <c r="G36" s="343" t="s">
        <v>413</v>
      </c>
      <c r="H36" s="343" t="s">
        <v>414</v>
      </c>
      <c r="I36" s="343" t="s">
        <v>415</v>
      </c>
      <c r="J36" s="343"/>
      <c r="K36" s="344"/>
    </row>
    <row r="37" spans="2:11" hidden="1" x14ac:dyDescent="0.25">
      <c r="E37" s="343"/>
      <c r="F37" s="343" t="s">
        <v>416</v>
      </c>
      <c r="G37" s="346">
        <f>+'Project Cost'!D24</f>
        <v>24.157499999999999</v>
      </c>
      <c r="H37" s="345">
        <v>0.09</v>
      </c>
      <c r="I37" s="348">
        <f>+(G37/G39)*H37*(1-'Project Details'!A44)</f>
        <v>3.2031507399648981E-2</v>
      </c>
      <c r="J37" s="343"/>
      <c r="K37" s="344"/>
    </row>
    <row r="38" spans="2:11" hidden="1" x14ac:dyDescent="0.25">
      <c r="B38" s="382"/>
      <c r="E38" s="343"/>
      <c r="F38" s="343" t="s">
        <v>417</v>
      </c>
      <c r="G38" s="346">
        <f>+'Project Cost'!D23</f>
        <v>20</v>
      </c>
      <c r="H38" s="347">
        <v>0.12</v>
      </c>
      <c r="I38" s="348">
        <f>+(G38/G39)*H38</f>
        <v>5.4350903017607428E-2</v>
      </c>
      <c r="J38" s="226" t="s">
        <v>420</v>
      </c>
      <c r="K38" s="344"/>
    </row>
    <row r="39" spans="2:11" hidden="1" x14ac:dyDescent="0.25">
      <c r="E39" s="343"/>
      <c r="F39" s="343"/>
      <c r="G39" s="346">
        <f>SUM(G37:G38)</f>
        <v>44.157499999999999</v>
      </c>
      <c r="H39" s="343"/>
      <c r="I39" s="347">
        <f>SUM(I37:I38)</f>
        <v>8.6382410417256417E-2</v>
      </c>
      <c r="J39" s="343"/>
      <c r="K39" s="344"/>
    </row>
    <row r="40" spans="2:11" hidden="1" x14ac:dyDescent="0.25">
      <c r="E40" s="343"/>
      <c r="F40" s="379" t="s">
        <v>418</v>
      </c>
      <c r="G40" s="343"/>
      <c r="H40" s="343"/>
      <c r="I40" s="347">
        <v>0.02</v>
      </c>
      <c r="J40" s="343" t="s">
        <v>419</v>
      </c>
      <c r="K40" s="344"/>
    </row>
    <row r="41" spans="2:11" hidden="1" x14ac:dyDescent="0.25">
      <c r="E41" s="343"/>
      <c r="F41" s="343"/>
      <c r="G41" s="343"/>
      <c r="H41" s="343"/>
      <c r="I41" s="347">
        <f>SUM(I40+I39)</f>
        <v>0.10638241041725642</v>
      </c>
      <c r="J41" s="343"/>
      <c r="K41" s="344"/>
    </row>
    <row r="42" spans="2:11" hidden="1" x14ac:dyDescent="0.25"/>
    <row r="43" spans="2:11" hidden="1" x14ac:dyDescent="0.25"/>
  </sheetData>
  <mergeCells count="1">
    <mergeCell ref="A1:L1"/>
  </mergeCells>
  <pageMargins left="0.7" right="0.7" top="0.75" bottom="0.75" header="0.3" footer="0.3"/>
  <pageSetup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86"/>
  <sheetViews>
    <sheetView workbookViewId="0">
      <selection activeCell="C4" sqref="C4:C6"/>
    </sheetView>
  </sheetViews>
  <sheetFormatPr defaultRowHeight="15" x14ac:dyDescent="0.25"/>
  <cols>
    <col min="1" max="1" width="27.42578125" customWidth="1"/>
    <col min="5" max="5" width="10.5703125" bestFit="1" customWidth="1"/>
    <col min="6" max="6" width="8.140625" bestFit="1" customWidth="1"/>
    <col min="7" max="7" width="8.28515625" bestFit="1" customWidth="1"/>
    <col min="9" max="11" width="0" hidden="1" customWidth="1"/>
    <col min="12" max="12" width="27.7109375" bestFit="1" customWidth="1"/>
    <col min="14" max="14" width="16.7109375" customWidth="1"/>
    <col min="15" max="15" width="13.5703125" bestFit="1" customWidth="1"/>
  </cols>
  <sheetData>
    <row r="2" spans="1:13" x14ac:dyDescent="0.25">
      <c r="A2" s="189" t="s">
        <v>1</v>
      </c>
      <c r="B2" s="190" t="s">
        <v>269</v>
      </c>
      <c r="C2" s="188" t="s">
        <v>306</v>
      </c>
      <c r="D2" s="188" t="s">
        <v>305</v>
      </c>
      <c r="E2" s="190" t="s">
        <v>270</v>
      </c>
      <c r="F2" s="191"/>
      <c r="G2" s="190"/>
      <c r="H2" s="190" t="s">
        <v>271</v>
      </c>
      <c r="L2" s="192"/>
      <c r="M2" s="193" t="s">
        <v>307</v>
      </c>
    </row>
    <row r="3" spans="1:13" x14ac:dyDescent="0.25">
      <c r="A3" s="312" t="s">
        <v>408</v>
      </c>
      <c r="B3" s="314">
        <f>+'Project Cost'!D8</f>
        <v>4.91</v>
      </c>
      <c r="C3" s="313"/>
      <c r="D3" s="313"/>
      <c r="E3" s="314">
        <f>+B3+C3+D3</f>
        <v>4.91</v>
      </c>
      <c r="F3" s="313"/>
      <c r="G3" s="313"/>
      <c r="H3" s="313"/>
      <c r="L3" s="192"/>
      <c r="M3" s="193"/>
    </row>
    <row r="4" spans="1:13" x14ac:dyDescent="0.25">
      <c r="A4" s="194" t="s">
        <v>272</v>
      </c>
      <c r="B4" s="315">
        <f>+'Project Cost'!D9</f>
        <v>28.24</v>
      </c>
      <c r="C4" s="212">
        <f>+(B4/(SUM($B$4:$B$6)))*('Project Cost'!$D$12+'Project Cost'!$D$13)</f>
        <v>0.99591421763304189</v>
      </c>
      <c r="D4" s="212">
        <f>+(B4)*5%</f>
        <v>1.4119999999999999</v>
      </c>
      <c r="E4" s="212">
        <f>+B4+C4+D4</f>
        <v>30.647914217633041</v>
      </c>
      <c r="F4" s="195"/>
      <c r="G4" s="196"/>
      <c r="H4" s="196">
        <v>0.1</v>
      </c>
      <c r="L4" s="193"/>
      <c r="M4" s="197">
        <v>1.5800000000000002E-2</v>
      </c>
    </row>
    <row r="5" spans="1:13" x14ac:dyDescent="0.25">
      <c r="A5" s="198" t="s">
        <v>274</v>
      </c>
      <c r="B5" s="315">
        <f>+'Project Cost'!D10</f>
        <v>32.21</v>
      </c>
      <c r="C5" s="212">
        <f>+(B5/(SUM($B$4:$B$6)))*('Project Cost'!$D$12+'Project Cost'!$D$13)</f>
        <v>1.1359205718824461</v>
      </c>
      <c r="D5" s="212">
        <f t="shared" ref="D5:D6" si="0">+(B5)*5%</f>
        <v>1.6105</v>
      </c>
      <c r="E5" s="212">
        <f t="shared" ref="E5:E6" si="1">+B5+C5+D5</f>
        <v>34.956420571882447</v>
      </c>
      <c r="F5" s="195"/>
      <c r="G5" s="196"/>
      <c r="H5" s="196">
        <v>0.15</v>
      </c>
      <c r="L5" s="193"/>
      <c r="M5" s="196">
        <v>7.3099999999999998E-2</v>
      </c>
    </row>
    <row r="6" spans="1:13" x14ac:dyDescent="0.25">
      <c r="A6" s="194" t="s">
        <v>273</v>
      </c>
      <c r="B6" s="315">
        <f>+'Project Cost'!D11</f>
        <v>2.5</v>
      </c>
      <c r="C6" s="212">
        <f>+(B6/(SUM($B$4:$B$6)))*('Project Cost'!$D$12+'Project Cost'!$D$13)</f>
        <v>8.8165210484511508E-2</v>
      </c>
      <c r="D6" s="212">
        <f t="shared" si="0"/>
        <v>0.125</v>
      </c>
      <c r="E6" s="212">
        <f t="shared" si="1"/>
        <v>2.7131652104845116</v>
      </c>
      <c r="F6" s="195"/>
      <c r="G6" s="196"/>
      <c r="H6" s="196">
        <v>0.1</v>
      </c>
      <c r="L6" s="193"/>
      <c r="M6" s="196">
        <v>9.5000000000000001E-2</v>
      </c>
    </row>
    <row r="7" spans="1:13" x14ac:dyDescent="0.25">
      <c r="A7" s="199" t="s">
        <v>270</v>
      </c>
      <c r="B7" s="200">
        <f>SUM(B3:B6)</f>
        <v>67.86</v>
      </c>
      <c r="C7" s="386">
        <f>SUM(C4:C6)</f>
        <v>2.2199999999999998</v>
      </c>
      <c r="D7" s="387">
        <f>SUM(D4:D6)</f>
        <v>3.1475</v>
      </c>
      <c r="E7" s="387">
        <f>SUM(E3:E6)</f>
        <v>73.227499999999992</v>
      </c>
      <c r="F7" s="201"/>
      <c r="G7" s="202"/>
      <c r="H7" s="202"/>
      <c r="I7" s="193"/>
      <c r="J7" s="193"/>
    </row>
    <row r="12" spans="1:13" x14ac:dyDescent="0.25">
      <c r="A12" s="189" t="s">
        <v>293</v>
      </c>
      <c r="B12" s="189"/>
      <c r="C12" s="189"/>
      <c r="D12" s="189"/>
      <c r="E12" s="189"/>
      <c r="F12" s="189"/>
      <c r="G12" s="189"/>
      <c r="H12" s="189"/>
      <c r="I12" s="189"/>
      <c r="J12" s="189"/>
    </row>
    <row r="13" spans="1:13" x14ac:dyDescent="0.25">
      <c r="A13" s="203" t="s">
        <v>275</v>
      </c>
      <c r="B13" s="88" t="s">
        <v>57</v>
      </c>
      <c r="C13" s="88" t="s">
        <v>58</v>
      </c>
      <c r="D13" s="88" t="s">
        <v>59</v>
      </c>
      <c r="E13" s="88" t="s">
        <v>60</v>
      </c>
      <c r="F13" s="88" t="s">
        <v>236</v>
      </c>
      <c r="G13" s="88" t="s">
        <v>237</v>
      </c>
      <c r="H13" s="88" t="s">
        <v>238</v>
      </c>
      <c r="I13" s="88" t="s">
        <v>239</v>
      </c>
      <c r="J13" s="88" t="s">
        <v>240</v>
      </c>
    </row>
    <row r="14" spans="1:13" x14ac:dyDescent="0.25">
      <c r="A14" s="203"/>
      <c r="B14" s="258">
        <v>9</v>
      </c>
      <c r="C14" s="258">
        <v>12</v>
      </c>
      <c r="D14" s="258">
        <v>12</v>
      </c>
      <c r="E14" s="258">
        <v>12</v>
      </c>
      <c r="F14" s="258">
        <v>12</v>
      </c>
      <c r="G14" s="258">
        <v>12</v>
      </c>
      <c r="H14" s="258">
        <v>12</v>
      </c>
      <c r="I14" s="258">
        <v>12</v>
      </c>
      <c r="J14" s="258">
        <v>12</v>
      </c>
    </row>
    <row r="15" spans="1:13" s="104" customFormat="1" x14ac:dyDescent="0.25">
      <c r="A15" s="316" t="s">
        <v>408</v>
      </c>
      <c r="B15" s="54">
        <f>+$E$3</f>
        <v>4.91</v>
      </c>
      <c r="C15" s="54">
        <f t="shared" ref="C15:H15" si="2">+$E$3</f>
        <v>4.91</v>
      </c>
      <c r="D15" s="54">
        <f t="shared" si="2"/>
        <v>4.91</v>
      </c>
      <c r="E15" s="54">
        <f t="shared" si="2"/>
        <v>4.91</v>
      </c>
      <c r="F15" s="54">
        <f t="shared" si="2"/>
        <v>4.91</v>
      </c>
      <c r="G15" s="54">
        <f t="shared" si="2"/>
        <v>4.91</v>
      </c>
      <c r="H15" s="54">
        <f t="shared" si="2"/>
        <v>4.91</v>
      </c>
      <c r="I15" s="54"/>
      <c r="J15" s="54"/>
    </row>
    <row r="16" spans="1:13" x14ac:dyDescent="0.25">
      <c r="A16" s="205" t="s">
        <v>276</v>
      </c>
      <c r="B16" s="213">
        <f>+E4</f>
        <v>30.647914217633041</v>
      </c>
      <c r="C16" s="213">
        <f t="shared" ref="C16:C20" si="3">+B16</f>
        <v>30.647914217633041</v>
      </c>
      <c r="D16" s="213">
        <f t="shared" ref="D16:H16" si="4">+C16</f>
        <v>30.647914217633041</v>
      </c>
      <c r="E16" s="213">
        <f t="shared" si="4"/>
        <v>30.647914217633041</v>
      </c>
      <c r="F16" s="213">
        <f t="shared" si="4"/>
        <v>30.647914217633041</v>
      </c>
      <c r="G16" s="213">
        <f t="shared" si="4"/>
        <v>30.647914217633041</v>
      </c>
      <c r="H16" s="213">
        <f t="shared" si="4"/>
        <v>30.647914217633041</v>
      </c>
      <c r="I16" s="213"/>
      <c r="J16" s="213"/>
    </row>
    <row r="17" spans="1:11" x14ac:dyDescent="0.25">
      <c r="A17" s="205" t="s">
        <v>277</v>
      </c>
      <c r="B17" s="213">
        <f>+B16*$M$4*B14/12</f>
        <v>0.36317778347895158</v>
      </c>
      <c r="C17" s="213">
        <f t="shared" ref="C17:H17" si="5">+C16*$M$4*C14/12</f>
        <v>0.48423704463860212</v>
      </c>
      <c r="D17" s="213">
        <f t="shared" si="5"/>
        <v>0.48423704463860212</v>
      </c>
      <c r="E17" s="213">
        <f t="shared" si="5"/>
        <v>0.48423704463860212</v>
      </c>
      <c r="F17" s="213">
        <f t="shared" si="5"/>
        <v>0.48423704463860212</v>
      </c>
      <c r="G17" s="213">
        <f t="shared" si="5"/>
        <v>0.48423704463860212</v>
      </c>
      <c r="H17" s="213">
        <f t="shared" si="5"/>
        <v>0.48423704463860212</v>
      </c>
      <c r="I17" s="213"/>
      <c r="J17" s="213"/>
    </row>
    <row r="18" spans="1:11" x14ac:dyDescent="0.25">
      <c r="A18" s="194" t="s">
        <v>273</v>
      </c>
      <c r="B18" s="213">
        <f>+E6</f>
        <v>2.7131652104845116</v>
      </c>
      <c r="C18" s="213">
        <f t="shared" si="3"/>
        <v>2.7131652104845116</v>
      </c>
      <c r="D18" s="213">
        <f t="shared" ref="D18:H18" si="6">+C18</f>
        <v>2.7131652104845116</v>
      </c>
      <c r="E18" s="213">
        <f t="shared" si="6"/>
        <v>2.7131652104845116</v>
      </c>
      <c r="F18" s="213">
        <f t="shared" si="6"/>
        <v>2.7131652104845116</v>
      </c>
      <c r="G18" s="213">
        <f t="shared" si="6"/>
        <v>2.7131652104845116</v>
      </c>
      <c r="H18" s="213">
        <f t="shared" si="6"/>
        <v>2.7131652104845116</v>
      </c>
      <c r="I18" s="213"/>
      <c r="J18" s="213"/>
    </row>
    <row r="19" spans="1:11" x14ac:dyDescent="0.25">
      <c r="A19" s="205" t="s">
        <v>278</v>
      </c>
      <c r="B19" s="213">
        <f>+B18*$M$6*B14/12</f>
        <v>0.19331302124702143</v>
      </c>
      <c r="C19" s="213">
        <f>+C18*$M$6*C14/12</f>
        <v>0.2577506949960286</v>
      </c>
      <c r="D19" s="213">
        <f t="shared" ref="D19:H19" si="7">+D18*$M$6*D14/12</f>
        <v>0.2577506949960286</v>
      </c>
      <c r="E19" s="213">
        <f t="shared" si="7"/>
        <v>0.2577506949960286</v>
      </c>
      <c r="F19" s="213">
        <f t="shared" si="7"/>
        <v>0.2577506949960286</v>
      </c>
      <c r="G19" s="213">
        <f t="shared" si="7"/>
        <v>0.2577506949960286</v>
      </c>
      <c r="H19" s="213">
        <f t="shared" si="7"/>
        <v>0.2577506949960286</v>
      </c>
      <c r="I19" s="213"/>
      <c r="J19" s="213"/>
    </row>
    <row r="20" spans="1:11" x14ac:dyDescent="0.25">
      <c r="A20" s="205" t="s">
        <v>279</v>
      </c>
      <c r="B20" s="213">
        <f>+E5</f>
        <v>34.956420571882447</v>
      </c>
      <c r="C20" s="213">
        <f t="shared" si="3"/>
        <v>34.956420571882447</v>
      </c>
      <c r="D20" s="213">
        <f t="shared" ref="D20:H20" si="8">+C20</f>
        <v>34.956420571882447</v>
      </c>
      <c r="E20" s="213">
        <f t="shared" si="8"/>
        <v>34.956420571882447</v>
      </c>
      <c r="F20" s="213">
        <f t="shared" si="8"/>
        <v>34.956420571882447</v>
      </c>
      <c r="G20" s="213">
        <f t="shared" si="8"/>
        <v>34.956420571882447</v>
      </c>
      <c r="H20" s="213">
        <f t="shared" si="8"/>
        <v>34.956420571882447</v>
      </c>
      <c r="I20" s="213"/>
      <c r="J20" s="213"/>
      <c r="K20" s="217"/>
    </row>
    <row r="21" spans="1:11" x14ac:dyDescent="0.25">
      <c r="A21" s="205" t="s">
        <v>280</v>
      </c>
      <c r="B21" s="213">
        <f>+B20*$M$5*B14/12</f>
        <v>1.9164857578534551</v>
      </c>
      <c r="C21" s="213">
        <f t="shared" ref="C21:H21" si="9">+C20*$M$5*C14/12</f>
        <v>2.5553143438046066</v>
      </c>
      <c r="D21" s="213">
        <f t="shared" si="9"/>
        <v>2.5553143438046066</v>
      </c>
      <c r="E21" s="213">
        <f t="shared" si="9"/>
        <v>2.5553143438046066</v>
      </c>
      <c r="F21" s="213">
        <f t="shared" si="9"/>
        <v>2.5553143438046066</v>
      </c>
      <c r="G21" s="213">
        <f t="shared" si="9"/>
        <v>2.5553143438046066</v>
      </c>
      <c r="H21" s="213">
        <f t="shared" si="9"/>
        <v>2.5553143438046066</v>
      </c>
      <c r="I21" s="213"/>
      <c r="J21" s="213"/>
      <c r="K21" s="217"/>
    </row>
    <row r="22" spans="1:11" x14ac:dyDescent="0.25">
      <c r="A22" s="206" t="s">
        <v>281</v>
      </c>
      <c r="B22" s="214">
        <f>+B17+B19+B21</f>
        <v>2.472976562579428</v>
      </c>
      <c r="C22" s="214">
        <f t="shared" ref="C22:H22" si="10">+C17+C19+C21</f>
        <v>3.2973020834392375</v>
      </c>
      <c r="D22" s="214">
        <f t="shared" si="10"/>
        <v>3.2973020834392375</v>
      </c>
      <c r="E22" s="214">
        <f t="shared" si="10"/>
        <v>3.2973020834392375</v>
      </c>
      <c r="F22" s="214">
        <f t="shared" si="10"/>
        <v>3.2973020834392375</v>
      </c>
      <c r="G22" s="214">
        <f t="shared" si="10"/>
        <v>3.2973020834392375</v>
      </c>
      <c r="H22" s="214">
        <f t="shared" si="10"/>
        <v>3.2973020834392375</v>
      </c>
      <c r="I22" s="214"/>
      <c r="J22" s="214"/>
    </row>
    <row r="23" spans="1:11" x14ac:dyDescent="0.25">
      <c r="A23" s="207" t="s">
        <v>282</v>
      </c>
      <c r="B23" s="215">
        <f>+B22</f>
        <v>2.472976562579428</v>
      </c>
      <c r="C23" s="215">
        <f>+C22+B23</f>
        <v>5.7702786460186655</v>
      </c>
      <c r="D23" s="215">
        <f t="shared" ref="D23:H23" si="11">+D22+C23</f>
        <v>9.0675807294579034</v>
      </c>
      <c r="E23" s="215">
        <f t="shared" si="11"/>
        <v>12.364882812897141</v>
      </c>
      <c r="F23" s="215">
        <f t="shared" si="11"/>
        <v>15.662184896336379</v>
      </c>
      <c r="G23" s="215">
        <f t="shared" si="11"/>
        <v>18.959486979775615</v>
      </c>
      <c r="H23" s="215">
        <f t="shared" si="11"/>
        <v>22.256789063214853</v>
      </c>
      <c r="I23" s="215"/>
      <c r="J23" s="215"/>
    </row>
    <row r="24" spans="1:11" x14ac:dyDescent="0.25">
      <c r="A24" s="207" t="s">
        <v>283</v>
      </c>
      <c r="B24" s="215">
        <f>+B16+B18+B20+B15</f>
        <v>73.227499999999992</v>
      </c>
      <c r="C24" s="215">
        <f t="shared" ref="C24:H24" si="12">+C16+C18+C20+C15</f>
        <v>73.227499999999992</v>
      </c>
      <c r="D24" s="215">
        <f t="shared" si="12"/>
        <v>73.227499999999992</v>
      </c>
      <c r="E24" s="215">
        <f t="shared" si="12"/>
        <v>73.227499999999992</v>
      </c>
      <c r="F24" s="215">
        <f t="shared" si="12"/>
        <v>73.227499999999992</v>
      </c>
      <c r="G24" s="215">
        <f t="shared" si="12"/>
        <v>73.227499999999992</v>
      </c>
      <c r="H24" s="215">
        <f t="shared" si="12"/>
        <v>73.227499999999992</v>
      </c>
      <c r="I24" s="215"/>
      <c r="J24" s="215"/>
    </row>
    <row r="25" spans="1:11" x14ac:dyDescent="0.25">
      <c r="A25" s="208" t="s">
        <v>284</v>
      </c>
      <c r="B25" s="215">
        <f>+B24-B23</f>
        <v>70.754523437420559</v>
      </c>
      <c r="C25" s="215">
        <f t="shared" ref="C25:H25" si="13">+C24-C23</f>
        <v>67.457221353981325</v>
      </c>
      <c r="D25" s="215">
        <f t="shared" si="13"/>
        <v>64.15991927054209</v>
      </c>
      <c r="E25" s="215">
        <f t="shared" si="13"/>
        <v>60.862617187102849</v>
      </c>
      <c r="F25" s="215">
        <f t="shared" si="13"/>
        <v>57.565315103663615</v>
      </c>
      <c r="G25" s="215">
        <f t="shared" si="13"/>
        <v>54.268013020224373</v>
      </c>
      <c r="H25" s="215">
        <f t="shared" si="13"/>
        <v>50.970710936785139</v>
      </c>
      <c r="I25" s="215"/>
      <c r="J25" s="215"/>
    </row>
    <row r="30" spans="1:11" hidden="1" x14ac:dyDescent="0.25">
      <c r="A30" s="189" t="s">
        <v>285</v>
      </c>
      <c r="B30" s="189"/>
      <c r="C30" s="189"/>
      <c r="D30" s="189"/>
      <c r="E30" s="189"/>
      <c r="F30" s="189"/>
      <c r="G30" s="189"/>
      <c r="H30" s="189"/>
      <c r="I30" s="189"/>
      <c r="J30" s="189"/>
    </row>
    <row r="31" spans="1:11" hidden="1" x14ac:dyDescent="0.25">
      <c r="A31" s="209" t="s">
        <v>13</v>
      </c>
      <c r="B31" s="210">
        <v>9</v>
      </c>
      <c r="C31" s="210">
        <v>12</v>
      </c>
      <c r="D31" s="210">
        <v>12</v>
      </c>
      <c r="E31" s="210">
        <v>12</v>
      </c>
      <c r="F31" s="210">
        <v>12</v>
      </c>
      <c r="G31" s="210">
        <v>12</v>
      </c>
      <c r="H31" s="210">
        <v>12</v>
      </c>
      <c r="I31" s="210">
        <v>12</v>
      </c>
      <c r="J31" s="210">
        <v>12</v>
      </c>
    </row>
    <row r="32" spans="1:11" hidden="1" x14ac:dyDescent="0.25">
      <c r="A32" s="203" t="s">
        <v>286</v>
      </c>
      <c r="B32" s="204">
        <v>2027</v>
      </c>
      <c r="C32" s="204">
        <v>2028</v>
      </c>
      <c r="D32" s="204">
        <v>2029</v>
      </c>
      <c r="E32" s="204">
        <v>2030</v>
      </c>
      <c r="F32" s="204">
        <v>2031</v>
      </c>
      <c r="G32" s="204">
        <v>2032</v>
      </c>
      <c r="H32" s="204">
        <v>2033</v>
      </c>
      <c r="I32" s="204">
        <v>2034</v>
      </c>
      <c r="J32" s="204">
        <v>2035</v>
      </c>
    </row>
    <row r="33" spans="1:10" hidden="1" x14ac:dyDescent="0.25">
      <c r="A33" s="211" t="s">
        <v>276</v>
      </c>
      <c r="B33" s="213">
        <f>+B16</f>
        <v>30.647914217633041</v>
      </c>
      <c r="C33" s="213">
        <f>+B35</f>
        <v>27.583122795869738</v>
      </c>
      <c r="D33" s="213">
        <f>+C35</f>
        <v>24.824810516282763</v>
      </c>
      <c r="E33" s="213">
        <f>+D35</f>
        <v>22.342329464654487</v>
      </c>
      <c r="F33" s="213">
        <f t="shared" ref="F33:J33" si="14">+E35</f>
        <v>20.108096518189036</v>
      </c>
      <c r="G33" s="213">
        <f t="shared" si="14"/>
        <v>18.097286866370133</v>
      </c>
      <c r="H33" s="213">
        <f t="shared" si="14"/>
        <v>16.287558179733121</v>
      </c>
      <c r="I33" s="213">
        <f t="shared" si="14"/>
        <v>14.658802361759809</v>
      </c>
      <c r="J33" s="213">
        <f t="shared" si="14"/>
        <v>13.192922125583829</v>
      </c>
    </row>
    <row r="34" spans="1:10" hidden="1" x14ac:dyDescent="0.25">
      <c r="A34" s="205" t="s">
        <v>287</v>
      </c>
      <c r="B34" s="213">
        <f>+B33*H4</f>
        <v>3.0647914217633043</v>
      </c>
      <c r="C34" s="213">
        <f t="shared" ref="C34:J34" si="15">+C33*$H$4</f>
        <v>2.7583122795869741</v>
      </c>
      <c r="D34" s="213">
        <f t="shared" si="15"/>
        <v>2.4824810516282767</v>
      </c>
      <c r="E34" s="213">
        <f t="shared" si="15"/>
        <v>2.2342329464654487</v>
      </c>
      <c r="F34" s="213">
        <f t="shared" si="15"/>
        <v>2.0108096518189038</v>
      </c>
      <c r="G34" s="213">
        <f t="shared" si="15"/>
        <v>1.8097286866370135</v>
      </c>
      <c r="H34" s="213">
        <f t="shared" si="15"/>
        <v>1.6287558179733121</v>
      </c>
      <c r="I34" s="213">
        <f t="shared" si="15"/>
        <v>1.4658802361759811</v>
      </c>
      <c r="J34" s="213">
        <f t="shared" si="15"/>
        <v>1.319292212558383</v>
      </c>
    </row>
    <row r="35" spans="1:10" hidden="1" x14ac:dyDescent="0.25">
      <c r="A35" s="205" t="s">
        <v>288</v>
      </c>
      <c r="B35" s="213">
        <f>+B33-B34</f>
        <v>27.583122795869738</v>
      </c>
      <c r="C35" s="213">
        <f>+C33-C34</f>
        <v>24.824810516282763</v>
      </c>
      <c r="D35" s="213">
        <f>+D33-D34</f>
        <v>22.342329464654487</v>
      </c>
      <c r="E35" s="213">
        <f t="shared" ref="E35:J35" si="16">+E33-E34</f>
        <v>20.108096518189036</v>
      </c>
      <c r="F35" s="213">
        <f t="shared" si="16"/>
        <v>18.097286866370133</v>
      </c>
      <c r="G35" s="213">
        <f t="shared" si="16"/>
        <v>16.287558179733121</v>
      </c>
      <c r="H35" s="213">
        <f t="shared" si="16"/>
        <v>14.658802361759809</v>
      </c>
      <c r="I35" s="213">
        <f t="shared" si="16"/>
        <v>13.192922125583829</v>
      </c>
      <c r="J35" s="213">
        <f t="shared" si="16"/>
        <v>11.873629913025447</v>
      </c>
    </row>
    <row r="36" spans="1:10" hidden="1" x14ac:dyDescent="0.25">
      <c r="A36" s="194" t="s">
        <v>273</v>
      </c>
      <c r="B36" s="213">
        <f>+B18</f>
        <v>2.7131652104845116</v>
      </c>
      <c r="C36" s="213">
        <f>+B38</f>
        <v>2.4418486894360605</v>
      </c>
      <c r="D36" s="213">
        <f t="shared" ref="D36:J36" si="17">+C38</f>
        <v>2.1976638204924543</v>
      </c>
      <c r="E36" s="213">
        <f t="shared" si="17"/>
        <v>1.9778974384432089</v>
      </c>
      <c r="F36" s="213">
        <f t="shared" si="17"/>
        <v>1.7801076945988878</v>
      </c>
      <c r="G36" s="213">
        <f t="shared" si="17"/>
        <v>1.6020969251389992</v>
      </c>
      <c r="H36" s="213">
        <f t="shared" si="17"/>
        <v>1.4418872326250991</v>
      </c>
      <c r="I36" s="213">
        <f t="shared" si="17"/>
        <v>1.2976985093625892</v>
      </c>
      <c r="J36" s="213">
        <f t="shared" si="17"/>
        <v>1.1679286584263302</v>
      </c>
    </row>
    <row r="37" spans="1:10" hidden="1" x14ac:dyDescent="0.25">
      <c r="A37" s="205" t="s">
        <v>287</v>
      </c>
      <c r="B37" s="213">
        <f t="shared" ref="B37:J37" si="18">+B36*$H$6</f>
        <v>0.27131652104845116</v>
      </c>
      <c r="C37" s="213">
        <f t="shared" si="18"/>
        <v>0.24418486894360605</v>
      </c>
      <c r="D37" s="213">
        <f t="shared" si="18"/>
        <v>0.21976638204924545</v>
      </c>
      <c r="E37" s="213">
        <f t="shared" si="18"/>
        <v>0.19778974384432091</v>
      </c>
      <c r="F37" s="213">
        <f t="shared" si="18"/>
        <v>0.17801076945988881</v>
      </c>
      <c r="G37" s="213">
        <f t="shared" si="18"/>
        <v>0.16020969251389994</v>
      </c>
      <c r="H37" s="213">
        <f t="shared" si="18"/>
        <v>0.14418872326250992</v>
      </c>
      <c r="I37" s="213">
        <f t="shared" si="18"/>
        <v>0.12976985093625892</v>
      </c>
      <c r="J37" s="213">
        <f t="shared" si="18"/>
        <v>0.11679286584263303</v>
      </c>
    </row>
    <row r="38" spans="1:10" hidden="1" x14ac:dyDescent="0.25">
      <c r="A38" s="194" t="s">
        <v>289</v>
      </c>
      <c r="B38" s="213">
        <f>+B36-B37</f>
        <v>2.4418486894360605</v>
      </c>
      <c r="C38" s="213">
        <f t="shared" ref="C38:J38" si="19">+C36-C37</f>
        <v>2.1976638204924543</v>
      </c>
      <c r="D38" s="213">
        <f t="shared" si="19"/>
        <v>1.9778974384432089</v>
      </c>
      <c r="E38" s="213">
        <f t="shared" si="19"/>
        <v>1.7801076945988878</v>
      </c>
      <c r="F38" s="213">
        <f t="shared" si="19"/>
        <v>1.6020969251389992</v>
      </c>
      <c r="G38" s="213">
        <f t="shared" si="19"/>
        <v>1.4418872326250991</v>
      </c>
      <c r="H38" s="213">
        <f t="shared" si="19"/>
        <v>1.2976985093625892</v>
      </c>
      <c r="I38" s="213">
        <f t="shared" si="19"/>
        <v>1.1679286584263302</v>
      </c>
      <c r="J38" s="213">
        <f t="shared" si="19"/>
        <v>1.0511357925836973</v>
      </c>
    </row>
    <row r="39" spans="1:10" hidden="1" x14ac:dyDescent="0.25">
      <c r="A39" s="205" t="s">
        <v>279</v>
      </c>
      <c r="B39" s="213">
        <f>+B20</f>
        <v>34.956420571882447</v>
      </c>
      <c r="C39" s="213">
        <f>+B41</f>
        <v>29.71295748610008</v>
      </c>
      <c r="D39" s="213">
        <f t="shared" ref="D39:J39" si="20">+C41</f>
        <v>25.256013863185068</v>
      </c>
      <c r="E39" s="213">
        <f t="shared" si="20"/>
        <v>21.467611783707309</v>
      </c>
      <c r="F39" s="213">
        <f t="shared" si="20"/>
        <v>18.247470016151212</v>
      </c>
      <c r="G39" s="213">
        <f t="shared" si="20"/>
        <v>15.51034951372853</v>
      </c>
      <c r="H39" s="213">
        <f t="shared" si="20"/>
        <v>13.18379708666925</v>
      </c>
      <c r="I39" s="213">
        <f t="shared" si="20"/>
        <v>11.206227523668863</v>
      </c>
      <c r="J39" s="213">
        <f t="shared" si="20"/>
        <v>9.525293395118533</v>
      </c>
    </row>
    <row r="40" spans="1:10" hidden="1" x14ac:dyDescent="0.25">
      <c r="A40" s="205" t="s">
        <v>287</v>
      </c>
      <c r="B40" s="213">
        <f t="shared" ref="B40:J40" si="21">+B39*$H$5</f>
        <v>5.2434630857823672</v>
      </c>
      <c r="C40" s="213">
        <f t="shared" si="21"/>
        <v>4.4569436229150119</v>
      </c>
      <c r="D40" s="213">
        <f t="shared" si="21"/>
        <v>3.78840207947776</v>
      </c>
      <c r="E40" s="213">
        <f t="shared" si="21"/>
        <v>3.2201417675560964</v>
      </c>
      <c r="F40" s="213">
        <f t="shared" si="21"/>
        <v>2.7371205024226817</v>
      </c>
      <c r="G40" s="213">
        <f t="shared" si="21"/>
        <v>2.3265524270592794</v>
      </c>
      <c r="H40" s="213">
        <f t="shared" si="21"/>
        <v>1.9775695630003873</v>
      </c>
      <c r="I40" s="213">
        <f t="shared" si="21"/>
        <v>1.6809341285503294</v>
      </c>
      <c r="J40" s="213">
        <f t="shared" si="21"/>
        <v>1.42879400926778</v>
      </c>
    </row>
    <row r="41" spans="1:10" hidden="1" x14ac:dyDescent="0.25">
      <c r="A41" s="205" t="s">
        <v>290</v>
      </c>
      <c r="B41" s="213">
        <f>+B39-B40</f>
        <v>29.71295748610008</v>
      </c>
      <c r="C41" s="213">
        <f t="shared" ref="C41:J41" si="22">+C39-C40</f>
        <v>25.256013863185068</v>
      </c>
      <c r="D41" s="213">
        <f t="shared" si="22"/>
        <v>21.467611783707309</v>
      </c>
      <c r="E41" s="213">
        <f t="shared" si="22"/>
        <v>18.247470016151212</v>
      </c>
      <c r="F41" s="213">
        <f t="shared" si="22"/>
        <v>15.51034951372853</v>
      </c>
      <c r="G41" s="213">
        <f t="shared" si="22"/>
        <v>13.18379708666925</v>
      </c>
      <c r="H41" s="213">
        <f t="shared" si="22"/>
        <v>11.206227523668863</v>
      </c>
      <c r="I41" s="213">
        <f t="shared" si="22"/>
        <v>9.525293395118533</v>
      </c>
      <c r="J41" s="213">
        <f t="shared" si="22"/>
        <v>8.0964993858507537</v>
      </c>
    </row>
    <row r="42" spans="1:10" hidden="1" x14ac:dyDescent="0.25">
      <c r="A42" s="189" t="s">
        <v>291</v>
      </c>
      <c r="B42" s="216">
        <f>+B34+B37+B40</f>
        <v>8.5795710285941222</v>
      </c>
      <c r="C42" s="216">
        <f t="shared" ref="C42:J42" si="23">+C34+C37+C40</f>
        <v>7.4594407714455926</v>
      </c>
      <c r="D42" s="216">
        <f t="shared" si="23"/>
        <v>6.4906495131552822</v>
      </c>
      <c r="E42" s="216">
        <f t="shared" si="23"/>
        <v>5.6521644578658661</v>
      </c>
      <c r="F42" s="216">
        <f t="shared" si="23"/>
        <v>4.9259409237014742</v>
      </c>
      <c r="G42" s="216">
        <f t="shared" si="23"/>
        <v>4.2964908062101923</v>
      </c>
      <c r="H42" s="216">
        <f t="shared" si="23"/>
        <v>3.7505141042362093</v>
      </c>
      <c r="I42" s="216">
        <f t="shared" si="23"/>
        <v>3.2765842156625693</v>
      </c>
      <c r="J42" s="216">
        <f t="shared" si="23"/>
        <v>2.864879087668796</v>
      </c>
    </row>
    <row r="43" spans="1:10" hidden="1" x14ac:dyDescent="0.25">
      <c r="A43" s="189" t="s">
        <v>292</v>
      </c>
      <c r="B43" s="216">
        <f>+B35+B38+B41</f>
        <v>59.737928971405879</v>
      </c>
      <c r="C43" s="216">
        <f t="shared" ref="C43:J43" si="24">+C35+C38+C41</f>
        <v>52.278488199960286</v>
      </c>
      <c r="D43" s="216">
        <f t="shared" si="24"/>
        <v>45.787838686805003</v>
      </c>
      <c r="E43" s="216">
        <f t="shared" si="24"/>
        <v>40.135674228939138</v>
      </c>
      <c r="F43" s="216">
        <f t="shared" si="24"/>
        <v>35.209733305237663</v>
      </c>
      <c r="G43" s="216">
        <f t="shared" si="24"/>
        <v>30.913242499027469</v>
      </c>
      <c r="H43" s="216">
        <f t="shared" si="24"/>
        <v>27.162728394791262</v>
      </c>
      <c r="I43" s="216">
        <f t="shared" si="24"/>
        <v>23.886144179128692</v>
      </c>
      <c r="J43" s="216">
        <f t="shared" si="24"/>
        <v>21.021265091459895</v>
      </c>
    </row>
    <row r="56" spans="1:11" hidden="1" x14ac:dyDescent="0.25">
      <c r="A56" s="434" t="s">
        <v>16</v>
      </c>
      <c r="B56" s="434"/>
      <c r="C56" s="434"/>
      <c r="D56" s="434"/>
      <c r="E56" s="434"/>
      <c r="F56" s="434"/>
      <c r="G56" s="434"/>
      <c r="H56" s="434"/>
      <c r="I56" s="6"/>
    </row>
    <row r="57" spans="1:11" hidden="1" x14ac:dyDescent="0.25">
      <c r="A57" s="23" t="s">
        <v>135</v>
      </c>
      <c r="B57" s="22"/>
      <c r="C57" s="88" t="s">
        <v>55</v>
      </c>
      <c r="D57" s="88" t="s">
        <v>56</v>
      </c>
      <c r="E57" s="88" t="s">
        <v>57</v>
      </c>
      <c r="F57" s="88" t="s">
        <v>58</v>
      </c>
      <c r="G57" s="88" t="s">
        <v>59</v>
      </c>
      <c r="H57" s="88" t="s">
        <v>60</v>
      </c>
      <c r="I57" s="88" t="s">
        <v>236</v>
      </c>
      <c r="J57" s="88" t="s">
        <v>237</v>
      </c>
      <c r="K57" s="88" t="s">
        <v>240</v>
      </c>
    </row>
    <row r="58" spans="1:11" hidden="1" x14ac:dyDescent="0.25">
      <c r="A58" s="26" t="s">
        <v>17</v>
      </c>
      <c r="B58" s="9"/>
      <c r="C58" s="9"/>
      <c r="D58" s="9"/>
      <c r="E58" s="9"/>
      <c r="F58" s="9"/>
      <c r="G58" s="9"/>
      <c r="H58" s="9"/>
      <c r="I58" s="9"/>
    </row>
    <row r="59" spans="1:11" hidden="1" x14ac:dyDescent="0.25">
      <c r="A59" s="9" t="s">
        <v>18</v>
      </c>
      <c r="B59" s="9"/>
      <c r="C59" s="10">
        <f>'Project Cost'!D9</f>
        <v>28.24</v>
      </c>
      <c r="D59" s="10">
        <f>C59</f>
        <v>28.24</v>
      </c>
      <c r="E59" s="10">
        <f>C59</f>
        <v>28.24</v>
      </c>
      <c r="F59" s="10">
        <f t="shared" ref="F59" si="25">E59</f>
        <v>28.24</v>
      </c>
      <c r="G59" s="10">
        <f t="shared" ref="G59:G61" si="26">E59</f>
        <v>28.24</v>
      </c>
      <c r="H59" s="10">
        <f t="shared" ref="H59" si="27">G59</f>
        <v>28.24</v>
      </c>
      <c r="I59" s="10">
        <f t="shared" ref="I59:I61" si="28">G59</f>
        <v>28.24</v>
      </c>
    </row>
    <row r="60" spans="1:11" hidden="1" x14ac:dyDescent="0.25">
      <c r="A60" s="9" t="s">
        <v>19</v>
      </c>
      <c r="B60" s="9"/>
      <c r="C60" s="10">
        <f>'Project Cost'!D10</f>
        <v>32.21</v>
      </c>
      <c r="D60" s="10">
        <f>C60</f>
        <v>32.21</v>
      </c>
      <c r="E60" s="10">
        <f>C60</f>
        <v>32.21</v>
      </c>
      <c r="F60" s="10">
        <f t="shared" ref="F60" si="29">E60</f>
        <v>32.21</v>
      </c>
      <c r="G60" s="10">
        <f t="shared" si="26"/>
        <v>32.21</v>
      </c>
      <c r="H60" s="10">
        <f t="shared" ref="H60" si="30">G60</f>
        <v>32.21</v>
      </c>
      <c r="I60" s="10">
        <f t="shared" si="28"/>
        <v>32.21</v>
      </c>
    </row>
    <row r="61" spans="1:11" hidden="1" x14ac:dyDescent="0.25">
      <c r="A61" s="9" t="s">
        <v>61</v>
      </c>
      <c r="B61" s="9"/>
      <c r="C61" s="10">
        <f>'Project Cost'!D11+'Project Cost'!D14</f>
        <v>5.6475000000000009</v>
      </c>
      <c r="D61" s="10">
        <f>C61</f>
        <v>5.6475000000000009</v>
      </c>
      <c r="E61" s="10">
        <f>C61</f>
        <v>5.6475000000000009</v>
      </c>
      <c r="F61" s="10">
        <f t="shared" ref="F61" si="31">E61</f>
        <v>5.6475000000000009</v>
      </c>
      <c r="G61" s="10">
        <f t="shared" si="26"/>
        <v>5.6475000000000009</v>
      </c>
      <c r="H61" s="10">
        <f t="shared" ref="H61" si="32">G61</f>
        <v>5.6475000000000009</v>
      </c>
      <c r="I61" s="10">
        <f t="shared" si="28"/>
        <v>5.6475000000000009</v>
      </c>
    </row>
    <row r="62" spans="1:11" hidden="1" x14ac:dyDescent="0.25">
      <c r="A62" s="24" t="s">
        <v>9</v>
      </c>
      <c r="B62" s="24"/>
      <c r="C62" s="25">
        <f t="shared" ref="C62:I62" si="33">SUM(C59:C61)</f>
        <v>66.097499999999997</v>
      </c>
      <c r="D62" s="25">
        <f t="shared" si="33"/>
        <v>66.097499999999997</v>
      </c>
      <c r="E62" s="25">
        <f t="shared" si="33"/>
        <v>66.097499999999997</v>
      </c>
      <c r="F62" s="25">
        <f t="shared" si="33"/>
        <v>66.097499999999997</v>
      </c>
      <c r="G62" s="25">
        <f t="shared" si="33"/>
        <v>66.097499999999997</v>
      </c>
      <c r="H62" s="25">
        <f t="shared" si="33"/>
        <v>66.097499999999997</v>
      </c>
      <c r="I62" s="25">
        <f t="shared" si="33"/>
        <v>66.097499999999997</v>
      </c>
    </row>
    <row r="63" spans="1:11" hidden="1" x14ac:dyDescent="0.25">
      <c r="A63" s="9"/>
      <c r="B63" s="9"/>
      <c r="C63" s="9"/>
      <c r="D63" s="9"/>
      <c r="E63" s="9"/>
      <c r="F63" s="9"/>
      <c r="G63" s="9"/>
      <c r="H63" s="9"/>
      <c r="I63" s="9"/>
    </row>
    <row r="64" spans="1:11" hidden="1" x14ac:dyDescent="0.25">
      <c r="A64" s="26" t="s">
        <v>20</v>
      </c>
      <c r="B64" s="9"/>
      <c r="C64" s="9"/>
      <c r="D64" s="9"/>
      <c r="E64" s="9"/>
      <c r="F64" s="9"/>
      <c r="G64" s="9"/>
      <c r="H64" s="9"/>
      <c r="I64" s="9"/>
    </row>
    <row r="65" spans="1:9" hidden="1" x14ac:dyDescent="0.25">
      <c r="A65" s="9" t="s">
        <v>18</v>
      </c>
      <c r="B65" s="42">
        <v>0.1</v>
      </c>
      <c r="C65" s="10">
        <f>(C59*B65)*7/12</f>
        <v>1.6473333333333333</v>
      </c>
      <c r="D65" s="10">
        <f>C71*B65</f>
        <v>2.6592666666666669</v>
      </c>
      <c r="E65" s="10">
        <f>D71*B65</f>
        <v>2.3933399999999998</v>
      </c>
      <c r="F65" s="10">
        <f>E71*B65</f>
        <v>2.1540060000000003</v>
      </c>
      <c r="G65" s="10">
        <f>F71*B65</f>
        <v>1.9386054000000001</v>
      </c>
      <c r="H65" s="10">
        <f>G71*B65</f>
        <v>1.7447448600000002</v>
      </c>
      <c r="I65" s="10">
        <f>H71*B65</f>
        <v>1.5702703740000001</v>
      </c>
    </row>
    <row r="66" spans="1:9" hidden="1" x14ac:dyDescent="0.25">
      <c r="A66" s="9" t="s">
        <v>21</v>
      </c>
      <c r="B66" s="42">
        <v>0.15</v>
      </c>
      <c r="C66" s="10">
        <f>(C60*B66)*7/12</f>
        <v>2.8183750000000001</v>
      </c>
      <c r="D66" s="10">
        <f>C72*B66</f>
        <v>4.4087437500000002</v>
      </c>
      <c r="E66" s="10">
        <f>D72*B66</f>
        <v>3.7474321875000003</v>
      </c>
      <c r="F66" s="10">
        <f>E72*B66</f>
        <v>3.1853173593750004</v>
      </c>
      <c r="G66" s="10">
        <f>F72*B66</f>
        <v>2.7075197554687507</v>
      </c>
      <c r="H66" s="10">
        <f>G72*B66</f>
        <v>2.3013917921484381</v>
      </c>
      <c r="I66" s="10">
        <f>H72*B66</f>
        <v>1.9561830233261723</v>
      </c>
    </row>
    <row r="67" spans="1:9" hidden="1" x14ac:dyDescent="0.25">
      <c r="A67" s="9" t="s">
        <v>61</v>
      </c>
      <c r="B67" s="42">
        <v>0.1</v>
      </c>
      <c r="C67" s="10">
        <f>(C61*B67)*7/12</f>
        <v>0.32943750000000005</v>
      </c>
      <c r="D67" s="10">
        <f>C73*B67</f>
        <v>0.53180625000000015</v>
      </c>
      <c r="E67" s="10">
        <f>D73*B67</f>
        <v>0.47862562500000011</v>
      </c>
      <c r="F67" s="10">
        <f>E73*B67</f>
        <v>0.43076306250000007</v>
      </c>
      <c r="G67" s="10">
        <f>F73*B67</f>
        <v>0.3876867562500001</v>
      </c>
      <c r="H67" s="10">
        <f>G73*B67</f>
        <v>0.34891808062500007</v>
      </c>
      <c r="I67" s="10">
        <f>H73*B67</f>
        <v>0.3140262725625001</v>
      </c>
    </row>
    <row r="68" spans="1:9" hidden="1" x14ac:dyDescent="0.25">
      <c r="A68" s="24" t="s">
        <v>9</v>
      </c>
      <c r="B68" s="24"/>
      <c r="C68" s="25">
        <f t="shared" ref="C68:I68" si="34">SUM(C65:C67)</f>
        <v>4.7951458333333337</v>
      </c>
      <c r="D68" s="25">
        <f t="shared" si="34"/>
        <v>7.5998166666666664</v>
      </c>
      <c r="E68" s="25">
        <f t="shared" si="34"/>
        <v>6.6193978124999999</v>
      </c>
      <c r="F68" s="25">
        <f t="shared" si="34"/>
        <v>5.7700864218750016</v>
      </c>
      <c r="G68" s="25">
        <f t="shared" si="34"/>
        <v>5.0338119117187503</v>
      </c>
      <c r="H68" s="25">
        <f t="shared" si="34"/>
        <v>4.3950547327734384</v>
      </c>
      <c r="I68" s="25">
        <f t="shared" si="34"/>
        <v>3.8404796698886727</v>
      </c>
    </row>
    <row r="69" spans="1:9" hidden="1" x14ac:dyDescent="0.25">
      <c r="A69" s="9"/>
      <c r="B69" s="9"/>
      <c r="C69" s="9"/>
      <c r="D69" s="9"/>
      <c r="E69" s="9"/>
      <c r="F69" s="9"/>
      <c r="G69" s="9"/>
      <c r="H69" s="9"/>
      <c r="I69" s="9"/>
    </row>
    <row r="70" spans="1:9" hidden="1" x14ac:dyDescent="0.25">
      <c r="A70" s="26" t="s">
        <v>22</v>
      </c>
      <c r="B70" s="9"/>
      <c r="C70" s="9"/>
      <c r="D70" s="9"/>
      <c r="E70" s="9"/>
      <c r="F70" s="9"/>
      <c r="G70" s="9"/>
      <c r="H70" s="9"/>
      <c r="I70" s="9"/>
    </row>
    <row r="71" spans="1:9" hidden="1" x14ac:dyDescent="0.25">
      <c r="A71" s="9" t="s">
        <v>23</v>
      </c>
      <c r="B71" s="9"/>
      <c r="C71" s="10">
        <f>C59-C65</f>
        <v>26.592666666666666</v>
      </c>
      <c r="D71" s="10">
        <f t="shared" ref="D71:I73" si="35">C71-D65</f>
        <v>23.933399999999999</v>
      </c>
      <c r="E71" s="10">
        <f t="shared" si="35"/>
        <v>21.54006</v>
      </c>
      <c r="F71" s="10">
        <f t="shared" si="35"/>
        <v>19.386054000000001</v>
      </c>
      <c r="G71" s="10">
        <f t="shared" si="35"/>
        <v>17.447448600000001</v>
      </c>
      <c r="H71" s="10">
        <f t="shared" si="35"/>
        <v>15.70270374</v>
      </c>
      <c r="I71" s="10">
        <f t="shared" si="35"/>
        <v>14.132433366000001</v>
      </c>
    </row>
    <row r="72" spans="1:9" hidden="1" x14ac:dyDescent="0.25">
      <c r="A72" s="9" t="s">
        <v>19</v>
      </c>
      <c r="B72" s="9"/>
      <c r="C72" s="10">
        <f>C60-C66</f>
        <v>29.391625000000001</v>
      </c>
      <c r="D72" s="10">
        <f t="shared" si="35"/>
        <v>24.982881250000002</v>
      </c>
      <c r="E72" s="10">
        <f t="shared" si="35"/>
        <v>21.235449062500003</v>
      </c>
      <c r="F72" s="10">
        <f t="shared" si="35"/>
        <v>18.050131703125004</v>
      </c>
      <c r="G72" s="10">
        <f t="shared" si="35"/>
        <v>15.342611947656254</v>
      </c>
      <c r="H72" s="10">
        <f t="shared" si="35"/>
        <v>13.041220155507816</v>
      </c>
      <c r="I72" s="10">
        <f t="shared" si="35"/>
        <v>11.085037132181643</v>
      </c>
    </row>
    <row r="73" spans="1:9" hidden="1" x14ac:dyDescent="0.25">
      <c r="A73" s="9" t="s">
        <v>61</v>
      </c>
      <c r="B73" s="9"/>
      <c r="C73" s="10">
        <f>C61-C67</f>
        <v>5.3180625000000008</v>
      </c>
      <c r="D73" s="10">
        <f t="shared" si="35"/>
        <v>4.786256250000001</v>
      </c>
      <c r="E73" s="10">
        <f t="shared" si="35"/>
        <v>4.3076306250000007</v>
      </c>
      <c r="F73" s="10">
        <f t="shared" si="35"/>
        <v>3.8768675625000006</v>
      </c>
      <c r="G73" s="10">
        <f t="shared" si="35"/>
        <v>3.4891808062500007</v>
      </c>
      <c r="H73" s="10">
        <f t="shared" si="35"/>
        <v>3.1402627256250009</v>
      </c>
      <c r="I73" s="10">
        <f t="shared" si="35"/>
        <v>2.8262364530625006</v>
      </c>
    </row>
    <row r="74" spans="1:9" hidden="1" x14ac:dyDescent="0.25">
      <c r="A74" s="24" t="s">
        <v>9</v>
      </c>
      <c r="B74" s="24"/>
      <c r="C74" s="25">
        <f t="shared" ref="C74:I74" si="36">SUM(C71:C73)</f>
        <v>61.302354166666667</v>
      </c>
      <c r="D74" s="25">
        <f t="shared" si="36"/>
        <v>53.702537499999998</v>
      </c>
      <c r="E74" s="25">
        <f t="shared" si="36"/>
        <v>47.083139687500008</v>
      </c>
      <c r="F74" s="25">
        <f t="shared" si="36"/>
        <v>41.313053265625008</v>
      </c>
      <c r="G74" s="25">
        <f t="shared" si="36"/>
        <v>36.279241353906251</v>
      </c>
      <c r="H74" s="25">
        <f t="shared" si="36"/>
        <v>31.884186621132816</v>
      </c>
      <c r="I74" s="25">
        <f t="shared" si="36"/>
        <v>28.043706951244143</v>
      </c>
    </row>
    <row r="75" spans="1:9" hidden="1" x14ac:dyDescent="0.25"/>
    <row r="76" spans="1:9" hidden="1" x14ac:dyDescent="0.25"/>
    <row r="77" spans="1:9" hidden="1" x14ac:dyDescent="0.25"/>
    <row r="78" spans="1:9" hidden="1" x14ac:dyDescent="0.25"/>
    <row r="79" spans="1:9" hidden="1" x14ac:dyDescent="0.25">
      <c r="A79" s="178" t="s">
        <v>24</v>
      </c>
      <c r="B79" s="179"/>
      <c r="C79" s="180" t="s">
        <v>257</v>
      </c>
      <c r="D79" s="178" t="s">
        <v>258</v>
      </c>
      <c r="E79" s="181" t="s">
        <v>259</v>
      </c>
      <c r="F79" s="181" t="s">
        <v>260</v>
      </c>
      <c r="G79" s="180" t="s">
        <v>261</v>
      </c>
    </row>
    <row r="80" spans="1:9" hidden="1" x14ac:dyDescent="0.25">
      <c r="A80" s="178"/>
      <c r="B80" s="179"/>
      <c r="C80" s="179"/>
      <c r="D80" s="178" t="s">
        <v>262</v>
      </c>
      <c r="E80" s="181" t="s">
        <v>263</v>
      </c>
      <c r="F80" s="178"/>
      <c r="G80" s="180" t="s">
        <v>264</v>
      </c>
    </row>
    <row r="81" spans="1:8" ht="36.75" hidden="1" x14ac:dyDescent="0.25">
      <c r="A81" s="182"/>
      <c r="B81" s="183"/>
      <c r="C81" s="183"/>
      <c r="D81" s="182"/>
      <c r="E81" s="184" t="s">
        <v>265</v>
      </c>
      <c r="F81" s="185"/>
      <c r="G81" s="186" t="s">
        <v>266</v>
      </c>
      <c r="H81" t="s">
        <v>20</v>
      </c>
    </row>
    <row r="82" spans="1:8" hidden="1" x14ac:dyDescent="0.25">
      <c r="A82" s="9" t="s">
        <v>23</v>
      </c>
      <c r="B82">
        <v>100</v>
      </c>
      <c r="C82">
        <f>2824/B82</f>
        <v>28.24</v>
      </c>
      <c r="D82">
        <f>141.2/B82</f>
        <v>1.4119999999999999</v>
      </c>
      <c r="E82">
        <f>99.59/B82</f>
        <v>0.99590000000000001</v>
      </c>
      <c r="F82">
        <f>+(C82+D82+E82)</f>
        <v>30.647899999999996</v>
      </c>
      <c r="G82" s="187">
        <v>1.5800000000000002E-2</v>
      </c>
      <c r="H82" s="11">
        <f>+F82*G82</f>
        <v>0.48423682000000001</v>
      </c>
    </row>
    <row r="83" spans="1:8" hidden="1" x14ac:dyDescent="0.25">
      <c r="A83" s="9" t="s">
        <v>19</v>
      </c>
      <c r="C83">
        <f>3221/B82</f>
        <v>32.21</v>
      </c>
      <c r="D83">
        <f>161.07/B82</f>
        <v>1.6107</v>
      </c>
      <c r="E83">
        <f>113.59/B82</f>
        <v>1.1359000000000001</v>
      </c>
      <c r="F83">
        <f>+(C83+D83+E83)</f>
        <v>34.956600000000002</v>
      </c>
      <c r="G83" s="187">
        <v>7.3099999999999998E-2</v>
      </c>
      <c r="H83" s="11">
        <f t="shared" ref="H83:H84" si="37">+F83*G83</f>
        <v>2.55532746</v>
      </c>
    </row>
    <row r="84" spans="1:8" hidden="1" x14ac:dyDescent="0.25">
      <c r="A84" s="9" t="s">
        <v>61</v>
      </c>
      <c r="C84">
        <f>250/100</f>
        <v>2.5</v>
      </c>
      <c r="D84">
        <f>24.6/B82</f>
        <v>0.24600000000000002</v>
      </c>
      <c r="E84">
        <f>8.82/B82</f>
        <v>8.8200000000000001E-2</v>
      </c>
      <c r="F84">
        <f>+(C84+D84+E84)</f>
        <v>2.8342000000000001</v>
      </c>
      <c r="G84" s="187">
        <v>9.5000000000000001E-2</v>
      </c>
      <c r="H84" s="11">
        <f t="shared" si="37"/>
        <v>0.26924900000000002</v>
      </c>
    </row>
    <row r="85" spans="1:8" hidden="1" x14ac:dyDescent="0.25">
      <c r="C85">
        <f>SUM(C82:C84)</f>
        <v>62.95</v>
      </c>
      <c r="D85">
        <f>SUM(D82:D84)</f>
        <v>3.2686999999999999</v>
      </c>
      <c r="E85">
        <f>SUM(E82:E84)</f>
        <v>2.2200000000000002</v>
      </c>
      <c r="F85">
        <f>+(C85+D85+E85)</f>
        <v>68.438699999999997</v>
      </c>
      <c r="H85" s="11">
        <f>SUM(H82:H84)</f>
        <v>3.3088132799999999</v>
      </c>
    </row>
    <row r="86" spans="1:8" hidden="1" x14ac:dyDescent="0.25"/>
  </sheetData>
  <mergeCells count="1">
    <mergeCell ref="A56:H56"/>
  </mergeCells>
  <pageMargins left="0.7" right="0.7" top="0.75" bottom="0.75" header="0.3" footer="0.3"/>
  <pageSetup paperSize="9" orientation="landscape" r:id="rId1"/>
  <ignoredErrors>
    <ignoredError sqref="E67"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4"/>
  <sheetViews>
    <sheetView workbookViewId="0">
      <selection activeCell="O18" sqref="O18"/>
    </sheetView>
  </sheetViews>
  <sheetFormatPr defaultRowHeight="15" x14ac:dyDescent="0.25"/>
  <cols>
    <col min="3" max="3" width="24.42578125" customWidth="1"/>
    <col min="10" max="10" width="10.28515625" bestFit="1" customWidth="1"/>
  </cols>
  <sheetData>
    <row r="1" spans="1:15" s="326" customFormat="1" x14ac:dyDescent="0.25">
      <c r="A1" s="322">
        <v>6</v>
      </c>
      <c r="B1" s="323" t="s">
        <v>294</v>
      </c>
      <c r="C1" s="324"/>
      <c r="D1" s="325"/>
      <c r="E1" s="325"/>
      <c r="G1" s="327"/>
    </row>
    <row r="2" spans="1:15" s="326" customFormat="1" x14ac:dyDescent="0.25">
      <c r="A2" s="325"/>
      <c r="B2" s="322"/>
      <c r="C2" s="324"/>
      <c r="D2" s="325"/>
      <c r="E2" s="325"/>
      <c r="G2" s="327"/>
    </row>
    <row r="3" spans="1:15" s="326" customFormat="1" x14ac:dyDescent="0.25">
      <c r="A3" s="325"/>
      <c r="B3" s="328">
        <v>6.1</v>
      </c>
      <c r="C3" s="324" t="s">
        <v>295</v>
      </c>
      <c r="D3" s="325"/>
      <c r="E3" s="325"/>
      <c r="G3" s="329">
        <v>0</v>
      </c>
      <c r="H3" s="330">
        <v>0</v>
      </c>
      <c r="I3" s="330">
        <v>0</v>
      </c>
      <c r="J3" s="330">
        <v>5</v>
      </c>
      <c r="K3" s="330">
        <v>0</v>
      </c>
      <c r="L3" s="330">
        <v>5</v>
      </c>
      <c r="M3" s="330">
        <v>5</v>
      </c>
    </row>
    <row r="4" spans="1:15" s="326" customFormat="1" x14ac:dyDescent="0.25">
      <c r="A4" s="325"/>
      <c r="B4" s="328"/>
      <c r="C4" s="324"/>
      <c r="D4" s="325"/>
      <c r="E4" s="325"/>
      <c r="G4" s="331"/>
      <c r="M4" s="330"/>
    </row>
    <row r="5" spans="1:15" s="326" customFormat="1" x14ac:dyDescent="0.25">
      <c r="A5" s="325"/>
      <c r="B5" s="328">
        <v>6.1999999999999993</v>
      </c>
      <c r="C5" s="324" t="s">
        <v>296</v>
      </c>
      <c r="D5" s="325"/>
      <c r="E5" s="325"/>
      <c r="G5" s="329">
        <v>0</v>
      </c>
      <c r="H5" s="330">
        <v>0</v>
      </c>
      <c r="I5" s="330">
        <v>0</v>
      </c>
      <c r="J5" s="330">
        <v>5</v>
      </c>
      <c r="K5" s="330">
        <v>0</v>
      </c>
      <c r="L5" s="330">
        <v>5</v>
      </c>
      <c r="M5" s="330">
        <v>5</v>
      </c>
    </row>
    <row r="6" spans="1:15" s="326" customFormat="1" x14ac:dyDescent="0.25">
      <c r="A6" s="325"/>
      <c r="B6" s="328"/>
      <c r="C6" s="324"/>
      <c r="D6" s="325"/>
      <c r="E6" s="325"/>
      <c r="G6" s="331"/>
      <c r="L6" s="330"/>
      <c r="M6" s="330"/>
    </row>
    <row r="7" spans="1:15" s="326" customFormat="1" x14ac:dyDescent="0.25">
      <c r="A7" s="325"/>
      <c r="B7" s="328">
        <v>6.2999999999999989</v>
      </c>
      <c r="C7" s="324" t="s">
        <v>297</v>
      </c>
      <c r="D7" s="325"/>
      <c r="E7" s="325"/>
      <c r="G7" s="329">
        <v>0</v>
      </c>
      <c r="H7" s="330">
        <v>0</v>
      </c>
      <c r="I7" s="330">
        <v>0</v>
      </c>
      <c r="J7" s="330">
        <v>10</v>
      </c>
      <c r="K7" s="330">
        <v>0</v>
      </c>
      <c r="L7" s="330">
        <v>10</v>
      </c>
      <c r="M7" s="330">
        <v>10</v>
      </c>
    </row>
    <row r="8" spans="1:15" s="326" customFormat="1" x14ac:dyDescent="0.25">
      <c r="A8" s="325"/>
      <c r="B8" s="328"/>
      <c r="C8" s="324"/>
      <c r="D8" s="325"/>
      <c r="E8" s="325"/>
      <c r="G8" s="331"/>
      <c r="L8" s="330"/>
      <c r="M8" s="330"/>
    </row>
    <row r="9" spans="1:15" s="326" customFormat="1" x14ac:dyDescent="0.25">
      <c r="A9" s="325"/>
      <c r="B9" s="328">
        <v>6.3999999999999986</v>
      </c>
      <c r="C9" s="324" t="s">
        <v>298</v>
      </c>
      <c r="D9" s="325"/>
      <c r="E9" s="325"/>
      <c r="G9" s="329">
        <v>0</v>
      </c>
      <c r="H9" s="330">
        <v>0</v>
      </c>
      <c r="I9" s="330">
        <v>0</v>
      </c>
      <c r="J9" s="330">
        <v>15</v>
      </c>
      <c r="K9" s="330">
        <v>0</v>
      </c>
      <c r="L9" s="330">
        <v>15</v>
      </c>
      <c r="M9" s="330">
        <v>15</v>
      </c>
    </row>
    <row r="10" spans="1:15" s="326" customFormat="1" x14ac:dyDescent="0.25">
      <c r="A10" s="325"/>
      <c r="B10" s="328"/>
      <c r="C10" s="324"/>
      <c r="D10" s="325"/>
      <c r="E10" s="325"/>
      <c r="G10" s="331"/>
      <c r="L10" s="330"/>
      <c r="M10" s="330"/>
    </row>
    <row r="11" spans="1:15" s="326" customFormat="1" ht="30" x14ac:dyDescent="0.25">
      <c r="A11" s="325"/>
      <c r="B11" s="328">
        <v>6.4999999999999982</v>
      </c>
      <c r="C11" s="324" t="s">
        <v>299</v>
      </c>
      <c r="D11" s="325"/>
      <c r="E11" s="325"/>
      <c r="G11" s="329">
        <v>0</v>
      </c>
      <c r="H11" s="330">
        <v>0</v>
      </c>
      <c r="I11" s="330">
        <v>0</v>
      </c>
      <c r="J11" s="330">
        <v>140.54791666666668</v>
      </c>
      <c r="K11" s="330">
        <v>0</v>
      </c>
      <c r="L11" s="330">
        <v>140.54791666666668</v>
      </c>
      <c r="M11" s="330">
        <v>140.55000000000001</v>
      </c>
      <c r="O11" s="330"/>
    </row>
    <row r="12" spans="1:15" s="326" customFormat="1" x14ac:dyDescent="0.25">
      <c r="A12" s="325"/>
      <c r="C12" s="324" t="s">
        <v>300</v>
      </c>
      <c r="D12" s="325"/>
      <c r="E12" s="325"/>
      <c r="G12" s="331"/>
      <c r="L12" s="330"/>
    </row>
    <row r="13" spans="1:15" s="326" customFormat="1" x14ac:dyDescent="0.25">
      <c r="A13" s="325"/>
      <c r="B13" s="328"/>
      <c r="C13" s="324"/>
      <c r="D13" s="325"/>
      <c r="E13" s="325"/>
      <c r="G13" s="331"/>
      <c r="L13" s="330"/>
    </row>
    <row r="14" spans="1:15" s="326" customFormat="1" x14ac:dyDescent="0.25">
      <c r="A14" s="325"/>
      <c r="B14" s="328"/>
      <c r="C14" s="324" t="s">
        <v>301</v>
      </c>
      <c r="D14" s="325"/>
      <c r="E14" s="325"/>
      <c r="G14" s="329">
        <v>0</v>
      </c>
      <c r="H14" s="330">
        <v>0</v>
      </c>
      <c r="I14" s="330">
        <v>0</v>
      </c>
      <c r="J14" s="330">
        <v>26.3</v>
      </c>
      <c r="K14" s="330">
        <v>0</v>
      </c>
      <c r="L14" s="330">
        <v>26.3</v>
      </c>
      <c r="M14" s="330">
        <v>26.3</v>
      </c>
    </row>
    <row r="15" spans="1:15" s="326" customFormat="1" x14ac:dyDescent="0.25">
      <c r="A15" s="325"/>
      <c r="B15" s="328">
        <v>6.5999999999999979</v>
      </c>
      <c r="C15" s="324" t="s">
        <v>302</v>
      </c>
      <c r="D15" s="325"/>
      <c r="E15" s="325"/>
      <c r="G15" s="331"/>
      <c r="L15" s="330"/>
    </row>
    <row r="16" spans="1:15" s="326" customFormat="1" x14ac:dyDescent="0.25">
      <c r="A16" s="325"/>
      <c r="B16" s="332"/>
      <c r="C16" s="324"/>
      <c r="D16" s="325"/>
      <c r="E16" s="325"/>
      <c r="G16" s="331"/>
      <c r="L16" s="330"/>
    </row>
    <row r="17" spans="1:15" s="326" customFormat="1" x14ac:dyDescent="0.25">
      <c r="A17" s="325"/>
      <c r="B17" s="328">
        <v>6.6999999999999975</v>
      </c>
      <c r="C17" s="324" t="s">
        <v>303</v>
      </c>
      <c r="D17" s="325"/>
      <c r="E17" s="325"/>
      <c r="G17" s="329">
        <v>0</v>
      </c>
      <c r="H17" s="330">
        <v>0</v>
      </c>
      <c r="I17" s="330">
        <v>0</v>
      </c>
      <c r="J17" s="330">
        <v>20</v>
      </c>
      <c r="K17" s="330">
        <v>0</v>
      </c>
      <c r="L17" s="330">
        <v>20</v>
      </c>
      <c r="M17" s="330">
        <v>20</v>
      </c>
    </row>
    <row r="18" spans="1:15" s="326" customFormat="1" x14ac:dyDescent="0.25">
      <c r="B18" s="333"/>
      <c r="C18" s="331"/>
      <c r="G18" s="334"/>
      <c r="H18" s="335"/>
      <c r="I18" s="335"/>
      <c r="J18" s="335"/>
      <c r="K18" s="335"/>
      <c r="L18" s="335"/>
      <c r="M18" s="335"/>
      <c r="O18" s="326">
        <f>+M21-M11</f>
        <v>81.449999999999989</v>
      </c>
    </row>
    <row r="19" spans="1:15" s="326" customFormat="1" x14ac:dyDescent="0.25">
      <c r="B19" s="333"/>
      <c r="C19" s="331"/>
      <c r="E19" s="336" t="s">
        <v>260</v>
      </c>
      <c r="F19" s="337">
        <v>-6</v>
      </c>
      <c r="G19" s="338">
        <v>0</v>
      </c>
      <c r="H19" s="330">
        <v>0</v>
      </c>
      <c r="I19" s="339">
        <v>0</v>
      </c>
      <c r="J19" s="339">
        <f>+SUM(J3:J17)</f>
        <v>221.84791666666669</v>
      </c>
      <c r="K19" s="330">
        <v>0</v>
      </c>
      <c r="L19" s="339">
        <v>221.84791666666669</v>
      </c>
      <c r="M19" s="339">
        <v>221.85000000000002</v>
      </c>
    </row>
    <row r="20" spans="1:15" s="326" customFormat="1" x14ac:dyDescent="0.25">
      <c r="B20" s="333"/>
      <c r="C20" s="331"/>
      <c r="E20" s="336"/>
      <c r="F20" s="336"/>
      <c r="G20" s="340"/>
      <c r="I20" s="336"/>
      <c r="J20" s="336">
        <f>+ROUND(J19,2)</f>
        <v>221.85</v>
      </c>
      <c r="K20" s="336">
        <f t="shared" ref="K20:M20" si="0">+ROUND(K19,2)</f>
        <v>0</v>
      </c>
      <c r="L20" s="336">
        <f t="shared" si="0"/>
        <v>221.85</v>
      </c>
      <c r="M20" s="336">
        <f t="shared" si="0"/>
        <v>221.85</v>
      </c>
    </row>
    <row r="21" spans="1:15" s="326" customFormat="1" x14ac:dyDescent="0.25">
      <c r="B21" s="333"/>
      <c r="C21" s="331"/>
      <c r="E21" s="336"/>
      <c r="F21" s="341" t="s">
        <v>304</v>
      </c>
      <c r="G21" s="338">
        <v>0</v>
      </c>
      <c r="H21" s="330">
        <v>0</v>
      </c>
      <c r="I21" s="339">
        <v>0</v>
      </c>
      <c r="J21" s="339">
        <v>222</v>
      </c>
      <c r="K21" s="330">
        <v>0</v>
      </c>
      <c r="L21" s="339">
        <v>222</v>
      </c>
      <c r="M21" s="339">
        <v>222</v>
      </c>
    </row>
    <row r="22" spans="1:15" x14ac:dyDescent="0.25">
      <c r="J22">
        <f>+J21/100</f>
        <v>2.2200000000000002</v>
      </c>
    </row>
    <row r="23" spans="1:15" x14ac:dyDescent="0.25">
      <c r="J23" s="342">
        <f>+J11</f>
        <v>140.54791666666668</v>
      </c>
    </row>
    <row r="24" spans="1:15" x14ac:dyDescent="0.25">
      <c r="J24" s="342">
        <f>+J19-J23</f>
        <v>81.300000000000011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152"/>
  <sheetViews>
    <sheetView topLeftCell="A16" workbookViewId="0">
      <selection activeCell="F33" sqref="F17:F33"/>
    </sheetView>
  </sheetViews>
  <sheetFormatPr defaultRowHeight="15" x14ac:dyDescent="0.25"/>
  <cols>
    <col min="1" max="1" width="19" style="119" customWidth="1"/>
    <col min="2" max="2" width="14" style="119" customWidth="1"/>
    <col min="3" max="3" width="12.42578125" style="119" bestFit="1" customWidth="1"/>
    <col min="4" max="4" width="10.140625" style="119" bestFit="1" customWidth="1"/>
    <col min="5" max="5" width="12.7109375" style="119" bestFit="1" customWidth="1"/>
    <col min="6" max="6" width="11.7109375" style="119" bestFit="1" customWidth="1"/>
    <col min="7" max="7" width="14.42578125" style="119" customWidth="1"/>
    <col min="8" max="8" width="12.5703125" style="119" bestFit="1" customWidth="1"/>
    <col min="9" max="9" width="9.140625" style="119" customWidth="1"/>
    <col min="10" max="10" width="12" style="119" customWidth="1"/>
    <col min="11" max="11" width="7.85546875" style="119" bestFit="1" customWidth="1"/>
    <col min="12" max="12" width="7.5703125" style="119" bestFit="1" customWidth="1"/>
    <col min="13" max="15" width="7.5703125" style="119" customWidth="1"/>
    <col min="16" max="16" width="9.28515625" style="119" customWidth="1"/>
    <col min="17" max="26" width="9.140625" style="119"/>
    <col min="27" max="27" width="11" style="119" bestFit="1" customWidth="1"/>
    <col min="28" max="258" width="9.140625" style="119"/>
    <col min="259" max="259" width="19" style="119" customWidth="1"/>
    <col min="260" max="260" width="14" style="119" customWidth="1"/>
    <col min="261" max="261" width="12.42578125" style="119" bestFit="1" customWidth="1"/>
    <col min="262" max="262" width="10.140625" style="119" bestFit="1" customWidth="1"/>
    <col min="263" max="263" width="12.7109375" style="119" bestFit="1" customWidth="1"/>
    <col min="264" max="264" width="11.7109375" style="119" bestFit="1" customWidth="1"/>
    <col min="265" max="265" width="14.42578125" style="119" customWidth="1"/>
    <col min="266" max="266" width="12.5703125" style="119" bestFit="1" customWidth="1"/>
    <col min="267" max="267" width="9.140625" style="119"/>
    <col min="268" max="268" width="12" style="119" customWidth="1"/>
    <col min="269" max="269" width="7.85546875" style="119" bestFit="1" customWidth="1"/>
    <col min="270" max="270" width="7.5703125" style="119" bestFit="1" customWidth="1"/>
    <col min="271" max="273" width="7.5703125" style="119" customWidth="1"/>
    <col min="274" max="274" width="9.28515625" style="119" customWidth="1"/>
    <col min="275" max="514" width="9.140625" style="119"/>
    <col min="515" max="515" width="19" style="119" customWidth="1"/>
    <col min="516" max="516" width="14" style="119" customWidth="1"/>
    <col min="517" max="517" width="12.42578125" style="119" bestFit="1" customWidth="1"/>
    <col min="518" max="518" width="10.140625" style="119" bestFit="1" customWidth="1"/>
    <col min="519" max="519" width="12.7109375" style="119" bestFit="1" customWidth="1"/>
    <col min="520" max="520" width="11.7109375" style="119" bestFit="1" customWidth="1"/>
    <col min="521" max="521" width="14.42578125" style="119" customWidth="1"/>
    <col min="522" max="522" width="12.5703125" style="119" bestFit="1" customWidth="1"/>
    <col min="523" max="523" width="9.140625" style="119"/>
    <col min="524" max="524" width="12" style="119" customWidth="1"/>
    <col min="525" max="525" width="7.85546875" style="119" bestFit="1" customWidth="1"/>
    <col min="526" max="526" width="7.5703125" style="119" bestFit="1" customWidth="1"/>
    <col min="527" max="529" width="7.5703125" style="119" customWidth="1"/>
    <col min="530" max="530" width="9.28515625" style="119" customWidth="1"/>
    <col min="531" max="770" width="9.140625" style="119"/>
    <col min="771" max="771" width="19" style="119" customWidth="1"/>
    <col min="772" max="772" width="14" style="119" customWidth="1"/>
    <col min="773" max="773" width="12.42578125" style="119" bestFit="1" customWidth="1"/>
    <col min="774" max="774" width="10.140625" style="119" bestFit="1" customWidth="1"/>
    <col min="775" max="775" width="12.7109375" style="119" bestFit="1" customWidth="1"/>
    <col min="776" max="776" width="11.7109375" style="119" bestFit="1" customWidth="1"/>
    <col min="777" max="777" width="14.42578125" style="119" customWidth="1"/>
    <col min="778" max="778" width="12.5703125" style="119" bestFit="1" customWidth="1"/>
    <col min="779" max="779" width="9.140625" style="119"/>
    <col min="780" max="780" width="12" style="119" customWidth="1"/>
    <col min="781" max="781" width="7.85546875" style="119" bestFit="1" customWidth="1"/>
    <col min="782" max="782" width="7.5703125" style="119" bestFit="1" customWidth="1"/>
    <col min="783" max="785" width="7.5703125" style="119" customWidth="1"/>
    <col min="786" max="786" width="9.28515625" style="119" customWidth="1"/>
    <col min="787" max="1026" width="9.140625" style="119"/>
    <col min="1027" max="1027" width="19" style="119" customWidth="1"/>
    <col min="1028" max="1028" width="14" style="119" customWidth="1"/>
    <col min="1029" max="1029" width="12.42578125" style="119" bestFit="1" customWidth="1"/>
    <col min="1030" max="1030" width="10.140625" style="119" bestFit="1" customWidth="1"/>
    <col min="1031" max="1031" width="12.7109375" style="119" bestFit="1" customWidth="1"/>
    <col min="1032" max="1032" width="11.7109375" style="119" bestFit="1" customWidth="1"/>
    <col min="1033" max="1033" width="14.42578125" style="119" customWidth="1"/>
    <col min="1034" max="1034" width="12.5703125" style="119" bestFit="1" customWidth="1"/>
    <col min="1035" max="1035" width="9.140625" style="119"/>
    <col min="1036" max="1036" width="12" style="119" customWidth="1"/>
    <col min="1037" max="1037" width="7.85546875" style="119" bestFit="1" customWidth="1"/>
    <col min="1038" max="1038" width="7.5703125" style="119" bestFit="1" customWidth="1"/>
    <col min="1039" max="1041" width="7.5703125" style="119" customWidth="1"/>
    <col min="1042" max="1042" width="9.28515625" style="119" customWidth="1"/>
    <col min="1043" max="1282" width="9.140625" style="119"/>
    <col min="1283" max="1283" width="19" style="119" customWidth="1"/>
    <col min="1284" max="1284" width="14" style="119" customWidth="1"/>
    <col min="1285" max="1285" width="12.42578125" style="119" bestFit="1" customWidth="1"/>
    <col min="1286" max="1286" width="10.140625" style="119" bestFit="1" customWidth="1"/>
    <col min="1287" max="1287" width="12.7109375" style="119" bestFit="1" customWidth="1"/>
    <col min="1288" max="1288" width="11.7109375" style="119" bestFit="1" customWidth="1"/>
    <col min="1289" max="1289" width="14.42578125" style="119" customWidth="1"/>
    <col min="1290" max="1290" width="12.5703125" style="119" bestFit="1" customWidth="1"/>
    <col min="1291" max="1291" width="9.140625" style="119"/>
    <col min="1292" max="1292" width="12" style="119" customWidth="1"/>
    <col min="1293" max="1293" width="7.85546875" style="119" bestFit="1" customWidth="1"/>
    <col min="1294" max="1294" width="7.5703125" style="119" bestFit="1" customWidth="1"/>
    <col min="1295" max="1297" width="7.5703125" style="119" customWidth="1"/>
    <col min="1298" max="1298" width="9.28515625" style="119" customWidth="1"/>
    <col min="1299" max="1538" width="9.140625" style="119"/>
    <col min="1539" max="1539" width="19" style="119" customWidth="1"/>
    <col min="1540" max="1540" width="14" style="119" customWidth="1"/>
    <col min="1541" max="1541" width="12.42578125" style="119" bestFit="1" customWidth="1"/>
    <col min="1542" max="1542" width="10.140625" style="119" bestFit="1" customWidth="1"/>
    <col min="1543" max="1543" width="12.7109375" style="119" bestFit="1" customWidth="1"/>
    <col min="1544" max="1544" width="11.7109375" style="119" bestFit="1" customWidth="1"/>
    <col min="1545" max="1545" width="14.42578125" style="119" customWidth="1"/>
    <col min="1546" max="1546" width="12.5703125" style="119" bestFit="1" customWidth="1"/>
    <col min="1547" max="1547" width="9.140625" style="119"/>
    <col min="1548" max="1548" width="12" style="119" customWidth="1"/>
    <col min="1549" max="1549" width="7.85546875" style="119" bestFit="1" customWidth="1"/>
    <col min="1550" max="1550" width="7.5703125" style="119" bestFit="1" customWidth="1"/>
    <col min="1551" max="1553" width="7.5703125" style="119" customWidth="1"/>
    <col min="1554" max="1554" width="9.28515625" style="119" customWidth="1"/>
    <col min="1555" max="1794" width="9.140625" style="119"/>
    <col min="1795" max="1795" width="19" style="119" customWidth="1"/>
    <col min="1796" max="1796" width="14" style="119" customWidth="1"/>
    <col min="1797" max="1797" width="12.42578125" style="119" bestFit="1" customWidth="1"/>
    <col min="1798" max="1798" width="10.140625" style="119" bestFit="1" customWidth="1"/>
    <col min="1799" max="1799" width="12.7109375" style="119" bestFit="1" customWidth="1"/>
    <col min="1800" max="1800" width="11.7109375" style="119" bestFit="1" customWidth="1"/>
    <col min="1801" max="1801" width="14.42578125" style="119" customWidth="1"/>
    <col min="1802" max="1802" width="12.5703125" style="119" bestFit="1" customWidth="1"/>
    <col min="1803" max="1803" width="9.140625" style="119"/>
    <col min="1804" max="1804" width="12" style="119" customWidth="1"/>
    <col min="1805" max="1805" width="7.85546875" style="119" bestFit="1" customWidth="1"/>
    <col min="1806" max="1806" width="7.5703125" style="119" bestFit="1" customWidth="1"/>
    <col min="1807" max="1809" width="7.5703125" style="119" customWidth="1"/>
    <col min="1810" max="1810" width="9.28515625" style="119" customWidth="1"/>
    <col min="1811" max="2050" width="9.140625" style="119"/>
    <col min="2051" max="2051" width="19" style="119" customWidth="1"/>
    <col min="2052" max="2052" width="14" style="119" customWidth="1"/>
    <col min="2053" max="2053" width="12.42578125" style="119" bestFit="1" customWidth="1"/>
    <col min="2054" max="2054" width="10.140625" style="119" bestFit="1" customWidth="1"/>
    <col min="2055" max="2055" width="12.7109375" style="119" bestFit="1" customWidth="1"/>
    <col min="2056" max="2056" width="11.7109375" style="119" bestFit="1" customWidth="1"/>
    <col min="2057" max="2057" width="14.42578125" style="119" customWidth="1"/>
    <col min="2058" max="2058" width="12.5703125" style="119" bestFit="1" customWidth="1"/>
    <col min="2059" max="2059" width="9.140625" style="119"/>
    <col min="2060" max="2060" width="12" style="119" customWidth="1"/>
    <col min="2061" max="2061" width="7.85546875" style="119" bestFit="1" customWidth="1"/>
    <col min="2062" max="2062" width="7.5703125" style="119" bestFit="1" customWidth="1"/>
    <col min="2063" max="2065" width="7.5703125" style="119" customWidth="1"/>
    <col min="2066" max="2066" width="9.28515625" style="119" customWidth="1"/>
    <col min="2067" max="2306" width="9.140625" style="119"/>
    <col min="2307" max="2307" width="19" style="119" customWidth="1"/>
    <col min="2308" max="2308" width="14" style="119" customWidth="1"/>
    <col min="2309" max="2309" width="12.42578125" style="119" bestFit="1" customWidth="1"/>
    <col min="2310" max="2310" width="10.140625" style="119" bestFit="1" customWidth="1"/>
    <col min="2311" max="2311" width="12.7109375" style="119" bestFit="1" customWidth="1"/>
    <col min="2312" max="2312" width="11.7109375" style="119" bestFit="1" customWidth="1"/>
    <col min="2313" max="2313" width="14.42578125" style="119" customWidth="1"/>
    <col min="2314" max="2314" width="12.5703125" style="119" bestFit="1" customWidth="1"/>
    <col min="2315" max="2315" width="9.140625" style="119"/>
    <col min="2316" max="2316" width="12" style="119" customWidth="1"/>
    <col min="2317" max="2317" width="7.85546875" style="119" bestFit="1" customWidth="1"/>
    <col min="2318" max="2318" width="7.5703125" style="119" bestFit="1" customWidth="1"/>
    <col min="2319" max="2321" width="7.5703125" style="119" customWidth="1"/>
    <col min="2322" max="2322" width="9.28515625" style="119" customWidth="1"/>
    <col min="2323" max="2562" width="9.140625" style="119"/>
    <col min="2563" max="2563" width="19" style="119" customWidth="1"/>
    <col min="2564" max="2564" width="14" style="119" customWidth="1"/>
    <col min="2565" max="2565" width="12.42578125" style="119" bestFit="1" customWidth="1"/>
    <col min="2566" max="2566" width="10.140625" style="119" bestFit="1" customWidth="1"/>
    <col min="2567" max="2567" width="12.7109375" style="119" bestFit="1" customWidth="1"/>
    <col min="2568" max="2568" width="11.7109375" style="119" bestFit="1" customWidth="1"/>
    <col min="2569" max="2569" width="14.42578125" style="119" customWidth="1"/>
    <col min="2570" max="2570" width="12.5703125" style="119" bestFit="1" customWidth="1"/>
    <col min="2571" max="2571" width="9.140625" style="119"/>
    <col min="2572" max="2572" width="12" style="119" customWidth="1"/>
    <col min="2573" max="2573" width="7.85546875" style="119" bestFit="1" customWidth="1"/>
    <col min="2574" max="2574" width="7.5703125" style="119" bestFit="1" customWidth="1"/>
    <col min="2575" max="2577" width="7.5703125" style="119" customWidth="1"/>
    <col min="2578" max="2578" width="9.28515625" style="119" customWidth="1"/>
    <col min="2579" max="2818" width="9.140625" style="119"/>
    <col min="2819" max="2819" width="19" style="119" customWidth="1"/>
    <col min="2820" max="2820" width="14" style="119" customWidth="1"/>
    <col min="2821" max="2821" width="12.42578125" style="119" bestFit="1" customWidth="1"/>
    <col min="2822" max="2822" width="10.140625" style="119" bestFit="1" customWidth="1"/>
    <col min="2823" max="2823" width="12.7109375" style="119" bestFit="1" customWidth="1"/>
    <col min="2824" max="2824" width="11.7109375" style="119" bestFit="1" customWidth="1"/>
    <col min="2825" max="2825" width="14.42578125" style="119" customWidth="1"/>
    <col min="2826" max="2826" width="12.5703125" style="119" bestFit="1" customWidth="1"/>
    <col min="2827" max="2827" width="9.140625" style="119"/>
    <col min="2828" max="2828" width="12" style="119" customWidth="1"/>
    <col min="2829" max="2829" width="7.85546875" style="119" bestFit="1" customWidth="1"/>
    <col min="2830" max="2830" width="7.5703125" style="119" bestFit="1" customWidth="1"/>
    <col min="2831" max="2833" width="7.5703125" style="119" customWidth="1"/>
    <col min="2834" max="2834" width="9.28515625" style="119" customWidth="1"/>
    <col min="2835" max="3074" width="9.140625" style="119"/>
    <col min="3075" max="3075" width="19" style="119" customWidth="1"/>
    <col min="3076" max="3076" width="14" style="119" customWidth="1"/>
    <col min="3077" max="3077" width="12.42578125" style="119" bestFit="1" customWidth="1"/>
    <col min="3078" max="3078" width="10.140625" style="119" bestFit="1" customWidth="1"/>
    <col min="3079" max="3079" width="12.7109375" style="119" bestFit="1" customWidth="1"/>
    <col min="3080" max="3080" width="11.7109375" style="119" bestFit="1" customWidth="1"/>
    <col min="3081" max="3081" width="14.42578125" style="119" customWidth="1"/>
    <col min="3082" max="3082" width="12.5703125" style="119" bestFit="1" customWidth="1"/>
    <col min="3083" max="3083" width="9.140625" style="119"/>
    <col min="3084" max="3084" width="12" style="119" customWidth="1"/>
    <col min="3085" max="3085" width="7.85546875" style="119" bestFit="1" customWidth="1"/>
    <col min="3086" max="3086" width="7.5703125" style="119" bestFit="1" customWidth="1"/>
    <col min="3087" max="3089" width="7.5703125" style="119" customWidth="1"/>
    <col min="3090" max="3090" width="9.28515625" style="119" customWidth="1"/>
    <col min="3091" max="3330" width="9.140625" style="119"/>
    <col min="3331" max="3331" width="19" style="119" customWidth="1"/>
    <col min="3332" max="3332" width="14" style="119" customWidth="1"/>
    <col min="3333" max="3333" width="12.42578125" style="119" bestFit="1" customWidth="1"/>
    <col min="3334" max="3334" width="10.140625" style="119" bestFit="1" customWidth="1"/>
    <col min="3335" max="3335" width="12.7109375" style="119" bestFit="1" customWidth="1"/>
    <col min="3336" max="3336" width="11.7109375" style="119" bestFit="1" customWidth="1"/>
    <col min="3337" max="3337" width="14.42578125" style="119" customWidth="1"/>
    <col min="3338" max="3338" width="12.5703125" style="119" bestFit="1" customWidth="1"/>
    <col min="3339" max="3339" width="9.140625" style="119"/>
    <col min="3340" max="3340" width="12" style="119" customWidth="1"/>
    <col min="3341" max="3341" width="7.85546875" style="119" bestFit="1" customWidth="1"/>
    <col min="3342" max="3342" width="7.5703125" style="119" bestFit="1" customWidth="1"/>
    <col min="3343" max="3345" width="7.5703125" style="119" customWidth="1"/>
    <col min="3346" max="3346" width="9.28515625" style="119" customWidth="1"/>
    <col min="3347" max="3586" width="9.140625" style="119"/>
    <col min="3587" max="3587" width="19" style="119" customWidth="1"/>
    <col min="3588" max="3588" width="14" style="119" customWidth="1"/>
    <col min="3589" max="3589" width="12.42578125" style="119" bestFit="1" customWidth="1"/>
    <col min="3590" max="3590" width="10.140625" style="119" bestFit="1" customWidth="1"/>
    <col min="3591" max="3591" width="12.7109375" style="119" bestFit="1" customWidth="1"/>
    <col min="3592" max="3592" width="11.7109375" style="119" bestFit="1" customWidth="1"/>
    <col min="3593" max="3593" width="14.42578125" style="119" customWidth="1"/>
    <col min="3594" max="3594" width="12.5703125" style="119" bestFit="1" customWidth="1"/>
    <col min="3595" max="3595" width="9.140625" style="119"/>
    <col min="3596" max="3596" width="12" style="119" customWidth="1"/>
    <col min="3597" max="3597" width="7.85546875" style="119" bestFit="1" customWidth="1"/>
    <col min="3598" max="3598" width="7.5703125" style="119" bestFit="1" customWidth="1"/>
    <col min="3599" max="3601" width="7.5703125" style="119" customWidth="1"/>
    <col min="3602" max="3602" width="9.28515625" style="119" customWidth="1"/>
    <col min="3603" max="3842" width="9.140625" style="119"/>
    <col min="3843" max="3843" width="19" style="119" customWidth="1"/>
    <col min="3844" max="3844" width="14" style="119" customWidth="1"/>
    <col min="3845" max="3845" width="12.42578125" style="119" bestFit="1" customWidth="1"/>
    <col min="3846" max="3846" width="10.140625" style="119" bestFit="1" customWidth="1"/>
    <col min="3847" max="3847" width="12.7109375" style="119" bestFit="1" customWidth="1"/>
    <col min="3848" max="3848" width="11.7109375" style="119" bestFit="1" customWidth="1"/>
    <col min="3849" max="3849" width="14.42578125" style="119" customWidth="1"/>
    <col min="3850" max="3850" width="12.5703125" style="119" bestFit="1" customWidth="1"/>
    <col min="3851" max="3851" width="9.140625" style="119"/>
    <col min="3852" max="3852" width="12" style="119" customWidth="1"/>
    <col min="3853" max="3853" width="7.85546875" style="119" bestFit="1" customWidth="1"/>
    <col min="3854" max="3854" width="7.5703125" style="119" bestFit="1" customWidth="1"/>
    <col min="3855" max="3857" width="7.5703125" style="119" customWidth="1"/>
    <col min="3858" max="3858" width="9.28515625" style="119" customWidth="1"/>
    <col min="3859" max="4098" width="9.140625" style="119"/>
    <col min="4099" max="4099" width="19" style="119" customWidth="1"/>
    <col min="4100" max="4100" width="14" style="119" customWidth="1"/>
    <col min="4101" max="4101" width="12.42578125" style="119" bestFit="1" customWidth="1"/>
    <col min="4102" max="4102" width="10.140625" style="119" bestFit="1" customWidth="1"/>
    <col min="4103" max="4103" width="12.7109375" style="119" bestFit="1" customWidth="1"/>
    <col min="4104" max="4104" width="11.7109375" style="119" bestFit="1" customWidth="1"/>
    <col min="4105" max="4105" width="14.42578125" style="119" customWidth="1"/>
    <col min="4106" max="4106" width="12.5703125" style="119" bestFit="1" customWidth="1"/>
    <col min="4107" max="4107" width="9.140625" style="119"/>
    <col min="4108" max="4108" width="12" style="119" customWidth="1"/>
    <col min="4109" max="4109" width="7.85546875" style="119" bestFit="1" customWidth="1"/>
    <col min="4110" max="4110" width="7.5703125" style="119" bestFit="1" customWidth="1"/>
    <col min="4111" max="4113" width="7.5703125" style="119" customWidth="1"/>
    <col min="4114" max="4114" width="9.28515625" style="119" customWidth="1"/>
    <col min="4115" max="4354" width="9.140625" style="119"/>
    <col min="4355" max="4355" width="19" style="119" customWidth="1"/>
    <col min="4356" max="4356" width="14" style="119" customWidth="1"/>
    <col min="4357" max="4357" width="12.42578125" style="119" bestFit="1" customWidth="1"/>
    <col min="4358" max="4358" width="10.140625" style="119" bestFit="1" customWidth="1"/>
    <col min="4359" max="4359" width="12.7109375" style="119" bestFit="1" customWidth="1"/>
    <col min="4360" max="4360" width="11.7109375" style="119" bestFit="1" customWidth="1"/>
    <col min="4361" max="4361" width="14.42578125" style="119" customWidth="1"/>
    <col min="4362" max="4362" width="12.5703125" style="119" bestFit="1" customWidth="1"/>
    <col min="4363" max="4363" width="9.140625" style="119"/>
    <col min="4364" max="4364" width="12" style="119" customWidth="1"/>
    <col min="4365" max="4365" width="7.85546875" style="119" bestFit="1" customWidth="1"/>
    <col min="4366" max="4366" width="7.5703125" style="119" bestFit="1" customWidth="1"/>
    <col min="4367" max="4369" width="7.5703125" style="119" customWidth="1"/>
    <col min="4370" max="4370" width="9.28515625" style="119" customWidth="1"/>
    <col min="4371" max="4610" width="9.140625" style="119"/>
    <col min="4611" max="4611" width="19" style="119" customWidth="1"/>
    <col min="4612" max="4612" width="14" style="119" customWidth="1"/>
    <col min="4613" max="4613" width="12.42578125" style="119" bestFit="1" customWidth="1"/>
    <col min="4614" max="4614" width="10.140625" style="119" bestFit="1" customWidth="1"/>
    <col min="4615" max="4615" width="12.7109375" style="119" bestFit="1" customWidth="1"/>
    <col min="4616" max="4616" width="11.7109375" style="119" bestFit="1" customWidth="1"/>
    <col min="4617" max="4617" width="14.42578125" style="119" customWidth="1"/>
    <col min="4618" max="4618" width="12.5703125" style="119" bestFit="1" customWidth="1"/>
    <col min="4619" max="4619" width="9.140625" style="119"/>
    <col min="4620" max="4620" width="12" style="119" customWidth="1"/>
    <col min="4621" max="4621" width="7.85546875" style="119" bestFit="1" customWidth="1"/>
    <col min="4622" max="4622" width="7.5703125" style="119" bestFit="1" customWidth="1"/>
    <col min="4623" max="4625" width="7.5703125" style="119" customWidth="1"/>
    <col min="4626" max="4626" width="9.28515625" style="119" customWidth="1"/>
    <col min="4627" max="4866" width="9.140625" style="119"/>
    <col min="4867" max="4867" width="19" style="119" customWidth="1"/>
    <col min="4868" max="4868" width="14" style="119" customWidth="1"/>
    <col min="4869" max="4869" width="12.42578125" style="119" bestFit="1" customWidth="1"/>
    <col min="4870" max="4870" width="10.140625" style="119" bestFit="1" customWidth="1"/>
    <col min="4871" max="4871" width="12.7109375" style="119" bestFit="1" customWidth="1"/>
    <col min="4872" max="4872" width="11.7109375" style="119" bestFit="1" customWidth="1"/>
    <col min="4873" max="4873" width="14.42578125" style="119" customWidth="1"/>
    <col min="4874" max="4874" width="12.5703125" style="119" bestFit="1" customWidth="1"/>
    <col min="4875" max="4875" width="9.140625" style="119"/>
    <col min="4876" max="4876" width="12" style="119" customWidth="1"/>
    <col min="4877" max="4877" width="7.85546875" style="119" bestFit="1" customWidth="1"/>
    <col min="4878" max="4878" width="7.5703125" style="119" bestFit="1" customWidth="1"/>
    <col min="4879" max="4881" width="7.5703125" style="119" customWidth="1"/>
    <col min="4882" max="4882" width="9.28515625" style="119" customWidth="1"/>
    <col min="4883" max="5122" width="9.140625" style="119"/>
    <col min="5123" max="5123" width="19" style="119" customWidth="1"/>
    <col min="5124" max="5124" width="14" style="119" customWidth="1"/>
    <col min="5125" max="5125" width="12.42578125" style="119" bestFit="1" customWidth="1"/>
    <col min="5126" max="5126" width="10.140625" style="119" bestFit="1" customWidth="1"/>
    <col min="5127" max="5127" width="12.7109375" style="119" bestFit="1" customWidth="1"/>
    <col min="5128" max="5128" width="11.7109375" style="119" bestFit="1" customWidth="1"/>
    <col min="5129" max="5129" width="14.42578125" style="119" customWidth="1"/>
    <col min="5130" max="5130" width="12.5703125" style="119" bestFit="1" customWidth="1"/>
    <col min="5131" max="5131" width="9.140625" style="119"/>
    <col min="5132" max="5132" width="12" style="119" customWidth="1"/>
    <col min="5133" max="5133" width="7.85546875" style="119" bestFit="1" customWidth="1"/>
    <col min="5134" max="5134" width="7.5703125" style="119" bestFit="1" customWidth="1"/>
    <col min="5135" max="5137" width="7.5703125" style="119" customWidth="1"/>
    <col min="5138" max="5138" width="9.28515625" style="119" customWidth="1"/>
    <col min="5139" max="5378" width="9.140625" style="119"/>
    <col min="5379" max="5379" width="19" style="119" customWidth="1"/>
    <col min="5380" max="5380" width="14" style="119" customWidth="1"/>
    <col min="5381" max="5381" width="12.42578125" style="119" bestFit="1" customWidth="1"/>
    <col min="5382" max="5382" width="10.140625" style="119" bestFit="1" customWidth="1"/>
    <col min="5383" max="5383" width="12.7109375" style="119" bestFit="1" customWidth="1"/>
    <col min="5384" max="5384" width="11.7109375" style="119" bestFit="1" customWidth="1"/>
    <col min="5385" max="5385" width="14.42578125" style="119" customWidth="1"/>
    <col min="5386" max="5386" width="12.5703125" style="119" bestFit="1" customWidth="1"/>
    <col min="5387" max="5387" width="9.140625" style="119"/>
    <col min="5388" max="5388" width="12" style="119" customWidth="1"/>
    <col min="5389" max="5389" width="7.85546875" style="119" bestFit="1" customWidth="1"/>
    <col min="5390" max="5390" width="7.5703125" style="119" bestFit="1" customWidth="1"/>
    <col min="5391" max="5393" width="7.5703125" style="119" customWidth="1"/>
    <col min="5394" max="5394" width="9.28515625" style="119" customWidth="1"/>
    <col min="5395" max="5634" width="9.140625" style="119"/>
    <col min="5635" max="5635" width="19" style="119" customWidth="1"/>
    <col min="5636" max="5636" width="14" style="119" customWidth="1"/>
    <col min="5637" max="5637" width="12.42578125" style="119" bestFit="1" customWidth="1"/>
    <col min="5638" max="5638" width="10.140625" style="119" bestFit="1" customWidth="1"/>
    <col min="5639" max="5639" width="12.7109375" style="119" bestFit="1" customWidth="1"/>
    <col min="5640" max="5640" width="11.7109375" style="119" bestFit="1" customWidth="1"/>
    <col min="5641" max="5641" width="14.42578125" style="119" customWidth="1"/>
    <col min="5642" max="5642" width="12.5703125" style="119" bestFit="1" customWidth="1"/>
    <col min="5643" max="5643" width="9.140625" style="119"/>
    <col min="5644" max="5644" width="12" style="119" customWidth="1"/>
    <col min="5645" max="5645" width="7.85546875" style="119" bestFit="1" customWidth="1"/>
    <col min="5646" max="5646" width="7.5703125" style="119" bestFit="1" customWidth="1"/>
    <col min="5647" max="5649" width="7.5703125" style="119" customWidth="1"/>
    <col min="5650" max="5650" width="9.28515625" style="119" customWidth="1"/>
    <col min="5651" max="5890" width="9.140625" style="119"/>
    <col min="5891" max="5891" width="19" style="119" customWidth="1"/>
    <col min="5892" max="5892" width="14" style="119" customWidth="1"/>
    <col min="5893" max="5893" width="12.42578125" style="119" bestFit="1" customWidth="1"/>
    <col min="5894" max="5894" width="10.140625" style="119" bestFit="1" customWidth="1"/>
    <col min="5895" max="5895" width="12.7109375" style="119" bestFit="1" customWidth="1"/>
    <col min="5896" max="5896" width="11.7109375" style="119" bestFit="1" customWidth="1"/>
    <col min="5897" max="5897" width="14.42578125" style="119" customWidth="1"/>
    <col min="5898" max="5898" width="12.5703125" style="119" bestFit="1" customWidth="1"/>
    <col min="5899" max="5899" width="9.140625" style="119"/>
    <col min="5900" max="5900" width="12" style="119" customWidth="1"/>
    <col min="5901" max="5901" width="7.85546875" style="119" bestFit="1" customWidth="1"/>
    <col min="5902" max="5902" width="7.5703125" style="119" bestFit="1" customWidth="1"/>
    <col min="5903" max="5905" width="7.5703125" style="119" customWidth="1"/>
    <col min="5906" max="5906" width="9.28515625" style="119" customWidth="1"/>
    <col min="5907" max="6146" width="9.140625" style="119"/>
    <col min="6147" max="6147" width="19" style="119" customWidth="1"/>
    <col min="6148" max="6148" width="14" style="119" customWidth="1"/>
    <col min="6149" max="6149" width="12.42578125" style="119" bestFit="1" customWidth="1"/>
    <col min="6150" max="6150" width="10.140625" style="119" bestFit="1" customWidth="1"/>
    <col min="6151" max="6151" width="12.7109375" style="119" bestFit="1" customWidth="1"/>
    <col min="6152" max="6152" width="11.7109375" style="119" bestFit="1" customWidth="1"/>
    <col min="6153" max="6153" width="14.42578125" style="119" customWidth="1"/>
    <col min="6154" max="6154" width="12.5703125" style="119" bestFit="1" customWidth="1"/>
    <col min="6155" max="6155" width="9.140625" style="119"/>
    <col min="6156" max="6156" width="12" style="119" customWidth="1"/>
    <col min="6157" max="6157" width="7.85546875" style="119" bestFit="1" customWidth="1"/>
    <col min="6158" max="6158" width="7.5703125" style="119" bestFit="1" customWidth="1"/>
    <col min="6159" max="6161" width="7.5703125" style="119" customWidth="1"/>
    <col min="6162" max="6162" width="9.28515625" style="119" customWidth="1"/>
    <col min="6163" max="6402" width="9.140625" style="119"/>
    <col min="6403" max="6403" width="19" style="119" customWidth="1"/>
    <col min="6404" max="6404" width="14" style="119" customWidth="1"/>
    <col min="6405" max="6405" width="12.42578125" style="119" bestFit="1" customWidth="1"/>
    <col min="6406" max="6406" width="10.140625" style="119" bestFit="1" customWidth="1"/>
    <col min="6407" max="6407" width="12.7109375" style="119" bestFit="1" customWidth="1"/>
    <col min="6408" max="6408" width="11.7109375" style="119" bestFit="1" customWidth="1"/>
    <col min="6409" max="6409" width="14.42578125" style="119" customWidth="1"/>
    <col min="6410" max="6410" width="12.5703125" style="119" bestFit="1" customWidth="1"/>
    <col min="6411" max="6411" width="9.140625" style="119"/>
    <col min="6412" max="6412" width="12" style="119" customWidth="1"/>
    <col min="6413" max="6413" width="7.85546875" style="119" bestFit="1" customWidth="1"/>
    <col min="6414" max="6414" width="7.5703125" style="119" bestFit="1" customWidth="1"/>
    <col min="6415" max="6417" width="7.5703125" style="119" customWidth="1"/>
    <col min="6418" max="6418" width="9.28515625" style="119" customWidth="1"/>
    <col min="6419" max="6658" width="9.140625" style="119"/>
    <col min="6659" max="6659" width="19" style="119" customWidth="1"/>
    <col min="6660" max="6660" width="14" style="119" customWidth="1"/>
    <col min="6661" max="6661" width="12.42578125" style="119" bestFit="1" customWidth="1"/>
    <col min="6662" max="6662" width="10.140625" style="119" bestFit="1" customWidth="1"/>
    <col min="6663" max="6663" width="12.7109375" style="119" bestFit="1" customWidth="1"/>
    <col min="6664" max="6664" width="11.7109375" style="119" bestFit="1" customWidth="1"/>
    <col min="6665" max="6665" width="14.42578125" style="119" customWidth="1"/>
    <col min="6666" max="6666" width="12.5703125" style="119" bestFit="1" customWidth="1"/>
    <col min="6667" max="6667" width="9.140625" style="119"/>
    <col min="6668" max="6668" width="12" style="119" customWidth="1"/>
    <col min="6669" max="6669" width="7.85546875" style="119" bestFit="1" customWidth="1"/>
    <col min="6670" max="6670" width="7.5703125" style="119" bestFit="1" customWidth="1"/>
    <col min="6671" max="6673" width="7.5703125" style="119" customWidth="1"/>
    <col min="6674" max="6674" width="9.28515625" style="119" customWidth="1"/>
    <col min="6675" max="6914" width="9.140625" style="119"/>
    <col min="6915" max="6915" width="19" style="119" customWidth="1"/>
    <col min="6916" max="6916" width="14" style="119" customWidth="1"/>
    <col min="6917" max="6917" width="12.42578125" style="119" bestFit="1" customWidth="1"/>
    <col min="6918" max="6918" width="10.140625" style="119" bestFit="1" customWidth="1"/>
    <col min="6919" max="6919" width="12.7109375" style="119" bestFit="1" customWidth="1"/>
    <col min="6920" max="6920" width="11.7109375" style="119" bestFit="1" customWidth="1"/>
    <col min="6921" max="6921" width="14.42578125" style="119" customWidth="1"/>
    <col min="6922" max="6922" width="12.5703125" style="119" bestFit="1" customWidth="1"/>
    <col min="6923" max="6923" width="9.140625" style="119"/>
    <col min="6924" max="6924" width="12" style="119" customWidth="1"/>
    <col min="6925" max="6925" width="7.85546875" style="119" bestFit="1" customWidth="1"/>
    <col min="6926" max="6926" width="7.5703125" style="119" bestFit="1" customWidth="1"/>
    <col min="6927" max="6929" width="7.5703125" style="119" customWidth="1"/>
    <col min="6930" max="6930" width="9.28515625" style="119" customWidth="1"/>
    <col min="6931" max="7170" width="9.140625" style="119"/>
    <col min="7171" max="7171" width="19" style="119" customWidth="1"/>
    <col min="7172" max="7172" width="14" style="119" customWidth="1"/>
    <col min="7173" max="7173" width="12.42578125" style="119" bestFit="1" customWidth="1"/>
    <col min="7174" max="7174" width="10.140625" style="119" bestFit="1" customWidth="1"/>
    <col min="7175" max="7175" width="12.7109375" style="119" bestFit="1" customWidth="1"/>
    <col min="7176" max="7176" width="11.7109375" style="119" bestFit="1" customWidth="1"/>
    <col min="7177" max="7177" width="14.42578125" style="119" customWidth="1"/>
    <col min="7178" max="7178" width="12.5703125" style="119" bestFit="1" customWidth="1"/>
    <col min="7179" max="7179" width="9.140625" style="119"/>
    <col min="7180" max="7180" width="12" style="119" customWidth="1"/>
    <col min="7181" max="7181" width="7.85546875" style="119" bestFit="1" customWidth="1"/>
    <col min="7182" max="7182" width="7.5703125" style="119" bestFit="1" customWidth="1"/>
    <col min="7183" max="7185" width="7.5703125" style="119" customWidth="1"/>
    <col min="7186" max="7186" width="9.28515625" style="119" customWidth="1"/>
    <col min="7187" max="7426" width="9.140625" style="119"/>
    <col min="7427" max="7427" width="19" style="119" customWidth="1"/>
    <col min="7428" max="7428" width="14" style="119" customWidth="1"/>
    <col min="7429" max="7429" width="12.42578125" style="119" bestFit="1" customWidth="1"/>
    <col min="7430" max="7430" width="10.140625" style="119" bestFit="1" customWidth="1"/>
    <col min="7431" max="7431" width="12.7109375" style="119" bestFit="1" customWidth="1"/>
    <col min="7432" max="7432" width="11.7109375" style="119" bestFit="1" customWidth="1"/>
    <col min="7433" max="7433" width="14.42578125" style="119" customWidth="1"/>
    <col min="7434" max="7434" width="12.5703125" style="119" bestFit="1" customWidth="1"/>
    <col min="7435" max="7435" width="9.140625" style="119"/>
    <col min="7436" max="7436" width="12" style="119" customWidth="1"/>
    <col min="7437" max="7437" width="7.85546875" style="119" bestFit="1" customWidth="1"/>
    <col min="7438" max="7438" width="7.5703125" style="119" bestFit="1" customWidth="1"/>
    <col min="7439" max="7441" width="7.5703125" style="119" customWidth="1"/>
    <col min="7442" max="7442" width="9.28515625" style="119" customWidth="1"/>
    <col min="7443" max="7682" width="9.140625" style="119"/>
    <col min="7683" max="7683" width="19" style="119" customWidth="1"/>
    <col min="7684" max="7684" width="14" style="119" customWidth="1"/>
    <col min="7685" max="7685" width="12.42578125" style="119" bestFit="1" customWidth="1"/>
    <col min="7686" max="7686" width="10.140625" style="119" bestFit="1" customWidth="1"/>
    <col min="7687" max="7687" width="12.7109375" style="119" bestFit="1" customWidth="1"/>
    <col min="7688" max="7688" width="11.7109375" style="119" bestFit="1" customWidth="1"/>
    <col min="7689" max="7689" width="14.42578125" style="119" customWidth="1"/>
    <col min="7690" max="7690" width="12.5703125" style="119" bestFit="1" customWidth="1"/>
    <col min="7691" max="7691" width="9.140625" style="119"/>
    <col min="7692" max="7692" width="12" style="119" customWidth="1"/>
    <col min="7693" max="7693" width="7.85546875" style="119" bestFit="1" customWidth="1"/>
    <col min="7694" max="7694" width="7.5703125" style="119" bestFit="1" customWidth="1"/>
    <col min="7695" max="7697" width="7.5703125" style="119" customWidth="1"/>
    <col min="7698" max="7698" width="9.28515625" style="119" customWidth="1"/>
    <col min="7699" max="7938" width="9.140625" style="119"/>
    <col min="7939" max="7939" width="19" style="119" customWidth="1"/>
    <col min="7940" max="7940" width="14" style="119" customWidth="1"/>
    <col min="7941" max="7941" width="12.42578125" style="119" bestFit="1" customWidth="1"/>
    <col min="7942" max="7942" width="10.140625" style="119" bestFit="1" customWidth="1"/>
    <col min="7943" max="7943" width="12.7109375" style="119" bestFit="1" customWidth="1"/>
    <col min="7944" max="7944" width="11.7109375" style="119" bestFit="1" customWidth="1"/>
    <col min="7945" max="7945" width="14.42578125" style="119" customWidth="1"/>
    <col min="7946" max="7946" width="12.5703125" style="119" bestFit="1" customWidth="1"/>
    <col min="7947" max="7947" width="9.140625" style="119"/>
    <col min="7948" max="7948" width="12" style="119" customWidth="1"/>
    <col min="7949" max="7949" width="7.85546875" style="119" bestFit="1" customWidth="1"/>
    <col min="7950" max="7950" width="7.5703125" style="119" bestFit="1" customWidth="1"/>
    <col min="7951" max="7953" width="7.5703125" style="119" customWidth="1"/>
    <col min="7954" max="7954" width="9.28515625" style="119" customWidth="1"/>
    <col min="7955" max="8194" width="9.140625" style="119"/>
    <col min="8195" max="8195" width="19" style="119" customWidth="1"/>
    <col min="8196" max="8196" width="14" style="119" customWidth="1"/>
    <col min="8197" max="8197" width="12.42578125" style="119" bestFit="1" customWidth="1"/>
    <col min="8198" max="8198" width="10.140625" style="119" bestFit="1" customWidth="1"/>
    <col min="8199" max="8199" width="12.7109375" style="119" bestFit="1" customWidth="1"/>
    <col min="8200" max="8200" width="11.7109375" style="119" bestFit="1" customWidth="1"/>
    <col min="8201" max="8201" width="14.42578125" style="119" customWidth="1"/>
    <col min="8202" max="8202" width="12.5703125" style="119" bestFit="1" customWidth="1"/>
    <col min="8203" max="8203" width="9.140625" style="119"/>
    <col min="8204" max="8204" width="12" style="119" customWidth="1"/>
    <col min="8205" max="8205" width="7.85546875" style="119" bestFit="1" customWidth="1"/>
    <col min="8206" max="8206" width="7.5703125" style="119" bestFit="1" customWidth="1"/>
    <col min="8207" max="8209" width="7.5703125" style="119" customWidth="1"/>
    <col min="8210" max="8210" width="9.28515625" style="119" customWidth="1"/>
    <col min="8211" max="8450" width="9.140625" style="119"/>
    <col min="8451" max="8451" width="19" style="119" customWidth="1"/>
    <col min="8452" max="8452" width="14" style="119" customWidth="1"/>
    <col min="8453" max="8453" width="12.42578125" style="119" bestFit="1" customWidth="1"/>
    <col min="8454" max="8454" width="10.140625" style="119" bestFit="1" customWidth="1"/>
    <col min="8455" max="8455" width="12.7109375" style="119" bestFit="1" customWidth="1"/>
    <col min="8456" max="8456" width="11.7109375" style="119" bestFit="1" customWidth="1"/>
    <col min="8457" max="8457" width="14.42578125" style="119" customWidth="1"/>
    <col min="8458" max="8458" width="12.5703125" style="119" bestFit="1" customWidth="1"/>
    <col min="8459" max="8459" width="9.140625" style="119"/>
    <col min="8460" max="8460" width="12" style="119" customWidth="1"/>
    <col min="8461" max="8461" width="7.85546875" style="119" bestFit="1" customWidth="1"/>
    <col min="8462" max="8462" width="7.5703125" style="119" bestFit="1" customWidth="1"/>
    <col min="8463" max="8465" width="7.5703125" style="119" customWidth="1"/>
    <col min="8466" max="8466" width="9.28515625" style="119" customWidth="1"/>
    <col min="8467" max="8706" width="9.140625" style="119"/>
    <col min="8707" max="8707" width="19" style="119" customWidth="1"/>
    <col min="8708" max="8708" width="14" style="119" customWidth="1"/>
    <col min="8709" max="8709" width="12.42578125" style="119" bestFit="1" customWidth="1"/>
    <col min="8710" max="8710" width="10.140625" style="119" bestFit="1" customWidth="1"/>
    <col min="8711" max="8711" width="12.7109375" style="119" bestFit="1" customWidth="1"/>
    <col min="8712" max="8712" width="11.7109375" style="119" bestFit="1" customWidth="1"/>
    <col min="8713" max="8713" width="14.42578125" style="119" customWidth="1"/>
    <col min="8714" max="8714" width="12.5703125" style="119" bestFit="1" customWidth="1"/>
    <col min="8715" max="8715" width="9.140625" style="119"/>
    <col min="8716" max="8716" width="12" style="119" customWidth="1"/>
    <col min="8717" max="8717" width="7.85546875" style="119" bestFit="1" customWidth="1"/>
    <col min="8718" max="8718" width="7.5703125" style="119" bestFit="1" customWidth="1"/>
    <col min="8719" max="8721" width="7.5703125" style="119" customWidth="1"/>
    <col min="8722" max="8722" width="9.28515625" style="119" customWidth="1"/>
    <col min="8723" max="8962" width="9.140625" style="119"/>
    <col min="8963" max="8963" width="19" style="119" customWidth="1"/>
    <col min="8964" max="8964" width="14" style="119" customWidth="1"/>
    <col min="8965" max="8965" width="12.42578125" style="119" bestFit="1" customWidth="1"/>
    <col min="8966" max="8966" width="10.140625" style="119" bestFit="1" customWidth="1"/>
    <col min="8967" max="8967" width="12.7109375" style="119" bestFit="1" customWidth="1"/>
    <col min="8968" max="8968" width="11.7109375" style="119" bestFit="1" customWidth="1"/>
    <col min="8969" max="8969" width="14.42578125" style="119" customWidth="1"/>
    <col min="8970" max="8970" width="12.5703125" style="119" bestFit="1" customWidth="1"/>
    <col min="8971" max="8971" width="9.140625" style="119"/>
    <col min="8972" max="8972" width="12" style="119" customWidth="1"/>
    <col min="8973" max="8973" width="7.85546875" style="119" bestFit="1" customWidth="1"/>
    <col min="8974" max="8974" width="7.5703125" style="119" bestFit="1" customWidth="1"/>
    <col min="8975" max="8977" width="7.5703125" style="119" customWidth="1"/>
    <col min="8978" max="8978" width="9.28515625" style="119" customWidth="1"/>
    <col min="8979" max="9218" width="9.140625" style="119"/>
    <col min="9219" max="9219" width="19" style="119" customWidth="1"/>
    <col min="9220" max="9220" width="14" style="119" customWidth="1"/>
    <col min="9221" max="9221" width="12.42578125" style="119" bestFit="1" customWidth="1"/>
    <col min="9222" max="9222" width="10.140625" style="119" bestFit="1" customWidth="1"/>
    <col min="9223" max="9223" width="12.7109375" style="119" bestFit="1" customWidth="1"/>
    <col min="9224" max="9224" width="11.7109375" style="119" bestFit="1" customWidth="1"/>
    <col min="9225" max="9225" width="14.42578125" style="119" customWidth="1"/>
    <col min="9226" max="9226" width="12.5703125" style="119" bestFit="1" customWidth="1"/>
    <col min="9227" max="9227" width="9.140625" style="119"/>
    <col min="9228" max="9228" width="12" style="119" customWidth="1"/>
    <col min="9229" max="9229" width="7.85546875" style="119" bestFit="1" customWidth="1"/>
    <col min="9230" max="9230" width="7.5703125" style="119" bestFit="1" customWidth="1"/>
    <col min="9231" max="9233" width="7.5703125" style="119" customWidth="1"/>
    <col min="9234" max="9234" width="9.28515625" style="119" customWidth="1"/>
    <col min="9235" max="9474" width="9.140625" style="119"/>
    <col min="9475" max="9475" width="19" style="119" customWidth="1"/>
    <col min="9476" max="9476" width="14" style="119" customWidth="1"/>
    <col min="9477" max="9477" width="12.42578125" style="119" bestFit="1" customWidth="1"/>
    <col min="9478" max="9478" width="10.140625" style="119" bestFit="1" customWidth="1"/>
    <col min="9479" max="9479" width="12.7109375" style="119" bestFit="1" customWidth="1"/>
    <col min="9480" max="9480" width="11.7109375" style="119" bestFit="1" customWidth="1"/>
    <col min="9481" max="9481" width="14.42578125" style="119" customWidth="1"/>
    <col min="9482" max="9482" width="12.5703125" style="119" bestFit="1" customWidth="1"/>
    <col min="9483" max="9483" width="9.140625" style="119"/>
    <col min="9484" max="9484" width="12" style="119" customWidth="1"/>
    <col min="9485" max="9485" width="7.85546875" style="119" bestFit="1" customWidth="1"/>
    <col min="9486" max="9486" width="7.5703125" style="119" bestFit="1" customWidth="1"/>
    <col min="9487" max="9489" width="7.5703125" style="119" customWidth="1"/>
    <col min="9490" max="9490" width="9.28515625" style="119" customWidth="1"/>
    <col min="9491" max="9730" width="9.140625" style="119"/>
    <col min="9731" max="9731" width="19" style="119" customWidth="1"/>
    <col min="9732" max="9732" width="14" style="119" customWidth="1"/>
    <col min="9733" max="9733" width="12.42578125" style="119" bestFit="1" customWidth="1"/>
    <col min="9734" max="9734" width="10.140625" style="119" bestFit="1" customWidth="1"/>
    <col min="9735" max="9735" width="12.7109375" style="119" bestFit="1" customWidth="1"/>
    <col min="9736" max="9736" width="11.7109375" style="119" bestFit="1" customWidth="1"/>
    <col min="9737" max="9737" width="14.42578125" style="119" customWidth="1"/>
    <col min="9738" max="9738" width="12.5703125" style="119" bestFit="1" customWidth="1"/>
    <col min="9739" max="9739" width="9.140625" style="119"/>
    <col min="9740" max="9740" width="12" style="119" customWidth="1"/>
    <col min="9741" max="9741" width="7.85546875" style="119" bestFit="1" customWidth="1"/>
    <col min="9742" max="9742" width="7.5703125" style="119" bestFit="1" customWidth="1"/>
    <col min="9743" max="9745" width="7.5703125" style="119" customWidth="1"/>
    <col min="9746" max="9746" width="9.28515625" style="119" customWidth="1"/>
    <col min="9747" max="9986" width="9.140625" style="119"/>
    <col min="9987" max="9987" width="19" style="119" customWidth="1"/>
    <col min="9988" max="9988" width="14" style="119" customWidth="1"/>
    <col min="9989" max="9989" width="12.42578125" style="119" bestFit="1" customWidth="1"/>
    <col min="9990" max="9990" width="10.140625" style="119" bestFit="1" customWidth="1"/>
    <col min="9991" max="9991" width="12.7109375" style="119" bestFit="1" customWidth="1"/>
    <col min="9992" max="9992" width="11.7109375" style="119" bestFit="1" customWidth="1"/>
    <col min="9993" max="9993" width="14.42578125" style="119" customWidth="1"/>
    <col min="9994" max="9994" width="12.5703125" style="119" bestFit="1" customWidth="1"/>
    <col min="9995" max="9995" width="9.140625" style="119"/>
    <col min="9996" max="9996" width="12" style="119" customWidth="1"/>
    <col min="9997" max="9997" width="7.85546875" style="119" bestFit="1" customWidth="1"/>
    <col min="9998" max="9998" width="7.5703125" style="119" bestFit="1" customWidth="1"/>
    <col min="9999" max="10001" width="7.5703125" style="119" customWidth="1"/>
    <col min="10002" max="10002" width="9.28515625" style="119" customWidth="1"/>
    <col min="10003" max="10242" width="9.140625" style="119"/>
    <col min="10243" max="10243" width="19" style="119" customWidth="1"/>
    <col min="10244" max="10244" width="14" style="119" customWidth="1"/>
    <col min="10245" max="10245" width="12.42578125" style="119" bestFit="1" customWidth="1"/>
    <col min="10246" max="10246" width="10.140625" style="119" bestFit="1" customWidth="1"/>
    <col min="10247" max="10247" width="12.7109375" style="119" bestFit="1" customWidth="1"/>
    <col min="10248" max="10248" width="11.7109375" style="119" bestFit="1" customWidth="1"/>
    <col min="10249" max="10249" width="14.42578125" style="119" customWidth="1"/>
    <col min="10250" max="10250" width="12.5703125" style="119" bestFit="1" customWidth="1"/>
    <col min="10251" max="10251" width="9.140625" style="119"/>
    <col min="10252" max="10252" width="12" style="119" customWidth="1"/>
    <col min="10253" max="10253" width="7.85546875" style="119" bestFit="1" customWidth="1"/>
    <col min="10254" max="10254" width="7.5703125" style="119" bestFit="1" customWidth="1"/>
    <col min="10255" max="10257" width="7.5703125" style="119" customWidth="1"/>
    <col min="10258" max="10258" width="9.28515625" style="119" customWidth="1"/>
    <col min="10259" max="10498" width="9.140625" style="119"/>
    <col min="10499" max="10499" width="19" style="119" customWidth="1"/>
    <col min="10500" max="10500" width="14" style="119" customWidth="1"/>
    <col min="10501" max="10501" width="12.42578125" style="119" bestFit="1" customWidth="1"/>
    <col min="10502" max="10502" width="10.140625" style="119" bestFit="1" customWidth="1"/>
    <col min="10503" max="10503" width="12.7109375" style="119" bestFit="1" customWidth="1"/>
    <col min="10504" max="10504" width="11.7109375" style="119" bestFit="1" customWidth="1"/>
    <col min="10505" max="10505" width="14.42578125" style="119" customWidth="1"/>
    <col min="10506" max="10506" width="12.5703125" style="119" bestFit="1" customWidth="1"/>
    <col min="10507" max="10507" width="9.140625" style="119"/>
    <col min="10508" max="10508" width="12" style="119" customWidth="1"/>
    <col min="10509" max="10509" width="7.85546875" style="119" bestFit="1" customWidth="1"/>
    <col min="10510" max="10510" width="7.5703125" style="119" bestFit="1" customWidth="1"/>
    <col min="10511" max="10513" width="7.5703125" style="119" customWidth="1"/>
    <col min="10514" max="10514" width="9.28515625" style="119" customWidth="1"/>
    <col min="10515" max="10754" width="9.140625" style="119"/>
    <col min="10755" max="10755" width="19" style="119" customWidth="1"/>
    <col min="10756" max="10756" width="14" style="119" customWidth="1"/>
    <col min="10757" max="10757" width="12.42578125" style="119" bestFit="1" customWidth="1"/>
    <col min="10758" max="10758" width="10.140625" style="119" bestFit="1" customWidth="1"/>
    <col min="10759" max="10759" width="12.7109375" style="119" bestFit="1" customWidth="1"/>
    <col min="10760" max="10760" width="11.7109375" style="119" bestFit="1" customWidth="1"/>
    <col min="10761" max="10761" width="14.42578125" style="119" customWidth="1"/>
    <col min="10762" max="10762" width="12.5703125" style="119" bestFit="1" customWidth="1"/>
    <col min="10763" max="10763" width="9.140625" style="119"/>
    <col min="10764" max="10764" width="12" style="119" customWidth="1"/>
    <col min="10765" max="10765" width="7.85546875" style="119" bestFit="1" customWidth="1"/>
    <col min="10766" max="10766" width="7.5703125" style="119" bestFit="1" customWidth="1"/>
    <col min="10767" max="10769" width="7.5703125" style="119" customWidth="1"/>
    <col min="10770" max="10770" width="9.28515625" style="119" customWidth="1"/>
    <col min="10771" max="11010" width="9.140625" style="119"/>
    <col min="11011" max="11011" width="19" style="119" customWidth="1"/>
    <col min="11012" max="11012" width="14" style="119" customWidth="1"/>
    <col min="11013" max="11013" width="12.42578125" style="119" bestFit="1" customWidth="1"/>
    <col min="11014" max="11014" width="10.140625" style="119" bestFit="1" customWidth="1"/>
    <col min="11015" max="11015" width="12.7109375" style="119" bestFit="1" customWidth="1"/>
    <col min="11016" max="11016" width="11.7109375" style="119" bestFit="1" customWidth="1"/>
    <col min="11017" max="11017" width="14.42578125" style="119" customWidth="1"/>
    <col min="11018" max="11018" width="12.5703125" style="119" bestFit="1" customWidth="1"/>
    <col min="11019" max="11019" width="9.140625" style="119"/>
    <col min="11020" max="11020" width="12" style="119" customWidth="1"/>
    <col min="11021" max="11021" width="7.85546875" style="119" bestFit="1" customWidth="1"/>
    <col min="11022" max="11022" width="7.5703125" style="119" bestFit="1" customWidth="1"/>
    <col min="11023" max="11025" width="7.5703125" style="119" customWidth="1"/>
    <col min="11026" max="11026" width="9.28515625" style="119" customWidth="1"/>
    <col min="11027" max="11266" width="9.140625" style="119"/>
    <col min="11267" max="11267" width="19" style="119" customWidth="1"/>
    <col min="11268" max="11268" width="14" style="119" customWidth="1"/>
    <col min="11269" max="11269" width="12.42578125" style="119" bestFit="1" customWidth="1"/>
    <col min="11270" max="11270" width="10.140625" style="119" bestFit="1" customWidth="1"/>
    <col min="11271" max="11271" width="12.7109375" style="119" bestFit="1" customWidth="1"/>
    <col min="11272" max="11272" width="11.7109375" style="119" bestFit="1" customWidth="1"/>
    <col min="11273" max="11273" width="14.42578125" style="119" customWidth="1"/>
    <col min="11274" max="11274" width="12.5703125" style="119" bestFit="1" customWidth="1"/>
    <col min="11275" max="11275" width="9.140625" style="119"/>
    <col min="11276" max="11276" width="12" style="119" customWidth="1"/>
    <col min="11277" max="11277" width="7.85546875" style="119" bestFit="1" customWidth="1"/>
    <col min="11278" max="11278" width="7.5703125" style="119" bestFit="1" customWidth="1"/>
    <col min="11279" max="11281" width="7.5703125" style="119" customWidth="1"/>
    <col min="11282" max="11282" width="9.28515625" style="119" customWidth="1"/>
    <col min="11283" max="11522" width="9.140625" style="119"/>
    <col min="11523" max="11523" width="19" style="119" customWidth="1"/>
    <col min="11524" max="11524" width="14" style="119" customWidth="1"/>
    <col min="11525" max="11525" width="12.42578125" style="119" bestFit="1" customWidth="1"/>
    <col min="11526" max="11526" width="10.140625" style="119" bestFit="1" customWidth="1"/>
    <col min="11527" max="11527" width="12.7109375" style="119" bestFit="1" customWidth="1"/>
    <col min="11528" max="11528" width="11.7109375" style="119" bestFit="1" customWidth="1"/>
    <col min="11529" max="11529" width="14.42578125" style="119" customWidth="1"/>
    <col min="11530" max="11530" width="12.5703125" style="119" bestFit="1" customWidth="1"/>
    <col min="11531" max="11531" width="9.140625" style="119"/>
    <col min="11532" max="11532" width="12" style="119" customWidth="1"/>
    <col min="11533" max="11533" width="7.85546875" style="119" bestFit="1" customWidth="1"/>
    <col min="11534" max="11534" width="7.5703125" style="119" bestFit="1" customWidth="1"/>
    <col min="11535" max="11537" width="7.5703125" style="119" customWidth="1"/>
    <col min="11538" max="11538" width="9.28515625" style="119" customWidth="1"/>
    <col min="11539" max="11778" width="9.140625" style="119"/>
    <col min="11779" max="11779" width="19" style="119" customWidth="1"/>
    <col min="11780" max="11780" width="14" style="119" customWidth="1"/>
    <col min="11781" max="11781" width="12.42578125" style="119" bestFit="1" customWidth="1"/>
    <col min="11782" max="11782" width="10.140625" style="119" bestFit="1" customWidth="1"/>
    <col min="11783" max="11783" width="12.7109375" style="119" bestFit="1" customWidth="1"/>
    <col min="11784" max="11784" width="11.7109375" style="119" bestFit="1" customWidth="1"/>
    <col min="11785" max="11785" width="14.42578125" style="119" customWidth="1"/>
    <col min="11786" max="11786" width="12.5703125" style="119" bestFit="1" customWidth="1"/>
    <col min="11787" max="11787" width="9.140625" style="119"/>
    <col min="11788" max="11788" width="12" style="119" customWidth="1"/>
    <col min="11789" max="11789" width="7.85546875" style="119" bestFit="1" customWidth="1"/>
    <col min="11790" max="11790" width="7.5703125" style="119" bestFit="1" customWidth="1"/>
    <col min="11791" max="11793" width="7.5703125" style="119" customWidth="1"/>
    <col min="11794" max="11794" width="9.28515625" style="119" customWidth="1"/>
    <col min="11795" max="12034" width="9.140625" style="119"/>
    <col min="12035" max="12035" width="19" style="119" customWidth="1"/>
    <col min="12036" max="12036" width="14" style="119" customWidth="1"/>
    <col min="12037" max="12037" width="12.42578125" style="119" bestFit="1" customWidth="1"/>
    <col min="12038" max="12038" width="10.140625" style="119" bestFit="1" customWidth="1"/>
    <col min="12039" max="12039" width="12.7109375" style="119" bestFit="1" customWidth="1"/>
    <col min="12040" max="12040" width="11.7109375" style="119" bestFit="1" customWidth="1"/>
    <col min="12041" max="12041" width="14.42578125" style="119" customWidth="1"/>
    <col min="12042" max="12042" width="12.5703125" style="119" bestFit="1" customWidth="1"/>
    <col min="12043" max="12043" width="9.140625" style="119"/>
    <col min="12044" max="12044" width="12" style="119" customWidth="1"/>
    <col min="12045" max="12045" width="7.85546875" style="119" bestFit="1" customWidth="1"/>
    <col min="12046" max="12046" width="7.5703125" style="119" bestFit="1" customWidth="1"/>
    <col min="12047" max="12049" width="7.5703125" style="119" customWidth="1"/>
    <col min="12050" max="12050" width="9.28515625" style="119" customWidth="1"/>
    <col min="12051" max="12290" width="9.140625" style="119"/>
    <col min="12291" max="12291" width="19" style="119" customWidth="1"/>
    <col min="12292" max="12292" width="14" style="119" customWidth="1"/>
    <col min="12293" max="12293" width="12.42578125" style="119" bestFit="1" customWidth="1"/>
    <col min="12294" max="12294" width="10.140625" style="119" bestFit="1" customWidth="1"/>
    <col min="12295" max="12295" width="12.7109375" style="119" bestFit="1" customWidth="1"/>
    <col min="12296" max="12296" width="11.7109375" style="119" bestFit="1" customWidth="1"/>
    <col min="12297" max="12297" width="14.42578125" style="119" customWidth="1"/>
    <col min="12298" max="12298" width="12.5703125" style="119" bestFit="1" customWidth="1"/>
    <col min="12299" max="12299" width="9.140625" style="119"/>
    <col min="12300" max="12300" width="12" style="119" customWidth="1"/>
    <col min="12301" max="12301" width="7.85546875" style="119" bestFit="1" customWidth="1"/>
    <col min="12302" max="12302" width="7.5703125" style="119" bestFit="1" customWidth="1"/>
    <col min="12303" max="12305" width="7.5703125" style="119" customWidth="1"/>
    <col min="12306" max="12306" width="9.28515625" style="119" customWidth="1"/>
    <col min="12307" max="12546" width="9.140625" style="119"/>
    <col min="12547" max="12547" width="19" style="119" customWidth="1"/>
    <col min="12548" max="12548" width="14" style="119" customWidth="1"/>
    <col min="12549" max="12549" width="12.42578125" style="119" bestFit="1" customWidth="1"/>
    <col min="12550" max="12550" width="10.140625" style="119" bestFit="1" customWidth="1"/>
    <col min="12551" max="12551" width="12.7109375" style="119" bestFit="1" customWidth="1"/>
    <col min="12552" max="12552" width="11.7109375" style="119" bestFit="1" customWidth="1"/>
    <col min="12553" max="12553" width="14.42578125" style="119" customWidth="1"/>
    <col min="12554" max="12554" width="12.5703125" style="119" bestFit="1" customWidth="1"/>
    <col min="12555" max="12555" width="9.140625" style="119"/>
    <col min="12556" max="12556" width="12" style="119" customWidth="1"/>
    <col min="12557" max="12557" width="7.85546875" style="119" bestFit="1" customWidth="1"/>
    <col min="12558" max="12558" width="7.5703125" style="119" bestFit="1" customWidth="1"/>
    <col min="12559" max="12561" width="7.5703125" style="119" customWidth="1"/>
    <col min="12562" max="12562" width="9.28515625" style="119" customWidth="1"/>
    <col min="12563" max="12802" width="9.140625" style="119"/>
    <col min="12803" max="12803" width="19" style="119" customWidth="1"/>
    <col min="12804" max="12804" width="14" style="119" customWidth="1"/>
    <col min="12805" max="12805" width="12.42578125" style="119" bestFit="1" customWidth="1"/>
    <col min="12806" max="12806" width="10.140625" style="119" bestFit="1" customWidth="1"/>
    <col min="12807" max="12807" width="12.7109375" style="119" bestFit="1" customWidth="1"/>
    <col min="12808" max="12808" width="11.7109375" style="119" bestFit="1" customWidth="1"/>
    <col min="12809" max="12809" width="14.42578125" style="119" customWidth="1"/>
    <col min="12810" max="12810" width="12.5703125" style="119" bestFit="1" customWidth="1"/>
    <col min="12811" max="12811" width="9.140625" style="119"/>
    <col min="12812" max="12812" width="12" style="119" customWidth="1"/>
    <col min="12813" max="12813" width="7.85546875" style="119" bestFit="1" customWidth="1"/>
    <col min="12814" max="12814" width="7.5703125" style="119" bestFit="1" customWidth="1"/>
    <col min="12815" max="12817" width="7.5703125" style="119" customWidth="1"/>
    <col min="12818" max="12818" width="9.28515625" style="119" customWidth="1"/>
    <col min="12819" max="13058" width="9.140625" style="119"/>
    <col min="13059" max="13059" width="19" style="119" customWidth="1"/>
    <col min="13060" max="13060" width="14" style="119" customWidth="1"/>
    <col min="13061" max="13061" width="12.42578125" style="119" bestFit="1" customWidth="1"/>
    <col min="13062" max="13062" width="10.140625" style="119" bestFit="1" customWidth="1"/>
    <col min="13063" max="13063" width="12.7109375" style="119" bestFit="1" customWidth="1"/>
    <col min="13064" max="13064" width="11.7109375" style="119" bestFit="1" customWidth="1"/>
    <col min="13065" max="13065" width="14.42578125" style="119" customWidth="1"/>
    <col min="13066" max="13066" width="12.5703125" style="119" bestFit="1" customWidth="1"/>
    <col min="13067" max="13067" width="9.140625" style="119"/>
    <col min="13068" max="13068" width="12" style="119" customWidth="1"/>
    <col min="13069" max="13069" width="7.85546875" style="119" bestFit="1" customWidth="1"/>
    <col min="13070" max="13070" width="7.5703125" style="119" bestFit="1" customWidth="1"/>
    <col min="13071" max="13073" width="7.5703125" style="119" customWidth="1"/>
    <col min="13074" max="13074" width="9.28515625" style="119" customWidth="1"/>
    <col min="13075" max="13314" width="9.140625" style="119"/>
    <col min="13315" max="13315" width="19" style="119" customWidth="1"/>
    <col min="13316" max="13316" width="14" style="119" customWidth="1"/>
    <col min="13317" max="13317" width="12.42578125" style="119" bestFit="1" customWidth="1"/>
    <col min="13318" max="13318" width="10.140625" style="119" bestFit="1" customWidth="1"/>
    <col min="13319" max="13319" width="12.7109375" style="119" bestFit="1" customWidth="1"/>
    <col min="13320" max="13320" width="11.7109375" style="119" bestFit="1" customWidth="1"/>
    <col min="13321" max="13321" width="14.42578125" style="119" customWidth="1"/>
    <col min="13322" max="13322" width="12.5703125" style="119" bestFit="1" customWidth="1"/>
    <col min="13323" max="13323" width="9.140625" style="119"/>
    <col min="13324" max="13324" width="12" style="119" customWidth="1"/>
    <col min="13325" max="13325" width="7.85546875" style="119" bestFit="1" customWidth="1"/>
    <col min="13326" max="13326" width="7.5703125" style="119" bestFit="1" customWidth="1"/>
    <col min="13327" max="13329" width="7.5703125" style="119" customWidth="1"/>
    <col min="13330" max="13330" width="9.28515625" style="119" customWidth="1"/>
    <col min="13331" max="13570" width="9.140625" style="119"/>
    <col min="13571" max="13571" width="19" style="119" customWidth="1"/>
    <col min="13572" max="13572" width="14" style="119" customWidth="1"/>
    <col min="13573" max="13573" width="12.42578125" style="119" bestFit="1" customWidth="1"/>
    <col min="13574" max="13574" width="10.140625" style="119" bestFit="1" customWidth="1"/>
    <col min="13575" max="13575" width="12.7109375" style="119" bestFit="1" customWidth="1"/>
    <col min="13576" max="13576" width="11.7109375" style="119" bestFit="1" customWidth="1"/>
    <col min="13577" max="13577" width="14.42578125" style="119" customWidth="1"/>
    <col min="13578" max="13578" width="12.5703125" style="119" bestFit="1" customWidth="1"/>
    <col min="13579" max="13579" width="9.140625" style="119"/>
    <col min="13580" max="13580" width="12" style="119" customWidth="1"/>
    <col min="13581" max="13581" width="7.85546875" style="119" bestFit="1" customWidth="1"/>
    <col min="13582" max="13582" width="7.5703125" style="119" bestFit="1" customWidth="1"/>
    <col min="13583" max="13585" width="7.5703125" style="119" customWidth="1"/>
    <col min="13586" max="13586" width="9.28515625" style="119" customWidth="1"/>
    <col min="13587" max="13826" width="9.140625" style="119"/>
    <col min="13827" max="13827" width="19" style="119" customWidth="1"/>
    <col min="13828" max="13828" width="14" style="119" customWidth="1"/>
    <col min="13829" max="13829" width="12.42578125" style="119" bestFit="1" customWidth="1"/>
    <col min="13830" max="13830" width="10.140625" style="119" bestFit="1" customWidth="1"/>
    <col min="13831" max="13831" width="12.7109375" style="119" bestFit="1" customWidth="1"/>
    <col min="13832" max="13832" width="11.7109375" style="119" bestFit="1" customWidth="1"/>
    <col min="13833" max="13833" width="14.42578125" style="119" customWidth="1"/>
    <col min="13834" max="13834" width="12.5703125" style="119" bestFit="1" customWidth="1"/>
    <col min="13835" max="13835" width="9.140625" style="119"/>
    <col min="13836" max="13836" width="12" style="119" customWidth="1"/>
    <col min="13837" max="13837" width="7.85546875" style="119" bestFit="1" customWidth="1"/>
    <col min="13838" max="13838" width="7.5703125" style="119" bestFit="1" customWidth="1"/>
    <col min="13839" max="13841" width="7.5703125" style="119" customWidth="1"/>
    <col min="13842" max="13842" width="9.28515625" style="119" customWidth="1"/>
    <col min="13843" max="14082" width="9.140625" style="119"/>
    <col min="14083" max="14083" width="19" style="119" customWidth="1"/>
    <col min="14084" max="14084" width="14" style="119" customWidth="1"/>
    <col min="14085" max="14085" width="12.42578125" style="119" bestFit="1" customWidth="1"/>
    <col min="14086" max="14086" width="10.140625" style="119" bestFit="1" customWidth="1"/>
    <col min="14087" max="14087" width="12.7109375" style="119" bestFit="1" customWidth="1"/>
    <col min="14088" max="14088" width="11.7109375" style="119" bestFit="1" customWidth="1"/>
    <col min="14089" max="14089" width="14.42578125" style="119" customWidth="1"/>
    <col min="14090" max="14090" width="12.5703125" style="119" bestFit="1" customWidth="1"/>
    <col min="14091" max="14091" width="9.140625" style="119"/>
    <col min="14092" max="14092" width="12" style="119" customWidth="1"/>
    <col min="14093" max="14093" width="7.85546875" style="119" bestFit="1" customWidth="1"/>
    <col min="14094" max="14094" width="7.5703125" style="119" bestFit="1" customWidth="1"/>
    <col min="14095" max="14097" width="7.5703125" style="119" customWidth="1"/>
    <col min="14098" max="14098" width="9.28515625" style="119" customWidth="1"/>
    <col min="14099" max="14338" width="9.140625" style="119"/>
    <col min="14339" max="14339" width="19" style="119" customWidth="1"/>
    <col min="14340" max="14340" width="14" style="119" customWidth="1"/>
    <col min="14341" max="14341" width="12.42578125" style="119" bestFit="1" customWidth="1"/>
    <col min="14342" max="14342" width="10.140625" style="119" bestFit="1" customWidth="1"/>
    <col min="14343" max="14343" width="12.7109375" style="119" bestFit="1" customWidth="1"/>
    <col min="14344" max="14344" width="11.7109375" style="119" bestFit="1" customWidth="1"/>
    <col min="14345" max="14345" width="14.42578125" style="119" customWidth="1"/>
    <col min="14346" max="14346" width="12.5703125" style="119" bestFit="1" customWidth="1"/>
    <col min="14347" max="14347" width="9.140625" style="119"/>
    <col min="14348" max="14348" width="12" style="119" customWidth="1"/>
    <col min="14349" max="14349" width="7.85546875" style="119" bestFit="1" customWidth="1"/>
    <col min="14350" max="14350" width="7.5703125" style="119" bestFit="1" customWidth="1"/>
    <col min="14351" max="14353" width="7.5703125" style="119" customWidth="1"/>
    <col min="14354" max="14354" width="9.28515625" style="119" customWidth="1"/>
    <col min="14355" max="14594" width="9.140625" style="119"/>
    <col min="14595" max="14595" width="19" style="119" customWidth="1"/>
    <col min="14596" max="14596" width="14" style="119" customWidth="1"/>
    <col min="14597" max="14597" width="12.42578125" style="119" bestFit="1" customWidth="1"/>
    <col min="14598" max="14598" width="10.140625" style="119" bestFit="1" customWidth="1"/>
    <col min="14599" max="14599" width="12.7109375" style="119" bestFit="1" customWidth="1"/>
    <col min="14600" max="14600" width="11.7109375" style="119" bestFit="1" customWidth="1"/>
    <col min="14601" max="14601" width="14.42578125" style="119" customWidth="1"/>
    <col min="14602" max="14602" width="12.5703125" style="119" bestFit="1" customWidth="1"/>
    <col min="14603" max="14603" width="9.140625" style="119"/>
    <col min="14604" max="14604" width="12" style="119" customWidth="1"/>
    <col min="14605" max="14605" width="7.85546875" style="119" bestFit="1" customWidth="1"/>
    <col min="14606" max="14606" width="7.5703125" style="119" bestFit="1" customWidth="1"/>
    <col min="14607" max="14609" width="7.5703125" style="119" customWidth="1"/>
    <col min="14610" max="14610" width="9.28515625" style="119" customWidth="1"/>
    <col min="14611" max="14850" width="9.140625" style="119"/>
    <col min="14851" max="14851" width="19" style="119" customWidth="1"/>
    <col min="14852" max="14852" width="14" style="119" customWidth="1"/>
    <col min="14853" max="14853" width="12.42578125" style="119" bestFit="1" customWidth="1"/>
    <col min="14854" max="14854" width="10.140625" style="119" bestFit="1" customWidth="1"/>
    <col min="14855" max="14855" width="12.7109375" style="119" bestFit="1" customWidth="1"/>
    <col min="14856" max="14856" width="11.7109375" style="119" bestFit="1" customWidth="1"/>
    <col min="14857" max="14857" width="14.42578125" style="119" customWidth="1"/>
    <col min="14858" max="14858" width="12.5703125" style="119" bestFit="1" customWidth="1"/>
    <col min="14859" max="14859" width="9.140625" style="119"/>
    <col min="14860" max="14860" width="12" style="119" customWidth="1"/>
    <col min="14861" max="14861" width="7.85546875" style="119" bestFit="1" customWidth="1"/>
    <col min="14862" max="14862" width="7.5703125" style="119" bestFit="1" customWidth="1"/>
    <col min="14863" max="14865" width="7.5703125" style="119" customWidth="1"/>
    <col min="14866" max="14866" width="9.28515625" style="119" customWidth="1"/>
    <col min="14867" max="15106" width="9.140625" style="119"/>
    <col min="15107" max="15107" width="19" style="119" customWidth="1"/>
    <col min="15108" max="15108" width="14" style="119" customWidth="1"/>
    <col min="15109" max="15109" width="12.42578125" style="119" bestFit="1" customWidth="1"/>
    <col min="15110" max="15110" width="10.140625" style="119" bestFit="1" customWidth="1"/>
    <col min="15111" max="15111" width="12.7109375" style="119" bestFit="1" customWidth="1"/>
    <col min="15112" max="15112" width="11.7109375" style="119" bestFit="1" customWidth="1"/>
    <col min="15113" max="15113" width="14.42578125" style="119" customWidth="1"/>
    <col min="15114" max="15114" width="12.5703125" style="119" bestFit="1" customWidth="1"/>
    <col min="15115" max="15115" width="9.140625" style="119"/>
    <col min="15116" max="15116" width="12" style="119" customWidth="1"/>
    <col min="15117" max="15117" width="7.85546875" style="119" bestFit="1" customWidth="1"/>
    <col min="15118" max="15118" width="7.5703125" style="119" bestFit="1" customWidth="1"/>
    <col min="15119" max="15121" width="7.5703125" style="119" customWidth="1"/>
    <col min="15122" max="15122" width="9.28515625" style="119" customWidth="1"/>
    <col min="15123" max="15362" width="9.140625" style="119"/>
    <col min="15363" max="15363" width="19" style="119" customWidth="1"/>
    <col min="15364" max="15364" width="14" style="119" customWidth="1"/>
    <col min="15365" max="15365" width="12.42578125" style="119" bestFit="1" customWidth="1"/>
    <col min="15366" max="15366" width="10.140625" style="119" bestFit="1" customWidth="1"/>
    <col min="15367" max="15367" width="12.7109375" style="119" bestFit="1" customWidth="1"/>
    <col min="15368" max="15368" width="11.7109375" style="119" bestFit="1" customWidth="1"/>
    <col min="15369" max="15369" width="14.42578125" style="119" customWidth="1"/>
    <col min="15370" max="15370" width="12.5703125" style="119" bestFit="1" customWidth="1"/>
    <col min="15371" max="15371" width="9.140625" style="119"/>
    <col min="15372" max="15372" width="12" style="119" customWidth="1"/>
    <col min="15373" max="15373" width="7.85546875" style="119" bestFit="1" customWidth="1"/>
    <col min="15374" max="15374" width="7.5703125" style="119" bestFit="1" customWidth="1"/>
    <col min="15375" max="15377" width="7.5703125" style="119" customWidth="1"/>
    <col min="15378" max="15378" width="9.28515625" style="119" customWidth="1"/>
    <col min="15379" max="15618" width="9.140625" style="119"/>
    <col min="15619" max="15619" width="19" style="119" customWidth="1"/>
    <col min="15620" max="15620" width="14" style="119" customWidth="1"/>
    <col min="15621" max="15621" width="12.42578125" style="119" bestFit="1" customWidth="1"/>
    <col min="15622" max="15622" width="10.140625" style="119" bestFit="1" customWidth="1"/>
    <col min="15623" max="15623" width="12.7109375" style="119" bestFit="1" customWidth="1"/>
    <col min="15624" max="15624" width="11.7109375" style="119" bestFit="1" customWidth="1"/>
    <col min="15625" max="15625" width="14.42578125" style="119" customWidth="1"/>
    <col min="15626" max="15626" width="12.5703125" style="119" bestFit="1" customWidth="1"/>
    <col min="15627" max="15627" width="9.140625" style="119"/>
    <col min="15628" max="15628" width="12" style="119" customWidth="1"/>
    <col min="15629" max="15629" width="7.85546875" style="119" bestFit="1" customWidth="1"/>
    <col min="15630" max="15630" width="7.5703125" style="119" bestFit="1" customWidth="1"/>
    <col min="15631" max="15633" width="7.5703125" style="119" customWidth="1"/>
    <col min="15634" max="15634" width="9.28515625" style="119" customWidth="1"/>
    <col min="15635" max="15874" width="9.140625" style="119"/>
    <col min="15875" max="15875" width="19" style="119" customWidth="1"/>
    <col min="15876" max="15876" width="14" style="119" customWidth="1"/>
    <col min="15877" max="15877" width="12.42578125" style="119" bestFit="1" customWidth="1"/>
    <col min="15878" max="15878" width="10.140625" style="119" bestFit="1" customWidth="1"/>
    <col min="15879" max="15879" width="12.7109375" style="119" bestFit="1" customWidth="1"/>
    <col min="15880" max="15880" width="11.7109375" style="119" bestFit="1" customWidth="1"/>
    <col min="15881" max="15881" width="14.42578125" style="119" customWidth="1"/>
    <col min="15882" max="15882" width="12.5703125" style="119" bestFit="1" customWidth="1"/>
    <col min="15883" max="15883" width="9.140625" style="119"/>
    <col min="15884" max="15884" width="12" style="119" customWidth="1"/>
    <col min="15885" max="15885" width="7.85546875" style="119" bestFit="1" customWidth="1"/>
    <col min="15886" max="15886" width="7.5703125" style="119" bestFit="1" customWidth="1"/>
    <col min="15887" max="15889" width="7.5703125" style="119" customWidth="1"/>
    <col min="15890" max="15890" width="9.28515625" style="119" customWidth="1"/>
    <col min="15891" max="16130" width="9.140625" style="119"/>
    <col min="16131" max="16131" width="19" style="119" customWidth="1"/>
    <col min="16132" max="16132" width="14" style="119" customWidth="1"/>
    <col min="16133" max="16133" width="12.42578125" style="119" bestFit="1" customWidth="1"/>
    <col min="16134" max="16134" width="10.140625" style="119" bestFit="1" customWidth="1"/>
    <col min="16135" max="16135" width="12.7109375" style="119" bestFit="1" customWidth="1"/>
    <col min="16136" max="16136" width="11.7109375" style="119" bestFit="1" customWidth="1"/>
    <col min="16137" max="16137" width="14.42578125" style="119" customWidth="1"/>
    <col min="16138" max="16138" width="12.5703125" style="119" bestFit="1" customWidth="1"/>
    <col min="16139" max="16139" width="9.140625" style="119"/>
    <col min="16140" max="16140" width="12" style="119" customWidth="1"/>
    <col min="16141" max="16141" width="7.85546875" style="119" bestFit="1" customWidth="1"/>
    <col min="16142" max="16142" width="7.5703125" style="119" bestFit="1" customWidth="1"/>
    <col min="16143" max="16145" width="7.5703125" style="119" customWidth="1"/>
    <col min="16146" max="16146" width="9.28515625" style="119" customWidth="1"/>
    <col min="16147" max="16384" width="9.140625" style="119"/>
  </cols>
  <sheetData>
    <row r="1" spans="1:35" x14ac:dyDescent="0.25">
      <c r="B1" s="120" t="str">
        <f>+'[2]DPR(stand alone)'!kundan</f>
        <v>AAI SHRI KHODIYAR INDUSTRIES LLP</v>
      </c>
      <c r="C1" s="121"/>
      <c r="F1" s="122"/>
      <c r="H1" s="119" t="s">
        <v>188</v>
      </c>
    </row>
    <row r="2" spans="1:35" x14ac:dyDescent="0.25">
      <c r="B2" s="440" t="s">
        <v>189</v>
      </c>
      <c r="C2" s="440"/>
      <c r="D2" s="440"/>
      <c r="E2" s="440"/>
      <c r="F2" s="123"/>
      <c r="G2" s="123" t="s">
        <v>190</v>
      </c>
      <c r="H2" s="123"/>
      <c r="K2" s="124"/>
    </row>
    <row r="3" spans="1:35" x14ac:dyDescent="0.25">
      <c r="B3" s="435" t="s">
        <v>191</v>
      </c>
      <c r="C3" s="435"/>
      <c r="D3" s="435"/>
      <c r="E3" s="126">
        <v>2415.75</v>
      </c>
      <c r="F3" s="127"/>
      <c r="G3" s="123"/>
      <c r="H3" s="123"/>
    </row>
    <row r="4" spans="1:35" x14ac:dyDescent="0.25">
      <c r="B4" s="125" t="s">
        <v>192</v>
      </c>
      <c r="C4" s="128"/>
      <c r="D4" s="125"/>
      <c r="E4" s="129">
        <v>45689</v>
      </c>
      <c r="F4" s="127"/>
      <c r="G4" s="123"/>
      <c r="H4" s="123"/>
    </row>
    <row r="5" spans="1:35" x14ac:dyDescent="0.25">
      <c r="B5" s="435" t="s">
        <v>193</v>
      </c>
      <c r="C5" s="435"/>
      <c r="D5" s="435"/>
      <c r="E5" s="130">
        <v>10</v>
      </c>
      <c r="F5" s="127" t="s">
        <v>194</v>
      </c>
      <c r="G5" s="123"/>
      <c r="H5" s="123"/>
    </row>
    <row r="6" spans="1:35" x14ac:dyDescent="0.25">
      <c r="B6" s="435" t="s">
        <v>195</v>
      </c>
      <c r="C6" s="435"/>
      <c r="D6" s="435"/>
      <c r="E6" s="131">
        <v>10</v>
      </c>
      <c r="F6" s="127"/>
      <c r="G6" s="123"/>
      <c r="H6" s="123"/>
      <c r="L6" s="119" t="s">
        <v>196</v>
      </c>
      <c r="P6" s="119">
        <v>2</v>
      </c>
      <c r="Q6" s="119">
        <v>2</v>
      </c>
      <c r="Y6" s="133">
        <v>0</v>
      </c>
      <c r="Z6" s="133"/>
      <c r="AA6" s="133"/>
      <c r="AB6" s="133"/>
      <c r="AC6" s="133"/>
      <c r="AD6" s="133"/>
      <c r="AE6" s="133"/>
      <c r="AF6" s="133"/>
      <c r="AG6" s="133"/>
      <c r="AH6" s="133"/>
      <c r="AI6" s="133"/>
    </row>
    <row r="7" spans="1:35" x14ac:dyDescent="0.25">
      <c r="B7" s="125" t="s">
        <v>197</v>
      </c>
      <c r="C7" s="128"/>
      <c r="D7" s="125"/>
      <c r="E7" s="132">
        <v>119</v>
      </c>
      <c r="F7" s="127"/>
      <c r="G7" s="123">
        <v>89</v>
      </c>
      <c r="H7" s="123">
        <f>+G7/12</f>
        <v>7.416666666666667</v>
      </c>
      <c r="L7" s="119" t="s">
        <v>198</v>
      </c>
      <c r="P7" s="119">
        <v>12</v>
      </c>
      <c r="Q7" s="119">
        <v>12</v>
      </c>
      <c r="Y7" s="133">
        <v>0</v>
      </c>
    </row>
    <row r="8" spans="1:35" x14ac:dyDescent="0.25">
      <c r="B8" s="125" t="s">
        <v>199</v>
      </c>
      <c r="C8" s="128"/>
      <c r="D8" s="125"/>
      <c r="E8" s="132">
        <v>96</v>
      </c>
      <c r="F8" s="127"/>
      <c r="G8" s="123">
        <f>+E8/12</f>
        <v>8</v>
      </c>
      <c r="H8" s="123"/>
      <c r="L8" s="119" t="s">
        <v>200</v>
      </c>
      <c r="P8" s="119">
        <v>12</v>
      </c>
      <c r="Q8" s="119">
        <v>9</v>
      </c>
      <c r="R8" s="119">
        <v>3</v>
      </c>
      <c r="S8" s="119">
        <v>1</v>
      </c>
      <c r="T8" s="133">
        <v>20</v>
      </c>
      <c r="U8" s="133">
        <f>+S8*T8</f>
        <v>20</v>
      </c>
      <c r="V8" s="133">
        <v>25</v>
      </c>
      <c r="W8" s="133">
        <f>+V8*S8</f>
        <v>25</v>
      </c>
      <c r="X8" s="133">
        <f>+W8</f>
        <v>25</v>
      </c>
      <c r="Y8" s="133">
        <v>181.18124999999998</v>
      </c>
    </row>
    <row r="9" spans="1:35" x14ac:dyDescent="0.25">
      <c r="B9" s="125" t="s">
        <v>201</v>
      </c>
      <c r="C9" s="128"/>
      <c r="D9" s="125"/>
      <c r="E9" s="132">
        <v>23</v>
      </c>
      <c r="F9" s="127"/>
      <c r="G9" s="123"/>
      <c r="H9" s="123">
        <f>+E7/12</f>
        <v>9.9166666666666661</v>
      </c>
      <c r="L9" s="119" t="s">
        <v>202</v>
      </c>
      <c r="P9" s="119">
        <v>12</v>
      </c>
      <c r="R9" s="119">
        <v>12</v>
      </c>
      <c r="S9" s="119">
        <v>4</v>
      </c>
      <c r="T9" s="133">
        <v>30</v>
      </c>
      <c r="U9" s="133">
        <f t="shared" ref="U9:U16" si="0">+S9*T9</f>
        <v>120</v>
      </c>
      <c r="V9" s="133">
        <v>40</v>
      </c>
      <c r="W9" s="133">
        <f>+V9*S9</f>
        <v>160</v>
      </c>
      <c r="X9" s="133">
        <f>+X8+W9</f>
        <v>185</v>
      </c>
      <c r="Y9" s="133">
        <v>235.07500000000002</v>
      </c>
    </row>
    <row r="10" spans="1:35" x14ac:dyDescent="0.25">
      <c r="B10" s="435" t="s">
        <v>203</v>
      </c>
      <c r="C10" s="435"/>
      <c r="D10" s="435"/>
      <c r="E10" s="134">
        <v>45689</v>
      </c>
      <c r="F10" s="127"/>
      <c r="G10" s="123"/>
      <c r="H10" s="123"/>
      <c r="L10" s="119" t="s">
        <v>204</v>
      </c>
      <c r="P10" s="119">
        <v>12</v>
      </c>
      <c r="R10" s="119">
        <v>12</v>
      </c>
      <c r="S10" s="119">
        <v>4</v>
      </c>
      <c r="T10" s="133">
        <v>50</v>
      </c>
      <c r="U10" s="133">
        <f t="shared" si="0"/>
        <v>200</v>
      </c>
      <c r="V10" s="133">
        <v>60</v>
      </c>
      <c r="W10" s="133">
        <f t="shared" ref="W10:W13" si="1">+V10*S10</f>
        <v>240</v>
      </c>
      <c r="X10" s="133">
        <f t="shared" ref="X10:X14" si="2">+X9+W10</f>
        <v>425</v>
      </c>
      <c r="Y10" s="133">
        <v>220.07499999999999</v>
      </c>
    </row>
    <row r="11" spans="1:35" x14ac:dyDescent="0.25">
      <c r="B11" s="435" t="s">
        <v>205</v>
      </c>
      <c r="C11" s="435"/>
      <c r="D11" s="435"/>
      <c r="E11" s="134">
        <v>46204</v>
      </c>
      <c r="F11" s="127"/>
      <c r="G11" s="123"/>
      <c r="H11" s="123"/>
      <c r="L11" s="119" t="s">
        <v>206</v>
      </c>
      <c r="P11" s="119">
        <v>12</v>
      </c>
      <c r="R11" s="119">
        <v>12</v>
      </c>
      <c r="S11" s="119">
        <v>4</v>
      </c>
      <c r="T11" s="133">
        <v>60</v>
      </c>
      <c r="U11" s="133">
        <f t="shared" si="0"/>
        <v>240</v>
      </c>
      <c r="V11" s="133">
        <v>80</v>
      </c>
      <c r="W11" s="133">
        <f t="shared" si="1"/>
        <v>320</v>
      </c>
      <c r="X11" s="133">
        <f t="shared" si="2"/>
        <v>745</v>
      </c>
      <c r="Y11" s="133">
        <v>198.57500000000007</v>
      </c>
    </row>
    <row r="12" spans="1:35" x14ac:dyDescent="0.25">
      <c r="B12" s="435" t="s">
        <v>207</v>
      </c>
      <c r="C12" s="435"/>
      <c r="D12" s="435"/>
      <c r="E12" s="126" t="s">
        <v>208</v>
      </c>
      <c r="F12" s="127"/>
      <c r="G12" s="123"/>
      <c r="H12" s="123"/>
      <c r="L12" s="119" t="s">
        <v>209</v>
      </c>
      <c r="P12" s="119">
        <v>12</v>
      </c>
      <c r="R12" s="119">
        <v>12</v>
      </c>
      <c r="S12" s="119">
        <v>4</v>
      </c>
      <c r="T12" s="133">
        <v>75</v>
      </c>
      <c r="U12" s="133">
        <f t="shared" si="0"/>
        <v>300</v>
      </c>
      <c r="V12" s="133">
        <v>100</v>
      </c>
      <c r="W12" s="133">
        <f t="shared" si="1"/>
        <v>400</v>
      </c>
      <c r="X12" s="133">
        <f t="shared" si="2"/>
        <v>1145</v>
      </c>
      <c r="Y12" s="133">
        <v>172.32500000000005</v>
      </c>
    </row>
    <row r="13" spans="1:35" x14ac:dyDescent="0.25">
      <c r="B13" s="436" t="s">
        <v>210</v>
      </c>
      <c r="C13" s="436"/>
      <c r="D13" s="436"/>
      <c r="E13" s="135">
        <v>46388</v>
      </c>
      <c r="F13" s="127"/>
      <c r="G13" s="123"/>
      <c r="H13" s="123"/>
      <c r="L13" s="119" t="s">
        <v>211</v>
      </c>
      <c r="P13" s="119">
        <v>12</v>
      </c>
      <c r="R13" s="119">
        <v>12</v>
      </c>
      <c r="S13" s="119">
        <v>4</v>
      </c>
      <c r="T13" s="133">
        <v>90</v>
      </c>
      <c r="U13" s="133">
        <f t="shared" si="0"/>
        <v>360</v>
      </c>
      <c r="V13" s="133">
        <v>150</v>
      </c>
      <c r="W13" s="133">
        <f t="shared" si="1"/>
        <v>600</v>
      </c>
      <c r="X13" s="133">
        <f t="shared" si="2"/>
        <v>1745</v>
      </c>
      <c r="Y13" s="133">
        <v>140.07500000000002</v>
      </c>
    </row>
    <row r="14" spans="1:35" x14ac:dyDescent="0.25">
      <c r="B14" s="437" t="s">
        <v>458</v>
      </c>
      <c r="C14" s="437"/>
      <c r="D14" s="438"/>
      <c r="E14" s="135">
        <v>48395</v>
      </c>
      <c r="F14" s="123"/>
      <c r="G14" s="123"/>
      <c r="H14" s="123"/>
      <c r="L14" s="119" t="s">
        <v>212</v>
      </c>
      <c r="P14" s="119">
        <v>12</v>
      </c>
      <c r="R14" s="119">
        <v>12</v>
      </c>
      <c r="S14" s="119">
        <v>4</v>
      </c>
      <c r="T14" s="133">
        <v>100</v>
      </c>
      <c r="U14" s="133">
        <f t="shared" si="0"/>
        <v>400</v>
      </c>
      <c r="V14" s="133">
        <v>162.6875</v>
      </c>
      <c r="W14" s="391">
        <v>167.6875</v>
      </c>
      <c r="X14" s="133">
        <f t="shared" si="2"/>
        <v>1912.6875</v>
      </c>
      <c r="Y14" s="133">
        <v>102.57499999999999</v>
      </c>
    </row>
    <row r="15" spans="1:35" ht="45" x14ac:dyDescent="0.25">
      <c r="A15" s="136" t="s">
        <v>213</v>
      </c>
      <c r="B15" s="137" t="s">
        <v>214</v>
      </c>
      <c r="C15" s="138" t="s">
        <v>13</v>
      </c>
      <c r="D15" s="139" t="s">
        <v>215</v>
      </c>
      <c r="E15" s="139" t="s">
        <v>15</v>
      </c>
      <c r="F15" s="139" t="s">
        <v>14</v>
      </c>
      <c r="G15" s="139" t="s">
        <v>216</v>
      </c>
      <c r="H15" s="139" t="s">
        <v>217</v>
      </c>
      <c r="L15" s="119" t="s">
        <v>218</v>
      </c>
      <c r="P15" s="119">
        <v>12</v>
      </c>
      <c r="R15" s="119">
        <v>12</v>
      </c>
      <c r="S15" s="119">
        <v>4</v>
      </c>
      <c r="T15" s="133">
        <v>115</v>
      </c>
      <c r="U15" s="133">
        <f t="shared" si="0"/>
        <v>460</v>
      </c>
      <c r="Y15" s="133">
        <v>60.325000000000003</v>
      </c>
    </row>
    <row r="16" spans="1:35" x14ac:dyDescent="0.25">
      <c r="A16" s="140"/>
      <c r="B16" s="140"/>
      <c r="C16" s="141"/>
      <c r="D16" s="140"/>
      <c r="E16" s="140"/>
      <c r="F16" s="142"/>
      <c r="G16" s="140"/>
      <c r="H16" s="140"/>
      <c r="I16" s="119" t="s">
        <v>14</v>
      </c>
      <c r="J16" s="119" t="s">
        <v>15</v>
      </c>
      <c r="L16" s="119" t="s">
        <v>219</v>
      </c>
      <c r="P16" s="119">
        <v>10</v>
      </c>
      <c r="R16" s="119">
        <v>9</v>
      </c>
      <c r="S16" s="119">
        <v>3</v>
      </c>
      <c r="T16" s="133">
        <v>105.25</v>
      </c>
      <c r="U16" s="133">
        <f t="shared" si="0"/>
        <v>315.75</v>
      </c>
      <c r="Y16" s="133">
        <v>15.7875</v>
      </c>
      <c r="AA16" s="392">
        <f>+AA18/4*-1</f>
        <v>167.6875</v>
      </c>
    </row>
    <row r="17" spans="1:27" x14ac:dyDescent="0.25">
      <c r="A17" s="143">
        <v>1</v>
      </c>
      <c r="B17" s="143"/>
      <c r="C17" s="144">
        <v>45716</v>
      </c>
      <c r="D17" s="145">
        <v>20</v>
      </c>
      <c r="E17" s="145">
        <v>0</v>
      </c>
      <c r="F17" s="145">
        <f>+H17*$E$5%/12</f>
        <v>0.16666666666666666</v>
      </c>
      <c r="G17" s="145">
        <f t="shared" ref="G17:G72" si="3">+E17+F17</f>
        <v>0.16666666666666666</v>
      </c>
      <c r="H17" s="145">
        <f>+D17-E17</f>
        <v>20</v>
      </c>
      <c r="P17" s="119">
        <f>SUM(P6:P16)</f>
        <v>120</v>
      </c>
      <c r="Q17" s="119">
        <f>SUM(Q6:Q16)</f>
        <v>23</v>
      </c>
      <c r="R17" s="119">
        <f>SUM(R8:R16)</f>
        <v>96</v>
      </c>
      <c r="T17" s="133"/>
      <c r="U17" s="133">
        <f>SUM(U8:U16)</f>
        <v>2415.75</v>
      </c>
    </row>
    <row r="18" spans="1:27" s="154" customFormat="1" x14ac:dyDescent="0.25">
      <c r="A18" s="166">
        <f>+A17+1</f>
        <v>2</v>
      </c>
      <c r="B18" s="166"/>
      <c r="C18" s="167">
        <v>45747</v>
      </c>
      <c r="D18" s="168">
        <v>10</v>
      </c>
      <c r="E18" s="168">
        <v>0</v>
      </c>
      <c r="F18" s="168">
        <f t="shared" ref="F18:F33" si="4">+H18*$E$5%/12</f>
        <v>0.25</v>
      </c>
      <c r="G18" s="168">
        <f t="shared" si="3"/>
        <v>0.25</v>
      </c>
      <c r="H18" s="168">
        <f>+H17+D18-E18</f>
        <v>30</v>
      </c>
      <c r="I18" s="169">
        <f>SUM(F17:F18)</f>
        <v>0.41666666666666663</v>
      </c>
      <c r="J18" s="154">
        <f>+H18</f>
        <v>30</v>
      </c>
      <c r="U18" s="169">
        <v>2415.75</v>
      </c>
      <c r="AA18" s="169">
        <f>+X13-U18</f>
        <v>-670.75</v>
      </c>
    </row>
    <row r="19" spans="1:27" x14ac:dyDescent="0.25">
      <c r="A19" s="143">
        <f t="shared" ref="A19:B40" si="5">+A18+1</f>
        <v>3</v>
      </c>
      <c r="B19" s="143"/>
      <c r="C19" s="144">
        <v>45777</v>
      </c>
      <c r="D19" s="145">
        <v>20</v>
      </c>
      <c r="E19" s="145">
        <v>0</v>
      </c>
      <c r="F19" s="145">
        <f t="shared" si="4"/>
        <v>0.41666666666666669</v>
      </c>
      <c r="G19" s="145">
        <f t="shared" si="3"/>
        <v>0.41666666666666669</v>
      </c>
      <c r="H19" s="145">
        <f t="shared" ref="H19:H33" si="6">+H18+D19-E19</f>
        <v>50</v>
      </c>
      <c r="U19" s="122">
        <f>+U18-U17</f>
        <v>0</v>
      </c>
    </row>
    <row r="20" spans="1:27" x14ac:dyDescent="0.25">
      <c r="A20" s="143">
        <f t="shared" si="5"/>
        <v>4</v>
      </c>
      <c r="B20" s="143"/>
      <c r="C20" s="144">
        <v>45808</v>
      </c>
      <c r="D20" s="145">
        <v>20</v>
      </c>
      <c r="E20" s="145">
        <v>0</v>
      </c>
      <c r="F20" s="145">
        <f t="shared" si="4"/>
        <v>0.58333333333333337</v>
      </c>
      <c r="G20" s="145">
        <f t="shared" si="3"/>
        <v>0.58333333333333337</v>
      </c>
      <c r="H20" s="145">
        <f t="shared" si="6"/>
        <v>70</v>
      </c>
      <c r="U20" s="119">
        <f>+U19/3</f>
        <v>0</v>
      </c>
    </row>
    <row r="21" spans="1:27" x14ac:dyDescent="0.25">
      <c r="A21" s="143">
        <f t="shared" si="5"/>
        <v>5</v>
      </c>
      <c r="B21" s="143"/>
      <c r="C21" s="144">
        <v>45838</v>
      </c>
      <c r="D21" s="145">
        <v>20</v>
      </c>
      <c r="E21" s="145">
        <v>0</v>
      </c>
      <c r="F21" s="145">
        <f t="shared" si="4"/>
        <v>0.75</v>
      </c>
      <c r="G21" s="145">
        <f t="shared" si="3"/>
        <v>0.75</v>
      </c>
      <c r="H21" s="145">
        <f t="shared" si="6"/>
        <v>90</v>
      </c>
    </row>
    <row r="22" spans="1:27" x14ac:dyDescent="0.25">
      <c r="A22" s="143">
        <f t="shared" si="5"/>
        <v>6</v>
      </c>
      <c r="B22" s="143"/>
      <c r="C22" s="144">
        <v>45869</v>
      </c>
      <c r="D22" s="145">
        <v>200</v>
      </c>
      <c r="E22" s="145">
        <v>0</v>
      </c>
      <c r="F22" s="145">
        <f t="shared" si="4"/>
        <v>2.4166666666666665</v>
      </c>
      <c r="G22" s="145">
        <f t="shared" si="3"/>
        <v>2.4166666666666665</v>
      </c>
      <c r="H22" s="145">
        <f t="shared" si="6"/>
        <v>290</v>
      </c>
    </row>
    <row r="23" spans="1:27" x14ac:dyDescent="0.25">
      <c r="A23" s="143">
        <f t="shared" si="5"/>
        <v>7</v>
      </c>
      <c r="B23" s="143"/>
      <c r="C23" s="144">
        <v>45900</v>
      </c>
      <c r="D23" s="145">
        <v>200</v>
      </c>
      <c r="E23" s="145">
        <v>0</v>
      </c>
      <c r="F23" s="145">
        <f t="shared" si="4"/>
        <v>4.083333333333333</v>
      </c>
      <c r="G23" s="145">
        <f t="shared" si="3"/>
        <v>4.083333333333333</v>
      </c>
      <c r="H23" s="145">
        <f t="shared" si="6"/>
        <v>490</v>
      </c>
    </row>
    <row r="24" spans="1:27" x14ac:dyDescent="0.25">
      <c r="A24" s="143">
        <f t="shared" si="5"/>
        <v>8</v>
      </c>
      <c r="B24" s="143"/>
      <c r="C24" s="144">
        <v>45930</v>
      </c>
      <c r="D24" s="145">
        <v>200</v>
      </c>
      <c r="E24" s="145">
        <v>0</v>
      </c>
      <c r="F24" s="145">
        <f t="shared" si="4"/>
        <v>5.75</v>
      </c>
      <c r="G24" s="145">
        <f t="shared" si="3"/>
        <v>5.75</v>
      </c>
      <c r="H24" s="145">
        <f t="shared" si="6"/>
        <v>690</v>
      </c>
    </row>
    <row r="25" spans="1:27" x14ac:dyDescent="0.25">
      <c r="A25" s="143">
        <f t="shared" si="5"/>
        <v>9</v>
      </c>
      <c r="B25" s="143"/>
      <c r="C25" s="144">
        <v>45961</v>
      </c>
      <c r="D25" s="145">
        <v>200</v>
      </c>
      <c r="E25" s="145">
        <v>0</v>
      </c>
      <c r="F25" s="145">
        <f t="shared" si="4"/>
        <v>7.416666666666667</v>
      </c>
      <c r="G25" s="145">
        <f t="shared" si="3"/>
        <v>7.416666666666667</v>
      </c>
      <c r="H25" s="145">
        <f t="shared" si="6"/>
        <v>890</v>
      </c>
    </row>
    <row r="26" spans="1:27" x14ac:dyDescent="0.25">
      <c r="A26" s="143">
        <f t="shared" si="5"/>
        <v>10</v>
      </c>
      <c r="B26" s="143"/>
      <c r="C26" s="144">
        <v>45991</v>
      </c>
      <c r="D26" s="145">
        <v>200</v>
      </c>
      <c r="E26" s="145">
        <v>0</v>
      </c>
      <c r="F26" s="145">
        <f t="shared" si="4"/>
        <v>9.0833333333333339</v>
      </c>
      <c r="G26" s="145">
        <f t="shared" si="3"/>
        <v>9.0833333333333339</v>
      </c>
      <c r="H26" s="145">
        <f t="shared" si="6"/>
        <v>1090</v>
      </c>
    </row>
    <row r="27" spans="1:27" x14ac:dyDescent="0.25">
      <c r="A27" s="143">
        <f t="shared" si="5"/>
        <v>11</v>
      </c>
      <c r="B27" s="143"/>
      <c r="C27" s="144">
        <v>46022</v>
      </c>
      <c r="D27" s="145">
        <v>200</v>
      </c>
      <c r="E27" s="145">
        <v>0</v>
      </c>
      <c r="F27" s="145">
        <f t="shared" si="4"/>
        <v>10.75</v>
      </c>
      <c r="G27" s="145">
        <f t="shared" si="3"/>
        <v>10.75</v>
      </c>
      <c r="H27" s="145">
        <f t="shared" si="6"/>
        <v>1290</v>
      </c>
    </row>
    <row r="28" spans="1:27" x14ac:dyDescent="0.25">
      <c r="A28" s="143">
        <f t="shared" si="5"/>
        <v>12</v>
      </c>
      <c r="B28" s="143"/>
      <c r="C28" s="144">
        <v>46053</v>
      </c>
      <c r="D28" s="145">
        <v>200</v>
      </c>
      <c r="E28" s="145">
        <v>0</v>
      </c>
      <c r="F28" s="145">
        <f t="shared" si="4"/>
        <v>12.416666666666666</v>
      </c>
      <c r="G28" s="145">
        <f t="shared" si="3"/>
        <v>12.416666666666666</v>
      </c>
      <c r="H28" s="145">
        <f t="shared" si="6"/>
        <v>1490</v>
      </c>
    </row>
    <row r="29" spans="1:27" x14ac:dyDescent="0.25">
      <c r="A29" s="143">
        <f t="shared" si="5"/>
        <v>13</v>
      </c>
      <c r="B29" s="143"/>
      <c r="C29" s="144">
        <v>46081</v>
      </c>
      <c r="D29" s="145">
        <v>200</v>
      </c>
      <c r="E29" s="145">
        <v>0</v>
      </c>
      <c r="F29" s="145">
        <f t="shared" si="4"/>
        <v>14.083333333333334</v>
      </c>
      <c r="G29" s="145">
        <f t="shared" si="3"/>
        <v>14.083333333333334</v>
      </c>
      <c r="H29" s="145">
        <f t="shared" si="6"/>
        <v>1690</v>
      </c>
    </row>
    <row r="30" spans="1:27" s="154" customFormat="1" x14ac:dyDescent="0.25">
      <c r="A30" s="166">
        <f t="shared" si="5"/>
        <v>14</v>
      </c>
      <c r="B30" s="166"/>
      <c r="C30" s="167">
        <v>46112</v>
      </c>
      <c r="D30" s="168">
        <v>200</v>
      </c>
      <c r="E30" s="168">
        <v>0</v>
      </c>
      <c r="F30" s="168">
        <f t="shared" si="4"/>
        <v>15.75</v>
      </c>
      <c r="G30" s="168">
        <f t="shared" si="3"/>
        <v>15.75</v>
      </c>
      <c r="H30" s="168">
        <f t="shared" si="6"/>
        <v>1890</v>
      </c>
      <c r="I30" s="170">
        <f>+SUM(F19:F30)</f>
        <v>83.5</v>
      </c>
      <c r="J30" s="154">
        <f>+H30</f>
        <v>1890</v>
      </c>
      <c r="K30" s="154">
        <f>+J30-J18</f>
        <v>1860</v>
      </c>
    </row>
    <row r="31" spans="1:27" x14ac:dyDescent="0.25">
      <c r="A31" s="143">
        <f t="shared" si="5"/>
        <v>15</v>
      </c>
      <c r="B31" s="143"/>
      <c r="C31" s="144">
        <v>46142</v>
      </c>
      <c r="D31" s="145">
        <v>200</v>
      </c>
      <c r="E31" s="145">
        <v>0</v>
      </c>
      <c r="F31" s="145">
        <f t="shared" si="4"/>
        <v>17.416666666666668</v>
      </c>
      <c r="G31" s="145">
        <f t="shared" si="3"/>
        <v>17.416666666666668</v>
      </c>
      <c r="H31" s="145">
        <f t="shared" si="6"/>
        <v>2090</v>
      </c>
    </row>
    <row r="32" spans="1:27" x14ac:dyDescent="0.25">
      <c r="A32" s="143">
        <f t="shared" si="5"/>
        <v>16</v>
      </c>
      <c r="B32" s="143"/>
      <c r="C32" s="144">
        <v>46173</v>
      </c>
      <c r="D32" s="145">
        <v>200</v>
      </c>
      <c r="E32" s="145">
        <v>0</v>
      </c>
      <c r="F32" s="145">
        <f t="shared" si="4"/>
        <v>19.083333333333332</v>
      </c>
      <c r="G32" s="145">
        <f t="shared" si="3"/>
        <v>19.083333333333332</v>
      </c>
      <c r="H32" s="145">
        <f t="shared" si="6"/>
        <v>2290</v>
      </c>
    </row>
    <row r="33" spans="1:11" x14ac:dyDescent="0.25">
      <c r="A33" s="143">
        <f t="shared" si="5"/>
        <v>17</v>
      </c>
      <c r="B33" s="143"/>
      <c r="C33" s="144">
        <v>46203</v>
      </c>
      <c r="D33" s="145">
        <v>125.75</v>
      </c>
      <c r="E33" s="145">
        <v>0</v>
      </c>
      <c r="F33" s="145">
        <f t="shared" si="4"/>
        <v>20.131250000000001</v>
      </c>
      <c r="G33" s="145">
        <f t="shared" si="3"/>
        <v>20.131250000000001</v>
      </c>
      <c r="H33" s="145">
        <f t="shared" si="6"/>
        <v>2415.75</v>
      </c>
      <c r="I33" s="119">
        <f>+F33+F32+F31</f>
        <v>56.631250000000009</v>
      </c>
      <c r="J33" s="119">
        <f>+H33</f>
        <v>2415.75</v>
      </c>
      <c r="K33" s="119">
        <f>+J33-J30</f>
        <v>525.75</v>
      </c>
    </row>
    <row r="34" spans="1:11" x14ac:dyDescent="0.25">
      <c r="A34" s="146">
        <f t="shared" si="5"/>
        <v>18</v>
      </c>
      <c r="B34" s="146"/>
      <c r="C34" s="147">
        <v>46234</v>
      </c>
      <c r="D34" s="148">
        <f t="shared" ref="D34:D97" si="7">+H33</f>
        <v>2415.75</v>
      </c>
      <c r="E34" s="148">
        <v>0</v>
      </c>
      <c r="F34" s="148">
        <f t="shared" ref="F34:F72" si="8">+D34*$E$5%/12</f>
        <v>20.131250000000001</v>
      </c>
      <c r="G34" s="148">
        <f t="shared" si="3"/>
        <v>20.131250000000001</v>
      </c>
      <c r="H34" s="148">
        <f t="shared" ref="H34:H97" si="9">+D34-E34</f>
        <v>2415.75</v>
      </c>
    </row>
    <row r="35" spans="1:11" x14ac:dyDescent="0.25">
      <c r="A35" s="146">
        <f t="shared" si="5"/>
        <v>19</v>
      </c>
      <c r="B35" s="146"/>
      <c r="C35" s="147">
        <v>46265</v>
      </c>
      <c r="D35" s="148">
        <f t="shared" si="7"/>
        <v>2415.75</v>
      </c>
      <c r="E35" s="148">
        <v>0</v>
      </c>
      <c r="F35" s="148">
        <f t="shared" si="8"/>
        <v>20.131250000000001</v>
      </c>
      <c r="G35" s="148">
        <f t="shared" si="3"/>
        <v>20.131250000000001</v>
      </c>
      <c r="H35" s="148">
        <f t="shared" si="9"/>
        <v>2415.75</v>
      </c>
    </row>
    <row r="36" spans="1:11" x14ac:dyDescent="0.25">
      <c r="A36" s="146">
        <f t="shared" si="5"/>
        <v>20</v>
      </c>
      <c r="B36" s="146"/>
      <c r="C36" s="147">
        <v>46295</v>
      </c>
      <c r="D36" s="148">
        <f t="shared" si="7"/>
        <v>2415.75</v>
      </c>
      <c r="E36" s="148">
        <v>0</v>
      </c>
      <c r="F36" s="148">
        <f t="shared" si="8"/>
        <v>20.131250000000001</v>
      </c>
      <c r="G36" s="148">
        <f t="shared" si="3"/>
        <v>20.131250000000001</v>
      </c>
      <c r="H36" s="148">
        <f t="shared" si="9"/>
        <v>2415.75</v>
      </c>
    </row>
    <row r="37" spans="1:11" x14ac:dyDescent="0.25">
      <c r="A37" s="146">
        <f t="shared" si="5"/>
        <v>21</v>
      </c>
      <c r="B37" s="146"/>
      <c r="C37" s="147">
        <v>46326</v>
      </c>
      <c r="D37" s="148">
        <f t="shared" si="7"/>
        <v>2415.75</v>
      </c>
      <c r="E37" s="148">
        <v>0</v>
      </c>
      <c r="F37" s="148">
        <f t="shared" si="8"/>
        <v>20.131250000000001</v>
      </c>
      <c r="G37" s="148">
        <f t="shared" si="3"/>
        <v>20.131250000000001</v>
      </c>
      <c r="H37" s="148">
        <f t="shared" si="9"/>
        <v>2415.75</v>
      </c>
    </row>
    <row r="38" spans="1:11" x14ac:dyDescent="0.25">
      <c r="A38" s="146">
        <f t="shared" si="5"/>
        <v>22</v>
      </c>
      <c r="B38" s="146"/>
      <c r="C38" s="147">
        <v>46356</v>
      </c>
      <c r="D38" s="148">
        <f t="shared" si="7"/>
        <v>2415.75</v>
      </c>
      <c r="E38" s="148">
        <v>0</v>
      </c>
      <c r="F38" s="148">
        <f t="shared" si="8"/>
        <v>20.131250000000001</v>
      </c>
      <c r="G38" s="148">
        <f t="shared" si="3"/>
        <v>20.131250000000001</v>
      </c>
      <c r="H38" s="148">
        <f t="shared" si="9"/>
        <v>2415.75</v>
      </c>
    </row>
    <row r="39" spans="1:11" x14ac:dyDescent="0.25">
      <c r="A39" s="146">
        <f t="shared" si="5"/>
        <v>23</v>
      </c>
      <c r="B39" s="146"/>
      <c r="C39" s="147">
        <v>46387</v>
      </c>
      <c r="D39" s="148">
        <f t="shared" si="7"/>
        <v>2415.75</v>
      </c>
      <c r="E39" s="148">
        <v>0</v>
      </c>
      <c r="F39" s="148">
        <f t="shared" si="8"/>
        <v>20.131250000000001</v>
      </c>
      <c r="G39" s="148">
        <f t="shared" si="3"/>
        <v>20.131250000000001</v>
      </c>
      <c r="H39" s="148">
        <f t="shared" si="9"/>
        <v>2415.75</v>
      </c>
    </row>
    <row r="40" spans="1:11" x14ac:dyDescent="0.25">
      <c r="A40" s="149">
        <f t="shared" si="5"/>
        <v>24</v>
      </c>
      <c r="B40" s="149">
        <f t="shared" si="5"/>
        <v>1</v>
      </c>
      <c r="C40" s="150">
        <v>46418</v>
      </c>
      <c r="D40" s="151">
        <f t="shared" si="7"/>
        <v>2415.75</v>
      </c>
      <c r="E40" s="151">
        <v>0</v>
      </c>
      <c r="F40" s="151">
        <f t="shared" si="8"/>
        <v>20.131250000000001</v>
      </c>
      <c r="G40" s="151">
        <f t="shared" si="3"/>
        <v>20.131250000000001</v>
      </c>
      <c r="H40" s="151">
        <f t="shared" si="9"/>
        <v>2415.75</v>
      </c>
    </row>
    <row r="41" spans="1:11" x14ac:dyDescent="0.25">
      <c r="A41" s="149">
        <f t="shared" ref="A41:B56" si="10">+A40+1</f>
        <v>25</v>
      </c>
      <c r="B41" s="149">
        <f t="shared" si="10"/>
        <v>2</v>
      </c>
      <c r="C41" s="150">
        <v>46446</v>
      </c>
      <c r="D41" s="151">
        <f t="shared" si="7"/>
        <v>2415.75</v>
      </c>
      <c r="E41" s="151">
        <v>0</v>
      </c>
      <c r="F41" s="151">
        <f t="shared" si="8"/>
        <v>20.131250000000001</v>
      </c>
      <c r="G41" s="151">
        <f t="shared" si="3"/>
        <v>20.131250000000001</v>
      </c>
      <c r="H41" s="151">
        <f t="shared" si="9"/>
        <v>2415.75</v>
      </c>
    </row>
    <row r="42" spans="1:11" s="154" customFormat="1" x14ac:dyDescent="0.25">
      <c r="A42" s="171">
        <f t="shared" si="10"/>
        <v>26</v>
      </c>
      <c r="B42" s="171">
        <f t="shared" si="10"/>
        <v>3</v>
      </c>
      <c r="C42" s="172">
        <v>46477</v>
      </c>
      <c r="D42" s="173">
        <f t="shared" si="7"/>
        <v>2415.75</v>
      </c>
      <c r="E42" s="173">
        <v>45</v>
      </c>
      <c r="F42" s="173">
        <f t="shared" si="8"/>
        <v>20.131250000000001</v>
      </c>
      <c r="G42" s="173">
        <f t="shared" si="3"/>
        <v>65.131249999999994</v>
      </c>
      <c r="H42" s="173">
        <f t="shared" si="9"/>
        <v>2370.75</v>
      </c>
    </row>
    <row r="43" spans="1:11" x14ac:dyDescent="0.25">
      <c r="A43" s="149">
        <f t="shared" si="10"/>
        <v>27</v>
      </c>
      <c r="B43" s="149">
        <f t="shared" si="10"/>
        <v>4</v>
      </c>
      <c r="C43" s="150">
        <v>46507</v>
      </c>
      <c r="D43" s="151">
        <f t="shared" si="7"/>
        <v>2370.75</v>
      </c>
      <c r="E43" s="151">
        <v>0</v>
      </c>
      <c r="F43" s="151">
        <f t="shared" si="8"/>
        <v>19.756250000000001</v>
      </c>
      <c r="G43" s="151">
        <f t="shared" si="3"/>
        <v>19.756250000000001</v>
      </c>
      <c r="H43" s="151">
        <f t="shared" si="9"/>
        <v>2370.75</v>
      </c>
    </row>
    <row r="44" spans="1:11" x14ac:dyDescent="0.25">
      <c r="A44" s="149">
        <f t="shared" si="10"/>
        <v>28</v>
      </c>
      <c r="B44" s="149">
        <f t="shared" si="10"/>
        <v>5</v>
      </c>
      <c r="C44" s="150">
        <v>46538</v>
      </c>
      <c r="D44" s="151">
        <f t="shared" si="7"/>
        <v>2370.75</v>
      </c>
      <c r="E44" s="151">
        <v>0</v>
      </c>
      <c r="F44" s="151">
        <f t="shared" si="8"/>
        <v>19.756250000000001</v>
      </c>
      <c r="G44" s="151">
        <f t="shared" si="3"/>
        <v>19.756250000000001</v>
      </c>
      <c r="H44" s="151">
        <f t="shared" si="9"/>
        <v>2370.75</v>
      </c>
    </row>
    <row r="45" spans="1:11" x14ac:dyDescent="0.25">
      <c r="A45" s="149">
        <f t="shared" si="10"/>
        <v>29</v>
      </c>
      <c r="B45" s="149">
        <f t="shared" si="10"/>
        <v>6</v>
      </c>
      <c r="C45" s="150">
        <v>46568</v>
      </c>
      <c r="D45" s="151">
        <f t="shared" si="7"/>
        <v>2370.75</v>
      </c>
      <c r="E45" s="151">
        <v>65</v>
      </c>
      <c r="F45" s="151">
        <f t="shared" si="8"/>
        <v>19.756250000000001</v>
      </c>
      <c r="G45" s="151">
        <f t="shared" si="3"/>
        <v>84.756249999999994</v>
      </c>
      <c r="H45" s="151">
        <f t="shared" si="9"/>
        <v>2305.75</v>
      </c>
      <c r="J45" s="119">
        <v>25</v>
      </c>
    </row>
    <row r="46" spans="1:11" x14ac:dyDescent="0.25">
      <c r="A46" s="149">
        <f t="shared" si="10"/>
        <v>30</v>
      </c>
      <c r="B46" s="149">
        <f t="shared" si="10"/>
        <v>7</v>
      </c>
      <c r="C46" s="150">
        <v>46599</v>
      </c>
      <c r="D46" s="151">
        <f t="shared" si="7"/>
        <v>2305.75</v>
      </c>
      <c r="E46" s="151">
        <v>0</v>
      </c>
      <c r="F46" s="151">
        <f t="shared" si="8"/>
        <v>19.214583333333334</v>
      </c>
      <c r="G46" s="151">
        <f t="shared" si="3"/>
        <v>19.214583333333334</v>
      </c>
      <c r="H46" s="151">
        <f t="shared" si="9"/>
        <v>2305.75</v>
      </c>
      <c r="J46" s="119">
        <f>+J45/4</f>
        <v>6.25</v>
      </c>
    </row>
    <row r="47" spans="1:11" x14ac:dyDescent="0.25">
      <c r="A47" s="149">
        <f t="shared" si="10"/>
        <v>31</v>
      </c>
      <c r="B47" s="149">
        <f t="shared" si="10"/>
        <v>8</v>
      </c>
      <c r="C47" s="150">
        <v>46630</v>
      </c>
      <c r="D47" s="151">
        <f t="shared" si="7"/>
        <v>2305.75</v>
      </c>
      <c r="E47" s="151">
        <v>0</v>
      </c>
      <c r="F47" s="151">
        <f t="shared" si="8"/>
        <v>19.214583333333334</v>
      </c>
      <c r="G47" s="151">
        <f t="shared" si="3"/>
        <v>19.214583333333334</v>
      </c>
      <c r="H47" s="151">
        <f t="shared" si="9"/>
        <v>2305.75</v>
      </c>
    </row>
    <row r="48" spans="1:11" x14ac:dyDescent="0.25">
      <c r="A48" s="149">
        <f t="shared" si="10"/>
        <v>32</v>
      </c>
      <c r="B48" s="149">
        <f t="shared" si="10"/>
        <v>9</v>
      </c>
      <c r="C48" s="150">
        <v>46660</v>
      </c>
      <c r="D48" s="151">
        <f t="shared" si="7"/>
        <v>2305.75</v>
      </c>
      <c r="E48" s="151">
        <v>65</v>
      </c>
      <c r="F48" s="151">
        <f t="shared" si="8"/>
        <v>19.214583333333334</v>
      </c>
      <c r="G48" s="151">
        <f t="shared" si="3"/>
        <v>84.214583333333337</v>
      </c>
      <c r="H48" s="151">
        <f t="shared" si="9"/>
        <v>2240.75</v>
      </c>
    </row>
    <row r="49" spans="1:8" x14ac:dyDescent="0.25">
      <c r="A49" s="149">
        <f t="shared" si="10"/>
        <v>33</v>
      </c>
      <c r="B49" s="149">
        <f t="shared" si="10"/>
        <v>10</v>
      </c>
      <c r="C49" s="150">
        <v>46691</v>
      </c>
      <c r="D49" s="151">
        <f t="shared" si="7"/>
        <v>2240.75</v>
      </c>
      <c r="E49" s="151">
        <v>0</v>
      </c>
      <c r="F49" s="151">
        <f t="shared" si="8"/>
        <v>18.672916666666669</v>
      </c>
      <c r="G49" s="151">
        <f t="shared" si="3"/>
        <v>18.672916666666669</v>
      </c>
      <c r="H49" s="151">
        <f t="shared" si="9"/>
        <v>2240.75</v>
      </c>
    </row>
    <row r="50" spans="1:8" x14ac:dyDescent="0.25">
      <c r="A50" s="149">
        <f t="shared" si="10"/>
        <v>34</v>
      </c>
      <c r="B50" s="149">
        <f t="shared" si="10"/>
        <v>11</v>
      </c>
      <c r="C50" s="150">
        <v>46721</v>
      </c>
      <c r="D50" s="151">
        <f t="shared" si="7"/>
        <v>2240.75</v>
      </c>
      <c r="E50" s="151">
        <v>0</v>
      </c>
      <c r="F50" s="151">
        <f t="shared" si="8"/>
        <v>18.672916666666669</v>
      </c>
      <c r="G50" s="151">
        <f t="shared" si="3"/>
        <v>18.672916666666669</v>
      </c>
      <c r="H50" s="151">
        <f t="shared" si="9"/>
        <v>2240.75</v>
      </c>
    </row>
    <row r="51" spans="1:8" x14ac:dyDescent="0.25">
      <c r="A51" s="149">
        <f t="shared" si="10"/>
        <v>35</v>
      </c>
      <c r="B51" s="149">
        <f t="shared" si="10"/>
        <v>12</v>
      </c>
      <c r="C51" s="150">
        <v>46752</v>
      </c>
      <c r="D51" s="151">
        <f t="shared" si="7"/>
        <v>2240.75</v>
      </c>
      <c r="E51" s="151">
        <v>65</v>
      </c>
      <c r="F51" s="151">
        <f t="shared" si="8"/>
        <v>18.672916666666669</v>
      </c>
      <c r="G51" s="151">
        <f t="shared" si="3"/>
        <v>83.672916666666666</v>
      </c>
      <c r="H51" s="151">
        <f t="shared" si="9"/>
        <v>2175.75</v>
      </c>
    </row>
    <row r="52" spans="1:8" x14ac:dyDescent="0.25">
      <c r="A52" s="149">
        <f t="shared" si="10"/>
        <v>36</v>
      </c>
      <c r="B52" s="149">
        <f t="shared" si="10"/>
        <v>13</v>
      </c>
      <c r="C52" s="150">
        <v>46783</v>
      </c>
      <c r="D52" s="151">
        <f t="shared" si="7"/>
        <v>2175.75</v>
      </c>
      <c r="E52" s="151">
        <v>0</v>
      </c>
      <c r="F52" s="151">
        <f t="shared" si="8"/>
        <v>18.131250000000001</v>
      </c>
      <c r="G52" s="151">
        <f t="shared" si="3"/>
        <v>18.131250000000001</v>
      </c>
      <c r="H52" s="151">
        <f t="shared" si="9"/>
        <v>2175.75</v>
      </c>
    </row>
    <row r="53" spans="1:8" x14ac:dyDescent="0.25">
      <c r="A53" s="149">
        <f t="shared" si="10"/>
        <v>37</v>
      </c>
      <c r="B53" s="149">
        <f t="shared" si="10"/>
        <v>14</v>
      </c>
      <c r="C53" s="150">
        <v>46812</v>
      </c>
      <c r="D53" s="151">
        <f t="shared" si="7"/>
        <v>2175.75</v>
      </c>
      <c r="E53" s="151">
        <v>0</v>
      </c>
      <c r="F53" s="151">
        <f t="shared" si="8"/>
        <v>18.131250000000001</v>
      </c>
      <c r="G53" s="151">
        <f t="shared" si="3"/>
        <v>18.131250000000001</v>
      </c>
      <c r="H53" s="151">
        <f t="shared" si="9"/>
        <v>2175.75</v>
      </c>
    </row>
    <row r="54" spans="1:8" s="154" customFormat="1" x14ac:dyDescent="0.25">
      <c r="A54" s="171">
        <f t="shared" si="10"/>
        <v>38</v>
      </c>
      <c r="B54" s="171">
        <f t="shared" si="10"/>
        <v>15</v>
      </c>
      <c r="C54" s="172">
        <v>46843</v>
      </c>
      <c r="D54" s="173">
        <f t="shared" si="7"/>
        <v>2175.75</v>
      </c>
      <c r="E54" s="151">
        <v>65</v>
      </c>
      <c r="F54" s="173">
        <f t="shared" si="8"/>
        <v>18.131250000000001</v>
      </c>
      <c r="G54" s="173">
        <f t="shared" si="3"/>
        <v>83.131249999999994</v>
      </c>
      <c r="H54" s="173">
        <f t="shared" si="9"/>
        <v>2110.75</v>
      </c>
    </row>
    <row r="55" spans="1:8" x14ac:dyDescent="0.25">
      <c r="A55" s="149">
        <f t="shared" si="10"/>
        <v>39</v>
      </c>
      <c r="B55" s="149">
        <f t="shared" si="10"/>
        <v>16</v>
      </c>
      <c r="C55" s="150">
        <v>46873</v>
      </c>
      <c r="D55" s="151">
        <f t="shared" si="7"/>
        <v>2110.75</v>
      </c>
      <c r="E55" s="151">
        <v>0</v>
      </c>
      <c r="F55" s="151">
        <f t="shared" si="8"/>
        <v>17.589583333333334</v>
      </c>
      <c r="G55" s="151">
        <f t="shared" si="3"/>
        <v>17.589583333333334</v>
      </c>
      <c r="H55" s="151">
        <f t="shared" si="9"/>
        <v>2110.75</v>
      </c>
    </row>
    <row r="56" spans="1:8" x14ac:dyDescent="0.25">
      <c r="A56" s="149">
        <f t="shared" si="10"/>
        <v>40</v>
      </c>
      <c r="B56" s="149">
        <f t="shared" si="10"/>
        <v>17</v>
      </c>
      <c r="C56" s="150">
        <v>46904</v>
      </c>
      <c r="D56" s="151">
        <f t="shared" si="7"/>
        <v>2110.75</v>
      </c>
      <c r="E56" s="151">
        <v>0</v>
      </c>
      <c r="F56" s="151">
        <f t="shared" si="8"/>
        <v>17.589583333333334</v>
      </c>
      <c r="G56" s="151">
        <f t="shared" si="3"/>
        <v>17.589583333333334</v>
      </c>
      <c r="H56" s="151">
        <f t="shared" si="9"/>
        <v>2110.75</v>
      </c>
    </row>
    <row r="57" spans="1:8" x14ac:dyDescent="0.25">
      <c r="A57" s="149">
        <f t="shared" ref="A57:B72" si="11">+A56+1</f>
        <v>41</v>
      </c>
      <c r="B57" s="149">
        <f t="shared" si="11"/>
        <v>18</v>
      </c>
      <c r="C57" s="150">
        <v>46934</v>
      </c>
      <c r="D57" s="151">
        <f t="shared" si="7"/>
        <v>2110.75</v>
      </c>
      <c r="E57" s="151">
        <v>80</v>
      </c>
      <c r="F57" s="151">
        <f t="shared" si="8"/>
        <v>17.589583333333334</v>
      </c>
      <c r="G57" s="151">
        <f t="shared" si="3"/>
        <v>97.589583333333337</v>
      </c>
      <c r="H57" s="151">
        <f t="shared" si="9"/>
        <v>2030.75</v>
      </c>
    </row>
    <row r="58" spans="1:8" x14ac:dyDescent="0.25">
      <c r="A58" s="149">
        <f t="shared" si="11"/>
        <v>42</v>
      </c>
      <c r="B58" s="149">
        <f t="shared" si="11"/>
        <v>19</v>
      </c>
      <c r="C58" s="150">
        <v>46965</v>
      </c>
      <c r="D58" s="151">
        <f t="shared" si="7"/>
        <v>2030.75</v>
      </c>
      <c r="E58" s="151">
        <v>0</v>
      </c>
      <c r="F58" s="151">
        <f t="shared" si="8"/>
        <v>16.922916666666669</v>
      </c>
      <c r="G58" s="151">
        <f t="shared" si="3"/>
        <v>16.922916666666669</v>
      </c>
      <c r="H58" s="151">
        <f t="shared" si="9"/>
        <v>2030.75</v>
      </c>
    </row>
    <row r="59" spans="1:8" x14ac:dyDescent="0.25">
      <c r="A59" s="149">
        <f t="shared" si="11"/>
        <v>43</v>
      </c>
      <c r="B59" s="149">
        <f t="shared" si="11"/>
        <v>20</v>
      </c>
      <c r="C59" s="150">
        <v>46996</v>
      </c>
      <c r="D59" s="151">
        <f t="shared" si="7"/>
        <v>2030.75</v>
      </c>
      <c r="E59" s="151">
        <v>0</v>
      </c>
      <c r="F59" s="151">
        <f t="shared" si="8"/>
        <v>16.922916666666669</v>
      </c>
      <c r="G59" s="151">
        <f t="shared" si="3"/>
        <v>16.922916666666669</v>
      </c>
      <c r="H59" s="151">
        <f t="shared" si="9"/>
        <v>2030.75</v>
      </c>
    </row>
    <row r="60" spans="1:8" x14ac:dyDescent="0.25">
      <c r="A60" s="149">
        <f t="shared" si="11"/>
        <v>44</v>
      </c>
      <c r="B60" s="149">
        <f t="shared" si="11"/>
        <v>21</v>
      </c>
      <c r="C60" s="150">
        <v>47026</v>
      </c>
      <c r="D60" s="151">
        <f t="shared" si="7"/>
        <v>2030.75</v>
      </c>
      <c r="E60" s="151">
        <v>80</v>
      </c>
      <c r="F60" s="151">
        <f t="shared" si="8"/>
        <v>16.922916666666669</v>
      </c>
      <c r="G60" s="151">
        <f t="shared" si="3"/>
        <v>96.922916666666666</v>
      </c>
      <c r="H60" s="151">
        <f t="shared" si="9"/>
        <v>1950.75</v>
      </c>
    </row>
    <row r="61" spans="1:8" x14ac:dyDescent="0.25">
      <c r="A61" s="149">
        <f t="shared" si="11"/>
        <v>45</v>
      </c>
      <c r="B61" s="149">
        <f t="shared" si="11"/>
        <v>22</v>
      </c>
      <c r="C61" s="150">
        <v>47057</v>
      </c>
      <c r="D61" s="151">
        <f t="shared" si="7"/>
        <v>1950.75</v>
      </c>
      <c r="E61" s="151">
        <v>0</v>
      </c>
      <c r="F61" s="151">
        <f t="shared" si="8"/>
        <v>16.256250000000001</v>
      </c>
      <c r="G61" s="151">
        <f t="shared" si="3"/>
        <v>16.256250000000001</v>
      </c>
      <c r="H61" s="151">
        <f t="shared" si="9"/>
        <v>1950.75</v>
      </c>
    </row>
    <row r="62" spans="1:8" x14ac:dyDescent="0.25">
      <c r="A62" s="149">
        <f t="shared" si="11"/>
        <v>46</v>
      </c>
      <c r="B62" s="149">
        <f t="shared" si="11"/>
        <v>23</v>
      </c>
      <c r="C62" s="150">
        <v>47087</v>
      </c>
      <c r="D62" s="151">
        <f t="shared" si="7"/>
        <v>1950.75</v>
      </c>
      <c r="E62" s="151">
        <v>0</v>
      </c>
      <c r="F62" s="151">
        <f t="shared" si="8"/>
        <v>16.256250000000001</v>
      </c>
      <c r="G62" s="151">
        <f t="shared" si="3"/>
        <v>16.256250000000001</v>
      </c>
      <c r="H62" s="151">
        <f t="shared" si="9"/>
        <v>1950.75</v>
      </c>
    </row>
    <row r="63" spans="1:8" x14ac:dyDescent="0.25">
      <c r="A63" s="149">
        <f t="shared" si="11"/>
        <v>47</v>
      </c>
      <c r="B63" s="149">
        <f t="shared" si="11"/>
        <v>24</v>
      </c>
      <c r="C63" s="150">
        <v>47118</v>
      </c>
      <c r="D63" s="151">
        <f t="shared" si="7"/>
        <v>1950.75</v>
      </c>
      <c r="E63" s="151">
        <v>80</v>
      </c>
      <c r="F63" s="151">
        <f t="shared" si="8"/>
        <v>16.256250000000001</v>
      </c>
      <c r="G63" s="151">
        <f t="shared" si="3"/>
        <v>96.256249999999994</v>
      </c>
      <c r="H63" s="151">
        <f t="shared" si="9"/>
        <v>1870.75</v>
      </c>
    </row>
    <row r="64" spans="1:8" x14ac:dyDescent="0.25">
      <c r="A64" s="149">
        <f t="shared" si="11"/>
        <v>48</v>
      </c>
      <c r="B64" s="149">
        <f t="shared" si="11"/>
        <v>25</v>
      </c>
      <c r="C64" s="150">
        <v>47149</v>
      </c>
      <c r="D64" s="151">
        <f t="shared" si="7"/>
        <v>1870.75</v>
      </c>
      <c r="E64" s="151">
        <v>0</v>
      </c>
      <c r="F64" s="151">
        <f t="shared" si="8"/>
        <v>15.589583333333335</v>
      </c>
      <c r="G64" s="151">
        <f t="shared" si="3"/>
        <v>15.589583333333335</v>
      </c>
      <c r="H64" s="151">
        <f t="shared" si="9"/>
        <v>1870.75</v>
      </c>
    </row>
    <row r="65" spans="1:8" x14ac:dyDescent="0.25">
      <c r="A65" s="149">
        <f t="shared" si="11"/>
        <v>49</v>
      </c>
      <c r="B65" s="149">
        <f t="shared" si="11"/>
        <v>26</v>
      </c>
      <c r="C65" s="150">
        <v>47177</v>
      </c>
      <c r="D65" s="151">
        <f t="shared" si="7"/>
        <v>1870.75</v>
      </c>
      <c r="E65" s="151">
        <v>0</v>
      </c>
      <c r="F65" s="151">
        <f t="shared" si="8"/>
        <v>15.589583333333335</v>
      </c>
      <c r="G65" s="151">
        <f t="shared" si="3"/>
        <v>15.589583333333335</v>
      </c>
      <c r="H65" s="151">
        <f t="shared" si="9"/>
        <v>1870.75</v>
      </c>
    </row>
    <row r="66" spans="1:8" s="154" customFormat="1" x14ac:dyDescent="0.25">
      <c r="A66" s="171">
        <f t="shared" si="11"/>
        <v>50</v>
      </c>
      <c r="B66" s="171">
        <f t="shared" si="11"/>
        <v>27</v>
      </c>
      <c r="C66" s="172">
        <v>47208</v>
      </c>
      <c r="D66" s="173">
        <f t="shared" si="7"/>
        <v>1870.75</v>
      </c>
      <c r="E66" s="173">
        <v>80</v>
      </c>
      <c r="F66" s="173">
        <f t="shared" si="8"/>
        <v>15.589583333333335</v>
      </c>
      <c r="G66" s="173">
        <f t="shared" si="3"/>
        <v>95.589583333333337</v>
      </c>
      <c r="H66" s="173">
        <f t="shared" si="9"/>
        <v>1790.75</v>
      </c>
    </row>
    <row r="67" spans="1:8" x14ac:dyDescent="0.25">
      <c r="A67" s="149">
        <f t="shared" si="11"/>
        <v>51</v>
      </c>
      <c r="B67" s="149">
        <f t="shared" si="11"/>
        <v>28</v>
      </c>
      <c r="C67" s="150">
        <v>47238</v>
      </c>
      <c r="D67" s="151">
        <f t="shared" si="7"/>
        <v>1790.75</v>
      </c>
      <c r="E67" s="151">
        <v>0</v>
      </c>
      <c r="F67" s="151">
        <f t="shared" si="8"/>
        <v>14.922916666666667</v>
      </c>
      <c r="G67" s="151">
        <f t="shared" si="3"/>
        <v>14.922916666666667</v>
      </c>
      <c r="H67" s="151">
        <f t="shared" si="9"/>
        <v>1790.75</v>
      </c>
    </row>
    <row r="68" spans="1:8" x14ac:dyDescent="0.25">
      <c r="A68" s="149">
        <f t="shared" si="11"/>
        <v>52</v>
      </c>
      <c r="B68" s="149">
        <f t="shared" si="11"/>
        <v>29</v>
      </c>
      <c r="C68" s="150">
        <v>47269</v>
      </c>
      <c r="D68" s="151">
        <f t="shared" si="7"/>
        <v>1790.75</v>
      </c>
      <c r="E68" s="151">
        <v>0</v>
      </c>
      <c r="F68" s="151">
        <f t="shared" si="8"/>
        <v>14.922916666666667</v>
      </c>
      <c r="G68" s="151">
        <f t="shared" si="3"/>
        <v>14.922916666666667</v>
      </c>
      <c r="H68" s="151">
        <f t="shared" si="9"/>
        <v>1790.75</v>
      </c>
    </row>
    <row r="69" spans="1:8" x14ac:dyDescent="0.25">
      <c r="A69" s="149">
        <f t="shared" si="11"/>
        <v>53</v>
      </c>
      <c r="B69" s="149">
        <f t="shared" si="11"/>
        <v>30</v>
      </c>
      <c r="C69" s="150">
        <v>47299</v>
      </c>
      <c r="D69" s="151">
        <f t="shared" si="7"/>
        <v>1790.75</v>
      </c>
      <c r="E69" s="151">
        <v>100</v>
      </c>
      <c r="F69" s="151">
        <f t="shared" si="8"/>
        <v>14.922916666666667</v>
      </c>
      <c r="G69" s="151">
        <f t="shared" si="3"/>
        <v>114.92291666666667</v>
      </c>
      <c r="H69" s="151">
        <f t="shared" si="9"/>
        <v>1690.75</v>
      </c>
    </row>
    <row r="70" spans="1:8" x14ac:dyDescent="0.25">
      <c r="A70" s="149">
        <f t="shared" si="11"/>
        <v>54</v>
      </c>
      <c r="B70" s="149">
        <f t="shared" si="11"/>
        <v>31</v>
      </c>
      <c r="C70" s="150">
        <v>47330</v>
      </c>
      <c r="D70" s="151">
        <f t="shared" si="7"/>
        <v>1690.75</v>
      </c>
      <c r="E70" s="151">
        <v>0</v>
      </c>
      <c r="F70" s="151">
        <f t="shared" si="8"/>
        <v>14.089583333333335</v>
      </c>
      <c r="G70" s="151">
        <f t="shared" si="3"/>
        <v>14.089583333333335</v>
      </c>
      <c r="H70" s="151">
        <f t="shared" si="9"/>
        <v>1690.75</v>
      </c>
    </row>
    <row r="71" spans="1:8" x14ac:dyDescent="0.25">
      <c r="A71" s="149">
        <f t="shared" si="11"/>
        <v>55</v>
      </c>
      <c r="B71" s="149">
        <f t="shared" si="11"/>
        <v>32</v>
      </c>
      <c r="C71" s="150">
        <v>47361</v>
      </c>
      <c r="D71" s="151">
        <f t="shared" si="7"/>
        <v>1690.75</v>
      </c>
      <c r="E71" s="151">
        <v>0</v>
      </c>
      <c r="F71" s="151">
        <f t="shared" si="8"/>
        <v>14.089583333333335</v>
      </c>
      <c r="G71" s="151">
        <f t="shared" si="3"/>
        <v>14.089583333333335</v>
      </c>
      <c r="H71" s="151">
        <f t="shared" si="9"/>
        <v>1690.75</v>
      </c>
    </row>
    <row r="72" spans="1:8" x14ac:dyDescent="0.25">
      <c r="A72" s="149">
        <f t="shared" si="11"/>
        <v>56</v>
      </c>
      <c r="B72" s="149">
        <f t="shared" si="11"/>
        <v>33</v>
      </c>
      <c r="C72" s="150">
        <v>47391</v>
      </c>
      <c r="D72" s="151">
        <f t="shared" si="7"/>
        <v>1690.75</v>
      </c>
      <c r="E72" s="151">
        <v>100</v>
      </c>
      <c r="F72" s="151">
        <f t="shared" si="8"/>
        <v>14.089583333333335</v>
      </c>
      <c r="G72" s="151">
        <f t="shared" si="3"/>
        <v>114.08958333333334</v>
      </c>
      <c r="H72" s="151">
        <f t="shared" si="9"/>
        <v>1590.75</v>
      </c>
    </row>
    <row r="73" spans="1:8" x14ac:dyDescent="0.25">
      <c r="A73" s="149">
        <f t="shared" ref="A73:B88" si="12">+A72+1</f>
        <v>57</v>
      </c>
      <c r="B73" s="149">
        <f t="shared" si="12"/>
        <v>34</v>
      </c>
      <c r="C73" s="150">
        <v>47422</v>
      </c>
      <c r="D73" s="151">
        <f t="shared" si="7"/>
        <v>1590.75</v>
      </c>
      <c r="E73" s="151">
        <v>0</v>
      </c>
      <c r="F73" s="151">
        <f>+D73*$E$5%/12</f>
        <v>13.256250000000001</v>
      </c>
      <c r="G73" s="151">
        <f>+E73+F73</f>
        <v>13.256250000000001</v>
      </c>
      <c r="H73" s="151">
        <f t="shared" si="9"/>
        <v>1590.75</v>
      </c>
    </row>
    <row r="74" spans="1:8" x14ac:dyDescent="0.25">
      <c r="A74" s="149">
        <f t="shared" si="12"/>
        <v>58</v>
      </c>
      <c r="B74" s="149">
        <f t="shared" si="12"/>
        <v>35</v>
      </c>
      <c r="C74" s="150">
        <v>47452</v>
      </c>
      <c r="D74" s="151">
        <f t="shared" si="7"/>
        <v>1590.75</v>
      </c>
      <c r="E74" s="151">
        <v>0</v>
      </c>
      <c r="F74" s="151">
        <f>+D74*$E$5%/12</f>
        <v>13.256250000000001</v>
      </c>
      <c r="G74" s="151">
        <f>+E74+F74</f>
        <v>13.256250000000001</v>
      </c>
      <c r="H74" s="151">
        <f t="shared" si="9"/>
        <v>1590.75</v>
      </c>
    </row>
    <row r="75" spans="1:8" x14ac:dyDescent="0.25">
      <c r="A75" s="149">
        <f t="shared" si="12"/>
        <v>59</v>
      </c>
      <c r="B75" s="149">
        <f t="shared" si="12"/>
        <v>36</v>
      </c>
      <c r="C75" s="150">
        <v>47483</v>
      </c>
      <c r="D75" s="151">
        <f t="shared" si="7"/>
        <v>1590.75</v>
      </c>
      <c r="E75" s="151">
        <v>100</v>
      </c>
      <c r="F75" s="151">
        <f>+D75*$E$5%/12</f>
        <v>13.256250000000001</v>
      </c>
      <c r="G75" s="151">
        <f>+E75+F75</f>
        <v>113.25624999999999</v>
      </c>
      <c r="H75" s="151">
        <f t="shared" si="9"/>
        <v>1490.75</v>
      </c>
    </row>
    <row r="76" spans="1:8" x14ac:dyDescent="0.25">
      <c r="A76" s="149">
        <f t="shared" si="12"/>
        <v>60</v>
      </c>
      <c r="B76" s="149">
        <f t="shared" si="12"/>
        <v>37</v>
      </c>
      <c r="C76" s="150">
        <v>47514</v>
      </c>
      <c r="D76" s="151">
        <f t="shared" si="7"/>
        <v>1490.75</v>
      </c>
      <c r="E76" s="151">
        <v>0</v>
      </c>
      <c r="F76" s="151">
        <f>+D76*$E$5%/12</f>
        <v>12.422916666666667</v>
      </c>
      <c r="G76" s="151">
        <f>+E76+F76</f>
        <v>12.422916666666667</v>
      </c>
      <c r="H76" s="151">
        <f t="shared" si="9"/>
        <v>1490.75</v>
      </c>
    </row>
    <row r="77" spans="1:8" x14ac:dyDescent="0.25">
      <c r="A77" s="149">
        <f t="shared" si="12"/>
        <v>61</v>
      </c>
      <c r="B77" s="149">
        <f t="shared" si="12"/>
        <v>38</v>
      </c>
      <c r="C77" s="150">
        <v>47542</v>
      </c>
      <c r="D77" s="151">
        <f t="shared" si="7"/>
        <v>1490.75</v>
      </c>
      <c r="E77" s="151">
        <v>0</v>
      </c>
      <c r="F77" s="151">
        <f t="shared" ref="F77:F135" si="13">+D77*$E$5%/12</f>
        <v>12.422916666666667</v>
      </c>
      <c r="G77" s="151">
        <f t="shared" ref="G77:G135" si="14">+E77+F77</f>
        <v>12.422916666666667</v>
      </c>
      <c r="H77" s="151">
        <f t="shared" si="9"/>
        <v>1490.75</v>
      </c>
    </row>
    <row r="78" spans="1:8" s="154" customFormat="1" x14ac:dyDescent="0.25">
      <c r="A78" s="171">
        <f t="shared" si="12"/>
        <v>62</v>
      </c>
      <c r="B78" s="171">
        <f t="shared" si="12"/>
        <v>39</v>
      </c>
      <c r="C78" s="172">
        <v>47573</v>
      </c>
      <c r="D78" s="173">
        <f t="shared" si="7"/>
        <v>1490.75</v>
      </c>
      <c r="E78" s="173">
        <v>100</v>
      </c>
      <c r="F78" s="173">
        <f t="shared" si="13"/>
        <v>12.422916666666667</v>
      </c>
      <c r="G78" s="173">
        <f t="shared" si="14"/>
        <v>112.42291666666667</v>
      </c>
      <c r="H78" s="173">
        <f t="shared" si="9"/>
        <v>1390.75</v>
      </c>
    </row>
    <row r="79" spans="1:8" x14ac:dyDescent="0.25">
      <c r="A79" s="149">
        <f t="shared" si="12"/>
        <v>63</v>
      </c>
      <c r="B79" s="149">
        <f t="shared" si="12"/>
        <v>40</v>
      </c>
      <c r="C79" s="150">
        <v>47603</v>
      </c>
      <c r="D79" s="151">
        <f t="shared" si="7"/>
        <v>1390.75</v>
      </c>
      <c r="E79" s="151">
        <v>0</v>
      </c>
      <c r="F79" s="151">
        <f t="shared" si="13"/>
        <v>11.589583333333335</v>
      </c>
      <c r="G79" s="151">
        <f t="shared" si="14"/>
        <v>11.589583333333335</v>
      </c>
      <c r="H79" s="151">
        <f t="shared" si="9"/>
        <v>1390.75</v>
      </c>
    </row>
    <row r="80" spans="1:8" x14ac:dyDescent="0.25">
      <c r="A80" s="149">
        <f t="shared" si="12"/>
        <v>64</v>
      </c>
      <c r="B80" s="149">
        <f t="shared" si="12"/>
        <v>41</v>
      </c>
      <c r="C80" s="150">
        <v>47634</v>
      </c>
      <c r="D80" s="151">
        <f t="shared" si="7"/>
        <v>1390.75</v>
      </c>
      <c r="E80" s="151">
        <v>0</v>
      </c>
      <c r="F80" s="151">
        <f t="shared" si="13"/>
        <v>11.589583333333335</v>
      </c>
      <c r="G80" s="151">
        <f t="shared" si="14"/>
        <v>11.589583333333335</v>
      </c>
      <c r="H80" s="151">
        <f t="shared" si="9"/>
        <v>1390.75</v>
      </c>
    </row>
    <row r="81" spans="1:8" x14ac:dyDescent="0.25">
      <c r="A81" s="149">
        <f t="shared" si="12"/>
        <v>65</v>
      </c>
      <c r="B81" s="149">
        <f t="shared" si="12"/>
        <v>42</v>
      </c>
      <c r="C81" s="150">
        <v>47664</v>
      </c>
      <c r="D81" s="151">
        <f t="shared" si="7"/>
        <v>1390.75</v>
      </c>
      <c r="E81" s="151">
        <v>125</v>
      </c>
      <c r="F81" s="151">
        <f t="shared" si="13"/>
        <v>11.589583333333335</v>
      </c>
      <c r="G81" s="151">
        <f t="shared" si="14"/>
        <v>136.58958333333334</v>
      </c>
      <c r="H81" s="151">
        <f t="shared" si="9"/>
        <v>1265.75</v>
      </c>
    </row>
    <row r="82" spans="1:8" x14ac:dyDescent="0.25">
      <c r="A82" s="149">
        <f t="shared" si="12"/>
        <v>66</v>
      </c>
      <c r="B82" s="149">
        <f t="shared" si="12"/>
        <v>43</v>
      </c>
      <c r="C82" s="150">
        <v>47695</v>
      </c>
      <c r="D82" s="151">
        <f t="shared" si="7"/>
        <v>1265.75</v>
      </c>
      <c r="E82" s="151">
        <v>0</v>
      </c>
      <c r="F82" s="151">
        <f t="shared" si="13"/>
        <v>10.547916666666667</v>
      </c>
      <c r="G82" s="151">
        <f t="shared" si="14"/>
        <v>10.547916666666667</v>
      </c>
      <c r="H82" s="151">
        <f t="shared" si="9"/>
        <v>1265.75</v>
      </c>
    </row>
    <row r="83" spans="1:8" x14ac:dyDescent="0.25">
      <c r="A83" s="149">
        <f t="shared" si="12"/>
        <v>67</v>
      </c>
      <c r="B83" s="149">
        <f t="shared" si="12"/>
        <v>44</v>
      </c>
      <c r="C83" s="150">
        <v>47726</v>
      </c>
      <c r="D83" s="151">
        <f t="shared" si="7"/>
        <v>1265.75</v>
      </c>
      <c r="E83" s="151">
        <v>0</v>
      </c>
      <c r="F83" s="151">
        <f t="shared" si="13"/>
        <v>10.547916666666667</v>
      </c>
      <c r="G83" s="151">
        <f t="shared" si="14"/>
        <v>10.547916666666667</v>
      </c>
      <c r="H83" s="151">
        <f t="shared" si="9"/>
        <v>1265.75</v>
      </c>
    </row>
    <row r="84" spans="1:8" x14ac:dyDescent="0.25">
      <c r="A84" s="149">
        <f t="shared" si="12"/>
        <v>68</v>
      </c>
      <c r="B84" s="149">
        <f t="shared" si="12"/>
        <v>45</v>
      </c>
      <c r="C84" s="150">
        <v>47756</v>
      </c>
      <c r="D84" s="151">
        <f t="shared" si="7"/>
        <v>1265.75</v>
      </c>
      <c r="E84" s="151">
        <v>125</v>
      </c>
      <c r="F84" s="151">
        <f t="shared" si="13"/>
        <v>10.547916666666667</v>
      </c>
      <c r="G84" s="151">
        <f t="shared" si="14"/>
        <v>135.54791666666668</v>
      </c>
      <c r="H84" s="151">
        <f t="shared" si="9"/>
        <v>1140.75</v>
      </c>
    </row>
    <row r="85" spans="1:8" x14ac:dyDescent="0.25">
      <c r="A85" s="149">
        <f t="shared" si="12"/>
        <v>69</v>
      </c>
      <c r="B85" s="149">
        <f t="shared" si="12"/>
        <v>46</v>
      </c>
      <c r="C85" s="150">
        <v>47787</v>
      </c>
      <c r="D85" s="151">
        <f t="shared" si="7"/>
        <v>1140.75</v>
      </c>
      <c r="E85" s="151">
        <v>0</v>
      </c>
      <c r="F85" s="151">
        <f t="shared" si="13"/>
        <v>9.5062499999999996</v>
      </c>
      <c r="G85" s="151">
        <f t="shared" si="14"/>
        <v>9.5062499999999996</v>
      </c>
      <c r="H85" s="151">
        <f t="shared" si="9"/>
        <v>1140.75</v>
      </c>
    </row>
    <row r="86" spans="1:8" x14ac:dyDescent="0.25">
      <c r="A86" s="149">
        <f t="shared" si="12"/>
        <v>70</v>
      </c>
      <c r="B86" s="149">
        <f t="shared" si="12"/>
        <v>47</v>
      </c>
      <c r="C86" s="150">
        <v>47817</v>
      </c>
      <c r="D86" s="151">
        <f t="shared" si="7"/>
        <v>1140.75</v>
      </c>
      <c r="E86" s="151">
        <v>0</v>
      </c>
      <c r="F86" s="151">
        <f t="shared" si="13"/>
        <v>9.5062499999999996</v>
      </c>
      <c r="G86" s="151">
        <f t="shared" si="14"/>
        <v>9.5062499999999996</v>
      </c>
      <c r="H86" s="151">
        <f t="shared" si="9"/>
        <v>1140.75</v>
      </c>
    </row>
    <row r="87" spans="1:8" x14ac:dyDescent="0.25">
      <c r="A87" s="149">
        <f t="shared" si="12"/>
        <v>71</v>
      </c>
      <c r="B87" s="149">
        <f t="shared" si="12"/>
        <v>48</v>
      </c>
      <c r="C87" s="150">
        <v>47848</v>
      </c>
      <c r="D87" s="151">
        <f t="shared" si="7"/>
        <v>1140.75</v>
      </c>
      <c r="E87" s="151">
        <v>125</v>
      </c>
      <c r="F87" s="151">
        <f t="shared" si="13"/>
        <v>9.5062499999999996</v>
      </c>
      <c r="G87" s="151">
        <f t="shared" si="14"/>
        <v>134.50624999999999</v>
      </c>
      <c r="H87" s="151">
        <f t="shared" si="9"/>
        <v>1015.75</v>
      </c>
    </row>
    <row r="88" spans="1:8" x14ac:dyDescent="0.25">
      <c r="A88" s="149">
        <f t="shared" si="12"/>
        <v>72</v>
      </c>
      <c r="B88" s="149">
        <f t="shared" si="12"/>
        <v>49</v>
      </c>
      <c r="C88" s="150">
        <v>47879</v>
      </c>
      <c r="D88" s="151">
        <f t="shared" si="7"/>
        <v>1015.75</v>
      </c>
      <c r="E88" s="151">
        <v>0</v>
      </c>
      <c r="F88" s="151">
        <f t="shared" si="13"/>
        <v>8.4645833333333336</v>
      </c>
      <c r="G88" s="151">
        <f t="shared" si="14"/>
        <v>8.4645833333333336</v>
      </c>
      <c r="H88" s="151">
        <f t="shared" si="9"/>
        <v>1015.75</v>
      </c>
    </row>
    <row r="89" spans="1:8" x14ac:dyDescent="0.25">
      <c r="A89" s="149">
        <f t="shared" ref="A89:B104" si="15">+A88+1</f>
        <v>73</v>
      </c>
      <c r="B89" s="149">
        <f t="shared" si="15"/>
        <v>50</v>
      </c>
      <c r="C89" s="150">
        <v>47907</v>
      </c>
      <c r="D89" s="151">
        <f t="shared" si="7"/>
        <v>1015.75</v>
      </c>
      <c r="E89" s="151">
        <v>0</v>
      </c>
      <c r="F89" s="151">
        <f t="shared" si="13"/>
        <v>8.4645833333333336</v>
      </c>
      <c r="G89" s="151">
        <f t="shared" si="14"/>
        <v>8.4645833333333336</v>
      </c>
      <c r="H89" s="151">
        <f t="shared" si="9"/>
        <v>1015.75</v>
      </c>
    </row>
    <row r="90" spans="1:8" s="154" customFormat="1" x14ac:dyDescent="0.25">
      <c r="A90" s="171">
        <f t="shared" si="15"/>
        <v>74</v>
      </c>
      <c r="B90" s="171">
        <f t="shared" si="15"/>
        <v>51</v>
      </c>
      <c r="C90" s="172">
        <v>47938</v>
      </c>
      <c r="D90" s="173">
        <f t="shared" si="7"/>
        <v>1015.75</v>
      </c>
      <c r="E90" s="151">
        <v>125</v>
      </c>
      <c r="F90" s="173">
        <f t="shared" si="13"/>
        <v>8.4645833333333336</v>
      </c>
      <c r="G90" s="173">
        <f t="shared" si="14"/>
        <v>133.46458333333334</v>
      </c>
      <c r="H90" s="173">
        <f t="shared" si="9"/>
        <v>890.75</v>
      </c>
    </row>
    <row r="91" spans="1:8" x14ac:dyDescent="0.25">
      <c r="A91" s="149">
        <f t="shared" si="15"/>
        <v>75</v>
      </c>
      <c r="B91" s="149">
        <f t="shared" si="15"/>
        <v>52</v>
      </c>
      <c r="C91" s="150">
        <v>47968</v>
      </c>
      <c r="D91" s="151">
        <f t="shared" si="7"/>
        <v>890.75</v>
      </c>
      <c r="E91" s="151">
        <v>0</v>
      </c>
      <c r="F91" s="151">
        <f t="shared" si="13"/>
        <v>7.4229166666666666</v>
      </c>
      <c r="G91" s="151">
        <f t="shared" si="14"/>
        <v>7.4229166666666666</v>
      </c>
      <c r="H91" s="151">
        <f t="shared" si="9"/>
        <v>890.75</v>
      </c>
    </row>
    <row r="92" spans="1:8" x14ac:dyDescent="0.25">
      <c r="A92" s="149">
        <f t="shared" si="15"/>
        <v>76</v>
      </c>
      <c r="B92" s="149">
        <f t="shared" si="15"/>
        <v>53</v>
      </c>
      <c r="C92" s="150">
        <v>47999</v>
      </c>
      <c r="D92" s="151">
        <f t="shared" si="7"/>
        <v>890.75</v>
      </c>
      <c r="E92" s="151">
        <v>0</v>
      </c>
      <c r="F92" s="151">
        <f t="shared" si="13"/>
        <v>7.4229166666666666</v>
      </c>
      <c r="G92" s="151">
        <f t="shared" si="14"/>
        <v>7.4229166666666666</v>
      </c>
      <c r="H92" s="151">
        <f t="shared" si="9"/>
        <v>890.75</v>
      </c>
    </row>
    <row r="93" spans="1:8" x14ac:dyDescent="0.25">
      <c r="A93" s="149">
        <f t="shared" si="15"/>
        <v>77</v>
      </c>
      <c r="B93" s="149">
        <f t="shared" si="15"/>
        <v>54</v>
      </c>
      <c r="C93" s="150">
        <v>48029</v>
      </c>
      <c r="D93" s="151">
        <f t="shared" si="7"/>
        <v>890.75</v>
      </c>
      <c r="E93" s="151">
        <v>150</v>
      </c>
      <c r="F93" s="151">
        <f t="shared" si="13"/>
        <v>7.4229166666666666</v>
      </c>
      <c r="G93" s="151">
        <f t="shared" si="14"/>
        <v>157.42291666666668</v>
      </c>
      <c r="H93" s="151">
        <f t="shared" si="9"/>
        <v>740.75</v>
      </c>
    </row>
    <row r="94" spans="1:8" x14ac:dyDescent="0.25">
      <c r="A94" s="149">
        <f t="shared" si="15"/>
        <v>78</v>
      </c>
      <c r="B94" s="149">
        <f t="shared" si="15"/>
        <v>55</v>
      </c>
      <c r="C94" s="150">
        <v>48060</v>
      </c>
      <c r="D94" s="151">
        <f t="shared" si="7"/>
        <v>740.75</v>
      </c>
      <c r="E94" s="151">
        <v>0</v>
      </c>
      <c r="F94" s="151">
        <f t="shared" si="13"/>
        <v>6.1729166666666666</v>
      </c>
      <c r="G94" s="151">
        <f t="shared" si="14"/>
        <v>6.1729166666666666</v>
      </c>
      <c r="H94" s="151">
        <f t="shared" si="9"/>
        <v>740.75</v>
      </c>
    </row>
    <row r="95" spans="1:8" x14ac:dyDescent="0.25">
      <c r="A95" s="149">
        <f t="shared" si="15"/>
        <v>79</v>
      </c>
      <c r="B95" s="149">
        <f t="shared" si="15"/>
        <v>56</v>
      </c>
      <c r="C95" s="150">
        <v>48091</v>
      </c>
      <c r="D95" s="151">
        <f t="shared" si="7"/>
        <v>740.75</v>
      </c>
      <c r="E95" s="151">
        <v>0</v>
      </c>
      <c r="F95" s="151">
        <f t="shared" si="13"/>
        <v>6.1729166666666666</v>
      </c>
      <c r="G95" s="151">
        <f t="shared" si="14"/>
        <v>6.1729166666666666</v>
      </c>
      <c r="H95" s="151">
        <f t="shared" si="9"/>
        <v>740.75</v>
      </c>
    </row>
    <row r="96" spans="1:8" x14ac:dyDescent="0.25">
      <c r="A96" s="149">
        <f t="shared" si="15"/>
        <v>80</v>
      </c>
      <c r="B96" s="149">
        <f t="shared" si="15"/>
        <v>57</v>
      </c>
      <c r="C96" s="150">
        <v>48121</v>
      </c>
      <c r="D96" s="151">
        <f t="shared" si="7"/>
        <v>740.75</v>
      </c>
      <c r="E96" s="151">
        <v>150</v>
      </c>
      <c r="F96" s="151">
        <f t="shared" si="13"/>
        <v>6.1729166666666666</v>
      </c>
      <c r="G96" s="151">
        <f t="shared" si="14"/>
        <v>156.17291666666668</v>
      </c>
      <c r="H96" s="151">
        <f t="shared" si="9"/>
        <v>590.75</v>
      </c>
    </row>
    <row r="97" spans="1:10" x14ac:dyDescent="0.25">
      <c r="A97" s="149">
        <f t="shared" si="15"/>
        <v>81</v>
      </c>
      <c r="B97" s="149">
        <f t="shared" si="15"/>
        <v>58</v>
      </c>
      <c r="C97" s="150">
        <v>48152</v>
      </c>
      <c r="D97" s="151">
        <f t="shared" si="7"/>
        <v>590.75</v>
      </c>
      <c r="E97" s="151">
        <v>0</v>
      </c>
      <c r="F97" s="151">
        <f t="shared" si="13"/>
        <v>4.9229166666666666</v>
      </c>
      <c r="G97" s="151">
        <f t="shared" si="14"/>
        <v>4.9229166666666666</v>
      </c>
      <c r="H97" s="151">
        <f t="shared" si="9"/>
        <v>590.75</v>
      </c>
    </row>
    <row r="98" spans="1:10" x14ac:dyDescent="0.25">
      <c r="A98" s="149">
        <f t="shared" si="15"/>
        <v>82</v>
      </c>
      <c r="B98" s="149">
        <f t="shared" si="15"/>
        <v>59</v>
      </c>
      <c r="C98" s="150">
        <v>48182</v>
      </c>
      <c r="D98" s="151">
        <f t="shared" ref="D98:D135" si="16">+H97</f>
        <v>590.75</v>
      </c>
      <c r="E98" s="151">
        <v>0</v>
      </c>
      <c r="F98" s="151">
        <f t="shared" si="13"/>
        <v>4.9229166666666666</v>
      </c>
      <c r="G98" s="151">
        <f t="shared" si="14"/>
        <v>4.9229166666666666</v>
      </c>
      <c r="H98" s="151">
        <f>+D98-E98</f>
        <v>590.75</v>
      </c>
    </row>
    <row r="99" spans="1:10" x14ac:dyDescent="0.25">
      <c r="A99" s="149">
        <f t="shared" si="15"/>
        <v>83</v>
      </c>
      <c r="B99" s="149">
        <f t="shared" si="15"/>
        <v>60</v>
      </c>
      <c r="C99" s="150">
        <v>48213</v>
      </c>
      <c r="D99" s="151">
        <f t="shared" si="16"/>
        <v>590.75</v>
      </c>
      <c r="E99" s="151">
        <v>150</v>
      </c>
      <c r="F99" s="151">
        <f t="shared" si="13"/>
        <v>4.9229166666666666</v>
      </c>
      <c r="G99" s="151">
        <f t="shared" si="14"/>
        <v>154.92291666666668</v>
      </c>
      <c r="H99" s="151">
        <f>+D99-E99</f>
        <v>440.75</v>
      </c>
    </row>
    <row r="100" spans="1:10" x14ac:dyDescent="0.25">
      <c r="A100" s="149">
        <f t="shared" si="15"/>
        <v>84</v>
      </c>
      <c r="B100" s="149">
        <f t="shared" si="15"/>
        <v>61</v>
      </c>
      <c r="C100" s="150">
        <v>48244</v>
      </c>
      <c r="D100" s="151">
        <f t="shared" si="16"/>
        <v>440.75</v>
      </c>
      <c r="E100" s="151">
        <v>0</v>
      </c>
      <c r="F100" s="151">
        <f t="shared" si="13"/>
        <v>3.6729166666666671</v>
      </c>
      <c r="G100" s="151">
        <f t="shared" si="14"/>
        <v>3.6729166666666671</v>
      </c>
      <c r="H100" s="151">
        <f t="shared" ref="H100:H135" si="17">+D100-E100</f>
        <v>440.75</v>
      </c>
    </row>
    <row r="101" spans="1:10" x14ac:dyDescent="0.25">
      <c r="A101" s="149">
        <f t="shared" si="15"/>
        <v>85</v>
      </c>
      <c r="B101" s="149">
        <f t="shared" si="15"/>
        <v>62</v>
      </c>
      <c r="C101" s="150">
        <v>48273</v>
      </c>
      <c r="D101" s="151">
        <f t="shared" si="16"/>
        <v>440.75</v>
      </c>
      <c r="E101" s="151">
        <v>0</v>
      </c>
      <c r="F101" s="151">
        <f t="shared" si="13"/>
        <v>3.6729166666666671</v>
      </c>
      <c r="G101" s="151">
        <f t="shared" si="14"/>
        <v>3.6729166666666671</v>
      </c>
      <c r="H101" s="151">
        <f t="shared" si="17"/>
        <v>440.75</v>
      </c>
      <c r="J101" s="119">
        <f>180-230.75</f>
        <v>-50.75</v>
      </c>
    </row>
    <row r="102" spans="1:10" s="154" customFormat="1" x14ac:dyDescent="0.25">
      <c r="A102" s="171">
        <f t="shared" si="15"/>
        <v>86</v>
      </c>
      <c r="B102" s="171">
        <f t="shared" si="15"/>
        <v>63</v>
      </c>
      <c r="C102" s="172">
        <v>48304</v>
      </c>
      <c r="D102" s="173">
        <f t="shared" si="16"/>
        <v>440.75</v>
      </c>
      <c r="E102" s="151">
        <v>150</v>
      </c>
      <c r="F102" s="173">
        <f t="shared" si="13"/>
        <v>3.6729166666666671</v>
      </c>
      <c r="G102" s="173">
        <f t="shared" si="14"/>
        <v>153.67291666666668</v>
      </c>
      <c r="H102" s="173">
        <f t="shared" si="17"/>
        <v>290.75</v>
      </c>
    </row>
    <row r="103" spans="1:10" x14ac:dyDescent="0.25">
      <c r="A103" s="149">
        <f t="shared" si="15"/>
        <v>87</v>
      </c>
      <c r="B103" s="149">
        <f t="shared" si="15"/>
        <v>64</v>
      </c>
      <c r="C103" s="150">
        <v>48334</v>
      </c>
      <c r="D103" s="151">
        <f t="shared" si="16"/>
        <v>290.75</v>
      </c>
      <c r="E103" s="151">
        <v>0</v>
      </c>
      <c r="F103" s="151">
        <f t="shared" si="13"/>
        <v>2.4229166666666671</v>
      </c>
      <c r="G103" s="151">
        <f t="shared" si="14"/>
        <v>2.4229166666666671</v>
      </c>
      <c r="H103" s="151">
        <f t="shared" si="17"/>
        <v>290.75</v>
      </c>
    </row>
    <row r="104" spans="1:10" x14ac:dyDescent="0.25">
      <c r="A104" s="149">
        <f t="shared" si="15"/>
        <v>88</v>
      </c>
      <c r="B104" s="149">
        <f t="shared" si="15"/>
        <v>65</v>
      </c>
      <c r="C104" s="150">
        <v>48365</v>
      </c>
      <c r="D104" s="151">
        <f t="shared" si="16"/>
        <v>290.75</v>
      </c>
      <c r="E104" s="151">
        <v>0</v>
      </c>
      <c r="F104" s="151">
        <f t="shared" si="13"/>
        <v>2.4229166666666671</v>
      </c>
      <c r="G104" s="151">
        <f t="shared" si="14"/>
        <v>2.4229166666666671</v>
      </c>
      <c r="H104" s="151">
        <f t="shared" si="17"/>
        <v>290.75</v>
      </c>
    </row>
    <row r="105" spans="1:10" x14ac:dyDescent="0.25">
      <c r="A105" s="149">
        <f t="shared" ref="A105:B120" si="18">+A104+1</f>
        <v>89</v>
      </c>
      <c r="B105" s="149">
        <f t="shared" si="18"/>
        <v>66</v>
      </c>
      <c r="C105" s="150">
        <v>48395</v>
      </c>
      <c r="D105" s="151">
        <f t="shared" si="16"/>
        <v>290.75</v>
      </c>
      <c r="E105" s="151">
        <f>+H104</f>
        <v>290.75</v>
      </c>
      <c r="F105" s="151">
        <f t="shared" si="13"/>
        <v>2.4229166666666671</v>
      </c>
      <c r="G105" s="151">
        <f t="shared" si="14"/>
        <v>293.17291666666665</v>
      </c>
      <c r="H105" s="394">
        <f t="shared" si="17"/>
        <v>0</v>
      </c>
    </row>
    <row r="106" spans="1:10" x14ac:dyDescent="0.25">
      <c r="A106" s="149">
        <f t="shared" si="18"/>
        <v>90</v>
      </c>
      <c r="B106" s="149">
        <f t="shared" si="18"/>
        <v>67</v>
      </c>
      <c r="C106" s="150">
        <v>48426</v>
      </c>
      <c r="D106" s="151">
        <f t="shared" si="16"/>
        <v>0</v>
      </c>
      <c r="E106" s="151">
        <v>0</v>
      </c>
      <c r="F106" s="151">
        <f t="shared" si="13"/>
        <v>0</v>
      </c>
      <c r="G106" s="151">
        <f t="shared" si="14"/>
        <v>0</v>
      </c>
      <c r="H106" s="151">
        <f t="shared" si="17"/>
        <v>0</v>
      </c>
    </row>
    <row r="107" spans="1:10" x14ac:dyDescent="0.25">
      <c r="A107" s="149">
        <f t="shared" si="18"/>
        <v>91</v>
      </c>
      <c r="B107" s="149">
        <f t="shared" si="18"/>
        <v>68</v>
      </c>
      <c r="C107" s="150">
        <v>48457</v>
      </c>
      <c r="D107" s="151">
        <f t="shared" si="16"/>
        <v>0</v>
      </c>
      <c r="E107" s="151">
        <v>0</v>
      </c>
      <c r="F107" s="151">
        <f t="shared" si="13"/>
        <v>0</v>
      </c>
      <c r="G107" s="151">
        <f t="shared" si="14"/>
        <v>0</v>
      </c>
      <c r="H107" s="151">
        <f t="shared" si="17"/>
        <v>0</v>
      </c>
    </row>
    <row r="108" spans="1:10" x14ac:dyDescent="0.25">
      <c r="A108" s="149">
        <f t="shared" si="18"/>
        <v>92</v>
      </c>
      <c r="B108" s="149">
        <f t="shared" si="18"/>
        <v>69</v>
      </c>
      <c r="C108" s="150">
        <v>48487</v>
      </c>
      <c r="D108" s="151">
        <f t="shared" si="16"/>
        <v>0</v>
      </c>
      <c r="E108" s="151"/>
      <c r="F108" s="151">
        <f t="shared" si="13"/>
        <v>0</v>
      </c>
      <c r="G108" s="151">
        <f t="shared" si="14"/>
        <v>0</v>
      </c>
      <c r="H108" s="151">
        <f t="shared" si="17"/>
        <v>0</v>
      </c>
    </row>
    <row r="109" spans="1:10" x14ac:dyDescent="0.25">
      <c r="A109" s="149">
        <f t="shared" si="18"/>
        <v>93</v>
      </c>
      <c r="B109" s="149">
        <f t="shared" si="18"/>
        <v>70</v>
      </c>
      <c r="C109" s="150">
        <v>48518</v>
      </c>
      <c r="D109" s="151">
        <f t="shared" si="16"/>
        <v>0</v>
      </c>
      <c r="E109" s="151"/>
      <c r="F109" s="151">
        <f t="shared" si="13"/>
        <v>0</v>
      </c>
      <c r="G109" s="151">
        <f t="shared" si="14"/>
        <v>0</v>
      </c>
      <c r="H109" s="151">
        <f t="shared" si="17"/>
        <v>0</v>
      </c>
    </row>
    <row r="110" spans="1:10" x14ac:dyDescent="0.25">
      <c r="A110" s="149">
        <f t="shared" si="18"/>
        <v>94</v>
      </c>
      <c r="B110" s="149">
        <f t="shared" si="18"/>
        <v>71</v>
      </c>
      <c r="C110" s="150">
        <v>48548</v>
      </c>
      <c r="D110" s="151">
        <f t="shared" si="16"/>
        <v>0</v>
      </c>
      <c r="E110" s="151"/>
      <c r="F110" s="151">
        <f t="shared" si="13"/>
        <v>0</v>
      </c>
      <c r="G110" s="151">
        <f t="shared" si="14"/>
        <v>0</v>
      </c>
      <c r="H110" s="151">
        <f t="shared" si="17"/>
        <v>0</v>
      </c>
    </row>
    <row r="111" spans="1:10" x14ac:dyDescent="0.25">
      <c r="A111" s="149">
        <f t="shared" si="18"/>
        <v>95</v>
      </c>
      <c r="B111" s="149">
        <f t="shared" si="18"/>
        <v>72</v>
      </c>
      <c r="C111" s="150">
        <v>48579</v>
      </c>
      <c r="D111" s="151">
        <f t="shared" si="16"/>
        <v>0</v>
      </c>
      <c r="E111" s="151"/>
      <c r="F111" s="151">
        <f t="shared" si="13"/>
        <v>0</v>
      </c>
      <c r="G111" s="151">
        <f t="shared" si="14"/>
        <v>0</v>
      </c>
      <c r="H111" s="151">
        <f t="shared" si="17"/>
        <v>0</v>
      </c>
    </row>
    <row r="112" spans="1:10" x14ac:dyDescent="0.25">
      <c r="A112" s="149">
        <f t="shared" si="18"/>
        <v>96</v>
      </c>
      <c r="B112" s="149">
        <f t="shared" si="18"/>
        <v>73</v>
      </c>
      <c r="C112" s="150">
        <v>48610</v>
      </c>
      <c r="D112" s="151">
        <f t="shared" si="16"/>
        <v>0</v>
      </c>
      <c r="E112" s="151"/>
      <c r="F112" s="151">
        <f t="shared" si="13"/>
        <v>0</v>
      </c>
      <c r="G112" s="151">
        <f t="shared" si="14"/>
        <v>0</v>
      </c>
      <c r="H112" s="151">
        <f t="shared" si="17"/>
        <v>0</v>
      </c>
    </row>
    <row r="113" spans="1:10" x14ac:dyDescent="0.25">
      <c r="A113" s="149">
        <f t="shared" si="18"/>
        <v>97</v>
      </c>
      <c r="B113" s="149">
        <f t="shared" si="18"/>
        <v>74</v>
      </c>
      <c r="C113" s="150">
        <v>48638</v>
      </c>
      <c r="D113" s="151">
        <f t="shared" si="16"/>
        <v>0</v>
      </c>
      <c r="E113" s="151"/>
      <c r="F113" s="151">
        <f t="shared" si="13"/>
        <v>0</v>
      </c>
      <c r="G113" s="151">
        <f t="shared" si="14"/>
        <v>0</v>
      </c>
      <c r="H113" s="151">
        <f t="shared" si="17"/>
        <v>0</v>
      </c>
      <c r="J113" s="119">
        <f>+E111-E114</f>
        <v>0</v>
      </c>
    </row>
    <row r="114" spans="1:10" s="154" customFormat="1" x14ac:dyDescent="0.25">
      <c r="A114" s="171">
        <f t="shared" si="18"/>
        <v>98</v>
      </c>
      <c r="B114" s="171">
        <f t="shared" si="18"/>
        <v>75</v>
      </c>
      <c r="C114" s="172">
        <v>48669</v>
      </c>
      <c r="D114" s="173">
        <f t="shared" si="16"/>
        <v>0</v>
      </c>
      <c r="E114" s="173"/>
      <c r="F114" s="173">
        <f t="shared" si="13"/>
        <v>0</v>
      </c>
      <c r="G114" s="173">
        <f t="shared" si="14"/>
        <v>0</v>
      </c>
      <c r="H114" s="173">
        <f t="shared" si="17"/>
        <v>0</v>
      </c>
    </row>
    <row r="115" spans="1:10" x14ac:dyDescent="0.25">
      <c r="A115" s="149">
        <f t="shared" si="18"/>
        <v>99</v>
      </c>
      <c r="B115" s="149">
        <f t="shared" si="18"/>
        <v>76</v>
      </c>
      <c r="C115" s="150">
        <v>48699</v>
      </c>
      <c r="D115" s="151">
        <f t="shared" si="16"/>
        <v>0</v>
      </c>
      <c r="E115" s="151"/>
      <c r="F115" s="151">
        <f t="shared" si="13"/>
        <v>0</v>
      </c>
      <c r="G115" s="151">
        <f t="shared" si="14"/>
        <v>0</v>
      </c>
      <c r="H115" s="151">
        <f t="shared" si="17"/>
        <v>0</v>
      </c>
    </row>
    <row r="116" spans="1:10" x14ac:dyDescent="0.25">
      <c r="A116" s="149">
        <f t="shared" si="18"/>
        <v>100</v>
      </c>
      <c r="B116" s="149">
        <f t="shared" si="18"/>
        <v>77</v>
      </c>
      <c r="C116" s="150">
        <v>48730</v>
      </c>
      <c r="D116" s="151">
        <f t="shared" si="16"/>
        <v>0</v>
      </c>
      <c r="E116" s="151"/>
      <c r="F116" s="151">
        <f t="shared" si="13"/>
        <v>0</v>
      </c>
      <c r="G116" s="151">
        <f t="shared" si="14"/>
        <v>0</v>
      </c>
      <c r="H116" s="151">
        <f t="shared" si="17"/>
        <v>0</v>
      </c>
    </row>
    <row r="117" spans="1:10" x14ac:dyDescent="0.25">
      <c r="A117" s="149">
        <f t="shared" si="18"/>
        <v>101</v>
      </c>
      <c r="B117" s="149">
        <f t="shared" si="18"/>
        <v>78</v>
      </c>
      <c r="C117" s="150">
        <v>48760</v>
      </c>
      <c r="D117" s="151">
        <f t="shared" si="16"/>
        <v>0</v>
      </c>
      <c r="E117" s="151"/>
      <c r="F117" s="151">
        <f t="shared" si="13"/>
        <v>0</v>
      </c>
      <c r="G117" s="151">
        <f t="shared" si="14"/>
        <v>0</v>
      </c>
      <c r="H117" s="151">
        <f t="shared" si="17"/>
        <v>0</v>
      </c>
    </row>
    <row r="118" spans="1:10" x14ac:dyDescent="0.25">
      <c r="A118" s="149">
        <f t="shared" si="18"/>
        <v>102</v>
      </c>
      <c r="B118" s="149">
        <f t="shared" si="18"/>
        <v>79</v>
      </c>
      <c r="C118" s="150">
        <v>48791</v>
      </c>
      <c r="D118" s="151">
        <f t="shared" si="16"/>
        <v>0</v>
      </c>
      <c r="E118" s="151"/>
      <c r="F118" s="151">
        <f t="shared" si="13"/>
        <v>0</v>
      </c>
      <c r="G118" s="151">
        <f t="shared" si="14"/>
        <v>0</v>
      </c>
      <c r="H118" s="151">
        <f t="shared" si="17"/>
        <v>0</v>
      </c>
    </row>
    <row r="119" spans="1:10" x14ac:dyDescent="0.25">
      <c r="A119" s="149">
        <f t="shared" si="18"/>
        <v>103</v>
      </c>
      <c r="B119" s="149">
        <f t="shared" si="18"/>
        <v>80</v>
      </c>
      <c r="C119" s="150">
        <v>48822</v>
      </c>
      <c r="D119" s="151">
        <f t="shared" si="16"/>
        <v>0</v>
      </c>
      <c r="E119" s="151"/>
      <c r="F119" s="151">
        <f t="shared" si="13"/>
        <v>0</v>
      </c>
      <c r="G119" s="151">
        <f t="shared" si="14"/>
        <v>0</v>
      </c>
      <c r="H119" s="151">
        <f t="shared" si="17"/>
        <v>0</v>
      </c>
    </row>
    <row r="120" spans="1:10" x14ac:dyDescent="0.25">
      <c r="A120" s="149">
        <f t="shared" si="18"/>
        <v>104</v>
      </c>
      <c r="B120" s="149">
        <f t="shared" si="18"/>
        <v>81</v>
      </c>
      <c r="C120" s="150">
        <v>48852</v>
      </c>
      <c r="D120" s="151">
        <f t="shared" si="16"/>
        <v>0</v>
      </c>
      <c r="E120" s="151"/>
      <c r="F120" s="151">
        <f t="shared" si="13"/>
        <v>0</v>
      </c>
      <c r="G120" s="151">
        <f t="shared" si="14"/>
        <v>0</v>
      </c>
      <c r="H120" s="151">
        <f t="shared" si="17"/>
        <v>0</v>
      </c>
    </row>
    <row r="121" spans="1:10" x14ac:dyDescent="0.25">
      <c r="A121" s="149">
        <f t="shared" ref="A121:B135" si="19">+A120+1</f>
        <v>105</v>
      </c>
      <c r="B121" s="149">
        <f t="shared" si="19"/>
        <v>82</v>
      </c>
      <c r="C121" s="150">
        <v>48883</v>
      </c>
      <c r="D121" s="151">
        <f t="shared" si="16"/>
        <v>0</v>
      </c>
      <c r="E121" s="151"/>
      <c r="F121" s="151">
        <f t="shared" si="13"/>
        <v>0</v>
      </c>
      <c r="G121" s="151">
        <f t="shared" si="14"/>
        <v>0</v>
      </c>
      <c r="H121" s="151">
        <f t="shared" si="17"/>
        <v>0</v>
      </c>
    </row>
    <row r="122" spans="1:10" x14ac:dyDescent="0.25">
      <c r="A122" s="149">
        <f t="shared" si="19"/>
        <v>106</v>
      </c>
      <c r="B122" s="149">
        <f t="shared" si="19"/>
        <v>83</v>
      </c>
      <c r="C122" s="150">
        <v>48913</v>
      </c>
      <c r="D122" s="151">
        <f t="shared" si="16"/>
        <v>0</v>
      </c>
      <c r="E122" s="151"/>
      <c r="F122" s="151">
        <f t="shared" si="13"/>
        <v>0</v>
      </c>
      <c r="G122" s="151">
        <f t="shared" si="14"/>
        <v>0</v>
      </c>
      <c r="H122" s="151">
        <f t="shared" si="17"/>
        <v>0</v>
      </c>
    </row>
    <row r="123" spans="1:10" x14ac:dyDescent="0.25">
      <c r="A123" s="149">
        <f t="shared" si="19"/>
        <v>107</v>
      </c>
      <c r="B123" s="149">
        <f t="shared" si="19"/>
        <v>84</v>
      </c>
      <c r="C123" s="150">
        <v>48944</v>
      </c>
      <c r="D123" s="151">
        <f t="shared" si="16"/>
        <v>0</v>
      </c>
      <c r="E123" s="151"/>
      <c r="F123" s="151">
        <f t="shared" si="13"/>
        <v>0</v>
      </c>
      <c r="G123" s="151">
        <f t="shared" si="14"/>
        <v>0</v>
      </c>
      <c r="H123" s="151">
        <f t="shared" si="17"/>
        <v>0</v>
      </c>
    </row>
    <row r="124" spans="1:10" x14ac:dyDescent="0.25">
      <c r="A124" s="149">
        <f t="shared" si="19"/>
        <v>108</v>
      </c>
      <c r="B124" s="149">
        <f t="shared" si="19"/>
        <v>85</v>
      </c>
      <c r="C124" s="150">
        <v>48975</v>
      </c>
      <c r="D124" s="151">
        <f t="shared" si="16"/>
        <v>0</v>
      </c>
      <c r="E124" s="151"/>
      <c r="F124" s="151">
        <f t="shared" si="13"/>
        <v>0</v>
      </c>
      <c r="G124" s="151">
        <f t="shared" si="14"/>
        <v>0</v>
      </c>
      <c r="H124" s="151">
        <f t="shared" si="17"/>
        <v>0</v>
      </c>
    </row>
    <row r="125" spans="1:10" x14ac:dyDescent="0.25">
      <c r="A125" s="149">
        <f t="shared" si="19"/>
        <v>109</v>
      </c>
      <c r="B125" s="149">
        <f t="shared" si="19"/>
        <v>86</v>
      </c>
      <c r="C125" s="150">
        <v>49003</v>
      </c>
      <c r="D125" s="151">
        <f t="shared" si="16"/>
        <v>0</v>
      </c>
      <c r="E125" s="151"/>
      <c r="F125" s="151">
        <f t="shared" si="13"/>
        <v>0</v>
      </c>
      <c r="G125" s="151">
        <f t="shared" si="14"/>
        <v>0</v>
      </c>
      <c r="H125" s="151">
        <f t="shared" si="17"/>
        <v>0</v>
      </c>
    </row>
    <row r="126" spans="1:10" s="154" customFormat="1" x14ac:dyDescent="0.25">
      <c r="A126" s="171">
        <f t="shared" si="19"/>
        <v>110</v>
      </c>
      <c r="B126" s="171">
        <f t="shared" si="19"/>
        <v>87</v>
      </c>
      <c r="C126" s="172">
        <v>49034</v>
      </c>
      <c r="D126" s="173">
        <f t="shared" si="16"/>
        <v>0</v>
      </c>
      <c r="E126" s="173"/>
      <c r="F126" s="173">
        <f t="shared" si="13"/>
        <v>0</v>
      </c>
      <c r="G126" s="173">
        <f t="shared" si="14"/>
        <v>0</v>
      </c>
      <c r="H126" s="173">
        <f t="shared" si="17"/>
        <v>0</v>
      </c>
    </row>
    <row r="127" spans="1:10" x14ac:dyDescent="0.25">
      <c r="A127" s="149">
        <f t="shared" si="19"/>
        <v>111</v>
      </c>
      <c r="B127" s="149">
        <f t="shared" si="19"/>
        <v>88</v>
      </c>
      <c r="C127" s="150">
        <v>49064</v>
      </c>
      <c r="D127" s="151">
        <f t="shared" si="16"/>
        <v>0</v>
      </c>
      <c r="E127" s="151"/>
      <c r="F127" s="151">
        <f t="shared" si="13"/>
        <v>0</v>
      </c>
      <c r="G127" s="151">
        <f t="shared" si="14"/>
        <v>0</v>
      </c>
      <c r="H127" s="151">
        <f t="shared" si="17"/>
        <v>0</v>
      </c>
    </row>
    <row r="128" spans="1:10" x14ac:dyDescent="0.25">
      <c r="A128" s="149">
        <f t="shared" si="19"/>
        <v>112</v>
      </c>
      <c r="B128" s="149">
        <f t="shared" si="19"/>
        <v>89</v>
      </c>
      <c r="C128" s="150">
        <v>49095</v>
      </c>
      <c r="D128" s="151">
        <f t="shared" si="16"/>
        <v>0</v>
      </c>
      <c r="E128" s="151"/>
      <c r="F128" s="151">
        <f t="shared" si="13"/>
        <v>0</v>
      </c>
      <c r="G128" s="151">
        <f t="shared" si="14"/>
        <v>0</v>
      </c>
      <c r="H128" s="151">
        <f t="shared" si="17"/>
        <v>0</v>
      </c>
    </row>
    <row r="129" spans="1:16" x14ac:dyDescent="0.25">
      <c r="A129" s="149">
        <f t="shared" si="19"/>
        <v>113</v>
      </c>
      <c r="B129" s="149">
        <f t="shared" si="19"/>
        <v>90</v>
      </c>
      <c r="C129" s="150">
        <v>49125</v>
      </c>
      <c r="D129" s="151">
        <f t="shared" si="16"/>
        <v>0</v>
      </c>
      <c r="E129" s="151"/>
      <c r="F129" s="151">
        <f t="shared" si="13"/>
        <v>0</v>
      </c>
      <c r="G129" s="151">
        <f t="shared" si="14"/>
        <v>0</v>
      </c>
      <c r="H129" s="151">
        <f t="shared" si="17"/>
        <v>0</v>
      </c>
    </row>
    <row r="130" spans="1:16" x14ac:dyDescent="0.25">
      <c r="A130" s="149">
        <f t="shared" si="19"/>
        <v>114</v>
      </c>
      <c r="B130" s="149">
        <f t="shared" si="19"/>
        <v>91</v>
      </c>
      <c r="C130" s="150">
        <v>49156</v>
      </c>
      <c r="D130" s="151">
        <f t="shared" si="16"/>
        <v>0</v>
      </c>
      <c r="E130" s="151"/>
      <c r="F130" s="151">
        <f t="shared" si="13"/>
        <v>0</v>
      </c>
      <c r="G130" s="151">
        <f t="shared" si="14"/>
        <v>0</v>
      </c>
      <c r="H130" s="151">
        <f t="shared" si="17"/>
        <v>0</v>
      </c>
    </row>
    <row r="131" spans="1:16" x14ac:dyDescent="0.25">
      <c r="A131" s="149">
        <f t="shared" si="19"/>
        <v>115</v>
      </c>
      <c r="B131" s="149">
        <f t="shared" si="19"/>
        <v>92</v>
      </c>
      <c r="C131" s="150">
        <v>49187</v>
      </c>
      <c r="D131" s="151">
        <f t="shared" si="16"/>
        <v>0</v>
      </c>
      <c r="E131" s="151"/>
      <c r="F131" s="151">
        <f t="shared" si="13"/>
        <v>0</v>
      </c>
      <c r="G131" s="151">
        <f t="shared" si="14"/>
        <v>0</v>
      </c>
      <c r="H131" s="151">
        <f t="shared" si="17"/>
        <v>0</v>
      </c>
    </row>
    <row r="132" spans="1:16" x14ac:dyDescent="0.25">
      <c r="A132" s="149">
        <f t="shared" si="19"/>
        <v>116</v>
      </c>
      <c r="B132" s="149">
        <f t="shared" si="19"/>
        <v>93</v>
      </c>
      <c r="C132" s="150">
        <v>49217</v>
      </c>
      <c r="D132" s="151">
        <f t="shared" si="16"/>
        <v>0</v>
      </c>
      <c r="E132" s="151"/>
      <c r="F132" s="151">
        <f t="shared" si="13"/>
        <v>0</v>
      </c>
      <c r="G132" s="151">
        <f t="shared" si="14"/>
        <v>0</v>
      </c>
      <c r="H132" s="151">
        <f t="shared" si="17"/>
        <v>0</v>
      </c>
    </row>
    <row r="133" spans="1:16" x14ac:dyDescent="0.25">
      <c r="A133" s="149">
        <f t="shared" si="19"/>
        <v>117</v>
      </c>
      <c r="B133" s="149">
        <f t="shared" si="19"/>
        <v>94</v>
      </c>
      <c r="C133" s="150">
        <v>49248</v>
      </c>
      <c r="D133" s="151">
        <f t="shared" si="16"/>
        <v>0</v>
      </c>
      <c r="E133" s="151"/>
      <c r="F133" s="151">
        <f t="shared" si="13"/>
        <v>0</v>
      </c>
      <c r="G133" s="151">
        <f t="shared" si="14"/>
        <v>0</v>
      </c>
      <c r="H133" s="151">
        <f t="shared" si="17"/>
        <v>0</v>
      </c>
    </row>
    <row r="134" spans="1:16" x14ac:dyDescent="0.25">
      <c r="A134" s="149">
        <f t="shared" si="19"/>
        <v>118</v>
      </c>
      <c r="B134" s="149">
        <f t="shared" si="19"/>
        <v>95</v>
      </c>
      <c r="C134" s="150">
        <v>49278</v>
      </c>
      <c r="D134" s="151">
        <f t="shared" si="16"/>
        <v>0</v>
      </c>
      <c r="E134" s="151"/>
      <c r="F134" s="151">
        <f t="shared" si="13"/>
        <v>0</v>
      </c>
      <c r="G134" s="151">
        <f t="shared" si="14"/>
        <v>0</v>
      </c>
      <c r="H134" s="151">
        <f t="shared" si="17"/>
        <v>0</v>
      </c>
    </row>
    <row r="135" spans="1:16" x14ac:dyDescent="0.25">
      <c r="A135" s="149">
        <f t="shared" si="19"/>
        <v>119</v>
      </c>
      <c r="B135" s="149">
        <f t="shared" si="19"/>
        <v>96</v>
      </c>
      <c r="C135" s="150">
        <v>49309</v>
      </c>
      <c r="D135" s="151">
        <f t="shared" si="16"/>
        <v>0</v>
      </c>
      <c r="E135" s="151"/>
      <c r="F135" s="151">
        <f t="shared" si="13"/>
        <v>0</v>
      </c>
      <c r="G135" s="151">
        <f t="shared" si="14"/>
        <v>0</v>
      </c>
      <c r="H135" s="151">
        <f t="shared" si="17"/>
        <v>0</v>
      </c>
    </row>
    <row r="136" spans="1:16" x14ac:dyDescent="0.25">
      <c r="A136" s="140"/>
      <c r="B136" s="140"/>
      <c r="C136" s="141"/>
      <c r="D136" s="140"/>
      <c r="E136" s="140"/>
      <c r="F136" s="142"/>
      <c r="G136" s="140"/>
      <c r="H136" s="140"/>
    </row>
    <row r="137" spans="1:16" x14ac:dyDescent="0.25">
      <c r="A137" s="136" t="s">
        <v>220</v>
      </c>
      <c r="B137" s="136"/>
      <c r="C137" s="152"/>
      <c r="D137" s="136"/>
      <c r="E137" s="153">
        <f>SUM(E17:E136)</f>
        <v>2415.75</v>
      </c>
      <c r="F137" s="153">
        <f>SUM(F17:F136)</f>
        <v>1106.372916666666</v>
      </c>
      <c r="G137" s="153">
        <f>SUM(G17:G136)</f>
        <v>3522.1229166666699</v>
      </c>
      <c r="H137" s="136"/>
    </row>
    <row r="138" spans="1:16" x14ac:dyDescent="0.25">
      <c r="C138" s="121"/>
      <c r="E138" s="119" t="s">
        <v>221</v>
      </c>
      <c r="F138" s="122" t="s">
        <v>222</v>
      </c>
    </row>
    <row r="139" spans="1:16" x14ac:dyDescent="0.25">
      <c r="A139" s="154" t="str">
        <f>+B1</f>
        <v>AAI SHRI KHODIYAR INDUSTRIES LLP</v>
      </c>
      <c r="C139" s="121"/>
      <c r="F139" s="122"/>
    </row>
    <row r="140" spans="1:16" x14ac:dyDescent="0.25">
      <c r="A140" s="119" t="s">
        <v>223</v>
      </c>
      <c r="C140" s="155"/>
      <c r="D140" s="155"/>
      <c r="E140" s="156" t="s">
        <v>224</v>
      </c>
      <c r="F140" s="156" t="s">
        <v>225</v>
      </c>
      <c r="G140" s="156" t="s">
        <v>226</v>
      </c>
      <c r="H140" s="156" t="s">
        <v>227</v>
      </c>
      <c r="I140" s="156" t="s">
        <v>228</v>
      </c>
      <c r="J140" s="156" t="s">
        <v>229</v>
      </c>
      <c r="K140" s="156" t="s">
        <v>230</v>
      </c>
      <c r="L140" s="156" t="s">
        <v>231</v>
      </c>
      <c r="M140" s="156" t="s">
        <v>232</v>
      </c>
      <c r="N140" s="156" t="s">
        <v>233</v>
      </c>
      <c r="O140" s="156" t="s">
        <v>234</v>
      </c>
      <c r="P140" s="157" t="s">
        <v>9</v>
      </c>
    </row>
    <row r="141" spans="1:16" x14ac:dyDescent="0.25">
      <c r="A141" s="158" t="s">
        <v>235</v>
      </c>
      <c r="B141" s="158"/>
      <c r="C141" s="159"/>
      <c r="D141" s="159"/>
      <c r="E141" s="160" t="s">
        <v>55</v>
      </c>
      <c r="F141" s="160" t="s">
        <v>56</v>
      </c>
      <c r="G141" s="160" t="s">
        <v>57</v>
      </c>
      <c r="H141" s="160" t="s">
        <v>58</v>
      </c>
      <c r="I141" s="160" t="s">
        <v>59</v>
      </c>
      <c r="J141" s="160" t="s">
        <v>60</v>
      </c>
      <c r="K141" s="160" t="s">
        <v>236</v>
      </c>
      <c r="L141" s="160" t="s">
        <v>237</v>
      </c>
      <c r="M141" s="160" t="s">
        <v>238</v>
      </c>
      <c r="N141" s="160" t="s">
        <v>239</v>
      </c>
      <c r="O141" s="160" t="s">
        <v>240</v>
      </c>
      <c r="P141" s="161"/>
    </row>
    <row r="142" spans="1:16" x14ac:dyDescent="0.25">
      <c r="A142" s="162" t="s">
        <v>189</v>
      </c>
      <c r="B142" s="163"/>
      <c r="C142" s="163"/>
      <c r="D142" s="163"/>
      <c r="E142" s="163"/>
      <c r="F142" s="163"/>
      <c r="G142" s="163"/>
      <c r="H142" s="163"/>
      <c r="I142" s="163"/>
      <c r="J142" s="163"/>
      <c r="K142" s="163"/>
      <c r="L142" s="163"/>
      <c r="M142" s="163"/>
      <c r="N142" s="163"/>
      <c r="O142" s="163"/>
      <c r="P142" s="163"/>
    </row>
    <row r="143" spans="1:16" x14ac:dyDescent="0.25">
      <c r="A143" s="162" t="s">
        <v>241</v>
      </c>
      <c r="B143" s="163"/>
      <c r="C143" s="163"/>
      <c r="D143" s="163"/>
      <c r="E143" s="163">
        <f>SUM(E17:E21)</f>
        <v>0</v>
      </c>
      <c r="F143" s="163">
        <f>SUM(E22:E33)</f>
        <v>0</v>
      </c>
      <c r="G143" s="163">
        <f>SUM(E40:E42)</f>
        <v>45</v>
      </c>
      <c r="H143" s="163">
        <f>SUM(E43:E54)</f>
        <v>260</v>
      </c>
      <c r="I143" s="163">
        <f>SUM(E55:E66)</f>
        <v>320</v>
      </c>
      <c r="J143" s="163">
        <f>SUM(E67:E78)</f>
        <v>400</v>
      </c>
      <c r="K143" s="163">
        <f>SUM(E79:E90)</f>
        <v>500</v>
      </c>
      <c r="L143" s="163">
        <f>SUM(E91:E102)</f>
        <v>600</v>
      </c>
      <c r="M143" s="163">
        <f>SUM(E103:E114)</f>
        <v>290.75</v>
      </c>
      <c r="N143" s="163">
        <f>SUM(E115:E126)</f>
        <v>0</v>
      </c>
      <c r="O143" s="163">
        <f>SUM(E127:E135)</f>
        <v>0</v>
      </c>
      <c r="P143" s="163">
        <f>SUM(C143:O143)</f>
        <v>2415.75</v>
      </c>
    </row>
    <row r="144" spans="1:16" ht="30" customHeight="1" x14ac:dyDescent="0.25">
      <c r="A144" s="439" t="s">
        <v>242</v>
      </c>
      <c r="B144" s="439"/>
      <c r="C144" s="163"/>
      <c r="D144" s="163"/>
      <c r="E144" s="163">
        <v>0</v>
      </c>
      <c r="F144" s="163">
        <v>0</v>
      </c>
      <c r="G144" s="163">
        <f>SUM(F34:F42)</f>
        <v>181.18124999999998</v>
      </c>
      <c r="H144" s="163">
        <f>SUM(F43:F54)</f>
        <v>227.32500000000002</v>
      </c>
      <c r="I144" s="163">
        <f>SUM(F55:F66)</f>
        <v>199.07499999999999</v>
      </c>
      <c r="J144" s="163">
        <f>SUM(F67:F78)</f>
        <v>164.07500000000005</v>
      </c>
      <c r="K144" s="163">
        <f>SUM(F79:F90)</f>
        <v>120.325</v>
      </c>
      <c r="L144" s="163">
        <f>SUM(F91:F102)</f>
        <v>66.575000000000003</v>
      </c>
      <c r="M144" s="163">
        <f>SUM(F103:F114)</f>
        <v>7.2687500000000007</v>
      </c>
      <c r="N144" s="163">
        <f>SUM(F115:F126)</f>
        <v>0</v>
      </c>
      <c r="O144" s="163">
        <f>SUM(F127:F135)</f>
        <v>0</v>
      </c>
      <c r="P144" s="163">
        <f>SUM(C144:O144)</f>
        <v>965.82500000000005</v>
      </c>
    </row>
    <row r="145" spans="1:16" x14ac:dyDescent="0.25">
      <c r="A145" s="162" t="s">
        <v>243</v>
      </c>
      <c r="B145" s="163"/>
      <c r="C145" s="163"/>
      <c r="D145" s="163"/>
      <c r="E145" s="163">
        <f>SUM(F17:F18)</f>
        <v>0.41666666666666663</v>
      </c>
      <c r="F145" s="163">
        <f>SUM(F19:F30)</f>
        <v>83.5</v>
      </c>
      <c r="G145" s="163">
        <f>SUM(F31:F33)</f>
        <v>56.631250000000001</v>
      </c>
      <c r="H145" s="163">
        <v>0</v>
      </c>
      <c r="I145" s="163">
        <v>0</v>
      </c>
      <c r="J145" s="163">
        <v>0</v>
      </c>
      <c r="K145" s="163">
        <v>0</v>
      </c>
      <c r="L145" s="163">
        <v>0</v>
      </c>
      <c r="M145" s="163">
        <v>0</v>
      </c>
      <c r="N145" s="163">
        <v>0</v>
      </c>
      <c r="O145" s="163">
        <v>0</v>
      </c>
      <c r="P145" s="163">
        <f>SUM(C145:O145)</f>
        <v>140.54791666666668</v>
      </c>
    </row>
    <row r="146" spans="1:16" ht="15.75" thickBot="1" x14ac:dyDescent="0.3">
      <c r="A146" s="162" t="s">
        <v>244</v>
      </c>
      <c r="B146" s="164"/>
      <c r="C146" s="164"/>
      <c r="D146" s="164"/>
      <c r="E146" s="164">
        <f>+H18</f>
        <v>30</v>
      </c>
      <c r="F146" s="164">
        <f>+H30</f>
        <v>1890</v>
      </c>
      <c r="G146" s="164">
        <f>+H42</f>
        <v>2370.75</v>
      </c>
      <c r="H146" s="164">
        <f>+H54</f>
        <v>2110.75</v>
      </c>
      <c r="I146" s="164">
        <f>+H66</f>
        <v>1790.75</v>
      </c>
      <c r="J146" s="164">
        <f>+H78</f>
        <v>1390.75</v>
      </c>
      <c r="K146" s="164">
        <f>+H90</f>
        <v>890.75</v>
      </c>
      <c r="L146" s="164">
        <f>+H102</f>
        <v>290.75</v>
      </c>
      <c r="M146" s="164">
        <f>+H114</f>
        <v>0</v>
      </c>
      <c r="N146" s="164">
        <f>+H126</f>
        <v>0</v>
      </c>
      <c r="O146" s="164">
        <f>+H138</f>
        <v>0</v>
      </c>
      <c r="P146" s="164"/>
    </row>
    <row r="147" spans="1:16" ht="15.75" thickTop="1" x14ac:dyDescent="0.25">
      <c r="A147" s="165"/>
      <c r="B147" s="122"/>
      <c r="C147" s="122"/>
      <c r="D147" s="122"/>
      <c r="E147" s="122"/>
      <c r="F147" s="122"/>
      <c r="G147" s="122"/>
      <c r="H147" s="122"/>
      <c r="I147" s="122"/>
      <c r="J147" s="122"/>
    </row>
    <row r="148" spans="1:16" x14ac:dyDescent="0.25">
      <c r="A148" s="165" t="s">
        <v>245</v>
      </c>
      <c r="B148" s="122"/>
      <c r="C148" s="122"/>
      <c r="D148" s="122"/>
      <c r="E148" s="122">
        <f>+E144+F144</f>
        <v>0</v>
      </c>
      <c r="F148" s="122"/>
      <c r="G148" s="122"/>
      <c r="H148" s="122"/>
      <c r="I148" s="122"/>
      <c r="J148" s="122"/>
    </row>
    <row r="149" spans="1:16" x14ac:dyDescent="0.25">
      <c r="A149" s="165" t="s">
        <v>246</v>
      </c>
      <c r="B149" s="122"/>
      <c r="C149" s="122"/>
      <c r="D149" s="122"/>
      <c r="E149" s="122"/>
      <c r="F149" s="122">
        <f t="shared" ref="F149:L149" si="20">+F145</f>
        <v>83.5</v>
      </c>
      <c r="G149" s="122">
        <f t="shared" si="20"/>
        <v>56.631250000000001</v>
      </c>
      <c r="H149" s="122">
        <f t="shared" si="20"/>
        <v>0</v>
      </c>
      <c r="I149" s="122">
        <f t="shared" si="20"/>
        <v>0</v>
      </c>
      <c r="J149" s="122">
        <f t="shared" si="20"/>
        <v>0</v>
      </c>
      <c r="K149" s="122">
        <f t="shared" si="20"/>
        <v>0</v>
      </c>
      <c r="L149" s="122">
        <f t="shared" si="20"/>
        <v>0</v>
      </c>
      <c r="M149" s="122"/>
      <c r="N149" s="122"/>
      <c r="O149" s="122"/>
      <c r="P149" s="122">
        <f>+P145</f>
        <v>140.54791666666668</v>
      </c>
    </row>
    <row r="150" spans="1:16" x14ac:dyDescent="0.25">
      <c r="A150" s="165" t="s">
        <v>247</v>
      </c>
      <c r="B150" s="122"/>
      <c r="C150" s="122"/>
      <c r="D150" s="122" t="e">
        <f>SUM(#REF!)</f>
        <v>#REF!</v>
      </c>
      <c r="E150" s="122">
        <f>SUM(E17:E21)</f>
        <v>0</v>
      </c>
      <c r="F150" s="122">
        <f>SUM(E22:E33)</f>
        <v>0</v>
      </c>
      <c r="G150" s="122">
        <f>SUM(E34:E45)</f>
        <v>110</v>
      </c>
      <c r="H150" s="122">
        <f>SUM(E46:E57)</f>
        <v>275</v>
      </c>
      <c r="I150" s="122">
        <f>SUM(E58:E69)</f>
        <v>340</v>
      </c>
      <c r="J150" s="122">
        <f>SUM(E70:E81)</f>
        <v>425</v>
      </c>
      <c r="K150" s="122">
        <f>+K143</f>
        <v>500</v>
      </c>
      <c r="L150" s="122">
        <f>+L143</f>
        <v>600</v>
      </c>
      <c r="M150" s="122"/>
      <c r="N150" s="122"/>
      <c r="O150" s="122"/>
      <c r="P150" s="122">
        <f>+P146</f>
        <v>0</v>
      </c>
    </row>
    <row r="152" spans="1:16" x14ac:dyDescent="0.25">
      <c r="F152" s="119">
        <f>2000-F146</f>
        <v>110</v>
      </c>
    </row>
  </sheetData>
  <mergeCells count="10">
    <mergeCell ref="B12:D12"/>
    <mergeCell ref="B13:D13"/>
    <mergeCell ref="B14:D14"/>
    <mergeCell ref="A144:B144"/>
    <mergeCell ref="B2:E2"/>
    <mergeCell ref="B3:D3"/>
    <mergeCell ref="B5:D5"/>
    <mergeCell ref="B6:D6"/>
    <mergeCell ref="B10:D10"/>
    <mergeCell ref="B11:D11"/>
  </mergeCells>
  <dataValidations count="20">
    <dataValidation allowBlank="1" showInputMessage="1" showErrorMessage="1" prompt="Enter Loan amount in cell at right" sqref="D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D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D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D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D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D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D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D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D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D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D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D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D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D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D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D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B3:B4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B65539:B65540 IZ65539:IZ65540 SV65539:SV65540 ACR65539:ACR65540 AMN65539:AMN65540 AWJ65539:AWJ65540 BGF65539:BGF65540 BQB65539:BQB65540 BZX65539:BZX65540 CJT65539:CJT65540 CTP65539:CTP65540 DDL65539:DDL65540 DNH65539:DNH65540 DXD65539:DXD65540 EGZ65539:EGZ65540 EQV65539:EQV65540 FAR65539:FAR65540 FKN65539:FKN65540 FUJ65539:FUJ65540 GEF65539:GEF65540 GOB65539:GOB65540 GXX65539:GXX65540 HHT65539:HHT65540 HRP65539:HRP65540 IBL65539:IBL65540 ILH65539:ILH65540 IVD65539:IVD65540 JEZ65539:JEZ65540 JOV65539:JOV65540 JYR65539:JYR65540 KIN65539:KIN65540 KSJ65539:KSJ65540 LCF65539:LCF65540 LMB65539:LMB65540 LVX65539:LVX65540 MFT65539:MFT65540 MPP65539:MPP65540 MZL65539:MZL65540 NJH65539:NJH65540 NTD65539:NTD65540 OCZ65539:OCZ65540 OMV65539:OMV65540 OWR65539:OWR65540 PGN65539:PGN65540 PQJ65539:PQJ65540 QAF65539:QAF65540 QKB65539:QKB65540 QTX65539:QTX65540 RDT65539:RDT65540 RNP65539:RNP65540 RXL65539:RXL65540 SHH65539:SHH65540 SRD65539:SRD65540 TAZ65539:TAZ65540 TKV65539:TKV65540 TUR65539:TUR65540 UEN65539:UEN65540 UOJ65539:UOJ65540 UYF65539:UYF65540 VIB65539:VIB65540 VRX65539:VRX65540 WBT65539:WBT65540 WLP65539:WLP65540 WVL65539:WVL65540 B131075:B131076 IZ131075:IZ131076 SV131075:SV131076 ACR131075:ACR131076 AMN131075:AMN131076 AWJ131075:AWJ131076 BGF131075:BGF131076 BQB131075:BQB131076 BZX131075:BZX131076 CJT131075:CJT131076 CTP131075:CTP131076 DDL131075:DDL131076 DNH131075:DNH131076 DXD131075:DXD131076 EGZ131075:EGZ131076 EQV131075:EQV131076 FAR131075:FAR131076 FKN131075:FKN131076 FUJ131075:FUJ131076 GEF131075:GEF131076 GOB131075:GOB131076 GXX131075:GXX131076 HHT131075:HHT131076 HRP131075:HRP131076 IBL131075:IBL131076 ILH131075:ILH131076 IVD131075:IVD131076 JEZ131075:JEZ131076 JOV131075:JOV131076 JYR131075:JYR131076 KIN131075:KIN131076 KSJ131075:KSJ131076 LCF131075:LCF131076 LMB131075:LMB131076 LVX131075:LVX131076 MFT131075:MFT131076 MPP131075:MPP131076 MZL131075:MZL131076 NJH131075:NJH131076 NTD131075:NTD131076 OCZ131075:OCZ131076 OMV131075:OMV131076 OWR131075:OWR131076 PGN131075:PGN131076 PQJ131075:PQJ131076 QAF131075:QAF131076 QKB131075:QKB131076 QTX131075:QTX131076 RDT131075:RDT131076 RNP131075:RNP131076 RXL131075:RXL131076 SHH131075:SHH131076 SRD131075:SRD131076 TAZ131075:TAZ131076 TKV131075:TKV131076 TUR131075:TUR131076 UEN131075:UEN131076 UOJ131075:UOJ131076 UYF131075:UYF131076 VIB131075:VIB131076 VRX131075:VRX131076 WBT131075:WBT131076 WLP131075:WLP131076 WVL131075:WVL131076 B196611:B196612 IZ196611:IZ196612 SV196611:SV196612 ACR196611:ACR196612 AMN196611:AMN196612 AWJ196611:AWJ196612 BGF196611:BGF196612 BQB196611:BQB196612 BZX196611:BZX196612 CJT196611:CJT196612 CTP196611:CTP196612 DDL196611:DDL196612 DNH196611:DNH196612 DXD196611:DXD196612 EGZ196611:EGZ196612 EQV196611:EQV196612 FAR196611:FAR196612 FKN196611:FKN196612 FUJ196611:FUJ196612 GEF196611:GEF196612 GOB196611:GOB196612 GXX196611:GXX196612 HHT196611:HHT196612 HRP196611:HRP196612 IBL196611:IBL196612 ILH196611:ILH196612 IVD196611:IVD196612 JEZ196611:JEZ196612 JOV196611:JOV196612 JYR196611:JYR196612 KIN196611:KIN196612 KSJ196611:KSJ196612 LCF196611:LCF196612 LMB196611:LMB196612 LVX196611:LVX196612 MFT196611:MFT196612 MPP196611:MPP196612 MZL196611:MZL196612 NJH196611:NJH196612 NTD196611:NTD196612 OCZ196611:OCZ196612 OMV196611:OMV196612 OWR196611:OWR196612 PGN196611:PGN196612 PQJ196611:PQJ196612 QAF196611:QAF196612 QKB196611:QKB196612 QTX196611:QTX196612 RDT196611:RDT196612 RNP196611:RNP196612 RXL196611:RXL196612 SHH196611:SHH196612 SRD196611:SRD196612 TAZ196611:TAZ196612 TKV196611:TKV196612 TUR196611:TUR196612 UEN196611:UEN196612 UOJ196611:UOJ196612 UYF196611:UYF196612 VIB196611:VIB196612 VRX196611:VRX196612 WBT196611:WBT196612 WLP196611:WLP196612 WVL196611:WVL196612 B262147:B262148 IZ262147:IZ262148 SV262147:SV262148 ACR262147:ACR262148 AMN262147:AMN262148 AWJ262147:AWJ262148 BGF262147:BGF262148 BQB262147:BQB262148 BZX262147:BZX262148 CJT262147:CJT262148 CTP262147:CTP262148 DDL262147:DDL262148 DNH262147:DNH262148 DXD262147:DXD262148 EGZ262147:EGZ262148 EQV262147:EQV262148 FAR262147:FAR262148 FKN262147:FKN262148 FUJ262147:FUJ262148 GEF262147:GEF262148 GOB262147:GOB262148 GXX262147:GXX262148 HHT262147:HHT262148 HRP262147:HRP262148 IBL262147:IBL262148 ILH262147:ILH262148 IVD262147:IVD262148 JEZ262147:JEZ262148 JOV262147:JOV262148 JYR262147:JYR262148 KIN262147:KIN262148 KSJ262147:KSJ262148 LCF262147:LCF262148 LMB262147:LMB262148 LVX262147:LVX262148 MFT262147:MFT262148 MPP262147:MPP262148 MZL262147:MZL262148 NJH262147:NJH262148 NTD262147:NTD262148 OCZ262147:OCZ262148 OMV262147:OMV262148 OWR262147:OWR262148 PGN262147:PGN262148 PQJ262147:PQJ262148 QAF262147:QAF262148 QKB262147:QKB262148 QTX262147:QTX262148 RDT262147:RDT262148 RNP262147:RNP262148 RXL262147:RXL262148 SHH262147:SHH262148 SRD262147:SRD262148 TAZ262147:TAZ262148 TKV262147:TKV262148 TUR262147:TUR262148 UEN262147:UEN262148 UOJ262147:UOJ262148 UYF262147:UYF262148 VIB262147:VIB262148 VRX262147:VRX262148 WBT262147:WBT262148 WLP262147:WLP262148 WVL262147:WVL262148 B327683:B327684 IZ327683:IZ327684 SV327683:SV327684 ACR327683:ACR327684 AMN327683:AMN327684 AWJ327683:AWJ327684 BGF327683:BGF327684 BQB327683:BQB327684 BZX327683:BZX327684 CJT327683:CJT327684 CTP327683:CTP327684 DDL327683:DDL327684 DNH327683:DNH327684 DXD327683:DXD327684 EGZ327683:EGZ327684 EQV327683:EQV327684 FAR327683:FAR327684 FKN327683:FKN327684 FUJ327683:FUJ327684 GEF327683:GEF327684 GOB327683:GOB327684 GXX327683:GXX327684 HHT327683:HHT327684 HRP327683:HRP327684 IBL327683:IBL327684 ILH327683:ILH327684 IVD327683:IVD327684 JEZ327683:JEZ327684 JOV327683:JOV327684 JYR327683:JYR327684 KIN327683:KIN327684 KSJ327683:KSJ327684 LCF327683:LCF327684 LMB327683:LMB327684 LVX327683:LVX327684 MFT327683:MFT327684 MPP327683:MPP327684 MZL327683:MZL327684 NJH327683:NJH327684 NTD327683:NTD327684 OCZ327683:OCZ327684 OMV327683:OMV327684 OWR327683:OWR327684 PGN327683:PGN327684 PQJ327683:PQJ327684 QAF327683:QAF327684 QKB327683:QKB327684 QTX327683:QTX327684 RDT327683:RDT327684 RNP327683:RNP327684 RXL327683:RXL327684 SHH327683:SHH327684 SRD327683:SRD327684 TAZ327683:TAZ327684 TKV327683:TKV327684 TUR327683:TUR327684 UEN327683:UEN327684 UOJ327683:UOJ327684 UYF327683:UYF327684 VIB327683:VIB327684 VRX327683:VRX327684 WBT327683:WBT327684 WLP327683:WLP327684 WVL327683:WVL327684 B393219:B393220 IZ393219:IZ393220 SV393219:SV393220 ACR393219:ACR393220 AMN393219:AMN393220 AWJ393219:AWJ393220 BGF393219:BGF393220 BQB393219:BQB393220 BZX393219:BZX393220 CJT393219:CJT393220 CTP393219:CTP393220 DDL393219:DDL393220 DNH393219:DNH393220 DXD393219:DXD393220 EGZ393219:EGZ393220 EQV393219:EQV393220 FAR393219:FAR393220 FKN393219:FKN393220 FUJ393219:FUJ393220 GEF393219:GEF393220 GOB393219:GOB393220 GXX393219:GXX393220 HHT393219:HHT393220 HRP393219:HRP393220 IBL393219:IBL393220 ILH393219:ILH393220 IVD393219:IVD393220 JEZ393219:JEZ393220 JOV393219:JOV393220 JYR393219:JYR393220 KIN393219:KIN393220 KSJ393219:KSJ393220 LCF393219:LCF393220 LMB393219:LMB393220 LVX393219:LVX393220 MFT393219:MFT393220 MPP393219:MPP393220 MZL393219:MZL393220 NJH393219:NJH393220 NTD393219:NTD393220 OCZ393219:OCZ393220 OMV393219:OMV393220 OWR393219:OWR393220 PGN393219:PGN393220 PQJ393219:PQJ393220 QAF393219:QAF393220 QKB393219:QKB393220 QTX393219:QTX393220 RDT393219:RDT393220 RNP393219:RNP393220 RXL393219:RXL393220 SHH393219:SHH393220 SRD393219:SRD393220 TAZ393219:TAZ393220 TKV393219:TKV393220 TUR393219:TUR393220 UEN393219:UEN393220 UOJ393219:UOJ393220 UYF393219:UYF393220 VIB393219:VIB393220 VRX393219:VRX393220 WBT393219:WBT393220 WLP393219:WLP393220 WVL393219:WVL393220 B458755:B458756 IZ458755:IZ458756 SV458755:SV458756 ACR458755:ACR458756 AMN458755:AMN458756 AWJ458755:AWJ458756 BGF458755:BGF458756 BQB458755:BQB458756 BZX458755:BZX458756 CJT458755:CJT458756 CTP458755:CTP458756 DDL458755:DDL458756 DNH458755:DNH458756 DXD458755:DXD458756 EGZ458755:EGZ458756 EQV458755:EQV458756 FAR458755:FAR458756 FKN458755:FKN458756 FUJ458755:FUJ458756 GEF458755:GEF458756 GOB458755:GOB458756 GXX458755:GXX458756 HHT458755:HHT458756 HRP458755:HRP458756 IBL458755:IBL458756 ILH458755:ILH458756 IVD458755:IVD458756 JEZ458755:JEZ458756 JOV458755:JOV458756 JYR458755:JYR458756 KIN458755:KIN458756 KSJ458755:KSJ458756 LCF458755:LCF458756 LMB458755:LMB458756 LVX458755:LVX458756 MFT458755:MFT458756 MPP458755:MPP458756 MZL458755:MZL458756 NJH458755:NJH458756 NTD458755:NTD458756 OCZ458755:OCZ458756 OMV458755:OMV458756 OWR458755:OWR458756 PGN458755:PGN458756 PQJ458755:PQJ458756 QAF458755:QAF458756 QKB458755:QKB458756 QTX458755:QTX458756 RDT458755:RDT458756 RNP458755:RNP458756 RXL458755:RXL458756 SHH458755:SHH458756 SRD458755:SRD458756 TAZ458755:TAZ458756 TKV458755:TKV458756 TUR458755:TUR458756 UEN458755:UEN458756 UOJ458755:UOJ458756 UYF458755:UYF458756 VIB458755:VIB458756 VRX458755:VRX458756 WBT458755:WBT458756 WLP458755:WLP458756 WVL458755:WVL458756 B524291:B524292 IZ524291:IZ524292 SV524291:SV524292 ACR524291:ACR524292 AMN524291:AMN524292 AWJ524291:AWJ524292 BGF524291:BGF524292 BQB524291:BQB524292 BZX524291:BZX524292 CJT524291:CJT524292 CTP524291:CTP524292 DDL524291:DDL524292 DNH524291:DNH524292 DXD524291:DXD524292 EGZ524291:EGZ524292 EQV524291:EQV524292 FAR524291:FAR524292 FKN524291:FKN524292 FUJ524291:FUJ524292 GEF524291:GEF524292 GOB524291:GOB524292 GXX524291:GXX524292 HHT524291:HHT524292 HRP524291:HRP524292 IBL524291:IBL524292 ILH524291:ILH524292 IVD524291:IVD524292 JEZ524291:JEZ524292 JOV524291:JOV524292 JYR524291:JYR524292 KIN524291:KIN524292 KSJ524291:KSJ524292 LCF524291:LCF524292 LMB524291:LMB524292 LVX524291:LVX524292 MFT524291:MFT524292 MPP524291:MPP524292 MZL524291:MZL524292 NJH524291:NJH524292 NTD524291:NTD524292 OCZ524291:OCZ524292 OMV524291:OMV524292 OWR524291:OWR524292 PGN524291:PGN524292 PQJ524291:PQJ524292 QAF524291:QAF524292 QKB524291:QKB524292 QTX524291:QTX524292 RDT524291:RDT524292 RNP524291:RNP524292 RXL524291:RXL524292 SHH524291:SHH524292 SRD524291:SRD524292 TAZ524291:TAZ524292 TKV524291:TKV524292 TUR524291:TUR524292 UEN524291:UEN524292 UOJ524291:UOJ524292 UYF524291:UYF524292 VIB524291:VIB524292 VRX524291:VRX524292 WBT524291:WBT524292 WLP524291:WLP524292 WVL524291:WVL524292 B589827:B589828 IZ589827:IZ589828 SV589827:SV589828 ACR589827:ACR589828 AMN589827:AMN589828 AWJ589827:AWJ589828 BGF589827:BGF589828 BQB589827:BQB589828 BZX589827:BZX589828 CJT589827:CJT589828 CTP589827:CTP589828 DDL589827:DDL589828 DNH589827:DNH589828 DXD589827:DXD589828 EGZ589827:EGZ589828 EQV589827:EQV589828 FAR589827:FAR589828 FKN589827:FKN589828 FUJ589827:FUJ589828 GEF589827:GEF589828 GOB589827:GOB589828 GXX589827:GXX589828 HHT589827:HHT589828 HRP589827:HRP589828 IBL589827:IBL589828 ILH589827:ILH589828 IVD589827:IVD589828 JEZ589827:JEZ589828 JOV589827:JOV589828 JYR589827:JYR589828 KIN589827:KIN589828 KSJ589827:KSJ589828 LCF589827:LCF589828 LMB589827:LMB589828 LVX589827:LVX589828 MFT589827:MFT589828 MPP589827:MPP589828 MZL589827:MZL589828 NJH589827:NJH589828 NTD589827:NTD589828 OCZ589827:OCZ589828 OMV589827:OMV589828 OWR589827:OWR589828 PGN589827:PGN589828 PQJ589827:PQJ589828 QAF589827:QAF589828 QKB589827:QKB589828 QTX589827:QTX589828 RDT589827:RDT589828 RNP589827:RNP589828 RXL589827:RXL589828 SHH589827:SHH589828 SRD589827:SRD589828 TAZ589827:TAZ589828 TKV589827:TKV589828 TUR589827:TUR589828 UEN589827:UEN589828 UOJ589827:UOJ589828 UYF589827:UYF589828 VIB589827:VIB589828 VRX589827:VRX589828 WBT589827:WBT589828 WLP589827:WLP589828 WVL589827:WVL589828 B655363:B655364 IZ655363:IZ655364 SV655363:SV655364 ACR655363:ACR655364 AMN655363:AMN655364 AWJ655363:AWJ655364 BGF655363:BGF655364 BQB655363:BQB655364 BZX655363:BZX655364 CJT655363:CJT655364 CTP655363:CTP655364 DDL655363:DDL655364 DNH655363:DNH655364 DXD655363:DXD655364 EGZ655363:EGZ655364 EQV655363:EQV655364 FAR655363:FAR655364 FKN655363:FKN655364 FUJ655363:FUJ655364 GEF655363:GEF655364 GOB655363:GOB655364 GXX655363:GXX655364 HHT655363:HHT655364 HRP655363:HRP655364 IBL655363:IBL655364 ILH655363:ILH655364 IVD655363:IVD655364 JEZ655363:JEZ655364 JOV655363:JOV655364 JYR655363:JYR655364 KIN655363:KIN655364 KSJ655363:KSJ655364 LCF655363:LCF655364 LMB655363:LMB655364 LVX655363:LVX655364 MFT655363:MFT655364 MPP655363:MPP655364 MZL655363:MZL655364 NJH655363:NJH655364 NTD655363:NTD655364 OCZ655363:OCZ655364 OMV655363:OMV655364 OWR655363:OWR655364 PGN655363:PGN655364 PQJ655363:PQJ655364 QAF655363:QAF655364 QKB655363:QKB655364 QTX655363:QTX655364 RDT655363:RDT655364 RNP655363:RNP655364 RXL655363:RXL655364 SHH655363:SHH655364 SRD655363:SRD655364 TAZ655363:TAZ655364 TKV655363:TKV655364 TUR655363:TUR655364 UEN655363:UEN655364 UOJ655363:UOJ655364 UYF655363:UYF655364 VIB655363:VIB655364 VRX655363:VRX655364 WBT655363:WBT655364 WLP655363:WLP655364 WVL655363:WVL655364 B720899:B720900 IZ720899:IZ720900 SV720899:SV720900 ACR720899:ACR720900 AMN720899:AMN720900 AWJ720899:AWJ720900 BGF720899:BGF720900 BQB720899:BQB720900 BZX720899:BZX720900 CJT720899:CJT720900 CTP720899:CTP720900 DDL720899:DDL720900 DNH720899:DNH720900 DXD720899:DXD720900 EGZ720899:EGZ720900 EQV720899:EQV720900 FAR720899:FAR720900 FKN720899:FKN720900 FUJ720899:FUJ720900 GEF720899:GEF720900 GOB720899:GOB720900 GXX720899:GXX720900 HHT720899:HHT720900 HRP720899:HRP720900 IBL720899:IBL720900 ILH720899:ILH720900 IVD720899:IVD720900 JEZ720899:JEZ720900 JOV720899:JOV720900 JYR720899:JYR720900 KIN720899:KIN720900 KSJ720899:KSJ720900 LCF720899:LCF720900 LMB720899:LMB720900 LVX720899:LVX720900 MFT720899:MFT720900 MPP720899:MPP720900 MZL720899:MZL720900 NJH720899:NJH720900 NTD720899:NTD720900 OCZ720899:OCZ720900 OMV720899:OMV720900 OWR720899:OWR720900 PGN720899:PGN720900 PQJ720899:PQJ720900 QAF720899:QAF720900 QKB720899:QKB720900 QTX720899:QTX720900 RDT720899:RDT720900 RNP720899:RNP720900 RXL720899:RXL720900 SHH720899:SHH720900 SRD720899:SRD720900 TAZ720899:TAZ720900 TKV720899:TKV720900 TUR720899:TUR720900 UEN720899:UEN720900 UOJ720899:UOJ720900 UYF720899:UYF720900 VIB720899:VIB720900 VRX720899:VRX720900 WBT720899:WBT720900 WLP720899:WLP720900 WVL720899:WVL720900 B786435:B786436 IZ786435:IZ786436 SV786435:SV786436 ACR786435:ACR786436 AMN786435:AMN786436 AWJ786435:AWJ786436 BGF786435:BGF786436 BQB786435:BQB786436 BZX786435:BZX786436 CJT786435:CJT786436 CTP786435:CTP786436 DDL786435:DDL786436 DNH786435:DNH786436 DXD786435:DXD786436 EGZ786435:EGZ786436 EQV786435:EQV786436 FAR786435:FAR786436 FKN786435:FKN786436 FUJ786435:FUJ786436 GEF786435:GEF786436 GOB786435:GOB786436 GXX786435:GXX786436 HHT786435:HHT786436 HRP786435:HRP786436 IBL786435:IBL786436 ILH786435:ILH786436 IVD786435:IVD786436 JEZ786435:JEZ786436 JOV786435:JOV786436 JYR786435:JYR786436 KIN786435:KIN786436 KSJ786435:KSJ786436 LCF786435:LCF786436 LMB786435:LMB786436 LVX786435:LVX786436 MFT786435:MFT786436 MPP786435:MPP786436 MZL786435:MZL786436 NJH786435:NJH786436 NTD786435:NTD786436 OCZ786435:OCZ786436 OMV786435:OMV786436 OWR786435:OWR786436 PGN786435:PGN786436 PQJ786435:PQJ786436 QAF786435:QAF786436 QKB786435:QKB786436 QTX786435:QTX786436 RDT786435:RDT786436 RNP786435:RNP786436 RXL786435:RXL786436 SHH786435:SHH786436 SRD786435:SRD786436 TAZ786435:TAZ786436 TKV786435:TKV786436 TUR786435:TUR786436 UEN786435:UEN786436 UOJ786435:UOJ786436 UYF786435:UYF786436 VIB786435:VIB786436 VRX786435:VRX786436 WBT786435:WBT786436 WLP786435:WLP786436 WVL786435:WVL786436 B851971:B851972 IZ851971:IZ851972 SV851971:SV851972 ACR851971:ACR851972 AMN851971:AMN851972 AWJ851971:AWJ851972 BGF851971:BGF851972 BQB851971:BQB851972 BZX851971:BZX851972 CJT851971:CJT851972 CTP851971:CTP851972 DDL851971:DDL851972 DNH851971:DNH851972 DXD851971:DXD851972 EGZ851971:EGZ851972 EQV851971:EQV851972 FAR851971:FAR851972 FKN851971:FKN851972 FUJ851971:FUJ851972 GEF851971:GEF851972 GOB851971:GOB851972 GXX851971:GXX851972 HHT851971:HHT851972 HRP851971:HRP851972 IBL851971:IBL851972 ILH851971:ILH851972 IVD851971:IVD851972 JEZ851971:JEZ851972 JOV851971:JOV851972 JYR851971:JYR851972 KIN851971:KIN851972 KSJ851971:KSJ851972 LCF851971:LCF851972 LMB851971:LMB851972 LVX851971:LVX851972 MFT851971:MFT851972 MPP851971:MPP851972 MZL851971:MZL851972 NJH851971:NJH851972 NTD851971:NTD851972 OCZ851971:OCZ851972 OMV851971:OMV851972 OWR851971:OWR851972 PGN851971:PGN851972 PQJ851971:PQJ851972 QAF851971:QAF851972 QKB851971:QKB851972 QTX851971:QTX851972 RDT851971:RDT851972 RNP851971:RNP851972 RXL851971:RXL851972 SHH851971:SHH851972 SRD851971:SRD851972 TAZ851971:TAZ851972 TKV851971:TKV851972 TUR851971:TUR851972 UEN851971:UEN851972 UOJ851971:UOJ851972 UYF851971:UYF851972 VIB851971:VIB851972 VRX851971:VRX851972 WBT851971:WBT851972 WLP851971:WLP851972 WVL851971:WVL851972 B917507:B917508 IZ917507:IZ917508 SV917507:SV917508 ACR917507:ACR917508 AMN917507:AMN917508 AWJ917507:AWJ917508 BGF917507:BGF917508 BQB917507:BQB917508 BZX917507:BZX917508 CJT917507:CJT917508 CTP917507:CTP917508 DDL917507:DDL917508 DNH917507:DNH917508 DXD917507:DXD917508 EGZ917507:EGZ917508 EQV917507:EQV917508 FAR917507:FAR917508 FKN917507:FKN917508 FUJ917507:FUJ917508 GEF917507:GEF917508 GOB917507:GOB917508 GXX917507:GXX917508 HHT917507:HHT917508 HRP917507:HRP917508 IBL917507:IBL917508 ILH917507:ILH917508 IVD917507:IVD917508 JEZ917507:JEZ917508 JOV917507:JOV917508 JYR917507:JYR917508 KIN917507:KIN917508 KSJ917507:KSJ917508 LCF917507:LCF917508 LMB917507:LMB917508 LVX917507:LVX917508 MFT917507:MFT917508 MPP917507:MPP917508 MZL917507:MZL917508 NJH917507:NJH917508 NTD917507:NTD917508 OCZ917507:OCZ917508 OMV917507:OMV917508 OWR917507:OWR917508 PGN917507:PGN917508 PQJ917507:PQJ917508 QAF917507:QAF917508 QKB917507:QKB917508 QTX917507:QTX917508 RDT917507:RDT917508 RNP917507:RNP917508 RXL917507:RXL917508 SHH917507:SHH917508 SRD917507:SRD917508 TAZ917507:TAZ917508 TKV917507:TKV917508 TUR917507:TUR917508 UEN917507:UEN917508 UOJ917507:UOJ917508 UYF917507:UYF917508 VIB917507:VIB917508 VRX917507:VRX917508 WBT917507:WBT917508 WLP917507:WLP917508 WVL917507:WVL917508 B983043:B983044 IZ983043:IZ983044 SV983043:SV983044 ACR983043:ACR983044 AMN983043:AMN983044 AWJ983043:AWJ983044 BGF983043:BGF983044 BQB983043:BQB983044 BZX983043:BZX983044 CJT983043:CJT983044 CTP983043:CTP983044 DDL983043:DDL983044 DNH983043:DNH983044 DXD983043:DXD983044 EGZ983043:EGZ983044 EQV983043:EQV983044 FAR983043:FAR983044 FKN983043:FKN983044 FUJ983043:FUJ983044 GEF983043:GEF983044 GOB983043:GOB983044 GXX983043:GXX983044 HHT983043:HHT983044 HRP983043:HRP983044 IBL983043:IBL983044 ILH983043:ILH983044 IVD983043:IVD983044 JEZ983043:JEZ983044 JOV983043:JOV983044 JYR983043:JYR983044 KIN983043:KIN983044 KSJ983043:KSJ983044 LCF983043:LCF983044 LMB983043:LMB983044 LVX983043:LVX983044 MFT983043:MFT983044 MPP983043:MPP983044 MZL983043:MZL983044 NJH983043:NJH983044 NTD983043:NTD983044 OCZ983043:OCZ983044 OMV983043:OMV983044 OWR983043:OWR983044 PGN983043:PGN983044 PQJ983043:PQJ983044 QAF983043:QAF983044 QKB983043:QKB983044 QTX983043:QTX983044 RDT983043:RDT983044 RNP983043:RNP983044 RXL983043:RXL983044 SHH983043:SHH983044 SRD983043:SRD983044 TAZ983043:TAZ983044 TKV983043:TKV983044 TUR983043:TUR983044 UEN983043:UEN983044 UOJ983043:UOJ983044 UYF983043:UYF983044 VIB983043:VIB983044 VRX983043:VRX983044 WBT983043:WBT983044 WLP983043:WLP983044 WVL983043:WVL983044" xr:uid="{00000000-0002-0000-0C00-000000000000}"/>
    <dataValidation allowBlank="1" showInputMessage="1" showErrorMessage="1" prompt="Enter Loan amount in this cell" sqref="E3:E4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E65539:E65540 JC65539:JC65540 SY65539:SY65540 ACU65539:ACU65540 AMQ65539:AMQ65540 AWM65539:AWM65540 BGI65539:BGI65540 BQE65539:BQE65540 CAA65539:CAA65540 CJW65539:CJW65540 CTS65539:CTS65540 DDO65539:DDO65540 DNK65539:DNK65540 DXG65539:DXG65540 EHC65539:EHC65540 EQY65539:EQY65540 FAU65539:FAU65540 FKQ65539:FKQ65540 FUM65539:FUM65540 GEI65539:GEI65540 GOE65539:GOE65540 GYA65539:GYA65540 HHW65539:HHW65540 HRS65539:HRS65540 IBO65539:IBO65540 ILK65539:ILK65540 IVG65539:IVG65540 JFC65539:JFC65540 JOY65539:JOY65540 JYU65539:JYU65540 KIQ65539:KIQ65540 KSM65539:KSM65540 LCI65539:LCI65540 LME65539:LME65540 LWA65539:LWA65540 MFW65539:MFW65540 MPS65539:MPS65540 MZO65539:MZO65540 NJK65539:NJK65540 NTG65539:NTG65540 ODC65539:ODC65540 OMY65539:OMY65540 OWU65539:OWU65540 PGQ65539:PGQ65540 PQM65539:PQM65540 QAI65539:QAI65540 QKE65539:QKE65540 QUA65539:QUA65540 RDW65539:RDW65540 RNS65539:RNS65540 RXO65539:RXO65540 SHK65539:SHK65540 SRG65539:SRG65540 TBC65539:TBC65540 TKY65539:TKY65540 TUU65539:TUU65540 UEQ65539:UEQ65540 UOM65539:UOM65540 UYI65539:UYI65540 VIE65539:VIE65540 VSA65539:VSA65540 WBW65539:WBW65540 WLS65539:WLS65540 WVO65539:WVO65540 E131075:E131076 JC131075:JC131076 SY131075:SY131076 ACU131075:ACU131076 AMQ131075:AMQ131076 AWM131075:AWM131076 BGI131075:BGI131076 BQE131075:BQE131076 CAA131075:CAA131076 CJW131075:CJW131076 CTS131075:CTS131076 DDO131075:DDO131076 DNK131075:DNK131076 DXG131075:DXG131076 EHC131075:EHC131076 EQY131075:EQY131076 FAU131075:FAU131076 FKQ131075:FKQ131076 FUM131075:FUM131076 GEI131075:GEI131076 GOE131075:GOE131076 GYA131075:GYA131076 HHW131075:HHW131076 HRS131075:HRS131076 IBO131075:IBO131076 ILK131075:ILK131076 IVG131075:IVG131076 JFC131075:JFC131076 JOY131075:JOY131076 JYU131075:JYU131076 KIQ131075:KIQ131076 KSM131075:KSM131076 LCI131075:LCI131076 LME131075:LME131076 LWA131075:LWA131076 MFW131075:MFW131076 MPS131075:MPS131076 MZO131075:MZO131076 NJK131075:NJK131076 NTG131075:NTG131076 ODC131075:ODC131076 OMY131075:OMY131076 OWU131075:OWU131076 PGQ131075:PGQ131076 PQM131075:PQM131076 QAI131075:QAI131076 QKE131075:QKE131076 QUA131075:QUA131076 RDW131075:RDW131076 RNS131075:RNS131076 RXO131075:RXO131076 SHK131075:SHK131076 SRG131075:SRG131076 TBC131075:TBC131076 TKY131075:TKY131076 TUU131075:TUU131076 UEQ131075:UEQ131076 UOM131075:UOM131076 UYI131075:UYI131076 VIE131075:VIE131076 VSA131075:VSA131076 WBW131075:WBW131076 WLS131075:WLS131076 WVO131075:WVO131076 E196611:E196612 JC196611:JC196612 SY196611:SY196612 ACU196611:ACU196612 AMQ196611:AMQ196612 AWM196611:AWM196612 BGI196611:BGI196612 BQE196611:BQE196612 CAA196611:CAA196612 CJW196611:CJW196612 CTS196611:CTS196612 DDO196611:DDO196612 DNK196611:DNK196612 DXG196611:DXG196612 EHC196611:EHC196612 EQY196611:EQY196612 FAU196611:FAU196612 FKQ196611:FKQ196612 FUM196611:FUM196612 GEI196611:GEI196612 GOE196611:GOE196612 GYA196611:GYA196612 HHW196611:HHW196612 HRS196611:HRS196612 IBO196611:IBO196612 ILK196611:ILK196612 IVG196611:IVG196612 JFC196611:JFC196612 JOY196611:JOY196612 JYU196611:JYU196612 KIQ196611:KIQ196612 KSM196611:KSM196612 LCI196611:LCI196612 LME196611:LME196612 LWA196611:LWA196612 MFW196611:MFW196612 MPS196611:MPS196612 MZO196611:MZO196612 NJK196611:NJK196612 NTG196611:NTG196612 ODC196611:ODC196612 OMY196611:OMY196612 OWU196611:OWU196612 PGQ196611:PGQ196612 PQM196611:PQM196612 QAI196611:QAI196612 QKE196611:QKE196612 QUA196611:QUA196612 RDW196611:RDW196612 RNS196611:RNS196612 RXO196611:RXO196612 SHK196611:SHK196612 SRG196611:SRG196612 TBC196611:TBC196612 TKY196611:TKY196612 TUU196611:TUU196612 UEQ196611:UEQ196612 UOM196611:UOM196612 UYI196611:UYI196612 VIE196611:VIE196612 VSA196611:VSA196612 WBW196611:WBW196612 WLS196611:WLS196612 WVO196611:WVO196612 E262147:E262148 JC262147:JC262148 SY262147:SY262148 ACU262147:ACU262148 AMQ262147:AMQ262148 AWM262147:AWM262148 BGI262147:BGI262148 BQE262147:BQE262148 CAA262147:CAA262148 CJW262147:CJW262148 CTS262147:CTS262148 DDO262147:DDO262148 DNK262147:DNK262148 DXG262147:DXG262148 EHC262147:EHC262148 EQY262147:EQY262148 FAU262147:FAU262148 FKQ262147:FKQ262148 FUM262147:FUM262148 GEI262147:GEI262148 GOE262147:GOE262148 GYA262147:GYA262148 HHW262147:HHW262148 HRS262147:HRS262148 IBO262147:IBO262148 ILK262147:ILK262148 IVG262147:IVG262148 JFC262147:JFC262148 JOY262147:JOY262148 JYU262147:JYU262148 KIQ262147:KIQ262148 KSM262147:KSM262148 LCI262147:LCI262148 LME262147:LME262148 LWA262147:LWA262148 MFW262147:MFW262148 MPS262147:MPS262148 MZO262147:MZO262148 NJK262147:NJK262148 NTG262147:NTG262148 ODC262147:ODC262148 OMY262147:OMY262148 OWU262147:OWU262148 PGQ262147:PGQ262148 PQM262147:PQM262148 QAI262147:QAI262148 QKE262147:QKE262148 QUA262147:QUA262148 RDW262147:RDW262148 RNS262147:RNS262148 RXO262147:RXO262148 SHK262147:SHK262148 SRG262147:SRG262148 TBC262147:TBC262148 TKY262147:TKY262148 TUU262147:TUU262148 UEQ262147:UEQ262148 UOM262147:UOM262148 UYI262147:UYI262148 VIE262147:VIE262148 VSA262147:VSA262148 WBW262147:WBW262148 WLS262147:WLS262148 WVO262147:WVO262148 E327683:E327684 JC327683:JC327684 SY327683:SY327684 ACU327683:ACU327684 AMQ327683:AMQ327684 AWM327683:AWM327684 BGI327683:BGI327684 BQE327683:BQE327684 CAA327683:CAA327684 CJW327683:CJW327684 CTS327683:CTS327684 DDO327683:DDO327684 DNK327683:DNK327684 DXG327683:DXG327684 EHC327683:EHC327684 EQY327683:EQY327684 FAU327683:FAU327684 FKQ327683:FKQ327684 FUM327683:FUM327684 GEI327683:GEI327684 GOE327683:GOE327684 GYA327683:GYA327684 HHW327683:HHW327684 HRS327683:HRS327684 IBO327683:IBO327684 ILK327683:ILK327684 IVG327683:IVG327684 JFC327683:JFC327684 JOY327683:JOY327684 JYU327683:JYU327684 KIQ327683:KIQ327684 KSM327683:KSM327684 LCI327683:LCI327684 LME327683:LME327684 LWA327683:LWA327684 MFW327683:MFW327684 MPS327683:MPS327684 MZO327683:MZO327684 NJK327683:NJK327684 NTG327683:NTG327684 ODC327683:ODC327684 OMY327683:OMY327684 OWU327683:OWU327684 PGQ327683:PGQ327684 PQM327683:PQM327684 QAI327683:QAI327684 QKE327683:QKE327684 QUA327683:QUA327684 RDW327683:RDW327684 RNS327683:RNS327684 RXO327683:RXO327684 SHK327683:SHK327684 SRG327683:SRG327684 TBC327683:TBC327684 TKY327683:TKY327684 TUU327683:TUU327684 UEQ327683:UEQ327684 UOM327683:UOM327684 UYI327683:UYI327684 VIE327683:VIE327684 VSA327683:VSA327684 WBW327683:WBW327684 WLS327683:WLS327684 WVO327683:WVO327684 E393219:E393220 JC393219:JC393220 SY393219:SY393220 ACU393219:ACU393220 AMQ393219:AMQ393220 AWM393219:AWM393220 BGI393219:BGI393220 BQE393219:BQE393220 CAA393219:CAA393220 CJW393219:CJW393220 CTS393219:CTS393220 DDO393219:DDO393220 DNK393219:DNK393220 DXG393219:DXG393220 EHC393219:EHC393220 EQY393219:EQY393220 FAU393219:FAU393220 FKQ393219:FKQ393220 FUM393219:FUM393220 GEI393219:GEI393220 GOE393219:GOE393220 GYA393219:GYA393220 HHW393219:HHW393220 HRS393219:HRS393220 IBO393219:IBO393220 ILK393219:ILK393220 IVG393219:IVG393220 JFC393219:JFC393220 JOY393219:JOY393220 JYU393219:JYU393220 KIQ393219:KIQ393220 KSM393219:KSM393220 LCI393219:LCI393220 LME393219:LME393220 LWA393219:LWA393220 MFW393219:MFW393220 MPS393219:MPS393220 MZO393219:MZO393220 NJK393219:NJK393220 NTG393219:NTG393220 ODC393219:ODC393220 OMY393219:OMY393220 OWU393219:OWU393220 PGQ393219:PGQ393220 PQM393219:PQM393220 QAI393219:QAI393220 QKE393219:QKE393220 QUA393219:QUA393220 RDW393219:RDW393220 RNS393219:RNS393220 RXO393219:RXO393220 SHK393219:SHK393220 SRG393219:SRG393220 TBC393219:TBC393220 TKY393219:TKY393220 TUU393219:TUU393220 UEQ393219:UEQ393220 UOM393219:UOM393220 UYI393219:UYI393220 VIE393219:VIE393220 VSA393219:VSA393220 WBW393219:WBW393220 WLS393219:WLS393220 WVO393219:WVO393220 E458755:E458756 JC458755:JC458756 SY458755:SY458756 ACU458755:ACU458756 AMQ458755:AMQ458756 AWM458755:AWM458756 BGI458755:BGI458756 BQE458755:BQE458756 CAA458755:CAA458756 CJW458755:CJW458756 CTS458755:CTS458756 DDO458755:DDO458756 DNK458755:DNK458756 DXG458755:DXG458756 EHC458755:EHC458756 EQY458755:EQY458756 FAU458755:FAU458756 FKQ458755:FKQ458756 FUM458755:FUM458756 GEI458755:GEI458756 GOE458755:GOE458756 GYA458755:GYA458756 HHW458755:HHW458756 HRS458755:HRS458756 IBO458755:IBO458756 ILK458755:ILK458756 IVG458755:IVG458756 JFC458755:JFC458756 JOY458755:JOY458756 JYU458755:JYU458756 KIQ458755:KIQ458756 KSM458755:KSM458756 LCI458755:LCI458756 LME458755:LME458756 LWA458755:LWA458756 MFW458755:MFW458756 MPS458755:MPS458756 MZO458755:MZO458756 NJK458755:NJK458756 NTG458755:NTG458756 ODC458755:ODC458756 OMY458755:OMY458756 OWU458755:OWU458756 PGQ458755:PGQ458756 PQM458755:PQM458756 QAI458755:QAI458756 QKE458755:QKE458756 QUA458755:QUA458756 RDW458755:RDW458756 RNS458755:RNS458756 RXO458755:RXO458756 SHK458755:SHK458756 SRG458755:SRG458756 TBC458755:TBC458756 TKY458755:TKY458756 TUU458755:TUU458756 UEQ458755:UEQ458756 UOM458755:UOM458756 UYI458755:UYI458756 VIE458755:VIE458756 VSA458755:VSA458756 WBW458755:WBW458756 WLS458755:WLS458756 WVO458755:WVO458756 E524291:E524292 JC524291:JC524292 SY524291:SY524292 ACU524291:ACU524292 AMQ524291:AMQ524292 AWM524291:AWM524292 BGI524291:BGI524292 BQE524291:BQE524292 CAA524291:CAA524292 CJW524291:CJW524292 CTS524291:CTS524292 DDO524291:DDO524292 DNK524291:DNK524292 DXG524291:DXG524292 EHC524291:EHC524292 EQY524291:EQY524292 FAU524291:FAU524292 FKQ524291:FKQ524292 FUM524291:FUM524292 GEI524291:GEI524292 GOE524291:GOE524292 GYA524291:GYA524292 HHW524291:HHW524292 HRS524291:HRS524292 IBO524291:IBO524292 ILK524291:ILK524292 IVG524291:IVG524292 JFC524291:JFC524292 JOY524291:JOY524292 JYU524291:JYU524292 KIQ524291:KIQ524292 KSM524291:KSM524292 LCI524291:LCI524292 LME524291:LME524292 LWA524291:LWA524292 MFW524291:MFW524292 MPS524291:MPS524292 MZO524291:MZO524292 NJK524291:NJK524292 NTG524291:NTG524292 ODC524291:ODC524292 OMY524291:OMY524292 OWU524291:OWU524292 PGQ524291:PGQ524292 PQM524291:PQM524292 QAI524291:QAI524292 QKE524291:QKE524292 QUA524291:QUA524292 RDW524291:RDW524292 RNS524291:RNS524292 RXO524291:RXO524292 SHK524291:SHK524292 SRG524291:SRG524292 TBC524291:TBC524292 TKY524291:TKY524292 TUU524291:TUU524292 UEQ524291:UEQ524292 UOM524291:UOM524292 UYI524291:UYI524292 VIE524291:VIE524292 VSA524291:VSA524292 WBW524291:WBW524292 WLS524291:WLS524292 WVO524291:WVO524292 E589827:E589828 JC589827:JC589828 SY589827:SY589828 ACU589827:ACU589828 AMQ589827:AMQ589828 AWM589827:AWM589828 BGI589827:BGI589828 BQE589827:BQE589828 CAA589827:CAA589828 CJW589827:CJW589828 CTS589827:CTS589828 DDO589827:DDO589828 DNK589827:DNK589828 DXG589827:DXG589828 EHC589827:EHC589828 EQY589827:EQY589828 FAU589827:FAU589828 FKQ589827:FKQ589828 FUM589827:FUM589828 GEI589827:GEI589828 GOE589827:GOE589828 GYA589827:GYA589828 HHW589827:HHW589828 HRS589827:HRS589828 IBO589827:IBO589828 ILK589827:ILK589828 IVG589827:IVG589828 JFC589827:JFC589828 JOY589827:JOY589828 JYU589827:JYU589828 KIQ589827:KIQ589828 KSM589827:KSM589828 LCI589827:LCI589828 LME589827:LME589828 LWA589827:LWA589828 MFW589827:MFW589828 MPS589827:MPS589828 MZO589827:MZO589828 NJK589827:NJK589828 NTG589827:NTG589828 ODC589827:ODC589828 OMY589827:OMY589828 OWU589827:OWU589828 PGQ589827:PGQ589828 PQM589827:PQM589828 QAI589827:QAI589828 QKE589827:QKE589828 QUA589827:QUA589828 RDW589827:RDW589828 RNS589827:RNS589828 RXO589827:RXO589828 SHK589827:SHK589828 SRG589827:SRG589828 TBC589827:TBC589828 TKY589827:TKY589828 TUU589827:TUU589828 UEQ589827:UEQ589828 UOM589827:UOM589828 UYI589827:UYI589828 VIE589827:VIE589828 VSA589827:VSA589828 WBW589827:WBW589828 WLS589827:WLS589828 WVO589827:WVO589828 E655363:E655364 JC655363:JC655364 SY655363:SY655364 ACU655363:ACU655364 AMQ655363:AMQ655364 AWM655363:AWM655364 BGI655363:BGI655364 BQE655363:BQE655364 CAA655363:CAA655364 CJW655363:CJW655364 CTS655363:CTS655364 DDO655363:DDO655364 DNK655363:DNK655364 DXG655363:DXG655364 EHC655363:EHC655364 EQY655363:EQY655364 FAU655363:FAU655364 FKQ655363:FKQ655364 FUM655363:FUM655364 GEI655363:GEI655364 GOE655363:GOE655364 GYA655363:GYA655364 HHW655363:HHW655364 HRS655363:HRS655364 IBO655363:IBO655364 ILK655363:ILK655364 IVG655363:IVG655364 JFC655363:JFC655364 JOY655363:JOY655364 JYU655363:JYU655364 KIQ655363:KIQ655364 KSM655363:KSM655364 LCI655363:LCI655364 LME655363:LME655364 LWA655363:LWA655364 MFW655363:MFW655364 MPS655363:MPS655364 MZO655363:MZO655364 NJK655363:NJK655364 NTG655363:NTG655364 ODC655363:ODC655364 OMY655363:OMY655364 OWU655363:OWU655364 PGQ655363:PGQ655364 PQM655363:PQM655364 QAI655363:QAI655364 QKE655363:QKE655364 QUA655363:QUA655364 RDW655363:RDW655364 RNS655363:RNS655364 RXO655363:RXO655364 SHK655363:SHK655364 SRG655363:SRG655364 TBC655363:TBC655364 TKY655363:TKY655364 TUU655363:TUU655364 UEQ655363:UEQ655364 UOM655363:UOM655364 UYI655363:UYI655364 VIE655363:VIE655364 VSA655363:VSA655364 WBW655363:WBW655364 WLS655363:WLS655364 WVO655363:WVO655364 E720899:E720900 JC720899:JC720900 SY720899:SY720900 ACU720899:ACU720900 AMQ720899:AMQ720900 AWM720899:AWM720900 BGI720899:BGI720900 BQE720899:BQE720900 CAA720899:CAA720900 CJW720899:CJW720900 CTS720899:CTS720900 DDO720899:DDO720900 DNK720899:DNK720900 DXG720899:DXG720900 EHC720899:EHC720900 EQY720899:EQY720900 FAU720899:FAU720900 FKQ720899:FKQ720900 FUM720899:FUM720900 GEI720899:GEI720900 GOE720899:GOE720900 GYA720899:GYA720900 HHW720899:HHW720900 HRS720899:HRS720900 IBO720899:IBO720900 ILK720899:ILK720900 IVG720899:IVG720900 JFC720899:JFC720900 JOY720899:JOY720900 JYU720899:JYU720900 KIQ720899:KIQ720900 KSM720899:KSM720900 LCI720899:LCI720900 LME720899:LME720900 LWA720899:LWA720900 MFW720899:MFW720900 MPS720899:MPS720900 MZO720899:MZO720900 NJK720899:NJK720900 NTG720899:NTG720900 ODC720899:ODC720900 OMY720899:OMY720900 OWU720899:OWU720900 PGQ720899:PGQ720900 PQM720899:PQM720900 QAI720899:QAI720900 QKE720899:QKE720900 QUA720899:QUA720900 RDW720899:RDW720900 RNS720899:RNS720900 RXO720899:RXO720900 SHK720899:SHK720900 SRG720899:SRG720900 TBC720899:TBC720900 TKY720899:TKY720900 TUU720899:TUU720900 UEQ720899:UEQ720900 UOM720899:UOM720900 UYI720899:UYI720900 VIE720899:VIE720900 VSA720899:VSA720900 WBW720899:WBW720900 WLS720899:WLS720900 WVO720899:WVO720900 E786435:E786436 JC786435:JC786436 SY786435:SY786436 ACU786435:ACU786436 AMQ786435:AMQ786436 AWM786435:AWM786436 BGI786435:BGI786436 BQE786435:BQE786436 CAA786435:CAA786436 CJW786435:CJW786436 CTS786435:CTS786436 DDO786435:DDO786436 DNK786435:DNK786436 DXG786435:DXG786436 EHC786435:EHC786436 EQY786435:EQY786436 FAU786435:FAU786436 FKQ786435:FKQ786436 FUM786435:FUM786436 GEI786435:GEI786436 GOE786435:GOE786436 GYA786435:GYA786436 HHW786435:HHW786436 HRS786435:HRS786436 IBO786435:IBO786436 ILK786435:ILK786436 IVG786435:IVG786436 JFC786435:JFC786436 JOY786435:JOY786436 JYU786435:JYU786436 KIQ786435:KIQ786436 KSM786435:KSM786436 LCI786435:LCI786436 LME786435:LME786436 LWA786435:LWA786436 MFW786435:MFW786436 MPS786435:MPS786436 MZO786435:MZO786436 NJK786435:NJK786436 NTG786435:NTG786436 ODC786435:ODC786436 OMY786435:OMY786436 OWU786435:OWU786436 PGQ786435:PGQ786436 PQM786435:PQM786436 QAI786435:QAI786436 QKE786435:QKE786436 QUA786435:QUA786436 RDW786435:RDW786436 RNS786435:RNS786436 RXO786435:RXO786436 SHK786435:SHK786436 SRG786435:SRG786436 TBC786435:TBC786436 TKY786435:TKY786436 TUU786435:TUU786436 UEQ786435:UEQ786436 UOM786435:UOM786436 UYI786435:UYI786436 VIE786435:VIE786436 VSA786435:VSA786436 WBW786435:WBW786436 WLS786435:WLS786436 WVO786435:WVO786436 E851971:E851972 JC851971:JC851972 SY851971:SY851972 ACU851971:ACU851972 AMQ851971:AMQ851972 AWM851971:AWM851972 BGI851971:BGI851972 BQE851971:BQE851972 CAA851971:CAA851972 CJW851971:CJW851972 CTS851971:CTS851972 DDO851971:DDO851972 DNK851971:DNK851972 DXG851971:DXG851972 EHC851971:EHC851972 EQY851971:EQY851972 FAU851971:FAU851972 FKQ851971:FKQ851972 FUM851971:FUM851972 GEI851971:GEI851972 GOE851971:GOE851972 GYA851971:GYA851972 HHW851971:HHW851972 HRS851971:HRS851972 IBO851971:IBO851972 ILK851971:ILK851972 IVG851971:IVG851972 JFC851971:JFC851972 JOY851971:JOY851972 JYU851971:JYU851972 KIQ851971:KIQ851972 KSM851971:KSM851972 LCI851971:LCI851972 LME851971:LME851972 LWA851971:LWA851972 MFW851971:MFW851972 MPS851971:MPS851972 MZO851971:MZO851972 NJK851971:NJK851972 NTG851971:NTG851972 ODC851971:ODC851972 OMY851971:OMY851972 OWU851971:OWU851972 PGQ851971:PGQ851972 PQM851971:PQM851972 QAI851971:QAI851972 QKE851971:QKE851972 QUA851971:QUA851972 RDW851971:RDW851972 RNS851971:RNS851972 RXO851971:RXO851972 SHK851971:SHK851972 SRG851971:SRG851972 TBC851971:TBC851972 TKY851971:TKY851972 TUU851971:TUU851972 UEQ851971:UEQ851972 UOM851971:UOM851972 UYI851971:UYI851972 VIE851971:VIE851972 VSA851971:VSA851972 WBW851971:WBW851972 WLS851971:WLS851972 WVO851971:WVO851972 E917507:E917508 JC917507:JC917508 SY917507:SY917508 ACU917507:ACU917508 AMQ917507:AMQ917508 AWM917507:AWM917508 BGI917507:BGI917508 BQE917507:BQE917508 CAA917507:CAA917508 CJW917507:CJW917508 CTS917507:CTS917508 DDO917507:DDO917508 DNK917507:DNK917508 DXG917507:DXG917508 EHC917507:EHC917508 EQY917507:EQY917508 FAU917507:FAU917508 FKQ917507:FKQ917508 FUM917507:FUM917508 GEI917507:GEI917508 GOE917507:GOE917508 GYA917507:GYA917508 HHW917507:HHW917508 HRS917507:HRS917508 IBO917507:IBO917508 ILK917507:ILK917508 IVG917507:IVG917508 JFC917507:JFC917508 JOY917507:JOY917508 JYU917507:JYU917508 KIQ917507:KIQ917508 KSM917507:KSM917508 LCI917507:LCI917508 LME917507:LME917508 LWA917507:LWA917508 MFW917507:MFW917508 MPS917507:MPS917508 MZO917507:MZO917508 NJK917507:NJK917508 NTG917507:NTG917508 ODC917507:ODC917508 OMY917507:OMY917508 OWU917507:OWU917508 PGQ917507:PGQ917508 PQM917507:PQM917508 QAI917507:QAI917508 QKE917507:QKE917508 QUA917507:QUA917508 RDW917507:RDW917508 RNS917507:RNS917508 RXO917507:RXO917508 SHK917507:SHK917508 SRG917507:SRG917508 TBC917507:TBC917508 TKY917507:TKY917508 TUU917507:TUU917508 UEQ917507:UEQ917508 UOM917507:UOM917508 UYI917507:UYI917508 VIE917507:VIE917508 VSA917507:VSA917508 WBW917507:WBW917508 WLS917507:WLS917508 WVO917507:WVO917508 E983043:E983044 JC983043:JC983044 SY983043:SY983044 ACU983043:ACU983044 AMQ983043:AMQ983044 AWM983043:AWM983044 BGI983043:BGI983044 BQE983043:BQE983044 CAA983043:CAA983044 CJW983043:CJW983044 CTS983043:CTS983044 DDO983043:DDO983044 DNK983043:DNK983044 DXG983043:DXG983044 EHC983043:EHC983044 EQY983043:EQY983044 FAU983043:FAU983044 FKQ983043:FKQ983044 FUM983043:FUM983044 GEI983043:GEI983044 GOE983043:GOE983044 GYA983043:GYA983044 HHW983043:HHW983044 HRS983043:HRS983044 IBO983043:IBO983044 ILK983043:ILK983044 IVG983043:IVG983044 JFC983043:JFC983044 JOY983043:JOY983044 JYU983043:JYU983044 KIQ983043:KIQ983044 KSM983043:KSM983044 LCI983043:LCI983044 LME983043:LME983044 LWA983043:LWA983044 MFW983043:MFW983044 MPS983043:MPS983044 MZO983043:MZO983044 NJK983043:NJK983044 NTG983043:NTG983044 ODC983043:ODC983044 OMY983043:OMY983044 OWU983043:OWU983044 PGQ983043:PGQ983044 PQM983043:PQM983044 QAI983043:QAI983044 QKE983043:QKE983044 QUA983043:QUA983044 RDW983043:RDW983044 RNS983043:RNS983044 RXO983043:RXO983044 SHK983043:SHK983044 SRG983043:SRG983044 TBC983043:TBC983044 TKY983043:TKY983044 TUU983043:TUU983044 UEQ983043:UEQ983044 UOM983043:UOM983044 UYI983043:UYI983044 VIE983043:VIE983044 VSA983043:VSA983044 WBW983043:WBW983044 WLS983043:WLS983044 WVO983043:WVO983044" xr:uid="{00000000-0002-0000-0C00-000001000000}"/>
    <dataValidation allowBlank="1" showInputMessage="1" showErrorMessage="1" prompt="Enter Annual interest rate in cell at right" sqref="B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B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B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B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B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B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B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B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B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B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B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B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B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B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B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B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xr:uid="{00000000-0002-0000-0C00-000002000000}"/>
    <dataValidation allowBlank="1" showInputMessage="1" showErrorMessage="1" prompt="Enter Loan period in years in this cell" sqref="E6:E9 JC6:JC9 SY6:SY9 ACU6:ACU9 AMQ6:AMQ9 AWM6:AWM9 BGI6:BGI9 BQE6:BQE9 CAA6:CAA9 CJW6:CJW9 CTS6:CTS9 DDO6:DDO9 DNK6:DNK9 DXG6:DXG9 EHC6:EHC9 EQY6:EQY9 FAU6:FAU9 FKQ6:FKQ9 FUM6:FUM9 GEI6:GEI9 GOE6:GOE9 GYA6:GYA9 HHW6:HHW9 HRS6:HRS9 IBO6:IBO9 ILK6:ILK9 IVG6:IVG9 JFC6:JFC9 JOY6:JOY9 JYU6:JYU9 KIQ6:KIQ9 KSM6:KSM9 LCI6:LCI9 LME6:LME9 LWA6:LWA9 MFW6:MFW9 MPS6:MPS9 MZO6:MZO9 NJK6:NJK9 NTG6:NTG9 ODC6:ODC9 OMY6:OMY9 OWU6:OWU9 PGQ6:PGQ9 PQM6:PQM9 QAI6:QAI9 QKE6:QKE9 QUA6:QUA9 RDW6:RDW9 RNS6:RNS9 RXO6:RXO9 SHK6:SHK9 SRG6:SRG9 TBC6:TBC9 TKY6:TKY9 TUU6:TUU9 UEQ6:UEQ9 UOM6:UOM9 UYI6:UYI9 VIE6:VIE9 VSA6:VSA9 WBW6:WBW9 WLS6:WLS9 WVO6:WVO9 E65542:E65545 JC65542:JC65545 SY65542:SY65545 ACU65542:ACU65545 AMQ65542:AMQ65545 AWM65542:AWM65545 BGI65542:BGI65545 BQE65542:BQE65545 CAA65542:CAA65545 CJW65542:CJW65545 CTS65542:CTS65545 DDO65542:DDO65545 DNK65542:DNK65545 DXG65542:DXG65545 EHC65542:EHC65545 EQY65542:EQY65545 FAU65542:FAU65545 FKQ65542:FKQ65545 FUM65542:FUM65545 GEI65542:GEI65545 GOE65542:GOE65545 GYA65542:GYA65545 HHW65542:HHW65545 HRS65542:HRS65545 IBO65542:IBO65545 ILK65542:ILK65545 IVG65542:IVG65545 JFC65542:JFC65545 JOY65542:JOY65545 JYU65542:JYU65545 KIQ65542:KIQ65545 KSM65542:KSM65545 LCI65542:LCI65545 LME65542:LME65545 LWA65542:LWA65545 MFW65542:MFW65545 MPS65542:MPS65545 MZO65542:MZO65545 NJK65542:NJK65545 NTG65542:NTG65545 ODC65542:ODC65545 OMY65542:OMY65545 OWU65542:OWU65545 PGQ65542:PGQ65545 PQM65542:PQM65545 QAI65542:QAI65545 QKE65542:QKE65545 QUA65542:QUA65545 RDW65542:RDW65545 RNS65542:RNS65545 RXO65542:RXO65545 SHK65542:SHK65545 SRG65542:SRG65545 TBC65542:TBC65545 TKY65542:TKY65545 TUU65542:TUU65545 UEQ65542:UEQ65545 UOM65542:UOM65545 UYI65542:UYI65545 VIE65542:VIE65545 VSA65542:VSA65545 WBW65542:WBW65545 WLS65542:WLS65545 WVO65542:WVO65545 E131078:E131081 JC131078:JC131081 SY131078:SY131081 ACU131078:ACU131081 AMQ131078:AMQ131081 AWM131078:AWM131081 BGI131078:BGI131081 BQE131078:BQE131081 CAA131078:CAA131081 CJW131078:CJW131081 CTS131078:CTS131081 DDO131078:DDO131081 DNK131078:DNK131081 DXG131078:DXG131081 EHC131078:EHC131081 EQY131078:EQY131081 FAU131078:FAU131081 FKQ131078:FKQ131081 FUM131078:FUM131081 GEI131078:GEI131081 GOE131078:GOE131081 GYA131078:GYA131081 HHW131078:HHW131081 HRS131078:HRS131081 IBO131078:IBO131081 ILK131078:ILK131081 IVG131078:IVG131081 JFC131078:JFC131081 JOY131078:JOY131081 JYU131078:JYU131081 KIQ131078:KIQ131081 KSM131078:KSM131081 LCI131078:LCI131081 LME131078:LME131081 LWA131078:LWA131081 MFW131078:MFW131081 MPS131078:MPS131081 MZO131078:MZO131081 NJK131078:NJK131081 NTG131078:NTG131081 ODC131078:ODC131081 OMY131078:OMY131081 OWU131078:OWU131081 PGQ131078:PGQ131081 PQM131078:PQM131081 QAI131078:QAI131081 QKE131078:QKE131081 QUA131078:QUA131081 RDW131078:RDW131081 RNS131078:RNS131081 RXO131078:RXO131081 SHK131078:SHK131081 SRG131078:SRG131081 TBC131078:TBC131081 TKY131078:TKY131081 TUU131078:TUU131081 UEQ131078:UEQ131081 UOM131078:UOM131081 UYI131078:UYI131081 VIE131078:VIE131081 VSA131078:VSA131081 WBW131078:WBW131081 WLS131078:WLS131081 WVO131078:WVO131081 E196614:E196617 JC196614:JC196617 SY196614:SY196617 ACU196614:ACU196617 AMQ196614:AMQ196617 AWM196614:AWM196617 BGI196614:BGI196617 BQE196614:BQE196617 CAA196614:CAA196617 CJW196614:CJW196617 CTS196614:CTS196617 DDO196614:DDO196617 DNK196614:DNK196617 DXG196614:DXG196617 EHC196614:EHC196617 EQY196614:EQY196617 FAU196614:FAU196617 FKQ196614:FKQ196617 FUM196614:FUM196617 GEI196614:GEI196617 GOE196614:GOE196617 GYA196614:GYA196617 HHW196614:HHW196617 HRS196614:HRS196617 IBO196614:IBO196617 ILK196614:ILK196617 IVG196614:IVG196617 JFC196614:JFC196617 JOY196614:JOY196617 JYU196614:JYU196617 KIQ196614:KIQ196617 KSM196614:KSM196617 LCI196614:LCI196617 LME196614:LME196617 LWA196614:LWA196617 MFW196614:MFW196617 MPS196614:MPS196617 MZO196614:MZO196617 NJK196614:NJK196617 NTG196614:NTG196617 ODC196614:ODC196617 OMY196614:OMY196617 OWU196614:OWU196617 PGQ196614:PGQ196617 PQM196614:PQM196617 QAI196614:QAI196617 QKE196614:QKE196617 QUA196614:QUA196617 RDW196614:RDW196617 RNS196614:RNS196617 RXO196614:RXO196617 SHK196614:SHK196617 SRG196614:SRG196617 TBC196614:TBC196617 TKY196614:TKY196617 TUU196614:TUU196617 UEQ196614:UEQ196617 UOM196614:UOM196617 UYI196614:UYI196617 VIE196614:VIE196617 VSA196614:VSA196617 WBW196614:WBW196617 WLS196614:WLS196617 WVO196614:WVO196617 E262150:E262153 JC262150:JC262153 SY262150:SY262153 ACU262150:ACU262153 AMQ262150:AMQ262153 AWM262150:AWM262153 BGI262150:BGI262153 BQE262150:BQE262153 CAA262150:CAA262153 CJW262150:CJW262153 CTS262150:CTS262153 DDO262150:DDO262153 DNK262150:DNK262153 DXG262150:DXG262153 EHC262150:EHC262153 EQY262150:EQY262153 FAU262150:FAU262153 FKQ262150:FKQ262153 FUM262150:FUM262153 GEI262150:GEI262153 GOE262150:GOE262153 GYA262150:GYA262153 HHW262150:HHW262153 HRS262150:HRS262153 IBO262150:IBO262153 ILK262150:ILK262153 IVG262150:IVG262153 JFC262150:JFC262153 JOY262150:JOY262153 JYU262150:JYU262153 KIQ262150:KIQ262153 KSM262150:KSM262153 LCI262150:LCI262153 LME262150:LME262153 LWA262150:LWA262153 MFW262150:MFW262153 MPS262150:MPS262153 MZO262150:MZO262153 NJK262150:NJK262153 NTG262150:NTG262153 ODC262150:ODC262153 OMY262150:OMY262153 OWU262150:OWU262153 PGQ262150:PGQ262153 PQM262150:PQM262153 QAI262150:QAI262153 QKE262150:QKE262153 QUA262150:QUA262153 RDW262150:RDW262153 RNS262150:RNS262153 RXO262150:RXO262153 SHK262150:SHK262153 SRG262150:SRG262153 TBC262150:TBC262153 TKY262150:TKY262153 TUU262150:TUU262153 UEQ262150:UEQ262153 UOM262150:UOM262153 UYI262150:UYI262153 VIE262150:VIE262153 VSA262150:VSA262153 WBW262150:WBW262153 WLS262150:WLS262153 WVO262150:WVO262153 E327686:E327689 JC327686:JC327689 SY327686:SY327689 ACU327686:ACU327689 AMQ327686:AMQ327689 AWM327686:AWM327689 BGI327686:BGI327689 BQE327686:BQE327689 CAA327686:CAA327689 CJW327686:CJW327689 CTS327686:CTS327689 DDO327686:DDO327689 DNK327686:DNK327689 DXG327686:DXG327689 EHC327686:EHC327689 EQY327686:EQY327689 FAU327686:FAU327689 FKQ327686:FKQ327689 FUM327686:FUM327689 GEI327686:GEI327689 GOE327686:GOE327689 GYA327686:GYA327689 HHW327686:HHW327689 HRS327686:HRS327689 IBO327686:IBO327689 ILK327686:ILK327689 IVG327686:IVG327689 JFC327686:JFC327689 JOY327686:JOY327689 JYU327686:JYU327689 KIQ327686:KIQ327689 KSM327686:KSM327689 LCI327686:LCI327689 LME327686:LME327689 LWA327686:LWA327689 MFW327686:MFW327689 MPS327686:MPS327689 MZO327686:MZO327689 NJK327686:NJK327689 NTG327686:NTG327689 ODC327686:ODC327689 OMY327686:OMY327689 OWU327686:OWU327689 PGQ327686:PGQ327689 PQM327686:PQM327689 QAI327686:QAI327689 QKE327686:QKE327689 QUA327686:QUA327689 RDW327686:RDW327689 RNS327686:RNS327689 RXO327686:RXO327689 SHK327686:SHK327689 SRG327686:SRG327689 TBC327686:TBC327689 TKY327686:TKY327689 TUU327686:TUU327689 UEQ327686:UEQ327689 UOM327686:UOM327689 UYI327686:UYI327689 VIE327686:VIE327689 VSA327686:VSA327689 WBW327686:WBW327689 WLS327686:WLS327689 WVO327686:WVO327689 E393222:E393225 JC393222:JC393225 SY393222:SY393225 ACU393222:ACU393225 AMQ393222:AMQ393225 AWM393222:AWM393225 BGI393222:BGI393225 BQE393222:BQE393225 CAA393222:CAA393225 CJW393222:CJW393225 CTS393222:CTS393225 DDO393222:DDO393225 DNK393222:DNK393225 DXG393222:DXG393225 EHC393222:EHC393225 EQY393222:EQY393225 FAU393222:FAU393225 FKQ393222:FKQ393225 FUM393222:FUM393225 GEI393222:GEI393225 GOE393222:GOE393225 GYA393222:GYA393225 HHW393222:HHW393225 HRS393222:HRS393225 IBO393222:IBO393225 ILK393222:ILK393225 IVG393222:IVG393225 JFC393222:JFC393225 JOY393222:JOY393225 JYU393222:JYU393225 KIQ393222:KIQ393225 KSM393222:KSM393225 LCI393222:LCI393225 LME393222:LME393225 LWA393222:LWA393225 MFW393222:MFW393225 MPS393222:MPS393225 MZO393222:MZO393225 NJK393222:NJK393225 NTG393222:NTG393225 ODC393222:ODC393225 OMY393222:OMY393225 OWU393222:OWU393225 PGQ393222:PGQ393225 PQM393222:PQM393225 QAI393222:QAI393225 QKE393222:QKE393225 QUA393222:QUA393225 RDW393222:RDW393225 RNS393222:RNS393225 RXO393222:RXO393225 SHK393222:SHK393225 SRG393222:SRG393225 TBC393222:TBC393225 TKY393222:TKY393225 TUU393222:TUU393225 UEQ393222:UEQ393225 UOM393222:UOM393225 UYI393222:UYI393225 VIE393222:VIE393225 VSA393222:VSA393225 WBW393222:WBW393225 WLS393222:WLS393225 WVO393222:WVO393225 E458758:E458761 JC458758:JC458761 SY458758:SY458761 ACU458758:ACU458761 AMQ458758:AMQ458761 AWM458758:AWM458761 BGI458758:BGI458761 BQE458758:BQE458761 CAA458758:CAA458761 CJW458758:CJW458761 CTS458758:CTS458761 DDO458758:DDO458761 DNK458758:DNK458761 DXG458758:DXG458761 EHC458758:EHC458761 EQY458758:EQY458761 FAU458758:FAU458761 FKQ458758:FKQ458761 FUM458758:FUM458761 GEI458758:GEI458761 GOE458758:GOE458761 GYA458758:GYA458761 HHW458758:HHW458761 HRS458758:HRS458761 IBO458758:IBO458761 ILK458758:ILK458761 IVG458758:IVG458761 JFC458758:JFC458761 JOY458758:JOY458761 JYU458758:JYU458761 KIQ458758:KIQ458761 KSM458758:KSM458761 LCI458758:LCI458761 LME458758:LME458761 LWA458758:LWA458761 MFW458758:MFW458761 MPS458758:MPS458761 MZO458758:MZO458761 NJK458758:NJK458761 NTG458758:NTG458761 ODC458758:ODC458761 OMY458758:OMY458761 OWU458758:OWU458761 PGQ458758:PGQ458761 PQM458758:PQM458761 QAI458758:QAI458761 QKE458758:QKE458761 QUA458758:QUA458761 RDW458758:RDW458761 RNS458758:RNS458761 RXO458758:RXO458761 SHK458758:SHK458761 SRG458758:SRG458761 TBC458758:TBC458761 TKY458758:TKY458761 TUU458758:TUU458761 UEQ458758:UEQ458761 UOM458758:UOM458761 UYI458758:UYI458761 VIE458758:VIE458761 VSA458758:VSA458761 WBW458758:WBW458761 WLS458758:WLS458761 WVO458758:WVO458761 E524294:E524297 JC524294:JC524297 SY524294:SY524297 ACU524294:ACU524297 AMQ524294:AMQ524297 AWM524294:AWM524297 BGI524294:BGI524297 BQE524294:BQE524297 CAA524294:CAA524297 CJW524294:CJW524297 CTS524294:CTS524297 DDO524294:DDO524297 DNK524294:DNK524297 DXG524294:DXG524297 EHC524294:EHC524297 EQY524294:EQY524297 FAU524294:FAU524297 FKQ524294:FKQ524297 FUM524294:FUM524297 GEI524294:GEI524297 GOE524294:GOE524297 GYA524294:GYA524297 HHW524294:HHW524297 HRS524294:HRS524297 IBO524294:IBO524297 ILK524294:ILK524297 IVG524294:IVG524297 JFC524294:JFC524297 JOY524294:JOY524297 JYU524294:JYU524297 KIQ524294:KIQ524297 KSM524294:KSM524297 LCI524294:LCI524297 LME524294:LME524297 LWA524294:LWA524297 MFW524294:MFW524297 MPS524294:MPS524297 MZO524294:MZO524297 NJK524294:NJK524297 NTG524294:NTG524297 ODC524294:ODC524297 OMY524294:OMY524297 OWU524294:OWU524297 PGQ524294:PGQ524297 PQM524294:PQM524297 QAI524294:QAI524297 QKE524294:QKE524297 QUA524294:QUA524297 RDW524294:RDW524297 RNS524294:RNS524297 RXO524294:RXO524297 SHK524294:SHK524297 SRG524294:SRG524297 TBC524294:TBC524297 TKY524294:TKY524297 TUU524294:TUU524297 UEQ524294:UEQ524297 UOM524294:UOM524297 UYI524294:UYI524297 VIE524294:VIE524297 VSA524294:VSA524297 WBW524294:WBW524297 WLS524294:WLS524297 WVO524294:WVO524297 E589830:E589833 JC589830:JC589833 SY589830:SY589833 ACU589830:ACU589833 AMQ589830:AMQ589833 AWM589830:AWM589833 BGI589830:BGI589833 BQE589830:BQE589833 CAA589830:CAA589833 CJW589830:CJW589833 CTS589830:CTS589833 DDO589830:DDO589833 DNK589830:DNK589833 DXG589830:DXG589833 EHC589830:EHC589833 EQY589830:EQY589833 FAU589830:FAU589833 FKQ589830:FKQ589833 FUM589830:FUM589833 GEI589830:GEI589833 GOE589830:GOE589833 GYA589830:GYA589833 HHW589830:HHW589833 HRS589830:HRS589833 IBO589830:IBO589833 ILK589830:ILK589833 IVG589830:IVG589833 JFC589830:JFC589833 JOY589830:JOY589833 JYU589830:JYU589833 KIQ589830:KIQ589833 KSM589830:KSM589833 LCI589830:LCI589833 LME589830:LME589833 LWA589830:LWA589833 MFW589830:MFW589833 MPS589830:MPS589833 MZO589830:MZO589833 NJK589830:NJK589833 NTG589830:NTG589833 ODC589830:ODC589833 OMY589830:OMY589833 OWU589830:OWU589833 PGQ589830:PGQ589833 PQM589830:PQM589833 QAI589830:QAI589833 QKE589830:QKE589833 QUA589830:QUA589833 RDW589830:RDW589833 RNS589830:RNS589833 RXO589830:RXO589833 SHK589830:SHK589833 SRG589830:SRG589833 TBC589830:TBC589833 TKY589830:TKY589833 TUU589830:TUU589833 UEQ589830:UEQ589833 UOM589830:UOM589833 UYI589830:UYI589833 VIE589830:VIE589833 VSA589830:VSA589833 WBW589830:WBW589833 WLS589830:WLS589833 WVO589830:WVO589833 E655366:E655369 JC655366:JC655369 SY655366:SY655369 ACU655366:ACU655369 AMQ655366:AMQ655369 AWM655366:AWM655369 BGI655366:BGI655369 BQE655366:BQE655369 CAA655366:CAA655369 CJW655366:CJW655369 CTS655366:CTS655369 DDO655366:DDO655369 DNK655366:DNK655369 DXG655366:DXG655369 EHC655366:EHC655369 EQY655366:EQY655369 FAU655366:FAU655369 FKQ655366:FKQ655369 FUM655366:FUM655369 GEI655366:GEI655369 GOE655366:GOE655369 GYA655366:GYA655369 HHW655366:HHW655369 HRS655366:HRS655369 IBO655366:IBO655369 ILK655366:ILK655369 IVG655366:IVG655369 JFC655366:JFC655369 JOY655366:JOY655369 JYU655366:JYU655369 KIQ655366:KIQ655369 KSM655366:KSM655369 LCI655366:LCI655369 LME655366:LME655369 LWA655366:LWA655369 MFW655366:MFW655369 MPS655366:MPS655369 MZO655366:MZO655369 NJK655366:NJK655369 NTG655366:NTG655369 ODC655366:ODC655369 OMY655366:OMY655369 OWU655366:OWU655369 PGQ655366:PGQ655369 PQM655366:PQM655369 QAI655366:QAI655369 QKE655366:QKE655369 QUA655366:QUA655369 RDW655366:RDW655369 RNS655366:RNS655369 RXO655366:RXO655369 SHK655366:SHK655369 SRG655366:SRG655369 TBC655366:TBC655369 TKY655366:TKY655369 TUU655366:TUU655369 UEQ655366:UEQ655369 UOM655366:UOM655369 UYI655366:UYI655369 VIE655366:VIE655369 VSA655366:VSA655369 WBW655366:WBW655369 WLS655366:WLS655369 WVO655366:WVO655369 E720902:E720905 JC720902:JC720905 SY720902:SY720905 ACU720902:ACU720905 AMQ720902:AMQ720905 AWM720902:AWM720905 BGI720902:BGI720905 BQE720902:BQE720905 CAA720902:CAA720905 CJW720902:CJW720905 CTS720902:CTS720905 DDO720902:DDO720905 DNK720902:DNK720905 DXG720902:DXG720905 EHC720902:EHC720905 EQY720902:EQY720905 FAU720902:FAU720905 FKQ720902:FKQ720905 FUM720902:FUM720905 GEI720902:GEI720905 GOE720902:GOE720905 GYA720902:GYA720905 HHW720902:HHW720905 HRS720902:HRS720905 IBO720902:IBO720905 ILK720902:ILK720905 IVG720902:IVG720905 JFC720902:JFC720905 JOY720902:JOY720905 JYU720902:JYU720905 KIQ720902:KIQ720905 KSM720902:KSM720905 LCI720902:LCI720905 LME720902:LME720905 LWA720902:LWA720905 MFW720902:MFW720905 MPS720902:MPS720905 MZO720902:MZO720905 NJK720902:NJK720905 NTG720902:NTG720905 ODC720902:ODC720905 OMY720902:OMY720905 OWU720902:OWU720905 PGQ720902:PGQ720905 PQM720902:PQM720905 QAI720902:QAI720905 QKE720902:QKE720905 QUA720902:QUA720905 RDW720902:RDW720905 RNS720902:RNS720905 RXO720902:RXO720905 SHK720902:SHK720905 SRG720902:SRG720905 TBC720902:TBC720905 TKY720902:TKY720905 TUU720902:TUU720905 UEQ720902:UEQ720905 UOM720902:UOM720905 UYI720902:UYI720905 VIE720902:VIE720905 VSA720902:VSA720905 WBW720902:WBW720905 WLS720902:WLS720905 WVO720902:WVO720905 E786438:E786441 JC786438:JC786441 SY786438:SY786441 ACU786438:ACU786441 AMQ786438:AMQ786441 AWM786438:AWM786441 BGI786438:BGI786441 BQE786438:BQE786441 CAA786438:CAA786441 CJW786438:CJW786441 CTS786438:CTS786441 DDO786438:DDO786441 DNK786438:DNK786441 DXG786438:DXG786441 EHC786438:EHC786441 EQY786438:EQY786441 FAU786438:FAU786441 FKQ786438:FKQ786441 FUM786438:FUM786441 GEI786438:GEI786441 GOE786438:GOE786441 GYA786438:GYA786441 HHW786438:HHW786441 HRS786438:HRS786441 IBO786438:IBO786441 ILK786438:ILK786441 IVG786438:IVG786441 JFC786438:JFC786441 JOY786438:JOY786441 JYU786438:JYU786441 KIQ786438:KIQ786441 KSM786438:KSM786441 LCI786438:LCI786441 LME786438:LME786441 LWA786438:LWA786441 MFW786438:MFW786441 MPS786438:MPS786441 MZO786438:MZO786441 NJK786438:NJK786441 NTG786438:NTG786441 ODC786438:ODC786441 OMY786438:OMY786441 OWU786438:OWU786441 PGQ786438:PGQ786441 PQM786438:PQM786441 QAI786438:QAI786441 QKE786438:QKE786441 QUA786438:QUA786441 RDW786438:RDW786441 RNS786438:RNS786441 RXO786438:RXO786441 SHK786438:SHK786441 SRG786438:SRG786441 TBC786438:TBC786441 TKY786438:TKY786441 TUU786438:TUU786441 UEQ786438:UEQ786441 UOM786438:UOM786441 UYI786438:UYI786441 VIE786438:VIE786441 VSA786438:VSA786441 WBW786438:WBW786441 WLS786438:WLS786441 WVO786438:WVO786441 E851974:E851977 JC851974:JC851977 SY851974:SY851977 ACU851974:ACU851977 AMQ851974:AMQ851977 AWM851974:AWM851977 BGI851974:BGI851977 BQE851974:BQE851977 CAA851974:CAA851977 CJW851974:CJW851977 CTS851974:CTS851977 DDO851974:DDO851977 DNK851974:DNK851977 DXG851974:DXG851977 EHC851974:EHC851977 EQY851974:EQY851977 FAU851974:FAU851977 FKQ851974:FKQ851977 FUM851974:FUM851977 GEI851974:GEI851977 GOE851974:GOE851977 GYA851974:GYA851977 HHW851974:HHW851977 HRS851974:HRS851977 IBO851974:IBO851977 ILK851974:ILK851977 IVG851974:IVG851977 JFC851974:JFC851977 JOY851974:JOY851977 JYU851974:JYU851977 KIQ851974:KIQ851977 KSM851974:KSM851977 LCI851974:LCI851977 LME851974:LME851977 LWA851974:LWA851977 MFW851974:MFW851977 MPS851974:MPS851977 MZO851974:MZO851977 NJK851974:NJK851977 NTG851974:NTG851977 ODC851974:ODC851977 OMY851974:OMY851977 OWU851974:OWU851977 PGQ851974:PGQ851977 PQM851974:PQM851977 QAI851974:QAI851977 QKE851974:QKE851977 QUA851974:QUA851977 RDW851974:RDW851977 RNS851974:RNS851977 RXO851974:RXO851977 SHK851974:SHK851977 SRG851974:SRG851977 TBC851974:TBC851977 TKY851974:TKY851977 TUU851974:TUU851977 UEQ851974:UEQ851977 UOM851974:UOM851977 UYI851974:UYI851977 VIE851974:VIE851977 VSA851974:VSA851977 WBW851974:WBW851977 WLS851974:WLS851977 WVO851974:WVO851977 E917510:E917513 JC917510:JC917513 SY917510:SY917513 ACU917510:ACU917513 AMQ917510:AMQ917513 AWM917510:AWM917513 BGI917510:BGI917513 BQE917510:BQE917513 CAA917510:CAA917513 CJW917510:CJW917513 CTS917510:CTS917513 DDO917510:DDO917513 DNK917510:DNK917513 DXG917510:DXG917513 EHC917510:EHC917513 EQY917510:EQY917513 FAU917510:FAU917513 FKQ917510:FKQ917513 FUM917510:FUM917513 GEI917510:GEI917513 GOE917510:GOE917513 GYA917510:GYA917513 HHW917510:HHW917513 HRS917510:HRS917513 IBO917510:IBO917513 ILK917510:ILK917513 IVG917510:IVG917513 JFC917510:JFC917513 JOY917510:JOY917513 JYU917510:JYU917513 KIQ917510:KIQ917513 KSM917510:KSM917513 LCI917510:LCI917513 LME917510:LME917513 LWA917510:LWA917513 MFW917510:MFW917513 MPS917510:MPS917513 MZO917510:MZO917513 NJK917510:NJK917513 NTG917510:NTG917513 ODC917510:ODC917513 OMY917510:OMY917513 OWU917510:OWU917513 PGQ917510:PGQ917513 PQM917510:PQM917513 QAI917510:QAI917513 QKE917510:QKE917513 QUA917510:QUA917513 RDW917510:RDW917513 RNS917510:RNS917513 RXO917510:RXO917513 SHK917510:SHK917513 SRG917510:SRG917513 TBC917510:TBC917513 TKY917510:TKY917513 TUU917510:TUU917513 UEQ917510:UEQ917513 UOM917510:UOM917513 UYI917510:UYI917513 VIE917510:VIE917513 VSA917510:VSA917513 WBW917510:WBW917513 WLS917510:WLS917513 WVO917510:WVO917513 E983046:E983049 JC983046:JC983049 SY983046:SY983049 ACU983046:ACU983049 AMQ983046:AMQ983049 AWM983046:AWM983049 BGI983046:BGI983049 BQE983046:BQE983049 CAA983046:CAA983049 CJW983046:CJW983049 CTS983046:CTS983049 DDO983046:DDO983049 DNK983046:DNK983049 DXG983046:DXG983049 EHC983046:EHC983049 EQY983046:EQY983049 FAU983046:FAU983049 FKQ983046:FKQ983049 FUM983046:FUM983049 GEI983046:GEI983049 GOE983046:GOE983049 GYA983046:GYA983049 HHW983046:HHW983049 HRS983046:HRS983049 IBO983046:IBO983049 ILK983046:ILK983049 IVG983046:IVG983049 JFC983046:JFC983049 JOY983046:JOY983049 JYU983046:JYU983049 KIQ983046:KIQ983049 KSM983046:KSM983049 LCI983046:LCI983049 LME983046:LME983049 LWA983046:LWA983049 MFW983046:MFW983049 MPS983046:MPS983049 MZO983046:MZO983049 NJK983046:NJK983049 NTG983046:NTG983049 ODC983046:ODC983049 OMY983046:OMY983049 OWU983046:OWU983049 PGQ983046:PGQ983049 PQM983046:PQM983049 QAI983046:QAI983049 QKE983046:QKE983049 QUA983046:QUA983049 RDW983046:RDW983049 RNS983046:RNS983049 RXO983046:RXO983049 SHK983046:SHK983049 SRG983046:SRG983049 TBC983046:TBC983049 TKY983046:TKY983049 TUU983046:TUU983049 UEQ983046:UEQ983049 UOM983046:UOM983049 UYI983046:UYI983049 VIE983046:VIE983049 VSA983046:VSA983049 WBW983046:WBW983049 WLS983046:WLS983049 WVO983046:WVO983049" xr:uid="{00000000-0002-0000-0C00-000003000000}"/>
    <dataValidation allowBlank="1" showInputMessage="1" showErrorMessage="1" prompt="Enter Start date of loan in cell at right" sqref="B10:B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B65546:B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B131082:B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B196618:B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B262154:B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B327690:B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B393226:B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B458762:B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B524298:B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B589834:B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B655370:B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B720906:B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B786442:B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B851978:B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B917514:B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B983050:B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xr:uid="{00000000-0002-0000-0C00-000004000000}"/>
    <dataValidation allowBlank="1" showInputMessage="1" showErrorMessage="1" prompt="Enter Start date of loan in this cell" sqref="E10:E11 JC10:JC11 SY10:SY11 ACU10:ACU11 AMQ10:AMQ11 AWM10:AWM11 BGI10:BGI11 BQE10:BQE11 CAA10:CAA11 CJW10:CJW11 CTS10:CTS11 DDO10:DDO11 DNK10:DNK11 DXG10:DXG11 EHC10:EHC11 EQY10:EQY11 FAU10:FAU11 FKQ10:FKQ11 FUM10:FUM11 GEI10:GEI11 GOE10:GOE11 GYA10:GYA11 HHW10:HHW11 HRS10:HRS11 IBO10:IBO11 ILK10:ILK11 IVG10:IVG11 JFC10:JFC11 JOY10:JOY11 JYU10:JYU11 KIQ10:KIQ11 KSM10:KSM11 LCI10:LCI11 LME10:LME11 LWA10:LWA11 MFW10:MFW11 MPS10:MPS11 MZO10:MZO11 NJK10:NJK11 NTG10:NTG11 ODC10:ODC11 OMY10:OMY11 OWU10:OWU11 PGQ10:PGQ11 PQM10:PQM11 QAI10:QAI11 QKE10:QKE11 QUA10:QUA11 RDW10:RDW11 RNS10:RNS11 RXO10:RXO11 SHK10:SHK11 SRG10:SRG11 TBC10:TBC11 TKY10:TKY11 TUU10:TUU11 UEQ10:UEQ11 UOM10:UOM11 UYI10:UYI11 VIE10:VIE11 VSA10:VSA11 WBW10:WBW11 WLS10:WLS11 WVO10:WVO11 E65546:E65547 JC65546:JC65547 SY65546:SY65547 ACU65546:ACU65547 AMQ65546:AMQ65547 AWM65546:AWM65547 BGI65546:BGI65547 BQE65546:BQE65547 CAA65546:CAA65547 CJW65546:CJW65547 CTS65546:CTS65547 DDO65546:DDO65547 DNK65546:DNK65547 DXG65546:DXG65547 EHC65546:EHC65547 EQY65546:EQY65547 FAU65546:FAU65547 FKQ65546:FKQ65547 FUM65546:FUM65547 GEI65546:GEI65547 GOE65546:GOE65547 GYA65546:GYA65547 HHW65546:HHW65547 HRS65546:HRS65547 IBO65546:IBO65547 ILK65546:ILK65547 IVG65546:IVG65547 JFC65546:JFC65547 JOY65546:JOY65547 JYU65546:JYU65547 KIQ65546:KIQ65547 KSM65546:KSM65547 LCI65546:LCI65547 LME65546:LME65547 LWA65546:LWA65547 MFW65546:MFW65547 MPS65546:MPS65547 MZO65546:MZO65547 NJK65546:NJK65547 NTG65546:NTG65547 ODC65546:ODC65547 OMY65546:OMY65547 OWU65546:OWU65547 PGQ65546:PGQ65547 PQM65546:PQM65547 QAI65546:QAI65547 QKE65546:QKE65547 QUA65546:QUA65547 RDW65546:RDW65547 RNS65546:RNS65547 RXO65546:RXO65547 SHK65546:SHK65547 SRG65546:SRG65547 TBC65546:TBC65547 TKY65546:TKY65547 TUU65546:TUU65547 UEQ65546:UEQ65547 UOM65546:UOM65547 UYI65546:UYI65547 VIE65546:VIE65547 VSA65546:VSA65547 WBW65546:WBW65547 WLS65546:WLS65547 WVO65546:WVO65547 E131082:E131083 JC131082:JC131083 SY131082:SY131083 ACU131082:ACU131083 AMQ131082:AMQ131083 AWM131082:AWM131083 BGI131082:BGI131083 BQE131082:BQE131083 CAA131082:CAA131083 CJW131082:CJW131083 CTS131082:CTS131083 DDO131082:DDO131083 DNK131082:DNK131083 DXG131082:DXG131083 EHC131082:EHC131083 EQY131082:EQY131083 FAU131082:FAU131083 FKQ131082:FKQ131083 FUM131082:FUM131083 GEI131082:GEI131083 GOE131082:GOE131083 GYA131082:GYA131083 HHW131082:HHW131083 HRS131082:HRS131083 IBO131082:IBO131083 ILK131082:ILK131083 IVG131082:IVG131083 JFC131082:JFC131083 JOY131082:JOY131083 JYU131082:JYU131083 KIQ131082:KIQ131083 KSM131082:KSM131083 LCI131082:LCI131083 LME131082:LME131083 LWA131082:LWA131083 MFW131082:MFW131083 MPS131082:MPS131083 MZO131082:MZO131083 NJK131082:NJK131083 NTG131082:NTG131083 ODC131082:ODC131083 OMY131082:OMY131083 OWU131082:OWU131083 PGQ131082:PGQ131083 PQM131082:PQM131083 QAI131082:QAI131083 QKE131082:QKE131083 QUA131082:QUA131083 RDW131082:RDW131083 RNS131082:RNS131083 RXO131082:RXO131083 SHK131082:SHK131083 SRG131082:SRG131083 TBC131082:TBC131083 TKY131082:TKY131083 TUU131082:TUU131083 UEQ131082:UEQ131083 UOM131082:UOM131083 UYI131082:UYI131083 VIE131082:VIE131083 VSA131082:VSA131083 WBW131082:WBW131083 WLS131082:WLS131083 WVO131082:WVO131083 E196618:E196619 JC196618:JC196619 SY196618:SY196619 ACU196618:ACU196619 AMQ196618:AMQ196619 AWM196618:AWM196619 BGI196618:BGI196619 BQE196618:BQE196619 CAA196618:CAA196619 CJW196618:CJW196619 CTS196618:CTS196619 DDO196618:DDO196619 DNK196618:DNK196619 DXG196618:DXG196619 EHC196618:EHC196619 EQY196618:EQY196619 FAU196618:FAU196619 FKQ196618:FKQ196619 FUM196618:FUM196619 GEI196618:GEI196619 GOE196618:GOE196619 GYA196618:GYA196619 HHW196618:HHW196619 HRS196618:HRS196619 IBO196618:IBO196619 ILK196618:ILK196619 IVG196618:IVG196619 JFC196618:JFC196619 JOY196618:JOY196619 JYU196618:JYU196619 KIQ196618:KIQ196619 KSM196618:KSM196619 LCI196618:LCI196619 LME196618:LME196619 LWA196618:LWA196619 MFW196618:MFW196619 MPS196618:MPS196619 MZO196618:MZO196619 NJK196618:NJK196619 NTG196618:NTG196619 ODC196618:ODC196619 OMY196618:OMY196619 OWU196618:OWU196619 PGQ196618:PGQ196619 PQM196618:PQM196619 QAI196618:QAI196619 QKE196618:QKE196619 QUA196618:QUA196619 RDW196618:RDW196619 RNS196618:RNS196619 RXO196618:RXO196619 SHK196618:SHK196619 SRG196618:SRG196619 TBC196618:TBC196619 TKY196618:TKY196619 TUU196618:TUU196619 UEQ196618:UEQ196619 UOM196618:UOM196619 UYI196618:UYI196619 VIE196618:VIE196619 VSA196618:VSA196619 WBW196618:WBW196619 WLS196618:WLS196619 WVO196618:WVO196619 E262154:E262155 JC262154:JC262155 SY262154:SY262155 ACU262154:ACU262155 AMQ262154:AMQ262155 AWM262154:AWM262155 BGI262154:BGI262155 BQE262154:BQE262155 CAA262154:CAA262155 CJW262154:CJW262155 CTS262154:CTS262155 DDO262154:DDO262155 DNK262154:DNK262155 DXG262154:DXG262155 EHC262154:EHC262155 EQY262154:EQY262155 FAU262154:FAU262155 FKQ262154:FKQ262155 FUM262154:FUM262155 GEI262154:GEI262155 GOE262154:GOE262155 GYA262154:GYA262155 HHW262154:HHW262155 HRS262154:HRS262155 IBO262154:IBO262155 ILK262154:ILK262155 IVG262154:IVG262155 JFC262154:JFC262155 JOY262154:JOY262155 JYU262154:JYU262155 KIQ262154:KIQ262155 KSM262154:KSM262155 LCI262154:LCI262155 LME262154:LME262155 LWA262154:LWA262155 MFW262154:MFW262155 MPS262154:MPS262155 MZO262154:MZO262155 NJK262154:NJK262155 NTG262154:NTG262155 ODC262154:ODC262155 OMY262154:OMY262155 OWU262154:OWU262155 PGQ262154:PGQ262155 PQM262154:PQM262155 QAI262154:QAI262155 QKE262154:QKE262155 QUA262154:QUA262155 RDW262154:RDW262155 RNS262154:RNS262155 RXO262154:RXO262155 SHK262154:SHK262155 SRG262154:SRG262155 TBC262154:TBC262155 TKY262154:TKY262155 TUU262154:TUU262155 UEQ262154:UEQ262155 UOM262154:UOM262155 UYI262154:UYI262155 VIE262154:VIE262155 VSA262154:VSA262155 WBW262154:WBW262155 WLS262154:WLS262155 WVO262154:WVO262155 E327690:E327691 JC327690:JC327691 SY327690:SY327691 ACU327690:ACU327691 AMQ327690:AMQ327691 AWM327690:AWM327691 BGI327690:BGI327691 BQE327690:BQE327691 CAA327690:CAA327691 CJW327690:CJW327691 CTS327690:CTS327691 DDO327690:DDO327691 DNK327690:DNK327691 DXG327690:DXG327691 EHC327690:EHC327691 EQY327690:EQY327691 FAU327690:FAU327691 FKQ327690:FKQ327691 FUM327690:FUM327691 GEI327690:GEI327691 GOE327690:GOE327691 GYA327690:GYA327691 HHW327690:HHW327691 HRS327690:HRS327691 IBO327690:IBO327691 ILK327690:ILK327691 IVG327690:IVG327691 JFC327690:JFC327691 JOY327690:JOY327691 JYU327690:JYU327691 KIQ327690:KIQ327691 KSM327690:KSM327691 LCI327690:LCI327691 LME327690:LME327691 LWA327690:LWA327691 MFW327690:MFW327691 MPS327690:MPS327691 MZO327690:MZO327691 NJK327690:NJK327691 NTG327690:NTG327691 ODC327690:ODC327691 OMY327690:OMY327691 OWU327690:OWU327691 PGQ327690:PGQ327691 PQM327690:PQM327691 QAI327690:QAI327691 QKE327690:QKE327691 QUA327690:QUA327691 RDW327690:RDW327691 RNS327690:RNS327691 RXO327690:RXO327691 SHK327690:SHK327691 SRG327690:SRG327691 TBC327690:TBC327691 TKY327690:TKY327691 TUU327690:TUU327691 UEQ327690:UEQ327691 UOM327690:UOM327691 UYI327690:UYI327691 VIE327690:VIE327691 VSA327690:VSA327691 WBW327690:WBW327691 WLS327690:WLS327691 WVO327690:WVO327691 E393226:E393227 JC393226:JC393227 SY393226:SY393227 ACU393226:ACU393227 AMQ393226:AMQ393227 AWM393226:AWM393227 BGI393226:BGI393227 BQE393226:BQE393227 CAA393226:CAA393227 CJW393226:CJW393227 CTS393226:CTS393227 DDO393226:DDO393227 DNK393226:DNK393227 DXG393226:DXG393227 EHC393226:EHC393227 EQY393226:EQY393227 FAU393226:FAU393227 FKQ393226:FKQ393227 FUM393226:FUM393227 GEI393226:GEI393227 GOE393226:GOE393227 GYA393226:GYA393227 HHW393226:HHW393227 HRS393226:HRS393227 IBO393226:IBO393227 ILK393226:ILK393227 IVG393226:IVG393227 JFC393226:JFC393227 JOY393226:JOY393227 JYU393226:JYU393227 KIQ393226:KIQ393227 KSM393226:KSM393227 LCI393226:LCI393227 LME393226:LME393227 LWA393226:LWA393227 MFW393226:MFW393227 MPS393226:MPS393227 MZO393226:MZO393227 NJK393226:NJK393227 NTG393226:NTG393227 ODC393226:ODC393227 OMY393226:OMY393227 OWU393226:OWU393227 PGQ393226:PGQ393227 PQM393226:PQM393227 QAI393226:QAI393227 QKE393226:QKE393227 QUA393226:QUA393227 RDW393226:RDW393227 RNS393226:RNS393227 RXO393226:RXO393227 SHK393226:SHK393227 SRG393226:SRG393227 TBC393226:TBC393227 TKY393226:TKY393227 TUU393226:TUU393227 UEQ393226:UEQ393227 UOM393226:UOM393227 UYI393226:UYI393227 VIE393226:VIE393227 VSA393226:VSA393227 WBW393226:WBW393227 WLS393226:WLS393227 WVO393226:WVO393227 E458762:E458763 JC458762:JC458763 SY458762:SY458763 ACU458762:ACU458763 AMQ458762:AMQ458763 AWM458762:AWM458763 BGI458762:BGI458763 BQE458762:BQE458763 CAA458762:CAA458763 CJW458762:CJW458763 CTS458762:CTS458763 DDO458762:DDO458763 DNK458762:DNK458763 DXG458762:DXG458763 EHC458762:EHC458763 EQY458762:EQY458763 FAU458762:FAU458763 FKQ458762:FKQ458763 FUM458762:FUM458763 GEI458762:GEI458763 GOE458762:GOE458763 GYA458762:GYA458763 HHW458762:HHW458763 HRS458762:HRS458763 IBO458762:IBO458763 ILK458762:ILK458763 IVG458762:IVG458763 JFC458762:JFC458763 JOY458762:JOY458763 JYU458762:JYU458763 KIQ458762:KIQ458763 KSM458762:KSM458763 LCI458762:LCI458763 LME458762:LME458763 LWA458762:LWA458763 MFW458762:MFW458763 MPS458762:MPS458763 MZO458762:MZO458763 NJK458762:NJK458763 NTG458762:NTG458763 ODC458762:ODC458763 OMY458762:OMY458763 OWU458762:OWU458763 PGQ458762:PGQ458763 PQM458762:PQM458763 QAI458762:QAI458763 QKE458762:QKE458763 QUA458762:QUA458763 RDW458762:RDW458763 RNS458762:RNS458763 RXO458762:RXO458763 SHK458762:SHK458763 SRG458762:SRG458763 TBC458762:TBC458763 TKY458762:TKY458763 TUU458762:TUU458763 UEQ458762:UEQ458763 UOM458762:UOM458763 UYI458762:UYI458763 VIE458762:VIE458763 VSA458762:VSA458763 WBW458762:WBW458763 WLS458762:WLS458763 WVO458762:WVO458763 E524298:E524299 JC524298:JC524299 SY524298:SY524299 ACU524298:ACU524299 AMQ524298:AMQ524299 AWM524298:AWM524299 BGI524298:BGI524299 BQE524298:BQE524299 CAA524298:CAA524299 CJW524298:CJW524299 CTS524298:CTS524299 DDO524298:DDO524299 DNK524298:DNK524299 DXG524298:DXG524299 EHC524298:EHC524299 EQY524298:EQY524299 FAU524298:FAU524299 FKQ524298:FKQ524299 FUM524298:FUM524299 GEI524298:GEI524299 GOE524298:GOE524299 GYA524298:GYA524299 HHW524298:HHW524299 HRS524298:HRS524299 IBO524298:IBO524299 ILK524298:ILK524299 IVG524298:IVG524299 JFC524298:JFC524299 JOY524298:JOY524299 JYU524298:JYU524299 KIQ524298:KIQ524299 KSM524298:KSM524299 LCI524298:LCI524299 LME524298:LME524299 LWA524298:LWA524299 MFW524298:MFW524299 MPS524298:MPS524299 MZO524298:MZO524299 NJK524298:NJK524299 NTG524298:NTG524299 ODC524298:ODC524299 OMY524298:OMY524299 OWU524298:OWU524299 PGQ524298:PGQ524299 PQM524298:PQM524299 QAI524298:QAI524299 QKE524298:QKE524299 QUA524298:QUA524299 RDW524298:RDW524299 RNS524298:RNS524299 RXO524298:RXO524299 SHK524298:SHK524299 SRG524298:SRG524299 TBC524298:TBC524299 TKY524298:TKY524299 TUU524298:TUU524299 UEQ524298:UEQ524299 UOM524298:UOM524299 UYI524298:UYI524299 VIE524298:VIE524299 VSA524298:VSA524299 WBW524298:WBW524299 WLS524298:WLS524299 WVO524298:WVO524299 E589834:E589835 JC589834:JC589835 SY589834:SY589835 ACU589834:ACU589835 AMQ589834:AMQ589835 AWM589834:AWM589835 BGI589834:BGI589835 BQE589834:BQE589835 CAA589834:CAA589835 CJW589834:CJW589835 CTS589834:CTS589835 DDO589834:DDO589835 DNK589834:DNK589835 DXG589834:DXG589835 EHC589834:EHC589835 EQY589834:EQY589835 FAU589834:FAU589835 FKQ589834:FKQ589835 FUM589834:FUM589835 GEI589834:GEI589835 GOE589834:GOE589835 GYA589834:GYA589835 HHW589834:HHW589835 HRS589834:HRS589835 IBO589834:IBO589835 ILK589834:ILK589835 IVG589834:IVG589835 JFC589834:JFC589835 JOY589834:JOY589835 JYU589834:JYU589835 KIQ589834:KIQ589835 KSM589834:KSM589835 LCI589834:LCI589835 LME589834:LME589835 LWA589834:LWA589835 MFW589834:MFW589835 MPS589834:MPS589835 MZO589834:MZO589835 NJK589834:NJK589835 NTG589834:NTG589835 ODC589834:ODC589835 OMY589834:OMY589835 OWU589834:OWU589835 PGQ589834:PGQ589835 PQM589834:PQM589835 QAI589834:QAI589835 QKE589834:QKE589835 QUA589834:QUA589835 RDW589834:RDW589835 RNS589834:RNS589835 RXO589834:RXO589835 SHK589834:SHK589835 SRG589834:SRG589835 TBC589834:TBC589835 TKY589834:TKY589835 TUU589834:TUU589835 UEQ589834:UEQ589835 UOM589834:UOM589835 UYI589834:UYI589835 VIE589834:VIE589835 VSA589834:VSA589835 WBW589834:WBW589835 WLS589834:WLS589835 WVO589834:WVO589835 E655370:E655371 JC655370:JC655371 SY655370:SY655371 ACU655370:ACU655371 AMQ655370:AMQ655371 AWM655370:AWM655371 BGI655370:BGI655371 BQE655370:BQE655371 CAA655370:CAA655371 CJW655370:CJW655371 CTS655370:CTS655371 DDO655370:DDO655371 DNK655370:DNK655371 DXG655370:DXG655371 EHC655370:EHC655371 EQY655370:EQY655371 FAU655370:FAU655371 FKQ655370:FKQ655371 FUM655370:FUM655371 GEI655370:GEI655371 GOE655370:GOE655371 GYA655370:GYA655371 HHW655370:HHW655371 HRS655370:HRS655371 IBO655370:IBO655371 ILK655370:ILK655371 IVG655370:IVG655371 JFC655370:JFC655371 JOY655370:JOY655371 JYU655370:JYU655371 KIQ655370:KIQ655371 KSM655370:KSM655371 LCI655370:LCI655371 LME655370:LME655371 LWA655370:LWA655371 MFW655370:MFW655371 MPS655370:MPS655371 MZO655370:MZO655371 NJK655370:NJK655371 NTG655370:NTG655371 ODC655370:ODC655371 OMY655370:OMY655371 OWU655370:OWU655371 PGQ655370:PGQ655371 PQM655370:PQM655371 QAI655370:QAI655371 QKE655370:QKE655371 QUA655370:QUA655371 RDW655370:RDW655371 RNS655370:RNS655371 RXO655370:RXO655371 SHK655370:SHK655371 SRG655370:SRG655371 TBC655370:TBC655371 TKY655370:TKY655371 TUU655370:TUU655371 UEQ655370:UEQ655371 UOM655370:UOM655371 UYI655370:UYI655371 VIE655370:VIE655371 VSA655370:VSA655371 WBW655370:WBW655371 WLS655370:WLS655371 WVO655370:WVO655371 E720906:E720907 JC720906:JC720907 SY720906:SY720907 ACU720906:ACU720907 AMQ720906:AMQ720907 AWM720906:AWM720907 BGI720906:BGI720907 BQE720906:BQE720907 CAA720906:CAA720907 CJW720906:CJW720907 CTS720906:CTS720907 DDO720906:DDO720907 DNK720906:DNK720907 DXG720906:DXG720907 EHC720906:EHC720907 EQY720906:EQY720907 FAU720906:FAU720907 FKQ720906:FKQ720907 FUM720906:FUM720907 GEI720906:GEI720907 GOE720906:GOE720907 GYA720906:GYA720907 HHW720906:HHW720907 HRS720906:HRS720907 IBO720906:IBO720907 ILK720906:ILK720907 IVG720906:IVG720907 JFC720906:JFC720907 JOY720906:JOY720907 JYU720906:JYU720907 KIQ720906:KIQ720907 KSM720906:KSM720907 LCI720906:LCI720907 LME720906:LME720907 LWA720906:LWA720907 MFW720906:MFW720907 MPS720906:MPS720907 MZO720906:MZO720907 NJK720906:NJK720907 NTG720906:NTG720907 ODC720906:ODC720907 OMY720906:OMY720907 OWU720906:OWU720907 PGQ720906:PGQ720907 PQM720906:PQM720907 QAI720906:QAI720907 QKE720906:QKE720907 QUA720906:QUA720907 RDW720906:RDW720907 RNS720906:RNS720907 RXO720906:RXO720907 SHK720906:SHK720907 SRG720906:SRG720907 TBC720906:TBC720907 TKY720906:TKY720907 TUU720906:TUU720907 UEQ720906:UEQ720907 UOM720906:UOM720907 UYI720906:UYI720907 VIE720906:VIE720907 VSA720906:VSA720907 WBW720906:WBW720907 WLS720906:WLS720907 WVO720906:WVO720907 E786442:E786443 JC786442:JC786443 SY786442:SY786443 ACU786442:ACU786443 AMQ786442:AMQ786443 AWM786442:AWM786443 BGI786442:BGI786443 BQE786442:BQE786443 CAA786442:CAA786443 CJW786442:CJW786443 CTS786442:CTS786443 DDO786442:DDO786443 DNK786442:DNK786443 DXG786442:DXG786443 EHC786442:EHC786443 EQY786442:EQY786443 FAU786442:FAU786443 FKQ786442:FKQ786443 FUM786442:FUM786443 GEI786442:GEI786443 GOE786442:GOE786443 GYA786442:GYA786443 HHW786442:HHW786443 HRS786442:HRS786443 IBO786442:IBO786443 ILK786442:ILK786443 IVG786442:IVG786443 JFC786442:JFC786443 JOY786442:JOY786443 JYU786442:JYU786443 KIQ786442:KIQ786443 KSM786442:KSM786443 LCI786442:LCI786443 LME786442:LME786443 LWA786442:LWA786443 MFW786442:MFW786443 MPS786442:MPS786443 MZO786442:MZO786443 NJK786442:NJK786443 NTG786442:NTG786443 ODC786442:ODC786443 OMY786442:OMY786443 OWU786442:OWU786443 PGQ786442:PGQ786443 PQM786442:PQM786443 QAI786442:QAI786443 QKE786442:QKE786443 QUA786442:QUA786443 RDW786442:RDW786443 RNS786442:RNS786443 RXO786442:RXO786443 SHK786442:SHK786443 SRG786442:SRG786443 TBC786442:TBC786443 TKY786442:TKY786443 TUU786442:TUU786443 UEQ786442:UEQ786443 UOM786442:UOM786443 UYI786442:UYI786443 VIE786442:VIE786443 VSA786442:VSA786443 WBW786442:WBW786443 WLS786442:WLS786443 WVO786442:WVO786443 E851978:E851979 JC851978:JC851979 SY851978:SY851979 ACU851978:ACU851979 AMQ851978:AMQ851979 AWM851978:AWM851979 BGI851978:BGI851979 BQE851978:BQE851979 CAA851978:CAA851979 CJW851978:CJW851979 CTS851978:CTS851979 DDO851978:DDO851979 DNK851978:DNK851979 DXG851978:DXG851979 EHC851978:EHC851979 EQY851978:EQY851979 FAU851978:FAU851979 FKQ851978:FKQ851979 FUM851978:FUM851979 GEI851978:GEI851979 GOE851978:GOE851979 GYA851978:GYA851979 HHW851978:HHW851979 HRS851978:HRS851979 IBO851978:IBO851979 ILK851978:ILK851979 IVG851978:IVG851979 JFC851978:JFC851979 JOY851978:JOY851979 JYU851978:JYU851979 KIQ851978:KIQ851979 KSM851978:KSM851979 LCI851978:LCI851979 LME851978:LME851979 LWA851978:LWA851979 MFW851978:MFW851979 MPS851978:MPS851979 MZO851978:MZO851979 NJK851978:NJK851979 NTG851978:NTG851979 ODC851978:ODC851979 OMY851978:OMY851979 OWU851978:OWU851979 PGQ851978:PGQ851979 PQM851978:PQM851979 QAI851978:QAI851979 QKE851978:QKE851979 QUA851978:QUA851979 RDW851978:RDW851979 RNS851978:RNS851979 RXO851978:RXO851979 SHK851978:SHK851979 SRG851978:SRG851979 TBC851978:TBC851979 TKY851978:TKY851979 TUU851978:TUU851979 UEQ851978:UEQ851979 UOM851978:UOM851979 UYI851978:UYI851979 VIE851978:VIE851979 VSA851978:VSA851979 WBW851978:WBW851979 WLS851978:WLS851979 WVO851978:WVO851979 E917514:E917515 JC917514:JC917515 SY917514:SY917515 ACU917514:ACU917515 AMQ917514:AMQ917515 AWM917514:AWM917515 BGI917514:BGI917515 BQE917514:BQE917515 CAA917514:CAA917515 CJW917514:CJW917515 CTS917514:CTS917515 DDO917514:DDO917515 DNK917514:DNK917515 DXG917514:DXG917515 EHC917514:EHC917515 EQY917514:EQY917515 FAU917514:FAU917515 FKQ917514:FKQ917515 FUM917514:FUM917515 GEI917514:GEI917515 GOE917514:GOE917515 GYA917514:GYA917515 HHW917514:HHW917515 HRS917514:HRS917515 IBO917514:IBO917515 ILK917514:ILK917515 IVG917514:IVG917515 JFC917514:JFC917515 JOY917514:JOY917515 JYU917514:JYU917515 KIQ917514:KIQ917515 KSM917514:KSM917515 LCI917514:LCI917515 LME917514:LME917515 LWA917514:LWA917515 MFW917514:MFW917515 MPS917514:MPS917515 MZO917514:MZO917515 NJK917514:NJK917515 NTG917514:NTG917515 ODC917514:ODC917515 OMY917514:OMY917515 OWU917514:OWU917515 PGQ917514:PGQ917515 PQM917514:PQM917515 QAI917514:QAI917515 QKE917514:QKE917515 QUA917514:QUA917515 RDW917514:RDW917515 RNS917514:RNS917515 RXO917514:RXO917515 SHK917514:SHK917515 SRG917514:SRG917515 TBC917514:TBC917515 TKY917514:TKY917515 TUU917514:TUU917515 UEQ917514:UEQ917515 UOM917514:UOM917515 UYI917514:UYI917515 VIE917514:VIE917515 VSA917514:VSA917515 WBW917514:WBW917515 WLS917514:WLS917515 WVO917514:WVO917515 E983050:E983051 JC983050:JC983051 SY983050:SY983051 ACU983050:ACU983051 AMQ983050:AMQ983051 AWM983050:AWM983051 BGI983050:BGI983051 BQE983050:BQE983051 CAA983050:CAA983051 CJW983050:CJW983051 CTS983050:CTS983051 DDO983050:DDO983051 DNK983050:DNK983051 DXG983050:DXG983051 EHC983050:EHC983051 EQY983050:EQY983051 FAU983050:FAU983051 FKQ983050:FKQ983051 FUM983050:FUM983051 GEI983050:GEI983051 GOE983050:GOE983051 GYA983050:GYA983051 HHW983050:HHW983051 HRS983050:HRS983051 IBO983050:IBO983051 ILK983050:ILK983051 IVG983050:IVG983051 JFC983050:JFC983051 JOY983050:JOY983051 JYU983050:JYU983051 KIQ983050:KIQ983051 KSM983050:KSM983051 LCI983050:LCI983051 LME983050:LME983051 LWA983050:LWA983051 MFW983050:MFW983051 MPS983050:MPS983051 MZO983050:MZO983051 NJK983050:NJK983051 NTG983050:NTG983051 ODC983050:ODC983051 OMY983050:OMY983051 OWU983050:OWU983051 PGQ983050:PGQ983051 PQM983050:PQM983051 QAI983050:QAI983051 QKE983050:QKE983051 QUA983050:QUA983051 RDW983050:RDW983051 RNS983050:RNS983051 RXO983050:RXO983051 SHK983050:SHK983051 SRG983050:SRG983051 TBC983050:TBC983051 TKY983050:TKY983051 TUU983050:TUU983051 UEQ983050:UEQ983051 UOM983050:UOM983051 UYI983050:UYI983051 VIE983050:VIE983051 VSA983050:VSA983051 WBW983050:WBW983051 WLS983050:WLS983051 WVO983050:WVO983051" xr:uid="{00000000-0002-0000-0C00-000005000000}"/>
    <dataValidation allowBlank="1" showInputMessage="1" showErrorMessage="1" prompt="Monthly payment is automatically calculated in cell at right" sqref="B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B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B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B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B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B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B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B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B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B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B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B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B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B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B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B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C00-000006000000}"/>
    <dataValidation allowBlank="1" showInputMessage="1" showErrorMessage="1" prompt="Monthly payment is automatically calculated in this cell" sqref="E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E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E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E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E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E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E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E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E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E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E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E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E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E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E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E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xr:uid="{00000000-0002-0000-0C00-000007000000}"/>
    <dataValidation allowBlank="1" showInputMessage="1" showErrorMessage="1" prompt="Enter values in cells E3 through E6 for each description in column B. Values in cells E8 through E11 are automatically calculated" sqref="B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B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B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B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B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B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B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B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B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B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B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B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B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B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B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B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xr:uid="{00000000-0002-0000-0C00-000008000000}"/>
    <dataValidation allowBlank="1" showInputMessage="1" showErrorMessage="1" prompt="Enter Annual interest rate in this cell" sqref="E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E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E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E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E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E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E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E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E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E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E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E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E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E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E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E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xr:uid="{00000000-0002-0000-0C00-000009000000}"/>
    <dataValidation allowBlank="1" showInputMessage="1" showErrorMessage="1" prompt="Enter Loan period in years in cell at right" sqref="B6:B9 IZ6:IZ9 SV6:SV9 ACR6:ACR9 AMN6:AMN9 AWJ6:AWJ9 BGF6:BGF9 BQB6:BQB9 BZX6:BZX9 CJT6:CJT9 CTP6:CTP9 DDL6:DDL9 DNH6:DNH9 DXD6:DXD9 EGZ6:EGZ9 EQV6:EQV9 FAR6:FAR9 FKN6:FKN9 FUJ6:FUJ9 GEF6:GEF9 GOB6:GOB9 GXX6:GXX9 HHT6:HHT9 HRP6:HRP9 IBL6:IBL9 ILH6:ILH9 IVD6:IVD9 JEZ6:JEZ9 JOV6:JOV9 JYR6:JYR9 KIN6:KIN9 KSJ6:KSJ9 LCF6:LCF9 LMB6:LMB9 LVX6:LVX9 MFT6:MFT9 MPP6:MPP9 MZL6:MZL9 NJH6:NJH9 NTD6:NTD9 OCZ6:OCZ9 OMV6:OMV9 OWR6:OWR9 PGN6:PGN9 PQJ6:PQJ9 QAF6:QAF9 QKB6:QKB9 QTX6:QTX9 RDT6:RDT9 RNP6:RNP9 RXL6:RXL9 SHH6:SHH9 SRD6:SRD9 TAZ6:TAZ9 TKV6:TKV9 TUR6:TUR9 UEN6:UEN9 UOJ6:UOJ9 UYF6:UYF9 VIB6:VIB9 VRX6:VRX9 WBT6:WBT9 WLP6:WLP9 WVL6:WVL9 B65542:B65545 IZ65542:IZ65545 SV65542:SV65545 ACR65542:ACR65545 AMN65542:AMN65545 AWJ65542:AWJ65545 BGF65542:BGF65545 BQB65542:BQB65545 BZX65542:BZX65545 CJT65542:CJT65545 CTP65542:CTP65545 DDL65542:DDL65545 DNH65542:DNH65545 DXD65542:DXD65545 EGZ65542:EGZ65545 EQV65542:EQV65545 FAR65542:FAR65545 FKN65542:FKN65545 FUJ65542:FUJ65545 GEF65542:GEF65545 GOB65542:GOB65545 GXX65542:GXX65545 HHT65542:HHT65545 HRP65542:HRP65545 IBL65542:IBL65545 ILH65542:ILH65545 IVD65542:IVD65545 JEZ65542:JEZ65545 JOV65542:JOV65545 JYR65542:JYR65545 KIN65542:KIN65545 KSJ65542:KSJ65545 LCF65542:LCF65545 LMB65542:LMB65545 LVX65542:LVX65545 MFT65542:MFT65545 MPP65542:MPP65545 MZL65542:MZL65545 NJH65542:NJH65545 NTD65542:NTD65545 OCZ65542:OCZ65545 OMV65542:OMV65545 OWR65542:OWR65545 PGN65542:PGN65545 PQJ65542:PQJ65545 QAF65542:QAF65545 QKB65542:QKB65545 QTX65542:QTX65545 RDT65542:RDT65545 RNP65542:RNP65545 RXL65542:RXL65545 SHH65542:SHH65545 SRD65542:SRD65545 TAZ65542:TAZ65545 TKV65542:TKV65545 TUR65542:TUR65545 UEN65542:UEN65545 UOJ65542:UOJ65545 UYF65542:UYF65545 VIB65542:VIB65545 VRX65542:VRX65545 WBT65542:WBT65545 WLP65542:WLP65545 WVL65542:WVL65545 B131078:B131081 IZ131078:IZ131081 SV131078:SV131081 ACR131078:ACR131081 AMN131078:AMN131081 AWJ131078:AWJ131081 BGF131078:BGF131081 BQB131078:BQB131081 BZX131078:BZX131081 CJT131078:CJT131081 CTP131078:CTP131081 DDL131078:DDL131081 DNH131078:DNH131081 DXD131078:DXD131081 EGZ131078:EGZ131081 EQV131078:EQV131081 FAR131078:FAR131081 FKN131078:FKN131081 FUJ131078:FUJ131081 GEF131078:GEF131081 GOB131078:GOB131081 GXX131078:GXX131081 HHT131078:HHT131081 HRP131078:HRP131081 IBL131078:IBL131081 ILH131078:ILH131081 IVD131078:IVD131081 JEZ131078:JEZ131081 JOV131078:JOV131081 JYR131078:JYR131081 KIN131078:KIN131081 KSJ131078:KSJ131081 LCF131078:LCF131081 LMB131078:LMB131081 LVX131078:LVX131081 MFT131078:MFT131081 MPP131078:MPP131081 MZL131078:MZL131081 NJH131078:NJH131081 NTD131078:NTD131081 OCZ131078:OCZ131081 OMV131078:OMV131081 OWR131078:OWR131081 PGN131078:PGN131081 PQJ131078:PQJ131081 QAF131078:QAF131081 QKB131078:QKB131081 QTX131078:QTX131081 RDT131078:RDT131081 RNP131078:RNP131081 RXL131078:RXL131081 SHH131078:SHH131081 SRD131078:SRD131081 TAZ131078:TAZ131081 TKV131078:TKV131081 TUR131078:TUR131081 UEN131078:UEN131081 UOJ131078:UOJ131081 UYF131078:UYF131081 VIB131078:VIB131081 VRX131078:VRX131081 WBT131078:WBT131081 WLP131078:WLP131081 WVL131078:WVL131081 B196614:B196617 IZ196614:IZ196617 SV196614:SV196617 ACR196614:ACR196617 AMN196614:AMN196617 AWJ196614:AWJ196617 BGF196614:BGF196617 BQB196614:BQB196617 BZX196614:BZX196617 CJT196614:CJT196617 CTP196614:CTP196617 DDL196614:DDL196617 DNH196614:DNH196617 DXD196614:DXD196617 EGZ196614:EGZ196617 EQV196614:EQV196617 FAR196614:FAR196617 FKN196614:FKN196617 FUJ196614:FUJ196617 GEF196614:GEF196617 GOB196614:GOB196617 GXX196614:GXX196617 HHT196614:HHT196617 HRP196614:HRP196617 IBL196614:IBL196617 ILH196614:ILH196617 IVD196614:IVD196617 JEZ196614:JEZ196617 JOV196614:JOV196617 JYR196614:JYR196617 KIN196614:KIN196617 KSJ196614:KSJ196617 LCF196614:LCF196617 LMB196614:LMB196617 LVX196614:LVX196617 MFT196614:MFT196617 MPP196614:MPP196617 MZL196614:MZL196617 NJH196614:NJH196617 NTD196614:NTD196617 OCZ196614:OCZ196617 OMV196614:OMV196617 OWR196614:OWR196617 PGN196614:PGN196617 PQJ196614:PQJ196617 QAF196614:QAF196617 QKB196614:QKB196617 QTX196614:QTX196617 RDT196614:RDT196617 RNP196614:RNP196617 RXL196614:RXL196617 SHH196614:SHH196617 SRD196614:SRD196617 TAZ196614:TAZ196617 TKV196614:TKV196617 TUR196614:TUR196617 UEN196614:UEN196617 UOJ196614:UOJ196617 UYF196614:UYF196617 VIB196614:VIB196617 VRX196614:VRX196617 WBT196614:WBT196617 WLP196614:WLP196617 WVL196614:WVL196617 B262150:B262153 IZ262150:IZ262153 SV262150:SV262153 ACR262150:ACR262153 AMN262150:AMN262153 AWJ262150:AWJ262153 BGF262150:BGF262153 BQB262150:BQB262153 BZX262150:BZX262153 CJT262150:CJT262153 CTP262150:CTP262153 DDL262150:DDL262153 DNH262150:DNH262153 DXD262150:DXD262153 EGZ262150:EGZ262153 EQV262150:EQV262153 FAR262150:FAR262153 FKN262150:FKN262153 FUJ262150:FUJ262153 GEF262150:GEF262153 GOB262150:GOB262153 GXX262150:GXX262153 HHT262150:HHT262153 HRP262150:HRP262153 IBL262150:IBL262153 ILH262150:ILH262153 IVD262150:IVD262153 JEZ262150:JEZ262153 JOV262150:JOV262153 JYR262150:JYR262153 KIN262150:KIN262153 KSJ262150:KSJ262153 LCF262150:LCF262153 LMB262150:LMB262153 LVX262150:LVX262153 MFT262150:MFT262153 MPP262150:MPP262153 MZL262150:MZL262153 NJH262150:NJH262153 NTD262150:NTD262153 OCZ262150:OCZ262153 OMV262150:OMV262153 OWR262150:OWR262153 PGN262150:PGN262153 PQJ262150:PQJ262153 QAF262150:QAF262153 QKB262150:QKB262153 QTX262150:QTX262153 RDT262150:RDT262153 RNP262150:RNP262153 RXL262150:RXL262153 SHH262150:SHH262153 SRD262150:SRD262153 TAZ262150:TAZ262153 TKV262150:TKV262153 TUR262150:TUR262153 UEN262150:UEN262153 UOJ262150:UOJ262153 UYF262150:UYF262153 VIB262150:VIB262153 VRX262150:VRX262153 WBT262150:WBT262153 WLP262150:WLP262153 WVL262150:WVL262153 B327686:B327689 IZ327686:IZ327689 SV327686:SV327689 ACR327686:ACR327689 AMN327686:AMN327689 AWJ327686:AWJ327689 BGF327686:BGF327689 BQB327686:BQB327689 BZX327686:BZX327689 CJT327686:CJT327689 CTP327686:CTP327689 DDL327686:DDL327689 DNH327686:DNH327689 DXD327686:DXD327689 EGZ327686:EGZ327689 EQV327686:EQV327689 FAR327686:FAR327689 FKN327686:FKN327689 FUJ327686:FUJ327689 GEF327686:GEF327689 GOB327686:GOB327689 GXX327686:GXX327689 HHT327686:HHT327689 HRP327686:HRP327689 IBL327686:IBL327689 ILH327686:ILH327689 IVD327686:IVD327689 JEZ327686:JEZ327689 JOV327686:JOV327689 JYR327686:JYR327689 KIN327686:KIN327689 KSJ327686:KSJ327689 LCF327686:LCF327689 LMB327686:LMB327689 LVX327686:LVX327689 MFT327686:MFT327689 MPP327686:MPP327689 MZL327686:MZL327689 NJH327686:NJH327689 NTD327686:NTD327689 OCZ327686:OCZ327689 OMV327686:OMV327689 OWR327686:OWR327689 PGN327686:PGN327689 PQJ327686:PQJ327689 QAF327686:QAF327689 QKB327686:QKB327689 QTX327686:QTX327689 RDT327686:RDT327689 RNP327686:RNP327689 RXL327686:RXL327689 SHH327686:SHH327689 SRD327686:SRD327689 TAZ327686:TAZ327689 TKV327686:TKV327689 TUR327686:TUR327689 UEN327686:UEN327689 UOJ327686:UOJ327689 UYF327686:UYF327689 VIB327686:VIB327689 VRX327686:VRX327689 WBT327686:WBT327689 WLP327686:WLP327689 WVL327686:WVL327689 B393222:B393225 IZ393222:IZ393225 SV393222:SV393225 ACR393222:ACR393225 AMN393222:AMN393225 AWJ393222:AWJ393225 BGF393222:BGF393225 BQB393222:BQB393225 BZX393222:BZX393225 CJT393222:CJT393225 CTP393222:CTP393225 DDL393222:DDL393225 DNH393222:DNH393225 DXD393222:DXD393225 EGZ393222:EGZ393225 EQV393222:EQV393225 FAR393222:FAR393225 FKN393222:FKN393225 FUJ393222:FUJ393225 GEF393222:GEF393225 GOB393222:GOB393225 GXX393222:GXX393225 HHT393222:HHT393225 HRP393222:HRP393225 IBL393222:IBL393225 ILH393222:ILH393225 IVD393222:IVD393225 JEZ393222:JEZ393225 JOV393222:JOV393225 JYR393222:JYR393225 KIN393222:KIN393225 KSJ393222:KSJ393225 LCF393222:LCF393225 LMB393222:LMB393225 LVX393222:LVX393225 MFT393222:MFT393225 MPP393222:MPP393225 MZL393222:MZL393225 NJH393222:NJH393225 NTD393222:NTD393225 OCZ393222:OCZ393225 OMV393222:OMV393225 OWR393222:OWR393225 PGN393222:PGN393225 PQJ393222:PQJ393225 QAF393222:QAF393225 QKB393222:QKB393225 QTX393222:QTX393225 RDT393222:RDT393225 RNP393222:RNP393225 RXL393222:RXL393225 SHH393222:SHH393225 SRD393222:SRD393225 TAZ393222:TAZ393225 TKV393222:TKV393225 TUR393222:TUR393225 UEN393222:UEN393225 UOJ393222:UOJ393225 UYF393222:UYF393225 VIB393222:VIB393225 VRX393222:VRX393225 WBT393222:WBT393225 WLP393222:WLP393225 WVL393222:WVL393225 B458758:B458761 IZ458758:IZ458761 SV458758:SV458761 ACR458758:ACR458761 AMN458758:AMN458761 AWJ458758:AWJ458761 BGF458758:BGF458761 BQB458758:BQB458761 BZX458758:BZX458761 CJT458758:CJT458761 CTP458758:CTP458761 DDL458758:DDL458761 DNH458758:DNH458761 DXD458758:DXD458761 EGZ458758:EGZ458761 EQV458758:EQV458761 FAR458758:FAR458761 FKN458758:FKN458761 FUJ458758:FUJ458761 GEF458758:GEF458761 GOB458758:GOB458761 GXX458758:GXX458761 HHT458758:HHT458761 HRP458758:HRP458761 IBL458758:IBL458761 ILH458758:ILH458761 IVD458758:IVD458761 JEZ458758:JEZ458761 JOV458758:JOV458761 JYR458758:JYR458761 KIN458758:KIN458761 KSJ458758:KSJ458761 LCF458758:LCF458761 LMB458758:LMB458761 LVX458758:LVX458761 MFT458758:MFT458761 MPP458758:MPP458761 MZL458758:MZL458761 NJH458758:NJH458761 NTD458758:NTD458761 OCZ458758:OCZ458761 OMV458758:OMV458761 OWR458758:OWR458761 PGN458758:PGN458761 PQJ458758:PQJ458761 QAF458758:QAF458761 QKB458758:QKB458761 QTX458758:QTX458761 RDT458758:RDT458761 RNP458758:RNP458761 RXL458758:RXL458761 SHH458758:SHH458761 SRD458758:SRD458761 TAZ458758:TAZ458761 TKV458758:TKV458761 TUR458758:TUR458761 UEN458758:UEN458761 UOJ458758:UOJ458761 UYF458758:UYF458761 VIB458758:VIB458761 VRX458758:VRX458761 WBT458758:WBT458761 WLP458758:WLP458761 WVL458758:WVL458761 B524294:B524297 IZ524294:IZ524297 SV524294:SV524297 ACR524294:ACR524297 AMN524294:AMN524297 AWJ524294:AWJ524297 BGF524294:BGF524297 BQB524294:BQB524297 BZX524294:BZX524297 CJT524294:CJT524297 CTP524294:CTP524297 DDL524294:DDL524297 DNH524294:DNH524297 DXD524294:DXD524297 EGZ524294:EGZ524297 EQV524294:EQV524297 FAR524294:FAR524297 FKN524294:FKN524297 FUJ524294:FUJ524297 GEF524294:GEF524297 GOB524294:GOB524297 GXX524294:GXX524297 HHT524294:HHT524297 HRP524294:HRP524297 IBL524294:IBL524297 ILH524294:ILH524297 IVD524294:IVD524297 JEZ524294:JEZ524297 JOV524294:JOV524297 JYR524294:JYR524297 KIN524294:KIN524297 KSJ524294:KSJ524297 LCF524294:LCF524297 LMB524294:LMB524297 LVX524294:LVX524297 MFT524294:MFT524297 MPP524294:MPP524297 MZL524294:MZL524297 NJH524294:NJH524297 NTD524294:NTD524297 OCZ524294:OCZ524297 OMV524294:OMV524297 OWR524294:OWR524297 PGN524294:PGN524297 PQJ524294:PQJ524297 QAF524294:QAF524297 QKB524294:QKB524297 QTX524294:QTX524297 RDT524294:RDT524297 RNP524294:RNP524297 RXL524294:RXL524297 SHH524294:SHH524297 SRD524294:SRD524297 TAZ524294:TAZ524297 TKV524294:TKV524297 TUR524294:TUR524297 UEN524294:UEN524297 UOJ524294:UOJ524297 UYF524294:UYF524297 VIB524294:VIB524297 VRX524294:VRX524297 WBT524294:WBT524297 WLP524294:WLP524297 WVL524294:WVL524297 B589830:B589833 IZ589830:IZ589833 SV589830:SV589833 ACR589830:ACR589833 AMN589830:AMN589833 AWJ589830:AWJ589833 BGF589830:BGF589833 BQB589830:BQB589833 BZX589830:BZX589833 CJT589830:CJT589833 CTP589830:CTP589833 DDL589830:DDL589833 DNH589830:DNH589833 DXD589830:DXD589833 EGZ589830:EGZ589833 EQV589830:EQV589833 FAR589830:FAR589833 FKN589830:FKN589833 FUJ589830:FUJ589833 GEF589830:GEF589833 GOB589830:GOB589833 GXX589830:GXX589833 HHT589830:HHT589833 HRP589830:HRP589833 IBL589830:IBL589833 ILH589830:ILH589833 IVD589830:IVD589833 JEZ589830:JEZ589833 JOV589830:JOV589833 JYR589830:JYR589833 KIN589830:KIN589833 KSJ589830:KSJ589833 LCF589830:LCF589833 LMB589830:LMB589833 LVX589830:LVX589833 MFT589830:MFT589833 MPP589830:MPP589833 MZL589830:MZL589833 NJH589830:NJH589833 NTD589830:NTD589833 OCZ589830:OCZ589833 OMV589830:OMV589833 OWR589830:OWR589833 PGN589830:PGN589833 PQJ589830:PQJ589833 QAF589830:QAF589833 QKB589830:QKB589833 QTX589830:QTX589833 RDT589830:RDT589833 RNP589830:RNP589833 RXL589830:RXL589833 SHH589830:SHH589833 SRD589830:SRD589833 TAZ589830:TAZ589833 TKV589830:TKV589833 TUR589830:TUR589833 UEN589830:UEN589833 UOJ589830:UOJ589833 UYF589830:UYF589833 VIB589830:VIB589833 VRX589830:VRX589833 WBT589830:WBT589833 WLP589830:WLP589833 WVL589830:WVL589833 B655366:B655369 IZ655366:IZ655369 SV655366:SV655369 ACR655366:ACR655369 AMN655366:AMN655369 AWJ655366:AWJ655369 BGF655366:BGF655369 BQB655366:BQB655369 BZX655366:BZX655369 CJT655366:CJT655369 CTP655366:CTP655369 DDL655366:DDL655369 DNH655366:DNH655369 DXD655366:DXD655369 EGZ655366:EGZ655369 EQV655366:EQV655369 FAR655366:FAR655369 FKN655366:FKN655369 FUJ655366:FUJ655369 GEF655366:GEF655369 GOB655366:GOB655369 GXX655366:GXX655369 HHT655366:HHT655369 HRP655366:HRP655369 IBL655366:IBL655369 ILH655366:ILH655369 IVD655366:IVD655369 JEZ655366:JEZ655369 JOV655366:JOV655369 JYR655366:JYR655369 KIN655366:KIN655369 KSJ655366:KSJ655369 LCF655366:LCF655369 LMB655366:LMB655369 LVX655366:LVX655369 MFT655366:MFT655369 MPP655366:MPP655369 MZL655366:MZL655369 NJH655366:NJH655369 NTD655366:NTD655369 OCZ655366:OCZ655369 OMV655366:OMV655369 OWR655366:OWR655369 PGN655366:PGN655369 PQJ655366:PQJ655369 QAF655366:QAF655369 QKB655366:QKB655369 QTX655366:QTX655369 RDT655366:RDT655369 RNP655366:RNP655369 RXL655366:RXL655369 SHH655366:SHH655369 SRD655366:SRD655369 TAZ655366:TAZ655369 TKV655366:TKV655369 TUR655366:TUR655369 UEN655366:UEN655369 UOJ655366:UOJ655369 UYF655366:UYF655369 VIB655366:VIB655369 VRX655366:VRX655369 WBT655366:WBT655369 WLP655366:WLP655369 WVL655366:WVL655369 B720902:B720905 IZ720902:IZ720905 SV720902:SV720905 ACR720902:ACR720905 AMN720902:AMN720905 AWJ720902:AWJ720905 BGF720902:BGF720905 BQB720902:BQB720905 BZX720902:BZX720905 CJT720902:CJT720905 CTP720902:CTP720905 DDL720902:DDL720905 DNH720902:DNH720905 DXD720902:DXD720905 EGZ720902:EGZ720905 EQV720902:EQV720905 FAR720902:FAR720905 FKN720902:FKN720905 FUJ720902:FUJ720905 GEF720902:GEF720905 GOB720902:GOB720905 GXX720902:GXX720905 HHT720902:HHT720905 HRP720902:HRP720905 IBL720902:IBL720905 ILH720902:ILH720905 IVD720902:IVD720905 JEZ720902:JEZ720905 JOV720902:JOV720905 JYR720902:JYR720905 KIN720902:KIN720905 KSJ720902:KSJ720905 LCF720902:LCF720905 LMB720902:LMB720905 LVX720902:LVX720905 MFT720902:MFT720905 MPP720902:MPP720905 MZL720902:MZL720905 NJH720902:NJH720905 NTD720902:NTD720905 OCZ720902:OCZ720905 OMV720902:OMV720905 OWR720902:OWR720905 PGN720902:PGN720905 PQJ720902:PQJ720905 QAF720902:QAF720905 QKB720902:QKB720905 QTX720902:QTX720905 RDT720902:RDT720905 RNP720902:RNP720905 RXL720902:RXL720905 SHH720902:SHH720905 SRD720902:SRD720905 TAZ720902:TAZ720905 TKV720902:TKV720905 TUR720902:TUR720905 UEN720902:UEN720905 UOJ720902:UOJ720905 UYF720902:UYF720905 VIB720902:VIB720905 VRX720902:VRX720905 WBT720902:WBT720905 WLP720902:WLP720905 WVL720902:WVL720905 B786438:B786441 IZ786438:IZ786441 SV786438:SV786441 ACR786438:ACR786441 AMN786438:AMN786441 AWJ786438:AWJ786441 BGF786438:BGF786441 BQB786438:BQB786441 BZX786438:BZX786441 CJT786438:CJT786441 CTP786438:CTP786441 DDL786438:DDL786441 DNH786438:DNH786441 DXD786438:DXD786441 EGZ786438:EGZ786441 EQV786438:EQV786441 FAR786438:FAR786441 FKN786438:FKN786441 FUJ786438:FUJ786441 GEF786438:GEF786441 GOB786438:GOB786441 GXX786438:GXX786441 HHT786438:HHT786441 HRP786438:HRP786441 IBL786438:IBL786441 ILH786438:ILH786441 IVD786438:IVD786441 JEZ786438:JEZ786441 JOV786438:JOV786441 JYR786438:JYR786441 KIN786438:KIN786441 KSJ786438:KSJ786441 LCF786438:LCF786441 LMB786438:LMB786441 LVX786438:LVX786441 MFT786438:MFT786441 MPP786438:MPP786441 MZL786438:MZL786441 NJH786438:NJH786441 NTD786438:NTD786441 OCZ786438:OCZ786441 OMV786438:OMV786441 OWR786438:OWR786441 PGN786438:PGN786441 PQJ786438:PQJ786441 QAF786438:QAF786441 QKB786438:QKB786441 QTX786438:QTX786441 RDT786438:RDT786441 RNP786438:RNP786441 RXL786438:RXL786441 SHH786438:SHH786441 SRD786438:SRD786441 TAZ786438:TAZ786441 TKV786438:TKV786441 TUR786438:TUR786441 UEN786438:UEN786441 UOJ786438:UOJ786441 UYF786438:UYF786441 VIB786438:VIB786441 VRX786438:VRX786441 WBT786438:WBT786441 WLP786438:WLP786441 WVL786438:WVL786441 B851974:B851977 IZ851974:IZ851977 SV851974:SV851977 ACR851974:ACR851977 AMN851974:AMN851977 AWJ851974:AWJ851977 BGF851974:BGF851977 BQB851974:BQB851977 BZX851974:BZX851977 CJT851974:CJT851977 CTP851974:CTP851977 DDL851974:DDL851977 DNH851974:DNH851977 DXD851974:DXD851977 EGZ851974:EGZ851977 EQV851974:EQV851977 FAR851974:FAR851977 FKN851974:FKN851977 FUJ851974:FUJ851977 GEF851974:GEF851977 GOB851974:GOB851977 GXX851974:GXX851977 HHT851974:HHT851977 HRP851974:HRP851977 IBL851974:IBL851977 ILH851974:ILH851977 IVD851974:IVD851977 JEZ851974:JEZ851977 JOV851974:JOV851977 JYR851974:JYR851977 KIN851974:KIN851977 KSJ851974:KSJ851977 LCF851974:LCF851977 LMB851974:LMB851977 LVX851974:LVX851977 MFT851974:MFT851977 MPP851974:MPP851977 MZL851974:MZL851977 NJH851974:NJH851977 NTD851974:NTD851977 OCZ851974:OCZ851977 OMV851974:OMV851977 OWR851974:OWR851977 PGN851974:PGN851977 PQJ851974:PQJ851977 QAF851974:QAF851977 QKB851974:QKB851977 QTX851974:QTX851977 RDT851974:RDT851977 RNP851974:RNP851977 RXL851974:RXL851977 SHH851974:SHH851977 SRD851974:SRD851977 TAZ851974:TAZ851977 TKV851974:TKV851977 TUR851974:TUR851977 UEN851974:UEN851977 UOJ851974:UOJ851977 UYF851974:UYF851977 VIB851974:VIB851977 VRX851974:VRX851977 WBT851974:WBT851977 WLP851974:WLP851977 WVL851974:WVL851977 B917510:B917513 IZ917510:IZ917513 SV917510:SV917513 ACR917510:ACR917513 AMN917510:AMN917513 AWJ917510:AWJ917513 BGF917510:BGF917513 BQB917510:BQB917513 BZX917510:BZX917513 CJT917510:CJT917513 CTP917510:CTP917513 DDL917510:DDL917513 DNH917510:DNH917513 DXD917510:DXD917513 EGZ917510:EGZ917513 EQV917510:EQV917513 FAR917510:FAR917513 FKN917510:FKN917513 FUJ917510:FUJ917513 GEF917510:GEF917513 GOB917510:GOB917513 GXX917510:GXX917513 HHT917510:HHT917513 HRP917510:HRP917513 IBL917510:IBL917513 ILH917510:ILH917513 IVD917510:IVD917513 JEZ917510:JEZ917513 JOV917510:JOV917513 JYR917510:JYR917513 KIN917510:KIN917513 KSJ917510:KSJ917513 LCF917510:LCF917513 LMB917510:LMB917513 LVX917510:LVX917513 MFT917510:MFT917513 MPP917510:MPP917513 MZL917510:MZL917513 NJH917510:NJH917513 NTD917510:NTD917513 OCZ917510:OCZ917513 OMV917510:OMV917513 OWR917510:OWR917513 PGN917510:PGN917513 PQJ917510:PQJ917513 QAF917510:QAF917513 QKB917510:QKB917513 QTX917510:QTX917513 RDT917510:RDT917513 RNP917510:RNP917513 RXL917510:RXL917513 SHH917510:SHH917513 SRD917510:SRD917513 TAZ917510:TAZ917513 TKV917510:TKV917513 TUR917510:TUR917513 UEN917510:UEN917513 UOJ917510:UOJ917513 UYF917510:UYF917513 VIB917510:VIB917513 VRX917510:VRX917513 WBT917510:WBT917513 WLP917510:WLP917513 WVL917510:WVL917513 B983046:B983049 IZ983046:IZ983049 SV983046:SV983049 ACR983046:ACR983049 AMN983046:AMN983049 AWJ983046:AWJ983049 BGF983046:BGF983049 BQB983046:BQB983049 BZX983046:BZX983049 CJT983046:CJT983049 CTP983046:CTP983049 DDL983046:DDL983049 DNH983046:DNH983049 DXD983046:DXD983049 EGZ983046:EGZ983049 EQV983046:EQV983049 FAR983046:FAR983049 FKN983046:FKN983049 FUJ983046:FUJ983049 GEF983046:GEF983049 GOB983046:GOB983049 GXX983046:GXX983049 HHT983046:HHT983049 HRP983046:HRP983049 IBL983046:IBL983049 ILH983046:ILH983049 IVD983046:IVD983049 JEZ983046:JEZ983049 JOV983046:JOV983049 JYR983046:JYR983049 KIN983046:KIN983049 KSJ983046:KSJ983049 LCF983046:LCF983049 LMB983046:LMB983049 LVX983046:LVX983049 MFT983046:MFT983049 MPP983046:MPP983049 MZL983046:MZL983049 NJH983046:NJH983049 NTD983046:NTD983049 OCZ983046:OCZ983049 OMV983046:OMV983049 OWR983046:OWR983049 PGN983046:PGN983049 PQJ983046:PQJ983049 QAF983046:QAF983049 QKB983046:QKB983049 QTX983046:QTX983049 RDT983046:RDT983049 RNP983046:RNP983049 RXL983046:RXL983049 SHH983046:SHH983049 SRD983046:SRD983049 TAZ983046:TAZ983049 TKV983046:TKV983049 TUR983046:TUR983049 UEN983046:UEN983049 UOJ983046:UOJ983049 UYF983046:UYF983049 VIB983046:VIB983049 VRX983046:VRX983049 WBT983046:WBT983049 WLP983046:WLP983049 WVL983046:WVL983049 D7:D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D65543:D65545 JB65543:JB65545 SX65543:SX65545 ACT65543:ACT65545 AMP65543:AMP65545 AWL65543:AWL65545 BGH65543:BGH65545 BQD65543:BQD65545 BZZ65543:BZZ65545 CJV65543:CJV65545 CTR65543:CTR65545 DDN65543:DDN65545 DNJ65543:DNJ65545 DXF65543:DXF65545 EHB65543:EHB65545 EQX65543:EQX65545 FAT65543:FAT65545 FKP65543:FKP65545 FUL65543:FUL65545 GEH65543:GEH65545 GOD65543:GOD65545 GXZ65543:GXZ65545 HHV65543:HHV65545 HRR65543:HRR65545 IBN65543:IBN65545 ILJ65543:ILJ65545 IVF65543:IVF65545 JFB65543:JFB65545 JOX65543:JOX65545 JYT65543:JYT65545 KIP65543:KIP65545 KSL65543:KSL65545 LCH65543:LCH65545 LMD65543:LMD65545 LVZ65543:LVZ65545 MFV65543:MFV65545 MPR65543:MPR65545 MZN65543:MZN65545 NJJ65543:NJJ65545 NTF65543:NTF65545 ODB65543:ODB65545 OMX65543:OMX65545 OWT65543:OWT65545 PGP65543:PGP65545 PQL65543:PQL65545 QAH65543:QAH65545 QKD65543:QKD65545 QTZ65543:QTZ65545 RDV65543:RDV65545 RNR65543:RNR65545 RXN65543:RXN65545 SHJ65543:SHJ65545 SRF65543:SRF65545 TBB65543:TBB65545 TKX65543:TKX65545 TUT65543:TUT65545 UEP65543:UEP65545 UOL65543:UOL65545 UYH65543:UYH65545 VID65543:VID65545 VRZ65543:VRZ65545 WBV65543:WBV65545 WLR65543:WLR65545 WVN65543:WVN65545 D131079:D131081 JB131079:JB131081 SX131079:SX131081 ACT131079:ACT131081 AMP131079:AMP131081 AWL131079:AWL131081 BGH131079:BGH131081 BQD131079:BQD131081 BZZ131079:BZZ131081 CJV131079:CJV131081 CTR131079:CTR131081 DDN131079:DDN131081 DNJ131079:DNJ131081 DXF131079:DXF131081 EHB131079:EHB131081 EQX131079:EQX131081 FAT131079:FAT131081 FKP131079:FKP131081 FUL131079:FUL131081 GEH131079:GEH131081 GOD131079:GOD131081 GXZ131079:GXZ131081 HHV131079:HHV131081 HRR131079:HRR131081 IBN131079:IBN131081 ILJ131079:ILJ131081 IVF131079:IVF131081 JFB131079:JFB131081 JOX131079:JOX131081 JYT131079:JYT131081 KIP131079:KIP131081 KSL131079:KSL131081 LCH131079:LCH131081 LMD131079:LMD131081 LVZ131079:LVZ131081 MFV131079:MFV131081 MPR131079:MPR131081 MZN131079:MZN131081 NJJ131079:NJJ131081 NTF131079:NTF131081 ODB131079:ODB131081 OMX131079:OMX131081 OWT131079:OWT131081 PGP131079:PGP131081 PQL131079:PQL131081 QAH131079:QAH131081 QKD131079:QKD131081 QTZ131079:QTZ131081 RDV131079:RDV131081 RNR131079:RNR131081 RXN131079:RXN131081 SHJ131079:SHJ131081 SRF131079:SRF131081 TBB131079:TBB131081 TKX131079:TKX131081 TUT131079:TUT131081 UEP131079:UEP131081 UOL131079:UOL131081 UYH131079:UYH131081 VID131079:VID131081 VRZ131079:VRZ131081 WBV131079:WBV131081 WLR131079:WLR131081 WVN131079:WVN131081 D196615:D196617 JB196615:JB196617 SX196615:SX196617 ACT196615:ACT196617 AMP196615:AMP196617 AWL196615:AWL196617 BGH196615:BGH196617 BQD196615:BQD196617 BZZ196615:BZZ196617 CJV196615:CJV196617 CTR196615:CTR196617 DDN196615:DDN196617 DNJ196615:DNJ196617 DXF196615:DXF196617 EHB196615:EHB196617 EQX196615:EQX196617 FAT196615:FAT196617 FKP196615:FKP196617 FUL196615:FUL196617 GEH196615:GEH196617 GOD196615:GOD196617 GXZ196615:GXZ196617 HHV196615:HHV196617 HRR196615:HRR196617 IBN196615:IBN196617 ILJ196615:ILJ196617 IVF196615:IVF196617 JFB196615:JFB196617 JOX196615:JOX196617 JYT196615:JYT196617 KIP196615:KIP196617 KSL196615:KSL196617 LCH196615:LCH196617 LMD196615:LMD196617 LVZ196615:LVZ196617 MFV196615:MFV196617 MPR196615:MPR196617 MZN196615:MZN196617 NJJ196615:NJJ196617 NTF196615:NTF196617 ODB196615:ODB196617 OMX196615:OMX196617 OWT196615:OWT196617 PGP196615:PGP196617 PQL196615:PQL196617 QAH196615:QAH196617 QKD196615:QKD196617 QTZ196615:QTZ196617 RDV196615:RDV196617 RNR196615:RNR196617 RXN196615:RXN196617 SHJ196615:SHJ196617 SRF196615:SRF196617 TBB196615:TBB196617 TKX196615:TKX196617 TUT196615:TUT196617 UEP196615:UEP196617 UOL196615:UOL196617 UYH196615:UYH196617 VID196615:VID196617 VRZ196615:VRZ196617 WBV196615:WBV196617 WLR196615:WLR196617 WVN196615:WVN196617 D262151:D262153 JB262151:JB262153 SX262151:SX262153 ACT262151:ACT262153 AMP262151:AMP262153 AWL262151:AWL262153 BGH262151:BGH262153 BQD262151:BQD262153 BZZ262151:BZZ262153 CJV262151:CJV262153 CTR262151:CTR262153 DDN262151:DDN262153 DNJ262151:DNJ262153 DXF262151:DXF262153 EHB262151:EHB262153 EQX262151:EQX262153 FAT262151:FAT262153 FKP262151:FKP262153 FUL262151:FUL262153 GEH262151:GEH262153 GOD262151:GOD262153 GXZ262151:GXZ262153 HHV262151:HHV262153 HRR262151:HRR262153 IBN262151:IBN262153 ILJ262151:ILJ262153 IVF262151:IVF262153 JFB262151:JFB262153 JOX262151:JOX262153 JYT262151:JYT262153 KIP262151:KIP262153 KSL262151:KSL262153 LCH262151:LCH262153 LMD262151:LMD262153 LVZ262151:LVZ262153 MFV262151:MFV262153 MPR262151:MPR262153 MZN262151:MZN262153 NJJ262151:NJJ262153 NTF262151:NTF262153 ODB262151:ODB262153 OMX262151:OMX262153 OWT262151:OWT262153 PGP262151:PGP262153 PQL262151:PQL262153 QAH262151:QAH262153 QKD262151:QKD262153 QTZ262151:QTZ262153 RDV262151:RDV262153 RNR262151:RNR262153 RXN262151:RXN262153 SHJ262151:SHJ262153 SRF262151:SRF262153 TBB262151:TBB262153 TKX262151:TKX262153 TUT262151:TUT262153 UEP262151:UEP262153 UOL262151:UOL262153 UYH262151:UYH262153 VID262151:VID262153 VRZ262151:VRZ262153 WBV262151:WBV262153 WLR262151:WLR262153 WVN262151:WVN262153 D327687:D327689 JB327687:JB327689 SX327687:SX327689 ACT327687:ACT327689 AMP327687:AMP327689 AWL327687:AWL327689 BGH327687:BGH327689 BQD327687:BQD327689 BZZ327687:BZZ327689 CJV327687:CJV327689 CTR327687:CTR327689 DDN327687:DDN327689 DNJ327687:DNJ327689 DXF327687:DXF327689 EHB327687:EHB327689 EQX327687:EQX327689 FAT327687:FAT327689 FKP327687:FKP327689 FUL327687:FUL327689 GEH327687:GEH327689 GOD327687:GOD327689 GXZ327687:GXZ327689 HHV327687:HHV327689 HRR327687:HRR327689 IBN327687:IBN327689 ILJ327687:ILJ327689 IVF327687:IVF327689 JFB327687:JFB327689 JOX327687:JOX327689 JYT327687:JYT327689 KIP327687:KIP327689 KSL327687:KSL327689 LCH327687:LCH327689 LMD327687:LMD327689 LVZ327687:LVZ327689 MFV327687:MFV327689 MPR327687:MPR327689 MZN327687:MZN327689 NJJ327687:NJJ327689 NTF327687:NTF327689 ODB327687:ODB327689 OMX327687:OMX327689 OWT327687:OWT327689 PGP327687:PGP327689 PQL327687:PQL327689 QAH327687:QAH327689 QKD327687:QKD327689 QTZ327687:QTZ327689 RDV327687:RDV327689 RNR327687:RNR327689 RXN327687:RXN327689 SHJ327687:SHJ327689 SRF327687:SRF327689 TBB327687:TBB327689 TKX327687:TKX327689 TUT327687:TUT327689 UEP327687:UEP327689 UOL327687:UOL327689 UYH327687:UYH327689 VID327687:VID327689 VRZ327687:VRZ327689 WBV327687:WBV327689 WLR327687:WLR327689 WVN327687:WVN327689 D393223:D393225 JB393223:JB393225 SX393223:SX393225 ACT393223:ACT393225 AMP393223:AMP393225 AWL393223:AWL393225 BGH393223:BGH393225 BQD393223:BQD393225 BZZ393223:BZZ393225 CJV393223:CJV393225 CTR393223:CTR393225 DDN393223:DDN393225 DNJ393223:DNJ393225 DXF393223:DXF393225 EHB393223:EHB393225 EQX393223:EQX393225 FAT393223:FAT393225 FKP393223:FKP393225 FUL393223:FUL393225 GEH393223:GEH393225 GOD393223:GOD393225 GXZ393223:GXZ393225 HHV393223:HHV393225 HRR393223:HRR393225 IBN393223:IBN393225 ILJ393223:ILJ393225 IVF393223:IVF393225 JFB393223:JFB393225 JOX393223:JOX393225 JYT393223:JYT393225 KIP393223:KIP393225 KSL393223:KSL393225 LCH393223:LCH393225 LMD393223:LMD393225 LVZ393223:LVZ393225 MFV393223:MFV393225 MPR393223:MPR393225 MZN393223:MZN393225 NJJ393223:NJJ393225 NTF393223:NTF393225 ODB393223:ODB393225 OMX393223:OMX393225 OWT393223:OWT393225 PGP393223:PGP393225 PQL393223:PQL393225 QAH393223:QAH393225 QKD393223:QKD393225 QTZ393223:QTZ393225 RDV393223:RDV393225 RNR393223:RNR393225 RXN393223:RXN393225 SHJ393223:SHJ393225 SRF393223:SRF393225 TBB393223:TBB393225 TKX393223:TKX393225 TUT393223:TUT393225 UEP393223:UEP393225 UOL393223:UOL393225 UYH393223:UYH393225 VID393223:VID393225 VRZ393223:VRZ393225 WBV393223:WBV393225 WLR393223:WLR393225 WVN393223:WVN393225 D458759:D458761 JB458759:JB458761 SX458759:SX458761 ACT458759:ACT458761 AMP458759:AMP458761 AWL458759:AWL458761 BGH458759:BGH458761 BQD458759:BQD458761 BZZ458759:BZZ458761 CJV458759:CJV458761 CTR458759:CTR458761 DDN458759:DDN458761 DNJ458759:DNJ458761 DXF458759:DXF458761 EHB458759:EHB458761 EQX458759:EQX458761 FAT458759:FAT458761 FKP458759:FKP458761 FUL458759:FUL458761 GEH458759:GEH458761 GOD458759:GOD458761 GXZ458759:GXZ458761 HHV458759:HHV458761 HRR458759:HRR458761 IBN458759:IBN458761 ILJ458759:ILJ458761 IVF458759:IVF458761 JFB458759:JFB458761 JOX458759:JOX458761 JYT458759:JYT458761 KIP458759:KIP458761 KSL458759:KSL458761 LCH458759:LCH458761 LMD458759:LMD458761 LVZ458759:LVZ458761 MFV458759:MFV458761 MPR458759:MPR458761 MZN458759:MZN458761 NJJ458759:NJJ458761 NTF458759:NTF458761 ODB458759:ODB458761 OMX458759:OMX458761 OWT458759:OWT458761 PGP458759:PGP458761 PQL458759:PQL458761 QAH458759:QAH458761 QKD458759:QKD458761 QTZ458759:QTZ458761 RDV458759:RDV458761 RNR458759:RNR458761 RXN458759:RXN458761 SHJ458759:SHJ458761 SRF458759:SRF458761 TBB458759:TBB458761 TKX458759:TKX458761 TUT458759:TUT458761 UEP458759:UEP458761 UOL458759:UOL458761 UYH458759:UYH458761 VID458759:VID458761 VRZ458759:VRZ458761 WBV458759:WBV458761 WLR458759:WLR458761 WVN458759:WVN458761 D524295:D524297 JB524295:JB524297 SX524295:SX524297 ACT524295:ACT524297 AMP524295:AMP524297 AWL524295:AWL524297 BGH524295:BGH524297 BQD524295:BQD524297 BZZ524295:BZZ524297 CJV524295:CJV524297 CTR524295:CTR524297 DDN524295:DDN524297 DNJ524295:DNJ524297 DXF524295:DXF524297 EHB524295:EHB524297 EQX524295:EQX524297 FAT524295:FAT524297 FKP524295:FKP524297 FUL524295:FUL524297 GEH524295:GEH524297 GOD524295:GOD524297 GXZ524295:GXZ524297 HHV524295:HHV524297 HRR524295:HRR524297 IBN524295:IBN524297 ILJ524295:ILJ524297 IVF524295:IVF524297 JFB524295:JFB524297 JOX524295:JOX524297 JYT524295:JYT524297 KIP524295:KIP524297 KSL524295:KSL524297 LCH524295:LCH524297 LMD524295:LMD524297 LVZ524295:LVZ524297 MFV524295:MFV524297 MPR524295:MPR524297 MZN524295:MZN524297 NJJ524295:NJJ524297 NTF524295:NTF524297 ODB524295:ODB524297 OMX524295:OMX524297 OWT524295:OWT524297 PGP524295:PGP524297 PQL524295:PQL524297 QAH524295:QAH524297 QKD524295:QKD524297 QTZ524295:QTZ524297 RDV524295:RDV524297 RNR524295:RNR524297 RXN524295:RXN524297 SHJ524295:SHJ524297 SRF524295:SRF524297 TBB524295:TBB524297 TKX524295:TKX524297 TUT524295:TUT524297 UEP524295:UEP524297 UOL524295:UOL524297 UYH524295:UYH524297 VID524295:VID524297 VRZ524295:VRZ524297 WBV524295:WBV524297 WLR524295:WLR524297 WVN524295:WVN524297 D589831:D589833 JB589831:JB589833 SX589831:SX589833 ACT589831:ACT589833 AMP589831:AMP589833 AWL589831:AWL589833 BGH589831:BGH589833 BQD589831:BQD589833 BZZ589831:BZZ589833 CJV589831:CJV589833 CTR589831:CTR589833 DDN589831:DDN589833 DNJ589831:DNJ589833 DXF589831:DXF589833 EHB589831:EHB589833 EQX589831:EQX589833 FAT589831:FAT589833 FKP589831:FKP589833 FUL589831:FUL589833 GEH589831:GEH589833 GOD589831:GOD589833 GXZ589831:GXZ589833 HHV589831:HHV589833 HRR589831:HRR589833 IBN589831:IBN589833 ILJ589831:ILJ589833 IVF589831:IVF589833 JFB589831:JFB589833 JOX589831:JOX589833 JYT589831:JYT589833 KIP589831:KIP589833 KSL589831:KSL589833 LCH589831:LCH589833 LMD589831:LMD589833 LVZ589831:LVZ589833 MFV589831:MFV589833 MPR589831:MPR589833 MZN589831:MZN589833 NJJ589831:NJJ589833 NTF589831:NTF589833 ODB589831:ODB589833 OMX589831:OMX589833 OWT589831:OWT589833 PGP589831:PGP589833 PQL589831:PQL589833 QAH589831:QAH589833 QKD589831:QKD589833 QTZ589831:QTZ589833 RDV589831:RDV589833 RNR589831:RNR589833 RXN589831:RXN589833 SHJ589831:SHJ589833 SRF589831:SRF589833 TBB589831:TBB589833 TKX589831:TKX589833 TUT589831:TUT589833 UEP589831:UEP589833 UOL589831:UOL589833 UYH589831:UYH589833 VID589831:VID589833 VRZ589831:VRZ589833 WBV589831:WBV589833 WLR589831:WLR589833 WVN589831:WVN589833 D655367:D655369 JB655367:JB655369 SX655367:SX655369 ACT655367:ACT655369 AMP655367:AMP655369 AWL655367:AWL655369 BGH655367:BGH655369 BQD655367:BQD655369 BZZ655367:BZZ655369 CJV655367:CJV655369 CTR655367:CTR655369 DDN655367:DDN655369 DNJ655367:DNJ655369 DXF655367:DXF655369 EHB655367:EHB655369 EQX655367:EQX655369 FAT655367:FAT655369 FKP655367:FKP655369 FUL655367:FUL655369 GEH655367:GEH655369 GOD655367:GOD655369 GXZ655367:GXZ655369 HHV655367:HHV655369 HRR655367:HRR655369 IBN655367:IBN655369 ILJ655367:ILJ655369 IVF655367:IVF655369 JFB655367:JFB655369 JOX655367:JOX655369 JYT655367:JYT655369 KIP655367:KIP655369 KSL655367:KSL655369 LCH655367:LCH655369 LMD655367:LMD655369 LVZ655367:LVZ655369 MFV655367:MFV655369 MPR655367:MPR655369 MZN655367:MZN655369 NJJ655367:NJJ655369 NTF655367:NTF655369 ODB655367:ODB655369 OMX655367:OMX655369 OWT655367:OWT655369 PGP655367:PGP655369 PQL655367:PQL655369 QAH655367:QAH655369 QKD655367:QKD655369 QTZ655367:QTZ655369 RDV655367:RDV655369 RNR655367:RNR655369 RXN655367:RXN655369 SHJ655367:SHJ655369 SRF655367:SRF655369 TBB655367:TBB655369 TKX655367:TKX655369 TUT655367:TUT655369 UEP655367:UEP655369 UOL655367:UOL655369 UYH655367:UYH655369 VID655367:VID655369 VRZ655367:VRZ655369 WBV655367:WBV655369 WLR655367:WLR655369 WVN655367:WVN655369 D720903:D720905 JB720903:JB720905 SX720903:SX720905 ACT720903:ACT720905 AMP720903:AMP720905 AWL720903:AWL720905 BGH720903:BGH720905 BQD720903:BQD720905 BZZ720903:BZZ720905 CJV720903:CJV720905 CTR720903:CTR720905 DDN720903:DDN720905 DNJ720903:DNJ720905 DXF720903:DXF720905 EHB720903:EHB720905 EQX720903:EQX720905 FAT720903:FAT720905 FKP720903:FKP720905 FUL720903:FUL720905 GEH720903:GEH720905 GOD720903:GOD720905 GXZ720903:GXZ720905 HHV720903:HHV720905 HRR720903:HRR720905 IBN720903:IBN720905 ILJ720903:ILJ720905 IVF720903:IVF720905 JFB720903:JFB720905 JOX720903:JOX720905 JYT720903:JYT720905 KIP720903:KIP720905 KSL720903:KSL720905 LCH720903:LCH720905 LMD720903:LMD720905 LVZ720903:LVZ720905 MFV720903:MFV720905 MPR720903:MPR720905 MZN720903:MZN720905 NJJ720903:NJJ720905 NTF720903:NTF720905 ODB720903:ODB720905 OMX720903:OMX720905 OWT720903:OWT720905 PGP720903:PGP720905 PQL720903:PQL720905 QAH720903:QAH720905 QKD720903:QKD720905 QTZ720903:QTZ720905 RDV720903:RDV720905 RNR720903:RNR720905 RXN720903:RXN720905 SHJ720903:SHJ720905 SRF720903:SRF720905 TBB720903:TBB720905 TKX720903:TKX720905 TUT720903:TUT720905 UEP720903:UEP720905 UOL720903:UOL720905 UYH720903:UYH720905 VID720903:VID720905 VRZ720903:VRZ720905 WBV720903:WBV720905 WLR720903:WLR720905 WVN720903:WVN720905 D786439:D786441 JB786439:JB786441 SX786439:SX786441 ACT786439:ACT786441 AMP786439:AMP786441 AWL786439:AWL786441 BGH786439:BGH786441 BQD786439:BQD786441 BZZ786439:BZZ786441 CJV786439:CJV786441 CTR786439:CTR786441 DDN786439:DDN786441 DNJ786439:DNJ786441 DXF786439:DXF786441 EHB786439:EHB786441 EQX786439:EQX786441 FAT786439:FAT786441 FKP786439:FKP786441 FUL786439:FUL786441 GEH786439:GEH786441 GOD786439:GOD786441 GXZ786439:GXZ786441 HHV786439:HHV786441 HRR786439:HRR786441 IBN786439:IBN786441 ILJ786439:ILJ786441 IVF786439:IVF786441 JFB786439:JFB786441 JOX786439:JOX786441 JYT786439:JYT786441 KIP786439:KIP786441 KSL786439:KSL786441 LCH786439:LCH786441 LMD786439:LMD786441 LVZ786439:LVZ786441 MFV786439:MFV786441 MPR786439:MPR786441 MZN786439:MZN786441 NJJ786439:NJJ786441 NTF786439:NTF786441 ODB786439:ODB786441 OMX786439:OMX786441 OWT786439:OWT786441 PGP786439:PGP786441 PQL786439:PQL786441 QAH786439:QAH786441 QKD786439:QKD786441 QTZ786439:QTZ786441 RDV786439:RDV786441 RNR786439:RNR786441 RXN786439:RXN786441 SHJ786439:SHJ786441 SRF786439:SRF786441 TBB786439:TBB786441 TKX786439:TKX786441 TUT786439:TUT786441 UEP786439:UEP786441 UOL786439:UOL786441 UYH786439:UYH786441 VID786439:VID786441 VRZ786439:VRZ786441 WBV786439:WBV786441 WLR786439:WLR786441 WVN786439:WVN786441 D851975:D851977 JB851975:JB851977 SX851975:SX851977 ACT851975:ACT851977 AMP851975:AMP851977 AWL851975:AWL851977 BGH851975:BGH851977 BQD851975:BQD851977 BZZ851975:BZZ851977 CJV851975:CJV851977 CTR851975:CTR851977 DDN851975:DDN851977 DNJ851975:DNJ851977 DXF851975:DXF851977 EHB851975:EHB851977 EQX851975:EQX851977 FAT851975:FAT851977 FKP851975:FKP851977 FUL851975:FUL851977 GEH851975:GEH851977 GOD851975:GOD851977 GXZ851975:GXZ851977 HHV851975:HHV851977 HRR851975:HRR851977 IBN851975:IBN851977 ILJ851975:ILJ851977 IVF851975:IVF851977 JFB851975:JFB851977 JOX851975:JOX851977 JYT851975:JYT851977 KIP851975:KIP851977 KSL851975:KSL851977 LCH851975:LCH851977 LMD851975:LMD851977 LVZ851975:LVZ851977 MFV851975:MFV851977 MPR851975:MPR851977 MZN851975:MZN851977 NJJ851975:NJJ851977 NTF851975:NTF851977 ODB851975:ODB851977 OMX851975:OMX851977 OWT851975:OWT851977 PGP851975:PGP851977 PQL851975:PQL851977 QAH851975:QAH851977 QKD851975:QKD851977 QTZ851975:QTZ851977 RDV851975:RDV851977 RNR851975:RNR851977 RXN851975:RXN851977 SHJ851975:SHJ851977 SRF851975:SRF851977 TBB851975:TBB851977 TKX851975:TKX851977 TUT851975:TUT851977 UEP851975:UEP851977 UOL851975:UOL851977 UYH851975:UYH851977 VID851975:VID851977 VRZ851975:VRZ851977 WBV851975:WBV851977 WLR851975:WLR851977 WVN851975:WVN851977 D917511:D917513 JB917511:JB917513 SX917511:SX917513 ACT917511:ACT917513 AMP917511:AMP917513 AWL917511:AWL917513 BGH917511:BGH917513 BQD917511:BQD917513 BZZ917511:BZZ917513 CJV917511:CJV917513 CTR917511:CTR917513 DDN917511:DDN917513 DNJ917511:DNJ917513 DXF917511:DXF917513 EHB917511:EHB917513 EQX917511:EQX917513 FAT917511:FAT917513 FKP917511:FKP917513 FUL917511:FUL917513 GEH917511:GEH917513 GOD917511:GOD917513 GXZ917511:GXZ917513 HHV917511:HHV917513 HRR917511:HRR917513 IBN917511:IBN917513 ILJ917511:ILJ917513 IVF917511:IVF917513 JFB917511:JFB917513 JOX917511:JOX917513 JYT917511:JYT917513 KIP917511:KIP917513 KSL917511:KSL917513 LCH917511:LCH917513 LMD917511:LMD917513 LVZ917511:LVZ917513 MFV917511:MFV917513 MPR917511:MPR917513 MZN917511:MZN917513 NJJ917511:NJJ917513 NTF917511:NTF917513 ODB917511:ODB917513 OMX917511:OMX917513 OWT917511:OWT917513 PGP917511:PGP917513 PQL917511:PQL917513 QAH917511:QAH917513 QKD917511:QKD917513 QTZ917511:QTZ917513 RDV917511:RDV917513 RNR917511:RNR917513 RXN917511:RXN917513 SHJ917511:SHJ917513 SRF917511:SRF917513 TBB917511:TBB917513 TKX917511:TKX917513 TUT917511:TUT917513 UEP917511:UEP917513 UOL917511:UOL917513 UYH917511:UYH917513 VID917511:VID917513 VRZ917511:VRZ917513 WBV917511:WBV917513 WLR917511:WLR917513 WVN917511:WVN917513 D983047:D983049 JB983047:JB983049 SX983047:SX983049 ACT983047:ACT983049 AMP983047:AMP983049 AWL983047:AWL983049 BGH983047:BGH983049 BQD983047:BQD983049 BZZ983047:BZZ983049 CJV983047:CJV983049 CTR983047:CTR983049 DDN983047:DDN983049 DNJ983047:DNJ983049 DXF983047:DXF983049 EHB983047:EHB983049 EQX983047:EQX983049 FAT983047:FAT983049 FKP983047:FKP983049 FUL983047:FUL983049 GEH983047:GEH983049 GOD983047:GOD983049 GXZ983047:GXZ983049 HHV983047:HHV983049 HRR983047:HRR983049 IBN983047:IBN983049 ILJ983047:ILJ983049 IVF983047:IVF983049 JFB983047:JFB983049 JOX983047:JOX983049 JYT983047:JYT983049 KIP983047:KIP983049 KSL983047:KSL983049 LCH983047:LCH983049 LMD983047:LMD983049 LVZ983047:LVZ983049 MFV983047:MFV983049 MPR983047:MPR983049 MZN983047:MZN983049 NJJ983047:NJJ983049 NTF983047:NTF983049 ODB983047:ODB983049 OMX983047:OMX983049 OWT983047:OWT983049 PGP983047:PGP983049 PQL983047:PQL983049 QAH983047:QAH983049 QKD983047:QKD983049 QTZ983047:QTZ983049 RDV983047:RDV983049 RNR983047:RNR983049 RXN983047:RXN983049 SHJ983047:SHJ983049 SRF983047:SRF983049 TBB983047:TBB983049 TKX983047:TKX983049 TUT983047:TUT983049 UEP983047:UEP983049 UOL983047:UOL983049 UYH983047:UYH983049 VID983047:VID983049 VRZ983047:VRZ983049 WBV983047:WBV983049 WLR983047:WLR983049 WVN983047:WVN983049" xr:uid="{00000000-0002-0000-0C00-00000A000000}"/>
    <dataValidation allowBlank="1" showInputMessage="1" showErrorMessage="1" prompt="Total interest is automatically calculated in cell at right" sqref="B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B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B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B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B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B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B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B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B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B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B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B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B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B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B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B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C00-00000B000000}"/>
    <dataValidation allowBlank="1" showInputMessage="1" showErrorMessage="1" prompt="Total interest is automatically calculated in this cell" sqref="E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E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E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E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E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E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E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E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E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E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E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E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E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E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E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E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xr:uid="{00000000-0002-0000-0C00-00000C000000}"/>
    <dataValidation allowBlank="1" showInputMessage="1" showErrorMessage="1" prompt="Total cost of loan is automatically calculated in cell at right" sqref="B14:D14 IZ14:JB14 SV14:SX14 ACR14:ACT14 AMN14:AMP14 AWJ14:AWL14 BGF14:BGH14 BQB14:BQD14 BZX14:BZZ14 CJT14:CJV14 CTP14:CTR14 DDL14:DDN14 DNH14:DNJ14 DXD14:DXF14 EGZ14:EHB14 EQV14:EQX14 FAR14:FAT14 FKN14:FKP14 FUJ14:FUL14 GEF14:GEH14 GOB14:GOD14 GXX14:GXZ14 HHT14:HHV14 HRP14:HRR14 IBL14:IBN14 ILH14:ILJ14 IVD14:IVF14 JEZ14:JFB14 JOV14:JOX14 JYR14:JYT14 KIN14:KIP14 KSJ14:KSL14 LCF14:LCH14 LMB14:LMD14 LVX14:LVZ14 MFT14:MFV14 MPP14:MPR14 MZL14:MZN14 NJH14:NJJ14 NTD14:NTF14 OCZ14:ODB14 OMV14:OMX14 OWR14:OWT14 PGN14:PGP14 PQJ14:PQL14 QAF14:QAH14 QKB14:QKD14 QTX14:QTZ14 RDT14:RDV14 RNP14:RNR14 RXL14:RXN14 SHH14:SHJ14 SRD14:SRF14 TAZ14:TBB14 TKV14:TKX14 TUR14:TUT14 UEN14:UEP14 UOJ14:UOL14 UYF14:UYH14 VIB14:VID14 VRX14:VRZ14 WBT14:WBV14 WLP14:WLR14 WVL14:WVN14 B65550:D65550 IZ65550:JB65550 SV65550:SX65550 ACR65550:ACT65550 AMN65550:AMP65550 AWJ65550:AWL65550 BGF65550:BGH65550 BQB65550:BQD65550 BZX65550:BZZ65550 CJT65550:CJV65550 CTP65550:CTR65550 DDL65550:DDN65550 DNH65550:DNJ65550 DXD65550:DXF65550 EGZ65550:EHB65550 EQV65550:EQX65550 FAR65550:FAT65550 FKN65550:FKP65550 FUJ65550:FUL65550 GEF65550:GEH65550 GOB65550:GOD65550 GXX65550:GXZ65550 HHT65550:HHV65550 HRP65550:HRR65550 IBL65550:IBN65550 ILH65550:ILJ65550 IVD65550:IVF65550 JEZ65550:JFB65550 JOV65550:JOX65550 JYR65550:JYT65550 KIN65550:KIP65550 KSJ65550:KSL65550 LCF65550:LCH65550 LMB65550:LMD65550 LVX65550:LVZ65550 MFT65550:MFV65550 MPP65550:MPR65550 MZL65550:MZN65550 NJH65550:NJJ65550 NTD65550:NTF65550 OCZ65550:ODB65550 OMV65550:OMX65550 OWR65550:OWT65550 PGN65550:PGP65550 PQJ65550:PQL65550 QAF65550:QAH65550 QKB65550:QKD65550 QTX65550:QTZ65550 RDT65550:RDV65550 RNP65550:RNR65550 RXL65550:RXN65550 SHH65550:SHJ65550 SRD65550:SRF65550 TAZ65550:TBB65550 TKV65550:TKX65550 TUR65550:TUT65550 UEN65550:UEP65550 UOJ65550:UOL65550 UYF65550:UYH65550 VIB65550:VID65550 VRX65550:VRZ65550 WBT65550:WBV65550 WLP65550:WLR65550 WVL65550:WVN65550 B131086:D131086 IZ131086:JB131086 SV131086:SX131086 ACR131086:ACT131086 AMN131086:AMP131086 AWJ131086:AWL131086 BGF131086:BGH131086 BQB131086:BQD131086 BZX131086:BZZ131086 CJT131086:CJV131086 CTP131086:CTR131086 DDL131086:DDN131086 DNH131086:DNJ131086 DXD131086:DXF131086 EGZ131086:EHB131086 EQV131086:EQX131086 FAR131086:FAT131086 FKN131086:FKP131086 FUJ131086:FUL131086 GEF131086:GEH131086 GOB131086:GOD131086 GXX131086:GXZ131086 HHT131086:HHV131086 HRP131086:HRR131086 IBL131086:IBN131086 ILH131086:ILJ131086 IVD131086:IVF131086 JEZ131086:JFB131086 JOV131086:JOX131086 JYR131086:JYT131086 KIN131086:KIP131086 KSJ131086:KSL131086 LCF131086:LCH131086 LMB131086:LMD131086 LVX131086:LVZ131086 MFT131086:MFV131086 MPP131086:MPR131086 MZL131086:MZN131086 NJH131086:NJJ131086 NTD131086:NTF131086 OCZ131086:ODB131086 OMV131086:OMX131086 OWR131086:OWT131086 PGN131086:PGP131086 PQJ131086:PQL131086 QAF131086:QAH131086 QKB131086:QKD131086 QTX131086:QTZ131086 RDT131086:RDV131086 RNP131086:RNR131086 RXL131086:RXN131086 SHH131086:SHJ131086 SRD131086:SRF131086 TAZ131086:TBB131086 TKV131086:TKX131086 TUR131086:TUT131086 UEN131086:UEP131086 UOJ131086:UOL131086 UYF131086:UYH131086 VIB131086:VID131086 VRX131086:VRZ131086 WBT131086:WBV131086 WLP131086:WLR131086 WVL131086:WVN131086 B196622:D196622 IZ196622:JB196622 SV196622:SX196622 ACR196622:ACT196622 AMN196622:AMP196622 AWJ196622:AWL196622 BGF196622:BGH196622 BQB196622:BQD196622 BZX196622:BZZ196622 CJT196622:CJV196622 CTP196622:CTR196622 DDL196622:DDN196622 DNH196622:DNJ196622 DXD196622:DXF196622 EGZ196622:EHB196622 EQV196622:EQX196622 FAR196622:FAT196622 FKN196622:FKP196622 FUJ196622:FUL196622 GEF196622:GEH196622 GOB196622:GOD196622 GXX196622:GXZ196622 HHT196622:HHV196622 HRP196622:HRR196622 IBL196622:IBN196622 ILH196622:ILJ196622 IVD196622:IVF196622 JEZ196622:JFB196622 JOV196622:JOX196622 JYR196622:JYT196622 KIN196622:KIP196622 KSJ196622:KSL196622 LCF196622:LCH196622 LMB196622:LMD196622 LVX196622:LVZ196622 MFT196622:MFV196622 MPP196622:MPR196622 MZL196622:MZN196622 NJH196622:NJJ196622 NTD196622:NTF196622 OCZ196622:ODB196622 OMV196622:OMX196622 OWR196622:OWT196622 PGN196622:PGP196622 PQJ196622:PQL196622 QAF196622:QAH196622 QKB196622:QKD196622 QTX196622:QTZ196622 RDT196622:RDV196622 RNP196622:RNR196622 RXL196622:RXN196622 SHH196622:SHJ196622 SRD196622:SRF196622 TAZ196622:TBB196622 TKV196622:TKX196622 TUR196622:TUT196622 UEN196622:UEP196622 UOJ196622:UOL196622 UYF196622:UYH196622 VIB196622:VID196622 VRX196622:VRZ196622 WBT196622:WBV196622 WLP196622:WLR196622 WVL196622:WVN196622 B262158:D262158 IZ262158:JB262158 SV262158:SX262158 ACR262158:ACT262158 AMN262158:AMP262158 AWJ262158:AWL262158 BGF262158:BGH262158 BQB262158:BQD262158 BZX262158:BZZ262158 CJT262158:CJV262158 CTP262158:CTR262158 DDL262158:DDN262158 DNH262158:DNJ262158 DXD262158:DXF262158 EGZ262158:EHB262158 EQV262158:EQX262158 FAR262158:FAT262158 FKN262158:FKP262158 FUJ262158:FUL262158 GEF262158:GEH262158 GOB262158:GOD262158 GXX262158:GXZ262158 HHT262158:HHV262158 HRP262158:HRR262158 IBL262158:IBN262158 ILH262158:ILJ262158 IVD262158:IVF262158 JEZ262158:JFB262158 JOV262158:JOX262158 JYR262158:JYT262158 KIN262158:KIP262158 KSJ262158:KSL262158 LCF262158:LCH262158 LMB262158:LMD262158 LVX262158:LVZ262158 MFT262158:MFV262158 MPP262158:MPR262158 MZL262158:MZN262158 NJH262158:NJJ262158 NTD262158:NTF262158 OCZ262158:ODB262158 OMV262158:OMX262158 OWR262158:OWT262158 PGN262158:PGP262158 PQJ262158:PQL262158 QAF262158:QAH262158 QKB262158:QKD262158 QTX262158:QTZ262158 RDT262158:RDV262158 RNP262158:RNR262158 RXL262158:RXN262158 SHH262158:SHJ262158 SRD262158:SRF262158 TAZ262158:TBB262158 TKV262158:TKX262158 TUR262158:TUT262158 UEN262158:UEP262158 UOJ262158:UOL262158 UYF262158:UYH262158 VIB262158:VID262158 VRX262158:VRZ262158 WBT262158:WBV262158 WLP262158:WLR262158 WVL262158:WVN262158 B327694:D327694 IZ327694:JB327694 SV327694:SX327694 ACR327694:ACT327694 AMN327694:AMP327694 AWJ327694:AWL327694 BGF327694:BGH327694 BQB327694:BQD327694 BZX327694:BZZ327694 CJT327694:CJV327694 CTP327694:CTR327694 DDL327694:DDN327694 DNH327694:DNJ327694 DXD327694:DXF327694 EGZ327694:EHB327694 EQV327694:EQX327694 FAR327694:FAT327694 FKN327694:FKP327694 FUJ327694:FUL327694 GEF327694:GEH327694 GOB327694:GOD327694 GXX327694:GXZ327694 HHT327694:HHV327694 HRP327694:HRR327694 IBL327694:IBN327694 ILH327694:ILJ327694 IVD327694:IVF327694 JEZ327694:JFB327694 JOV327694:JOX327694 JYR327694:JYT327694 KIN327694:KIP327694 KSJ327694:KSL327694 LCF327694:LCH327694 LMB327694:LMD327694 LVX327694:LVZ327694 MFT327694:MFV327694 MPP327694:MPR327694 MZL327694:MZN327694 NJH327694:NJJ327694 NTD327694:NTF327694 OCZ327694:ODB327694 OMV327694:OMX327694 OWR327694:OWT327694 PGN327694:PGP327694 PQJ327694:PQL327694 QAF327694:QAH327694 QKB327694:QKD327694 QTX327694:QTZ327694 RDT327694:RDV327694 RNP327694:RNR327694 RXL327694:RXN327694 SHH327694:SHJ327694 SRD327694:SRF327694 TAZ327694:TBB327694 TKV327694:TKX327694 TUR327694:TUT327694 UEN327694:UEP327694 UOJ327694:UOL327694 UYF327694:UYH327694 VIB327694:VID327694 VRX327694:VRZ327694 WBT327694:WBV327694 WLP327694:WLR327694 WVL327694:WVN327694 B393230:D393230 IZ393230:JB393230 SV393230:SX393230 ACR393230:ACT393230 AMN393230:AMP393230 AWJ393230:AWL393230 BGF393230:BGH393230 BQB393230:BQD393230 BZX393230:BZZ393230 CJT393230:CJV393230 CTP393230:CTR393230 DDL393230:DDN393230 DNH393230:DNJ393230 DXD393230:DXF393230 EGZ393230:EHB393230 EQV393230:EQX393230 FAR393230:FAT393230 FKN393230:FKP393230 FUJ393230:FUL393230 GEF393230:GEH393230 GOB393230:GOD393230 GXX393230:GXZ393230 HHT393230:HHV393230 HRP393230:HRR393230 IBL393230:IBN393230 ILH393230:ILJ393230 IVD393230:IVF393230 JEZ393230:JFB393230 JOV393230:JOX393230 JYR393230:JYT393230 KIN393230:KIP393230 KSJ393230:KSL393230 LCF393230:LCH393230 LMB393230:LMD393230 LVX393230:LVZ393230 MFT393230:MFV393230 MPP393230:MPR393230 MZL393230:MZN393230 NJH393230:NJJ393230 NTD393230:NTF393230 OCZ393230:ODB393230 OMV393230:OMX393230 OWR393230:OWT393230 PGN393230:PGP393230 PQJ393230:PQL393230 QAF393230:QAH393230 QKB393230:QKD393230 QTX393230:QTZ393230 RDT393230:RDV393230 RNP393230:RNR393230 RXL393230:RXN393230 SHH393230:SHJ393230 SRD393230:SRF393230 TAZ393230:TBB393230 TKV393230:TKX393230 TUR393230:TUT393230 UEN393230:UEP393230 UOJ393230:UOL393230 UYF393230:UYH393230 VIB393230:VID393230 VRX393230:VRZ393230 WBT393230:WBV393230 WLP393230:WLR393230 WVL393230:WVN393230 B458766:D458766 IZ458766:JB458766 SV458766:SX458766 ACR458766:ACT458766 AMN458766:AMP458766 AWJ458766:AWL458766 BGF458766:BGH458766 BQB458766:BQD458766 BZX458766:BZZ458766 CJT458766:CJV458766 CTP458766:CTR458766 DDL458766:DDN458766 DNH458766:DNJ458766 DXD458766:DXF458766 EGZ458766:EHB458766 EQV458766:EQX458766 FAR458766:FAT458766 FKN458766:FKP458766 FUJ458766:FUL458766 GEF458766:GEH458766 GOB458766:GOD458766 GXX458766:GXZ458766 HHT458766:HHV458766 HRP458766:HRR458766 IBL458766:IBN458766 ILH458766:ILJ458766 IVD458766:IVF458766 JEZ458766:JFB458766 JOV458766:JOX458766 JYR458766:JYT458766 KIN458766:KIP458766 KSJ458766:KSL458766 LCF458766:LCH458766 LMB458766:LMD458766 LVX458766:LVZ458766 MFT458766:MFV458766 MPP458766:MPR458766 MZL458766:MZN458766 NJH458766:NJJ458766 NTD458766:NTF458766 OCZ458766:ODB458766 OMV458766:OMX458766 OWR458766:OWT458766 PGN458766:PGP458766 PQJ458766:PQL458766 QAF458766:QAH458766 QKB458766:QKD458766 QTX458766:QTZ458766 RDT458766:RDV458766 RNP458766:RNR458766 RXL458766:RXN458766 SHH458766:SHJ458766 SRD458766:SRF458766 TAZ458766:TBB458766 TKV458766:TKX458766 TUR458766:TUT458766 UEN458766:UEP458766 UOJ458766:UOL458766 UYF458766:UYH458766 VIB458766:VID458766 VRX458766:VRZ458766 WBT458766:WBV458766 WLP458766:WLR458766 WVL458766:WVN458766 B524302:D524302 IZ524302:JB524302 SV524302:SX524302 ACR524302:ACT524302 AMN524302:AMP524302 AWJ524302:AWL524302 BGF524302:BGH524302 BQB524302:BQD524302 BZX524302:BZZ524302 CJT524302:CJV524302 CTP524302:CTR524302 DDL524302:DDN524302 DNH524302:DNJ524302 DXD524302:DXF524302 EGZ524302:EHB524302 EQV524302:EQX524302 FAR524302:FAT524302 FKN524302:FKP524302 FUJ524302:FUL524302 GEF524302:GEH524302 GOB524302:GOD524302 GXX524302:GXZ524302 HHT524302:HHV524302 HRP524302:HRR524302 IBL524302:IBN524302 ILH524302:ILJ524302 IVD524302:IVF524302 JEZ524302:JFB524302 JOV524302:JOX524302 JYR524302:JYT524302 KIN524302:KIP524302 KSJ524302:KSL524302 LCF524302:LCH524302 LMB524302:LMD524302 LVX524302:LVZ524302 MFT524302:MFV524302 MPP524302:MPR524302 MZL524302:MZN524302 NJH524302:NJJ524302 NTD524302:NTF524302 OCZ524302:ODB524302 OMV524302:OMX524302 OWR524302:OWT524302 PGN524302:PGP524302 PQJ524302:PQL524302 QAF524302:QAH524302 QKB524302:QKD524302 QTX524302:QTZ524302 RDT524302:RDV524302 RNP524302:RNR524302 RXL524302:RXN524302 SHH524302:SHJ524302 SRD524302:SRF524302 TAZ524302:TBB524302 TKV524302:TKX524302 TUR524302:TUT524302 UEN524302:UEP524302 UOJ524302:UOL524302 UYF524302:UYH524302 VIB524302:VID524302 VRX524302:VRZ524302 WBT524302:WBV524302 WLP524302:WLR524302 WVL524302:WVN524302 B589838:D589838 IZ589838:JB589838 SV589838:SX589838 ACR589838:ACT589838 AMN589838:AMP589838 AWJ589838:AWL589838 BGF589838:BGH589838 BQB589838:BQD589838 BZX589838:BZZ589838 CJT589838:CJV589838 CTP589838:CTR589838 DDL589838:DDN589838 DNH589838:DNJ589838 DXD589838:DXF589838 EGZ589838:EHB589838 EQV589838:EQX589838 FAR589838:FAT589838 FKN589838:FKP589838 FUJ589838:FUL589838 GEF589838:GEH589838 GOB589838:GOD589838 GXX589838:GXZ589838 HHT589838:HHV589838 HRP589838:HRR589838 IBL589838:IBN589838 ILH589838:ILJ589838 IVD589838:IVF589838 JEZ589838:JFB589838 JOV589838:JOX589838 JYR589838:JYT589838 KIN589838:KIP589838 KSJ589838:KSL589838 LCF589838:LCH589838 LMB589838:LMD589838 LVX589838:LVZ589838 MFT589838:MFV589838 MPP589838:MPR589838 MZL589838:MZN589838 NJH589838:NJJ589838 NTD589838:NTF589838 OCZ589838:ODB589838 OMV589838:OMX589838 OWR589838:OWT589838 PGN589838:PGP589838 PQJ589838:PQL589838 QAF589838:QAH589838 QKB589838:QKD589838 QTX589838:QTZ589838 RDT589838:RDV589838 RNP589838:RNR589838 RXL589838:RXN589838 SHH589838:SHJ589838 SRD589838:SRF589838 TAZ589838:TBB589838 TKV589838:TKX589838 TUR589838:TUT589838 UEN589838:UEP589838 UOJ589838:UOL589838 UYF589838:UYH589838 VIB589838:VID589838 VRX589838:VRZ589838 WBT589838:WBV589838 WLP589838:WLR589838 WVL589838:WVN589838 B655374:D655374 IZ655374:JB655374 SV655374:SX655374 ACR655374:ACT655374 AMN655374:AMP655374 AWJ655374:AWL655374 BGF655374:BGH655374 BQB655374:BQD655374 BZX655374:BZZ655374 CJT655374:CJV655374 CTP655374:CTR655374 DDL655374:DDN655374 DNH655374:DNJ655374 DXD655374:DXF655374 EGZ655374:EHB655374 EQV655374:EQX655374 FAR655374:FAT655374 FKN655374:FKP655374 FUJ655374:FUL655374 GEF655374:GEH655374 GOB655374:GOD655374 GXX655374:GXZ655374 HHT655374:HHV655374 HRP655374:HRR655374 IBL655374:IBN655374 ILH655374:ILJ655374 IVD655374:IVF655374 JEZ655374:JFB655374 JOV655374:JOX655374 JYR655374:JYT655374 KIN655374:KIP655374 KSJ655374:KSL655374 LCF655374:LCH655374 LMB655374:LMD655374 LVX655374:LVZ655374 MFT655374:MFV655374 MPP655374:MPR655374 MZL655374:MZN655374 NJH655374:NJJ655374 NTD655374:NTF655374 OCZ655374:ODB655374 OMV655374:OMX655374 OWR655374:OWT655374 PGN655374:PGP655374 PQJ655374:PQL655374 QAF655374:QAH655374 QKB655374:QKD655374 QTX655374:QTZ655374 RDT655374:RDV655374 RNP655374:RNR655374 RXL655374:RXN655374 SHH655374:SHJ655374 SRD655374:SRF655374 TAZ655374:TBB655374 TKV655374:TKX655374 TUR655374:TUT655374 UEN655374:UEP655374 UOJ655374:UOL655374 UYF655374:UYH655374 VIB655374:VID655374 VRX655374:VRZ655374 WBT655374:WBV655374 WLP655374:WLR655374 WVL655374:WVN655374 B720910:D720910 IZ720910:JB720910 SV720910:SX720910 ACR720910:ACT720910 AMN720910:AMP720910 AWJ720910:AWL720910 BGF720910:BGH720910 BQB720910:BQD720910 BZX720910:BZZ720910 CJT720910:CJV720910 CTP720910:CTR720910 DDL720910:DDN720910 DNH720910:DNJ720910 DXD720910:DXF720910 EGZ720910:EHB720910 EQV720910:EQX720910 FAR720910:FAT720910 FKN720910:FKP720910 FUJ720910:FUL720910 GEF720910:GEH720910 GOB720910:GOD720910 GXX720910:GXZ720910 HHT720910:HHV720910 HRP720910:HRR720910 IBL720910:IBN720910 ILH720910:ILJ720910 IVD720910:IVF720910 JEZ720910:JFB720910 JOV720910:JOX720910 JYR720910:JYT720910 KIN720910:KIP720910 KSJ720910:KSL720910 LCF720910:LCH720910 LMB720910:LMD720910 LVX720910:LVZ720910 MFT720910:MFV720910 MPP720910:MPR720910 MZL720910:MZN720910 NJH720910:NJJ720910 NTD720910:NTF720910 OCZ720910:ODB720910 OMV720910:OMX720910 OWR720910:OWT720910 PGN720910:PGP720910 PQJ720910:PQL720910 QAF720910:QAH720910 QKB720910:QKD720910 QTX720910:QTZ720910 RDT720910:RDV720910 RNP720910:RNR720910 RXL720910:RXN720910 SHH720910:SHJ720910 SRD720910:SRF720910 TAZ720910:TBB720910 TKV720910:TKX720910 TUR720910:TUT720910 UEN720910:UEP720910 UOJ720910:UOL720910 UYF720910:UYH720910 VIB720910:VID720910 VRX720910:VRZ720910 WBT720910:WBV720910 WLP720910:WLR720910 WVL720910:WVN720910 B786446:D786446 IZ786446:JB786446 SV786446:SX786446 ACR786446:ACT786446 AMN786446:AMP786446 AWJ786446:AWL786446 BGF786446:BGH786446 BQB786446:BQD786446 BZX786446:BZZ786446 CJT786446:CJV786446 CTP786446:CTR786446 DDL786446:DDN786446 DNH786446:DNJ786446 DXD786446:DXF786446 EGZ786446:EHB786446 EQV786446:EQX786446 FAR786446:FAT786446 FKN786446:FKP786446 FUJ786446:FUL786446 GEF786446:GEH786446 GOB786446:GOD786446 GXX786446:GXZ786446 HHT786446:HHV786446 HRP786446:HRR786446 IBL786446:IBN786446 ILH786446:ILJ786446 IVD786446:IVF786446 JEZ786446:JFB786446 JOV786446:JOX786446 JYR786446:JYT786446 KIN786446:KIP786446 KSJ786446:KSL786446 LCF786446:LCH786446 LMB786446:LMD786446 LVX786446:LVZ786446 MFT786446:MFV786446 MPP786446:MPR786446 MZL786446:MZN786446 NJH786446:NJJ786446 NTD786446:NTF786446 OCZ786446:ODB786446 OMV786446:OMX786446 OWR786446:OWT786446 PGN786446:PGP786446 PQJ786446:PQL786446 QAF786446:QAH786446 QKB786446:QKD786446 QTX786446:QTZ786446 RDT786446:RDV786446 RNP786446:RNR786446 RXL786446:RXN786446 SHH786446:SHJ786446 SRD786446:SRF786446 TAZ786446:TBB786446 TKV786446:TKX786446 TUR786446:TUT786446 UEN786446:UEP786446 UOJ786446:UOL786446 UYF786446:UYH786446 VIB786446:VID786446 VRX786446:VRZ786446 WBT786446:WBV786446 WLP786446:WLR786446 WVL786446:WVN786446 B851982:D851982 IZ851982:JB851982 SV851982:SX851982 ACR851982:ACT851982 AMN851982:AMP851982 AWJ851982:AWL851982 BGF851982:BGH851982 BQB851982:BQD851982 BZX851982:BZZ851982 CJT851982:CJV851982 CTP851982:CTR851982 DDL851982:DDN851982 DNH851982:DNJ851982 DXD851982:DXF851982 EGZ851982:EHB851982 EQV851982:EQX851982 FAR851982:FAT851982 FKN851982:FKP851982 FUJ851982:FUL851982 GEF851982:GEH851982 GOB851982:GOD851982 GXX851982:GXZ851982 HHT851982:HHV851982 HRP851982:HRR851982 IBL851982:IBN851982 ILH851982:ILJ851982 IVD851982:IVF851982 JEZ851982:JFB851982 JOV851982:JOX851982 JYR851982:JYT851982 KIN851982:KIP851982 KSJ851982:KSL851982 LCF851982:LCH851982 LMB851982:LMD851982 LVX851982:LVZ851982 MFT851982:MFV851982 MPP851982:MPR851982 MZL851982:MZN851982 NJH851982:NJJ851982 NTD851982:NTF851982 OCZ851982:ODB851982 OMV851982:OMX851982 OWR851982:OWT851982 PGN851982:PGP851982 PQJ851982:PQL851982 QAF851982:QAH851982 QKB851982:QKD851982 QTX851982:QTZ851982 RDT851982:RDV851982 RNP851982:RNR851982 RXL851982:RXN851982 SHH851982:SHJ851982 SRD851982:SRF851982 TAZ851982:TBB851982 TKV851982:TKX851982 TUR851982:TUT851982 UEN851982:UEP851982 UOJ851982:UOL851982 UYF851982:UYH851982 VIB851982:VID851982 VRX851982:VRZ851982 WBT851982:WBV851982 WLP851982:WLR851982 WVL851982:WVN851982 B917518:D917518 IZ917518:JB917518 SV917518:SX917518 ACR917518:ACT917518 AMN917518:AMP917518 AWJ917518:AWL917518 BGF917518:BGH917518 BQB917518:BQD917518 BZX917518:BZZ917518 CJT917518:CJV917518 CTP917518:CTR917518 DDL917518:DDN917518 DNH917518:DNJ917518 DXD917518:DXF917518 EGZ917518:EHB917518 EQV917518:EQX917518 FAR917518:FAT917518 FKN917518:FKP917518 FUJ917518:FUL917518 GEF917518:GEH917518 GOB917518:GOD917518 GXX917518:GXZ917518 HHT917518:HHV917518 HRP917518:HRR917518 IBL917518:IBN917518 ILH917518:ILJ917518 IVD917518:IVF917518 JEZ917518:JFB917518 JOV917518:JOX917518 JYR917518:JYT917518 KIN917518:KIP917518 KSJ917518:KSL917518 LCF917518:LCH917518 LMB917518:LMD917518 LVX917518:LVZ917518 MFT917518:MFV917518 MPP917518:MPR917518 MZL917518:MZN917518 NJH917518:NJJ917518 NTD917518:NTF917518 OCZ917518:ODB917518 OMV917518:OMX917518 OWR917518:OWT917518 PGN917518:PGP917518 PQJ917518:PQL917518 QAF917518:QAH917518 QKB917518:QKD917518 QTX917518:QTZ917518 RDT917518:RDV917518 RNP917518:RNR917518 RXL917518:RXN917518 SHH917518:SHJ917518 SRD917518:SRF917518 TAZ917518:TBB917518 TKV917518:TKX917518 TUR917518:TUT917518 UEN917518:UEP917518 UOJ917518:UOL917518 UYF917518:UYH917518 VIB917518:VID917518 VRX917518:VRZ917518 WBT917518:WBV917518 WLP917518:WLR917518 WVL917518:WVN917518 B983054:D983054 IZ983054:JB983054 SV983054:SX983054 ACR983054:ACT983054 AMN983054:AMP983054 AWJ983054:AWL983054 BGF983054:BGH983054 BQB983054:BQD983054 BZX983054:BZZ983054 CJT983054:CJV983054 CTP983054:CTR983054 DDL983054:DDN983054 DNH983054:DNJ983054 DXD983054:DXF983054 EGZ983054:EHB983054 EQV983054:EQX983054 FAR983054:FAT983054 FKN983054:FKP983054 FUJ983054:FUL983054 GEF983054:GEH983054 GOB983054:GOD983054 GXX983054:GXZ983054 HHT983054:HHV983054 HRP983054:HRR983054 IBL983054:IBN983054 ILH983054:ILJ983054 IVD983054:IVF983054 JEZ983054:JFB983054 JOV983054:JOX983054 JYR983054:JYT983054 KIN983054:KIP983054 KSJ983054:KSL983054 LCF983054:LCH983054 LMB983054:LMD983054 LVX983054:LVZ983054 MFT983054:MFV983054 MPP983054:MPR983054 MZL983054:MZN983054 NJH983054:NJJ983054 NTD983054:NTF983054 OCZ983054:ODB983054 OMV983054:OMX983054 OWR983054:OWT983054 PGN983054:PGP983054 PQJ983054:PQL983054 QAF983054:QAH983054 QKB983054:QKD983054 QTX983054:QTZ983054 RDT983054:RDV983054 RNP983054:RNR983054 RXL983054:RXN983054 SHH983054:SHJ983054 SRD983054:SRF983054 TAZ983054:TBB983054 TKV983054:TKX983054 TUR983054:TUT983054 UEN983054:UEP983054 UOJ983054:UOL983054 UYF983054:UYH983054 VIB983054:VID983054 VRX983054:VRZ983054 WBT983054:WBV983054 WLP983054:WLR983054 WVL983054:WVN983054" xr:uid="{00000000-0002-0000-0C00-00000D000000}"/>
    <dataValidation allowBlank="1" showInputMessage="1" showErrorMessage="1" prompt="Total cost of loan is automatically calculated in this cell" sqref="E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E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E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E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E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E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E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E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E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E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E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E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E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E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E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E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xr:uid="{00000000-0002-0000-0C00-00000E000000}"/>
    <dataValidation allowBlank="1" showInputMessage="1" showErrorMessage="1" prompt="Payment Number is automatically updated in this column under this heading" sqref="B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B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B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B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B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B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B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B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B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B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B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B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B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B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B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B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00000000-0002-0000-0C00-00000F000000}"/>
    <dataValidation allowBlank="1" showInputMessage="1" showErrorMessage="1" prompt="Payment Date is automatically updated in this column under this heading" sqref="C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C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C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C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C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C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C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C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C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C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C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C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C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C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C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C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xr:uid="{00000000-0002-0000-0C00-000010000000}"/>
    <dataValidation allowBlank="1" showInputMessage="1" showErrorMessage="1" prompt="Beginning Balance is automatically calculated in this column under this heading" sqref="D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D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D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D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D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D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D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D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D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D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D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D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D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D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D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D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xr:uid="{00000000-0002-0000-0C00-000011000000}"/>
    <dataValidation allowBlank="1" showInputMessage="1" showErrorMessage="1" prompt="Principal amount is automatically updated in this column under this heading" sqref="E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E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E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E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E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E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E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E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E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E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E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E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E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E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E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E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00000000-0002-0000-0C00-000012000000}"/>
    <dataValidation allowBlank="1" showInputMessage="1" showErrorMessage="1" prompt="Interest amount is automatically updated in this column under this heading" sqref="F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F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F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F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F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F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F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F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F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F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F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F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F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F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F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F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xr:uid="{00000000-0002-0000-0C00-000013000000}"/>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J54"/>
  <sheetViews>
    <sheetView topLeftCell="A31" workbookViewId="0">
      <selection activeCell="B45" sqref="B45"/>
    </sheetView>
  </sheetViews>
  <sheetFormatPr defaultRowHeight="15" x14ac:dyDescent="0.25"/>
  <cols>
    <col min="1" max="1" width="33.85546875" bestFit="1" customWidth="1"/>
    <col min="2" max="2" width="17.5703125" bestFit="1" customWidth="1"/>
    <col min="3" max="3" width="11.140625" bestFit="1" customWidth="1"/>
    <col min="4" max="5" width="14.85546875" bestFit="1" customWidth="1"/>
    <col min="6" max="6" width="14.28515625" bestFit="1" customWidth="1"/>
    <col min="8" max="8" width="5.5703125" bestFit="1" customWidth="1"/>
    <col min="9" max="9" width="20.28515625" bestFit="1" customWidth="1"/>
    <col min="10" max="10" width="11.7109375" bestFit="1" customWidth="1"/>
  </cols>
  <sheetData>
    <row r="4" spans="1:10" x14ac:dyDescent="0.25">
      <c r="A4" s="2" t="s">
        <v>75</v>
      </c>
      <c r="B4" s="2"/>
      <c r="C4" s="2"/>
      <c r="D4">
        <v>365</v>
      </c>
      <c r="E4">
        <f>10^7</f>
        <v>10000000</v>
      </c>
    </row>
    <row r="6" spans="1:10" x14ac:dyDescent="0.25">
      <c r="A6" s="23" t="s">
        <v>155</v>
      </c>
      <c r="B6" s="23" t="s">
        <v>469</v>
      </c>
      <c r="C6" s="23" t="s">
        <v>72</v>
      </c>
      <c r="D6" s="23" t="s">
        <v>73</v>
      </c>
    </row>
    <row r="7" spans="1:10" x14ac:dyDescent="0.25">
      <c r="A7" s="175" t="s">
        <v>253</v>
      </c>
      <c r="B7" s="13">
        <v>7</v>
      </c>
      <c r="C7" s="9">
        <f>6000*(1-F7)</f>
        <v>6000</v>
      </c>
      <c r="D7" s="320">
        <f>C7*B7</f>
        <v>42000</v>
      </c>
      <c r="E7" s="112">
        <f>+D7*$D$4/$E$4</f>
        <v>1.5329999999999999</v>
      </c>
      <c r="F7" s="79">
        <v>0</v>
      </c>
      <c r="H7" s="13" t="s">
        <v>471</v>
      </c>
      <c r="I7" s="13" t="s">
        <v>1</v>
      </c>
      <c r="J7" s="13" t="s">
        <v>472</v>
      </c>
    </row>
    <row r="8" spans="1:10" x14ac:dyDescent="0.25">
      <c r="A8" s="174" t="s">
        <v>249</v>
      </c>
      <c r="B8" s="13">
        <v>16</v>
      </c>
      <c r="C8" s="9">
        <f>1500*(1-$F$7)</f>
        <v>1500</v>
      </c>
      <c r="D8" s="320">
        <f t="shared" ref="D8:D13" si="0">C8*B8</f>
        <v>24000</v>
      </c>
      <c r="E8" s="112">
        <f t="shared" ref="E8:E13" si="1">+D8*$D$4/$E$4</f>
        <v>0.876</v>
      </c>
      <c r="H8" s="13">
        <v>1</v>
      </c>
      <c r="I8" s="13" t="s">
        <v>90</v>
      </c>
      <c r="J8" s="13" t="s">
        <v>473</v>
      </c>
    </row>
    <row r="9" spans="1:10" x14ac:dyDescent="0.25">
      <c r="A9" s="174" t="s">
        <v>249</v>
      </c>
      <c r="B9" s="13">
        <v>16</v>
      </c>
      <c r="C9" s="9">
        <f>1500*(1-$F$7)</f>
        <v>1500</v>
      </c>
      <c r="D9" s="320">
        <f t="shared" si="0"/>
        <v>24000</v>
      </c>
      <c r="E9" s="112">
        <f t="shared" si="1"/>
        <v>0.876</v>
      </c>
      <c r="F9" s="118">
        <f>+E8+E9</f>
        <v>1.752</v>
      </c>
      <c r="H9" s="13">
        <v>2</v>
      </c>
      <c r="I9" s="13" t="s">
        <v>113</v>
      </c>
      <c r="J9" s="13" t="s">
        <v>474</v>
      </c>
    </row>
    <row r="10" spans="1:10" x14ac:dyDescent="0.25">
      <c r="A10" s="174" t="s">
        <v>248</v>
      </c>
      <c r="B10" s="13">
        <v>15</v>
      </c>
      <c r="C10" s="9">
        <f>500*(1-$F$7)</f>
        <v>500</v>
      </c>
      <c r="D10" s="320">
        <f t="shared" si="0"/>
        <v>7500</v>
      </c>
      <c r="E10" s="112">
        <f t="shared" si="1"/>
        <v>0.27374999999999999</v>
      </c>
      <c r="H10" s="13">
        <v>3</v>
      </c>
      <c r="I10" s="13" t="s">
        <v>475</v>
      </c>
      <c r="J10" s="13" t="s">
        <v>476</v>
      </c>
    </row>
    <row r="11" spans="1:10" x14ac:dyDescent="0.25">
      <c r="A11" s="174" t="s">
        <v>250</v>
      </c>
      <c r="B11" s="13">
        <v>15</v>
      </c>
      <c r="C11" s="9">
        <f t="shared" ref="C11:C13" si="2">500*(1-$F$7)</f>
        <v>500</v>
      </c>
      <c r="D11" s="320">
        <f t="shared" si="0"/>
        <v>7500</v>
      </c>
      <c r="E11" s="112">
        <f t="shared" si="1"/>
        <v>0.27374999999999999</v>
      </c>
      <c r="H11" s="13">
        <v>4</v>
      </c>
      <c r="I11" s="13" t="s">
        <v>477</v>
      </c>
      <c r="J11" s="13" t="s">
        <v>478</v>
      </c>
    </row>
    <row r="12" spans="1:10" x14ac:dyDescent="0.25">
      <c r="A12" s="174" t="s">
        <v>251</v>
      </c>
      <c r="B12" s="13">
        <v>16</v>
      </c>
      <c r="C12" s="9">
        <f t="shared" si="2"/>
        <v>500</v>
      </c>
      <c r="D12" s="320">
        <f t="shared" si="0"/>
        <v>8000</v>
      </c>
      <c r="E12" s="112">
        <f t="shared" si="1"/>
        <v>0.29199999999999998</v>
      </c>
    </row>
    <row r="13" spans="1:10" x14ac:dyDescent="0.25">
      <c r="A13" s="174" t="s">
        <v>252</v>
      </c>
      <c r="B13" s="13">
        <v>15</v>
      </c>
      <c r="C13" s="9">
        <f t="shared" si="2"/>
        <v>500</v>
      </c>
      <c r="D13" s="320">
        <f t="shared" si="0"/>
        <v>7500</v>
      </c>
      <c r="E13" s="112">
        <f t="shared" si="1"/>
        <v>0.27374999999999999</v>
      </c>
    </row>
    <row r="14" spans="1:10" x14ac:dyDescent="0.25">
      <c r="A14" s="24" t="s">
        <v>69</v>
      </c>
      <c r="B14" s="24"/>
      <c r="C14" s="24"/>
      <c r="D14" s="321">
        <f>SUM(D7:D13)</f>
        <v>120500</v>
      </c>
      <c r="E14" s="5">
        <f>SUM(E7:E13)</f>
        <v>4.39825</v>
      </c>
    </row>
    <row r="15" spans="1:10" x14ac:dyDescent="0.25">
      <c r="A15" s="24" t="s">
        <v>70</v>
      </c>
      <c r="B15" s="24">
        <f>SUM(B7:B13)</f>
        <v>100</v>
      </c>
      <c r="C15" s="24"/>
      <c r="D15" s="321">
        <f>+D16/12</f>
        <v>3665208.3333333335</v>
      </c>
      <c r="I15">
        <f>32*1500*365</f>
        <v>17520000</v>
      </c>
    </row>
    <row r="16" spans="1:10" x14ac:dyDescent="0.25">
      <c r="A16" s="176" t="s">
        <v>254</v>
      </c>
      <c r="B16" s="176"/>
      <c r="C16" s="176"/>
      <c r="D16" s="319">
        <f>+D14*365</f>
        <v>43982500</v>
      </c>
      <c r="F16" s="118"/>
    </row>
    <row r="18" spans="1:7" x14ac:dyDescent="0.25">
      <c r="A18" t="s">
        <v>168</v>
      </c>
      <c r="B18">
        <v>52</v>
      </c>
    </row>
    <row r="19" spans="1:7" x14ac:dyDescent="0.25">
      <c r="A19" t="s">
        <v>167</v>
      </c>
      <c r="B19">
        <v>6</v>
      </c>
    </row>
    <row r="20" spans="1:7" x14ac:dyDescent="0.25">
      <c r="A20" t="s">
        <v>169</v>
      </c>
      <c r="B20">
        <f>+B18*B19</f>
        <v>312</v>
      </c>
    </row>
    <row r="22" spans="1:7" x14ac:dyDescent="0.25">
      <c r="A22" t="s">
        <v>171</v>
      </c>
      <c r="B22">
        <v>500</v>
      </c>
      <c r="E22">
        <f>+B22*50%</f>
        <v>250</v>
      </c>
    </row>
    <row r="23" spans="1:7" x14ac:dyDescent="0.25">
      <c r="A23" t="s">
        <v>166</v>
      </c>
      <c r="B23">
        <f>+C23-(G23*C23)</f>
        <v>500</v>
      </c>
      <c r="C23">
        <v>500</v>
      </c>
      <c r="F23">
        <v>0.1</v>
      </c>
      <c r="G23">
        <v>0</v>
      </c>
    </row>
    <row r="24" spans="1:7" x14ac:dyDescent="0.25">
      <c r="A24" t="s">
        <v>178</v>
      </c>
      <c r="B24">
        <f>+B22*B20</f>
        <v>156000</v>
      </c>
    </row>
    <row r="25" spans="1:7" x14ac:dyDescent="0.25">
      <c r="A25" t="s">
        <v>170</v>
      </c>
      <c r="B25" s="117">
        <f>+B24*B23</f>
        <v>78000000</v>
      </c>
    </row>
    <row r="26" spans="1:7" x14ac:dyDescent="0.25">
      <c r="B26" s="112"/>
    </row>
    <row r="27" spans="1:7" x14ac:dyDescent="0.25">
      <c r="A27" t="s">
        <v>173</v>
      </c>
      <c r="B27" s="116">
        <v>100</v>
      </c>
    </row>
    <row r="28" spans="1:7" x14ac:dyDescent="0.25">
      <c r="A28" t="s">
        <v>163</v>
      </c>
      <c r="B28" s="79">
        <v>1</v>
      </c>
    </row>
    <row r="29" spans="1:7" x14ac:dyDescent="0.25">
      <c r="A29" t="s">
        <v>174</v>
      </c>
      <c r="B29">
        <f>+B27*365</f>
        <v>36500</v>
      </c>
    </row>
    <row r="30" spans="1:7" x14ac:dyDescent="0.25">
      <c r="A30" t="s">
        <v>172</v>
      </c>
      <c r="B30" s="117">
        <f>B29*B23*B28</f>
        <v>18250000</v>
      </c>
    </row>
    <row r="31" spans="1:7" x14ac:dyDescent="0.25">
      <c r="B31" s="117"/>
    </row>
    <row r="32" spans="1:7" x14ac:dyDescent="0.25">
      <c r="B32" s="117"/>
    </row>
    <row r="33" spans="1:7" x14ac:dyDescent="0.25">
      <c r="A33" t="s">
        <v>463</v>
      </c>
    </row>
    <row r="34" spans="1:7" x14ac:dyDescent="0.25">
      <c r="A34" t="s">
        <v>175</v>
      </c>
      <c r="B34">
        <f>+B29*10%</f>
        <v>3650</v>
      </c>
    </row>
    <row r="35" spans="1:7" x14ac:dyDescent="0.25">
      <c r="A35" t="s">
        <v>176</v>
      </c>
      <c r="B35">
        <f>+C35-(G35*C35)</f>
        <v>40000</v>
      </c>
      <c r="C35">
        <v>40000</v>
      </c>
      <c r="F35">
        <v>0.1</v>
      </c>
      <c r="G35">
        <v>0</v>
      </c>
    </row>
    <row r="36" spans="1:7" x14ac:dyDescent="0.25">
      <c r="B36" s="112">
        <f>+B34*B35</f>
        <v>146000000</v>
      </c>
      <c r="D36">
        <f>+((B36+B30)/365*15)/10^7</f>
        <v>0.67500000000000004</v>
      </c>
    </row>
    <row r="38" spans="1:7" x14ac:dyDescent="0.25">
      <c r="A38" t="s">
        <v>177</v>
      </c>
      <c r="B38" s="118">
        <f>+B42+B43+B44</f>
        <v>40620000</v>
      </c>
    </row>
    <row r="39" spans="1:7" x14ac:dyDescent="0.25">
      <c r="A39" t="s">
        <v>179</v>
      </c>
      <c r="B39">
        <f>+C39-(G39*C39)</f>
        <v>300</v>
      </c>
      <c r="C39">
        <v>300</v>
      </c>
      <c r="F39">
        <v>0.1</v>
      </c>
      <c r="G39">
        <v>0</v>
      </c>
    </row>
    <row r="40" spans="1:7" x14ac:dyDescent="0.25">
      <c r="A40" t="s">
        <v>181</v>
      </c>
      <c r="B40" s="79">
        <v>0.4</v>
      </c>
    </row>
    <row r="41" spans="1:7" x14ac:dyDescent="0.25">
      <c r="A41" t="s">
        <v>180</v>
      </c>
      <c r="B41" s="79">
        <v>1</v>
      </c>
    </row>
    <row r="42" spans="1:7" x14ac:dyDescent="0.25">
      <c r="A42" t="s">
        <v>255</v>
      </c>
      <c r="B42" s="112">
        <f>+B40*B24*B39</f>
        <v>18720000</v>
      </c>
    </row>
    <row r="43" spans="1:7" x14ac:dyDescent="0.25">
      <c r="A43" t="s">
        <v>256</v>
      </c>
      <c r="B43" s="112">
        <f>+B29*500*B41</f>
        <v>18250000</v>
      </c>
    </row>
    <row r="44" spans="1:7" x14ac:dyDescent="0.25">
      <c r="A44" t="s">
        <v>316</v>
      </c>
      <c r="B44" s="112">
        <f>+B34*1000</f>
        <v>3650000</v>
      </c>
    </row>
    <row r="46" spans="1:7" x14ac:dyDescent="0.25">
      <c r="A46" t="s">
        <v>186</v>
      </c>
      <c r="B46" s="118">
        <f>+B38+B36+B30+B25</f>
        <v>282870000</v>
      </c>
      <c r="D46">
        <f>+(B46/365*15)/10^7</f>
        <v>1.1624794520547945</v>
      </c>
    </row>
    <row r="47" spans="1:7" x14ac:dyDescent="0.25">
      <c r="A47" t="s">
        <v>187</v>
      </c>
      <c r="B47" s="112">
        <f>+B46/12</f>
        <v>23572500</v>
      </c>
    </row>
    <row r="49" spans="1:7" x14ac:dyDescent="0.25">
      <c r="A49" t="s">
        <v>311</v>
      </c>
    </row>
    <row r="50" spans="1:7" x14ac:dyDescent="0.25">
      <c r="A50" t="s">
        <v>312</v>
      </c>
      <c r="B50">
        <f>+B29+B24+B34</f>
        <v>196150</v>
      </c>
      <c r="C50" s="79"/>
      <c r="F50">
        <v>0.1</v>
      </c>
      <c r="G50">
        <v>0</v>
      </c>
    </row>
    <row r="51" spans="1:7" x14ac:dyDescent="0.25">
      <c r="A51" t="s">
        <v>113</v>
      </c>
      <c r="B51">
        <f>+E51-($G$50*E51)</f>
        <v>4000</v>
      </c>
      <c r="C51">
        <f>+B50*2.5%</f>
        <v>4903.75</v>
      </c>
      <c r="D51" s="112">
        <f>B51*C51</f>
        <v>19615000</v>
      </c>
      <c r="E51">
        <v>4000</v>
      </c>
    </row>
    <row r="52" spans="1:7" x14ac:dyDescent="0.25">
      <c r="A52" t="s">
        <v>314</v>
      </c>
      <c r="B52">
        <v>400</v>
      </c>
      <c r="C52">
        <f>+B50*20%</f>
        <v>39230</v>
      </c>
      <c r="D52" s="112">
        <f t="shared" ref="D52:D53" si="3">B52*C52</f>
        <v>15692000</v>
      </c>
      <c r="E52">
        <v>300</v>
      </c>
    </row>
    <row r="53" spans="1:7" x14ac:dyDescent="0.25">
      <c r="A53" t="s">
        <v>313</v>
      </c>
      <c r="B53">
        <v>350</v>
      </c>
      <c r="C53">
        <f>+B50*25%</f>
        <v>49037.5</v>
      </c>
      <c r="D53" s="112">
        <f t="shared" si="3"/>
        <v>17163125</v>
      </c>
      <c r="E53">
        <v>500</v>
      </c>
    </row>
    <row r="54" spans="1:7" x14ac:dyDescent="0.25">
      <c r="D54" s="5">
        <f>SUM(D51:D53)</f>
        <v>52470125</v>
      </c>
    </row>
  </sheetData>
  <hyperlinks>
    <hyperlink ref="A7" r:id="rId1" display="ICU@1500"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2"/>
  <sheetViews>
    <sheetView tabSelected="1" workbookViewId="0">
      <selection activeCell="N15" sqref="N15"/>
    </sheetView>
  </sheetViews>
  <sheetFormatPr defaultRowHeight="15" x14ac:dyDescent="0.25"/>
  <cols>
    <col min="1" max="1" width="46.28515625" customWidth="1"/>
    <col min="2" max="2" width="16" customWidth="1"/>
    <col min="3" max="3" width="15.28515625" bestFit="1" customWidth="1"/>
    <col min="4" max="4" width="11" customWidth="1"/>
    <col min="5" max="5" width="0" hidden="1" customWidth="1"/>
    <col min="6" max="6" width="11.5703125" hidden="1" customWidth="1"/>
    <col min="7" max="7" width="15.28515625" hidden="1" customWidth="1"/>
    <col min="8" max="8" width="13.28515625" hidden="1" customWidth="1"/>
    <col min="9" max="11" width="0" hidden="1" customWidth="1"/>
  </cols>
  <sheetData>
    <row r="1" spans="1:14" x14ac:dyDescent="0.25">
      <c r="A1" s="14" t="s">
        <v>156</v>
      </c>
      <c r="B1" s="15"/>
      <c r="C1" s="15"/>
      <c r="D1" s="15"/>
    </row>
    <row r="3" spans="1:14" x14ac:dyDescent="0.25">
      <c r="A3" s="2" t="s">
        <v>159</v>
      </c>
      <c r="B3" s="2"/>
      <c r="C3" s="2"/>
      <c r="D3" s="2"/>
    </row>
    <row r="4" spans="1:14" x14ac:dyDescent="0.25">
      <c r="A4" s="2"/>
      <c r="B4" s="2"/>
      <c r="C4" s="2"/>
      <c r="D4" s="2"/>
    </row>
    <row r="6" spans="1:14" x14ac:dyDescent="0.25">
      <c r="A6" s="16" t="s">
        <v>0</v>
      </c>
      <c r="B6" s="16"/>
      <c r="C6" s="16" t="s">
        <v>54</v>
      </c>
      <c r="D6" s="16"/>
      <c r="H6" s="13" t="s">
        <v>268</v>
      </c>
    </row>
    <row r="7" spans="1:14" x14ac:dyDescent="0.25">
      <c r="A7" s="17" t="s">
        <v>1</v>
      </c>
      <c r="B7" s="17" t="s">
        <v>2</v>
      </c>
      <c r="C7" s="17" t="s">
        <v>3</v>
      </c>
      <c r="D7" s="17" t="s">
        <v>4</v>
      </c>
      <c r="I7" s="18"/>
    </row>
    <row r="8" spans="1:14" x14ac:dyDescent="0.25">
      <c r="A8" s="13" t="s">
        <v>183</v>
      </c>
      <c r="B8" s="18">
        <v>3.82</v>
      </c>
      <c r="C8" s="18">
        <f>+D8-B8</f>
        <v>1.0900000000000003</v>
      </c>
      <c r="D8" s="18">
        <v>4.91</v>
      </c>
      <c r="F8" s="45">
        <f>B8/D8</f>
        <v>0.77800407331975552</v>
      </c>
      <c r="G8" s="4"/>
      <c r="I8" s="18">
        <v>28.24</v>
      </c>
    </row>
    <row r="9" spans="1:14" x14ac:dyDescent="0.25">
      <c r="A9" s="13" t="s">
        <v>182</v>
      </c>
      <c r="B9" s="18">
        <f>15.35+1.71</f>
        <v>17.059999999999999</v>
      </c>
      <c r="C9" s="18">
        <f>+D9-B9</f>
        <v>11.18</v>
      </c>
      <c r="D9" s="18">
        <v>28.24</v>
      </c>
      <c r="F9" s="45"/>
      <c r="G9" s="4"/>
      <c r="I9" s="18">
        <v>32.21</v>
      </c>
    </row>
    <row r="10" spans="1:14" x14ac:dyDescent="0.25">
      <c r="A10" s="13" t="s">
        <v>64</v>
      </c>
      <c r="B10" s="18"/>
      <c r="C10" s="18">
        <f t="shared" ref="C10:C14" si="0">+D10-B10</f>
        <v>32.21</v>
      </c>
      <c r="D10" s="18">
        <v>32.21</v>
      </c>
      <c r="F10" s="45">
        <f t="shared" ref="F10:F15" si="1">B10/D10</f>
        <v>0</v>
      </c>
      <c r="I10" s="18">
        <v>2.5</v>
      </c>
    </row>
    <row r="11" spans="1:14" x14ac:dyDescent="0.25">
      <c r="A11" s="13" t="s">
        <v>267</v>
      </c>
      <c r="B11" s="18"/>
      <c r="C11" s="18">
        <f t="shared" si="0"/>
        <v>2.5</v>
      </c>
      <c r="D11" s="18">
        <v>2.5</v>
      </c>
      <c r="F11" s="45">
        <f t="shared" si="1"/>
        <v>0</v>
      </c>
      <c r="G11" s="5"/>
      <c r="H11" s="5"/>
      <c r="I11" s="18">
        <v>2.2200000000000002</v>
      </c>
    </row>
    <row r="12" spans="1:14" x14ac:dyDescent="0.25">
      <c r="A12" s="13" t="s">
        <v>184</v>
      </c>
      <c r="B12" s="18">
        <v>0.31</v>
      </c>
      <c r="C12" s="18">
        <f t="shared" si="0"/>
        <v>0.50452083333333286</v>
      </c>
      <c r="D12" s="18">
        <v>0.81452083333333292</v>
      </c>
      <c r="F12" s="45">
        <f t="shared" si="1"/>
        <v>0.38059186126812816</v>
      </c>
      <c r="G12" s="5"/>
      <c r="H12" s="5"/>
      <c r="I12" s="18">
        <v>0.34</v>
      </c>
    </row>
    <row r="13" spans="1:14" x14ac:dyDescent="0.25">
      <c r="A13" s="13" t="s">
        <v>480</v>
      </c>
      <c r="B13" s="18"/>
      <c r="C13" s="18">
        <f t="shared" si="0"/>
        <v>1.4054791666666666</v>
      </c>
      <c r="D13" s="18">
        <f>+SUM(Repayment!F17:F33)/10^2</f>
        <v>1.4054791666666666</v>
      </c>
      <c r="F13" s="45"/>
      <c r="G13" s="5"/>
      <c r="H13" s="5"/>
      <c r="I13" s="411"/>
    </row>
    <row r="14" spans="1:14" x14ac:dyDescent="0.25">
      <c r="A14" s="13" t="s">
        <v>268</v>
      </c>
      <c r="B14" s="18"/>
      <c r="C14" s="18">
        <f t="shared" si="0"/>
        <v>3.1475000000000004</v>
      </c>
      <c r="D14" s="384">
        <f>+SUM(D9:D11)*5%</f>
        <v>3.1475000000000004</v>
      </c>
      <c r="F14" s="45">
        <f t="shared" si="1"/>
        <v>0</v>
      </c>
      <c r="I14" s="11">
        <f>SUM(I7:I12)</f>
        <v>65.510000000000005</v>
      </c>
      <c r="N14" s="412"/>
    </row>
    <row r="15" spans="1:14" x14ac:dyDescent="0.25">
      <c r="A15" s="13" t="s">
        <v>65</v>
      </c>
      <c r="B15" s="18"/>
      <c r="C15" s="18">
        <v>0.35</v>
      </c>
      <c r="D15" s="18">
        <v>0.35</v>
      </c>
      <c r="F15" s="45">
        <f t="shared" si="1"/>
        <v>0</v>
      </c>
      <c r="I15">
        <f>+I14*5%</f>
        <v>3.2755000000000005</v>
      </c>
    </row>
    <row r="16" spans="1:14" x14ac:dyDescent="0.25">
      <c r="A16" s="3" t="s">
        <v>5</v>
      </c>
      <c r="B16" s="385">
        <f>SUM(B8:B15)</f>
        <v>21.189999999999998</v>
      </c>
      <c r="C16" s="385">
        <f>SUM(C8:C15)</f>
        <v>52.387500000000003</v>
      </c>
      <c r="D16" s="385">
        <f>SUM(D8:D15)</f>
        <v>73.577499999999986</v>
      </c>
      <c r="F16" s="45"/>
      <c r="N16" s="412"/>
    </row>
    <row r="17" spans="1:10" ht="17.25" customHeight="1" x14ac:dyDescent="0.25"/>
    <row r="18" spans="1:10" x14ac:dyDescent="0.25">
      <c r="A18" t="s">
        <v>453</v>
      </c>
      <c r="F18">
        <f>+D24/(D23+D25)</f>
        <v>0.48882031566167555</v>
      </c>
    </row>
    <row r="19" spans="1:10" x14ac:dyDescent="0.25">
      <c r="A19" t="s">
        <v>451</v>
      </c>
      <c r="G19">
        <v>68.430000000000007</v>
      </c>
    </row>
    <row r="20" spans="1:10" x14ac:dyDescent="0.25">
      <c r="A20" t="s">
        <v>452</v>
      </c>
      <c r="B20" s="79">
        <v>0.06</v>
      </c>
      <c r="G20" s="11">
        <f>+D16-G19</f>
        <v>5.1474999999999795</v>
      </c>
    </row>
    <row r="21" spans="1:10" x14ac:dyDescent="0.25">
      <c r="A21" s="20" t="s">
        <v>6</v>
      </c>
      <c r="B21" s="21"/>
      <c r="C21" s="20" t="s">
        <v>62</v>
      </c>
      <c r="D21" s="21"/>
    </row>
    <row r="22" spans="1:10" x14ac:dyDescent="0.25">
      <c r="A22" s="17" t="s">
        <v>1</v>
      </c>
      <c r="B22" s="17" t="s">
        <v>7</v>
      </c>
      <c r="C22" s="17" t="s">
        <v>8</v>
      </c>
      <c r="D22" s="17" t="s">
        <v>9</v>
      </c>
    </row>
    <row r="23" spans="1:10" ht="15.75" thickBot="1" x14ac:dyDescent="0.3">
      <c r="A23" s="13" t="s">
        <v>10</v>
      </c>
      <c r="B23" s="18">
        <f>+B33+B34</f>
        <v>5.2610000000000001</v>
      </c>
      <c r="C23" s="18">
        <f>+B35+B36</f>
        <v>14.739000000000001</v>
      </c>
      <c r="D23" s="18">
        <v>20</v>
      </c>
      <c r="E23" s="11">
        <f>+B23+C23</f>
        <v>20</v>
      </c>
      <c r="F23">
        <f>D24/D23</f>
        <v>1.207875</v>
      </c>
    </row>
    <row r="24" spans="1:10" ht="15.75" thickBot="1" x14ac:dyDescent="0.3">
      <c r="A24" s="13" t="s">
        <v>11</v>
      </c>
      <c r="B24" s="18">
        <v>0</v>
      </c>
      <c r="C24" s="18">
        <f>+D24</f>
        <v>24.157499999999999</v>
      </c>
      <c r="D24" s="384">
        <v>24.157499999999999</v>
      </c>
      <c r="H24" s="395">
        <v>3.82</v>
      </c>
      <c r="I24" s="398">
        <f>+J24-H24</f>
        <v>1.0900000000000003</v>
      </c>
      <c r="J24" s="396">
        <v>4.91</v>
      </c>
    </row>
    <row r="25" spans="1:10" ht="15.75" thickBot="1" x14ac:dyDescent="0.3">
      <c r="A25" s="13" t="s">
        <v>185</v>
      </c>
      <c r="B25" s="18">
        <f>+C33+C34</f>
        <v>15.929300000000001</v>
      </c>
      <c r="C25" s="18">
        <f>+C36+C35</f>
        <v>13.490699999999986</v>
      </c>
      <c r="D25" s="384">
        <f>+D16-D23-D24</f>
        <v>29.419999999999987</v>
      </c>
      <c r="E25" s="11">
        <f>+B25+C25</f>
        <v>29.419999999999987</v>
      </c>
      <c r="H25" s="397">
        <v>15.35</v>
      </c>
      <c r="I25" s="398">
        <f>+J25-H25</f>
        <v>12.889999999999999</v>
      </c>
      <c r="J25" s="399">
        <v>28.24</v>
      </c>
    </row>
    <row r="26" spans="1:10" ht="15.75" thickBot="1" x14ac:dyDescent="0.3">
      <c r="A26" s="3" t="s">
        <v>9</v>
      </c>
      <c r="B26" s="19">
        <f>SUM(B23:B25)</f>
        <v>21.190300000000001</v>
      </c>
      <c r="C26" s="19">
        <f>SUM(C23:C25)</f>
        <v>52.387199999999993</v>
      </c>
      <c r="D26" s="385">
        <f>SUM(D23:D25)</f>
        <v>73.577499999999986</v>
      </c>
      <c r="H26" s="397">
        <v>0</v>
      </c>
      <c r="I26" s="398">
        <f t="shared" ref="I26:I28" si="2">+J26-H26</f>
        <v>32.21</v>
      </c>
      <c r="J26" s="399">
        <v>32.21</v>
      </c>
    </row>
    <row r="27" spans="1:10" ht="15.75" thickBot="1" x14ac:dyDescent="0.3">
      <c r="B27">
        <v>21.19</v>
      </c>
      <c r="H27" s="397">
        <v>0</v>
      </c>
      <c r="I27" s="398">
        <f t="shared" si="2"/>
        <v>2.5</v>
      </c>
      <c r="J27" s="399">
        <v>2.5</v>
      </c>
    </row>
    <row r="28" spans="1:10" ht="15.75" thickBot="1" x14ac:dyDescent="0.3">
      <c r="B28" s="11">
        <f>+B27-B26</f>
        <v>-2.9999999999930083E-4</v>
      </c>
      <c r="H28" s="397">
        <v>2.02</v>
      </c>
      <c r="I28" s="398">
        <f t="shared" si="2"/>
        <v>0.20000000000000018</v>
      </c>
      <c r="J28" s="399">
        <v>2.2200000000000002</v>
      </c>
    </row>
    <row r="29" spans="1:10" x14ac:dyDescent="0.25">
      <c r="H29">
        <f>SUM(H24:H28)</f>
        <v>21.189999999999998</v>
      </c>
      <c r="I29">
        <f t="shared" ref="I29:J29" si="3">SUM(I24:I28)</f>
        <v>48.89</v>
      </c>
      <c r="J29">
        <f t="shared" si="3"/>
        <v>70.08</v>
      </c>
    </row>
    <row r="30" spans="1:10" x14ac:dyDescent="0.25">
      <c r="I30">
        <v>3.5</v>
      </c>
    </row>
    <row r="31" spans="1:10" x14ac:dyDescent="0.25">
      <c r="I31">
        <f>+I29+I30</f>
        <v>52.39</v>
      </c>
      <c r="J31" s="400">
        <v>3.5</v>
      </c>
    </row>
    <row r="32" spans="1:10" x14ac:dyDescent="0.25">
      <c r="A32" s="13" t="s">
        <v>213</v>
      </c>
      <c r="B32" s="3" t="s">
        <v>308</v>
      </c>
      <c r="C32" s="3" t="s">
        <v>309</v>
      </c>
      <c r="J32">
        <f>+J31+J29</f>
        <v>73.58</v>
      </c>
    </row>
    <row r="33" spans="1:4" x14ac:dyDescent="0.25">
      <c r="A33" s="13" t="s">
        <v>63</v>
      </c>
      <c r="B33" s="389">
        <f>26.1/100</f>
        <v>0.26100000000000001</v>
      </c>
      <c r="C33" s="390">
        <f>512.93/100</f>
        <v>5.1292999999999997</v>
      </c>
    </row>
    <row r="34" spans="1:4" x14ac:dyDescent="0.25">
      <c r="A34" s="13" t="s">
        <v>55</v>
      </c>
      <c r="B34" s="389">
        <v>5</v>
      </c>
      <c r="C34" s="390">
        <f>1080/100</f>
        <v>10.8</v>
      </c>
    </row>
    <row r="35" spans="1:4" x14ac:dyDescent="0.25">
      <c r="A35" s="13" t="s">
        <v>56</v>
      </c>
      <c r="B35" s="389">
        <v>10</v>
      </c>
      <c r="C35" s="390">
        <v>11.76</v>
      </c>
    </row>
    <row r="36" spans="1:4" x14ac:dyDescent="0.25">
      <c r="A36" s="13" t="s">
        <v>57</v>
      </c>
      <c r="B36" s="389">
        <f>+B37-B33-B34-B35</f>
        <v>4.7390000000000008</v>
      </c>
      <c r="C36" s="390">
        <f>+C37-C33-C34-C35</f>
        <v>1.7306999999999864</v>
      </c>
    </row>
    <row r="37" spans="1:4" x14ac:dyDescent="0.25">
      <c r="A37" s="13"/>
      <c r="B37" s="43">
        <f>+D23</f>
        <v>20</v>
      </c>
      <c r="C37" s="43">
        <f>+D25</f>
        <v>29.419999999999987</v>
      </c>
    </row>
    <row r="39" spans="1:4" x14ac:dyDescent="0.25">
      <c r="B39" s="13" t="s">
        <v>63</v>
      </c>
      <c r="C39" s="13" t="s">
        <v>55</v>
      </c>
      <c r="D39" s="13" t="s">
        <v>56</v>
      </c>
    </row>
    <row r="40" spans="1:4" x14ac:dyDescent="0.25">
      <c r="A40" s="223" t="s">
        <v>310</v>
      </c>
      <c r="B40" s="220">
        <f>381.891/100</f>
        <v>3.8189100000000002</v>
      </c>
      <c r="C40" s="220">
        <f>1536.65666666667/100</f>
        <v>15.366566666666699</v>
      </c>
      <c r="D40" s="13">
        <f>4032.86/100</f>
        <v>40.328600000000002</v>
      </c>
    </row>
    <row r="41" spans="1:4" x14ac:dyDescent="0.25">
      <c r="A41" s="224"/>
      <c r="C41" s="221"/>
      <c r="D41" s="13"/>
    </row>
    <row r="42" spans="1:4" x14ac:dyDescent="0.25">
      <c r="A42" s="225" t="s">
        <v>9</v>
      </c>
      <c r="B42" s="222">
        <f>SUM(B40:B41)</f>
        <v>3.8189100000000002</v>
      </c>
      <c r="C42" s="222">
        <f>SUM(C40:C41)</f>
        <v>15.366566666666699</v>
      </c>
      <c r="D42" s="222">
        <f>SUM(D40:D41)</f>
        <v>40.328600000000002</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2"/>
  <sheetViews>
    <sheetView zoomScaleNormal="100" workbookViewId="0">
      <pane ySplit="6" topLeftCell="A7" activePane="bottomLeft" state="frozen"/>
      <selection pane="bottomLeft" activeCell="N17" sqref="N17"/>
    </sheetView>
  </sheetViews>
  <sheetFormatPr defaultRowHeight="15" x14ac:dyDescent="0.25"/>
  <cols>
    <col min="1" max="1" width="11.28515625" customWidth="1"/>
    <col min="2" max="2" width="42.5703125" style="62" customWidth="1"/>
    <col min="3" max="3" width="5.140625" style="47" customWidth="1"/>
    <col min="4" max="4" width="8.28515625" style="47" customWidth="1"/>
    <col min="5" max="5" width="9.42578125" style="47" customWidth="1"/>
    <col min="6" max="6" width="9.7109375" style="47" customWidth="1"/>
    <col min="7" max="7" width="10.5703125" style="47" customWidth="1"/>
    <col min="8" max="8" width="10" style="47" customWidth="1"/>
    <col min="9" max="9" width="13" style="47" customWidth="1"/>
    <col min="10" max="10" width="11" style="47" customWidth="1"/>
  </cols>
  <sheetData>
    <row r="1" spans="1:10" x14ac:dyDescent="0.25">
      <c r="B1" s="415" t="s">
        <v>157</v>
      </c>
      <c r="C1" s="415"/>
      <c r="D1" s="415"/>
      <c r="E1" s="415"/>
      <c r="F1" s="415"/>
      <c r="G1" s="415"/>
      <c r="H1" s="415"/>
      <c r="I1" s="415"/>
      <c r="J1" s="415"/>
    </row>
    <row r="2" spans="1:10" x14ac:dyDescent="0.25">
      <c r="B2" s="63"/>
      <c r="C2" s="49"/>
      <c r="D2" s="49"/>
      <c r="E2" s="49"/>
      <c r="F2" s="49"/>
      <c r="G2" s="49"/>
      <c r="H2" s="49"/>
      <c r="I2" s="49"/>
      <c r="J2" s="49"/>
    </row>
    <row r="3" spans="1:10" x14ac:dyDescent="0.25">
      <c r="B3" s="86" t="s">
        <v>24</v>
      </c>
      <c r="C3" s="87"/>
      <c r="D3" s="88" t="s">
        <v>57</v>
      </c>
      <c r="E3" s="88" t="s">
        <v>58</v>
      </c>
      <c r="F3" s="88" t="s">
        <v>59</v>
      </c>
      <c r="G3" s="88" t="s">
        <v>60</v>
      </c>
      <c r="H3" s="88" t="s">
        <v>236</v>
      </c>
      <c r="I3" s="88" t="s">
        <v>237</v>
      </c>
      <c r="J3" s="88" t="s">
        <v>238</v>
      </c>
    </row>
    <row r="4" spans="1:10" ht="22.5" customHeight="1" x14ac:dyDescent="0.25">
      <c r="B4" s="86" t="s">
        <v>25</v>
      </c>
      <c r="C4" s="87"/>
      <c r="D4" s="87">
        <v>9</v>
      </c>
      <c r="E4" s="87">
        <v>12</v>
      </c>
      <c r="F4" s="87">
        <v>12</v>
      </c>
      <c r="G4" s="87">
        <v>12</v>
      </c>
      <c r="H4" s="87">
        <v>12</v>
      </c>
      <c r="I4" s="87">
        <v>12</v>
      </c>
      <c r="J4" s="87">
        <v>12</v>
      </c>
    </row>
    <row r="5" spans="1:10" ht="15.75" customHeight="1" x14ac:dyDescent="0.25">
      <c r="B5" s="86"/>
      <c r="C5" s="87"/>
      <c r="D5" s="106">
        <v>0.45</v>
      </c>
      <c r="E5" s="106">
        <v>0.5</v>
      </c>
      <c r="F5" s="106">
        <v>0.55000000000000004</v>
      </c>
      <c r="G5" s="106">
        <v>0.6</v>
      </c>
      <c r="H5" s="106">
        <v>0.65</v>
      </c>
      <c r="I5" s="177">
        <v>0.7</v>
      </c>
      <c r="J5" s="177">
        <v>0.75</v>
      </c>
    </row>
    <row r="6" spans="1:10" x14ac:dyDescent="0.25">
      <c r="A6" s="79">
        <v>0</v>
      </c>
      <c r="B6" s="93" t="s">
        <v>66</v>
      </c>
      <c r="C6" s="101"/>
      <c r="D6" s="106">
        <f>+D5-$A$6</f>
        <v>0.45</v>
      </c>
      <c r="E6" s="106">
        <f t="shared" ref="E6:J6" si="0">+E5-$A$6</f>
        <v>0.5</v>
      </c>
      <c r="F6" s="106">
        <f t="shared" si="0"/>
        <v>0.55000000000000004</v>
      </c>
      <c r="G6" s="106">
        <f t="shared" si="0"/>
        <v>0.6</v>
      </c>
      <c r="H6" s="106">
        <f t="shared" si="0"/>
        <v>0.65</v>
      </c>
      <c r="I6" s="106">
        <f t="shared" si="0"/>
        <v>0.7</v>
      </c>
      <c r="J6" s="106">
        <f t="shared" si="0"/>
        <v>0.75</v>
      </c>
    </row>
    <row r="7" spans="1:10" x14ac:dyDescent="0.25">
      <c r="B7" s="89"/>
      <c r="C7" s="90"/>
      <c r="D7" s="90"/>
      <c r="E7" s="90"/>
      <c r="F7" s="90"/>
      <c r="G7" s="90"/>
      <c r="H7" s="90"/>
      <c r="I7" s="90"/>
      <c r="J7" s="90"/>
    </row>
    <row r="8" spans="1:10" x14ac:dyDescent="0.25">
      <c r="A8" s="79">
        <v>0.05</v>
      </c>
      <c r="B8" s="89" t="s">
        <v>155</v>
      </c>
      <c r="C8" s="91"/>
      <c r="D8" s="92">
        <f>+(Assumption!$D$16/12)*D4/10000000*D6</f>
        <v>1.484409375</v>
      </c>
      <c r="E8" s="92">
        <f>+(Assumption!$D$16/12)*E4/10000000*E6*(1+$A$8)</f>
        <v>2.3090812500000002</v>
      </c>
      <c r="F8" s="92">
        <f>+(Assumption!$D$16/12)*F4/10000000*F6*(1+$A$8)</f>
        <v>2.5399893750000007</v>
      </c>
      <c r="G8" s="92">
        <f>+(Assumption!$D$16/12)*G4/10000000*G6*(1+$A$8)</f>
        <v>2.7708975000000002</v>
      </c>
      <c r="H8" s="92">
        <f>+(Assumption!$D$16/12)*H4/10000000*H6*(1+$A$8)</f>
        <v>3.0018056250000003</v>
      </c>
      <c r="I8" s="92">
        <f>+(Assumption!$D$16/12)*I4/10000000*I6*(1+$A$8)</f>
        <v>3.2327137499999998</v>
      </c>
      <c r="J8" s="92">
        <f>+(Assumption!$D$16/12)*J4/10000000*J6*(1+$A$8)</f>
        <v>3.4636218749999999</v>
      </c>
    </row>
    <row r="9" spans="1:10" x14ac:dyDescent="0.25">
      <c r="B9" s="89" t="s">
        <v>74</v>
      </c>
      <c r="C9" s="91"/>
      <c r="D9" s="92"/>
      <c r="E9" s="92"/>
      <c r="F9" s="92"/>
      <c r="G9" s="92"/>
      <c r="H9" s="92"/>
      <c r="I9" s="92"/>
      <c r="J9" s="92"/>
    </row>
    <row r="10" spans="1:10" x14ac:dyDescent="0.25">
      <c r="B10" s="89" t="s">
        <v>405</v>
      </c>
      <c r="C10" s="91"/>
      <c r="D10" s="92">
        <f>+Assumption!$B$25/10^7*'Project Details'!D6*'Project Details'!D4/12</f>
        <v>2.6324999999999998</v>
      </c>
      <c r="E10" s="92">
        <f>+Assumption!$B$25/10^7*'Project Details'!E6*'Project Details'!E4/12*(1+$A$8)</f>
        <v>4.0949999999999998</v>
      </c>
      <c r="F10" s="92">
        <f>+Assumption!$B$25/10^7*'Project Details'!F6*'Project Details'!F4/12*(1+$A$8)</f>
        <v>4.5045000000000002</v>
      </c>
      <c r="G10" s="92">
        <f>+Assumption!$B$25/10^7*'Project Details'!G6*'Project Details'!G4/12*(1+$A$8)</f>
        <v>4.9139999999999997</v>
      </c>
      <c r="H10" s="92">
        <f>+Assumption!$B$25/10^7*'Project Details'!H6*'Project Details'!H4/12*(1+$A$8)</f>
        <v>5.3235000000000001</v>
      </c>
      <c r="I10" s="92">
        <f>+Assumption!$B$25/10^7*'Project Details'!I6*'Project Details'!I4/12*(1+$A$8)</f>
        <v>5.7330000000000005</v>
      </c>
      <c r="J10" s="92">
        <f>+Assumption!$B$25/10^7*'Project Details'!J6*'Project Details'!J4/12*(1+$A$8)</f>
        <v>6.1424999999999992</v>
      </c>
    </row>
    <row r="11" spans="1:10" x14ac:dyDescent="0.25">
      <c r="B11" s="89" t="s">
        <v>406</v>
      </c>
      <c r="C11" s="91"/>
      <c r="D11" s="92">
        <f>+Assumption!$B$30/10^7*'Project Details'!D4/12*'Project Details'!D6</f>
        <v>0.61593750000000003</v>
      </c>
      <c r="E11" s="92">
        <f>+Assumption!$B$30/10^7*'Project Details'!E4/12*'Project Details'!E6*(1+$A$8)</f>
        <v>0.958125</v>
      </c>
      <c r="F11" s="92">
        <f>+Assumption!$B$30/10^7*'Project Details'!F4/12*'Project Details'!F6*(1+$A$8)</f>
        <v>1.0539375000000002</v>
      </c>
      <c r="G11" s="92">
        <f>+Assumption!$B$30/10^7*'Project Details'!G4/12*'Project Details'!G6*(1+$A$8)</f>
        <v>1.14975</v>
      </c>
      <c r="H11" s="92">
        <f>+Assumption!$B$30/10^7*'Project Details'!H4/12*'Project Details'!H6*(1+$A$8)</f>
        <v>1.2455625000000001</v>
      </c>
      <c r="I11" s="92">
        <f>+Assumption!$B$30/10^7*'Project Details'!I4/12*'Project Details'!I6*(1+$A$8)</f>
        <v>1.341375</v>
      </c>
      <c r="J11" s="92">
        <f>+Assumption!$B$30/10^7*'Project Details'!J4/12*'Project Details'!J6*(1+$A$8)</f>
        <v>1.4371875000000001</v>
      </c>
    </row>
    <row r="12" spans="1:10" x14ac:dyDescent="0.25">
      <c r="B12" s="89" t="s">
        <v>407</v>
      </c>
      <c r="C12" s="91"/>
      <c r="D12" s="92">
        <f>+Assumption!$B$36/10^7*'Project Details'!D4/12*'Project Details'!D6</f>
        <v>4.9275000000000002</v>
      </c>
      <c r="E12" s="92">
        <f>+Assumption!$B$36/10^7*'Project Details'!E4/12*'Project Details'!E6*(1+$A$8)</f>
        <v>7.665</v>
      </c>
      <c r="F12" s="92">
        <f>+Assumption!$B$36/10^7*'Project Details'!F4/12*'Project Details'!F6*(1+$A$8)</f>
        <v>8.4315000000000015</v>
      </c>
      <c r="G12" s="92">
        <f>+Assumption!$B$36/10^7*'Project Details'!G4/12*'Project Details'!G6*(1+$A$8)</f>
        <v>9.1980000000000004</v>
      </c>
      <c r="H12" s="92">
        <f>+Assumption!$B$36/10^7*'Project Details'!H4/12*'Project Details'!H6*(1+$A$8)</f>
        <v>9.964500000000001</v>
      </c>
      <c r="I12" s="92">
        <f>+Assumption!$B$36/10^7*'Project Details'!I4/12*'Project Details'!I6*(1+$A$8)</f>
        <v>10.731</v>
      </c>
      <c r="J12" s="92">
        <f>+Assumption!$B$36/10^7*'Project Details'!J4/12*'Project Details'!J6*(1+$A$8)</f>
        <v>11.4975</v>
      </c>
    </row>
    <row r="13" spans="1:10" x14ac:dyDescent="0.25">
      <c r="B13" s="89" t="s">
        <v>110</v>
      </c>
      <c r="C13" s="91"/>
      <c r="D13" s="92">
        <f>+Assumption!$B$38/10^7*'Project Details'!D4/12*'Project Details'!D6</f>
        <v>1.3709249999999999</v>
      </c>
      <c r="E13" s="92">
        <f>+Assumption!$B$38/10^7*'Project Details'!E4/12*'Project Details'!E6*(1+$A$8)</f>
        <v>2.1325500000000002</v>
      </c>
      <c r="F13" s="92">
        <f>+Assumption!$B$38/10^7*'Project Details'!F4/12*'Project Details'!F6*(1+$A$8)</f>
        <v>2.3458050000000004</v>
      </c>
      <c r="G13" s="92">
        <f>+Assumption!$B$38/10^7*'Project Details'!G4/12*'Project Details'!G6*(1+$A$8)</f>
        <v>2.5590600000000006</v>
      </c>
      <c r="H13" s="92">
        <f>+Assumption!$B$38/10^7*'Project Details'!H4/12*'Project Details'!H6*(1+$A$8)</f>
        <v>2.7723150000000003</v>
      </c>
      <c r="I13" s="92">
        <f>+Assumption!$B$38/10^7*'Project Details'!I4/12*'Project Details'!I6*(1+$A$8)</f>
        <v>2.9855700000000001</v>
      </c>
      <c r="J13" s="92">
        <f>+Assumption!$B$38/10^7*'Project Details'!J4/12*'Project Details'!J6*(1+$A$8)</f>
        <v>3.1988250000000003</v>
      </c>
    </row>
    <row r="14" spans="1:10" x14ac:dyDescent="0.25">
      <c r="B14" s="89" t="s">
        <v>315</v>
      </c>
      <c r="C14" s="91"/>
      <c r="D14" s="92">
        <f>+Assumption!$D$54/10^7*'Project Details'!D4/12*'Project Details'!D6</f>
        <v>1.77086671875</v>
      </c>
      <c r="E14" s="92">
        <f>+Assumption!$D$54/10^7*'Project Details'!E4/12*'Project Details'!E6*(1+$A$8)</f>
        <v>2.7546815625000001</v>
      </c>
      <c r="F14" s="92">
        <f>+Assumption!$D$54/10^7*'Project Details'!F4/12*'Project Details'!F6*(1+$A$8)</f>
        <v>3.0301497187500006</v>
      </c>
      <c r="G14" s="92">
        <f>+Assumption!$D$54/10^7*'Project Details'!G4/12*'Project Details'!G6*(1+$A$8)</f>
        <v>3.3056178750000003</v>
      </c>
      <c r="H14" s="92">
        <f>+Assumption!$D$54/10^7*'Project Details'!H4/12*'Project Details'!H6*(1+$A$8)</f>
        <v>3.5810860312500004</v>
      </c>
      <c r="I14" s="92">
        <f>+Assumption!$D$54/10^7*'Project Details'!I4/12*'Project Details'!I6*(1+$A$8)</f>
        <v>3.8565541875</v>
      </c>
      <c r="J14" s="92">
        <f>+Assumption!$D$54/10^7*'Project Details'!J4/12*'Project Details'!J6*(1+$A$8)</f>
        <v>4.1320223437500001</v>
      </c>
    </row>
    <row r="15" spans="1:10" x14ac:dyDescent="0.25">
      <c r="B15" s="89"/>
      <c r="C15" s="91"/>
      <c r="D15" s="92"/>
      <c r="E15" s="92"/>
      <c r="F15" s="92"/>
      <c r="G15" s="92"/>
      <c r="H15" s="92"/>
      <c r="I15" s="92"/>
      <c r="J15" s="92"/>
    </row>
    <row r="16" spans="1:10" x14ac:dyDescent="0.25">
      <c r="B16" s="89"/>
      <c r="C16" s="91"/>
      <c r="D16" s="92"/>
      <c r="E16" s="92"/>
      <c r="F16" s="92"/>
      <c r="G16" s="92"/>
      <c r="H16" s="92"/>
      <c r="I16" s="92"/>
      <c r="J16" s="92"/>
    </row>
    <row r="17" spans="1:11" x14ac:dyDescent="0.25">
      <c r="B17" s="93" t="s">
        <v>26</v>
      </c>
      <c r="C17" s="94"/>
      <c r="D17" s="95">
        <f>SUM(D8:D14)</f>
        <v>12.80213859375</v>
      </c>
      <c r="E17" s="95">
        <f t="shared" ref="E17:J17" si="1">SUM(E8:E14)</f>
        <v>19.914437812500001</v>
      </c>
      <c r="F17" s="95">
        <f t="shared" si="1"/>
        <v>21.905881593749999</v>
      </c>
      <c r="G17" s="95">
        <f t="shared" si="1"/>
        <v>23.897325374999998</v>
      </c>
      <c r="H17" s="95">
        <f t="shared" si="1"/>
        <v>25.88876915625</v>
      </c>
      <c r="I17" s="95">
        <f t="shared" si="1"/>
        <v>27.880212937499998</v>
      </c>
      <c r="J17" s="95">
        <f t="shared" si="1"/>
        <v>29.871656718750003</v>
      </c>
    </row>
    <row r="18" spans="1:11" x14ac:dyDescent="0.25">
      <c r="B18" s="89"/>
      <c r="C18" s="91"/>
      <c r="D18" s="92"/>
      <c r="E18" s="92"/>
      <c r="F18" s="92"/>
      <c r="G18" s="92"/>
      <c r="H18" s="92"/>
      <c r="I18" s="92"/>
      <c r="J18" s="92"/>
    </row>
    <row r="19" spans="1:11" x14ac:dyDescent="0.25">
      <c r="B19" s="96" t="s">
        <v>27</v>
      </c>
      <c r="C19" s="91"/>
      <c r="D19" s="92"/>
      <c r="E19" s="92"/>
      <c r="F19" s="92"/>
      <c r="G19" s="92"/>
      <c r="H19" s="92"/>
      <c r="I19" s="92"/>
      <c r="J19" s="92"/>
    </row>
    <row r="20" spans="1:11" x14ac:dyDescent="0.25">
      <c r="B20" s="89"/>
      <c r="C20" s="91"/>
      <c r="D20" s="92"/>
      <c r="E20" s="92"/>
      <c r="F20" s="92"/>
      <c r="G20" s="92"/>
      <c r="H20" s="92"/>
      <c r="I20" s="92"/>
      <c r="J20" s="92"/>
    </row>
    <row r="21" spans="1:11" ht="30" x14ac:dyDescent="0.25">
      <c r="B21" s="97" t="s">
        <v>454</v>
      </c>
      <c r="C21" s="98">
        <v>0.3</v>
      </c>
      <c r="D21" s="92">
        <f>(SUM(D10:D12))*$C$21</f>
        <v>2.4527812499999997</v>
      </c>
      <c r="E21" s="92">
        <f t="shared" ref="E21:J21" si="2">(SUM(E10:E12))*$C$21</f>
        <v>3.8154374999999998</v>
      </c>
      <c r="F21" s="92">
        <f t="shared" si="2"/>
        <v>4.1969812500000003</v>
      </c>
      <c r="G21" s="92">
        <f t="shared" si="2"/>
        <v>4.578525</v>
      </c>
      <c r="H21" s="92">
        <f t="shared" si="2"/>
        <v>4.9600687500000005</v>
      </c>
      <c r="I21" s="92">
        <f t="shared" si="2"/>
        <v>5.3416125000000001</v>
      </c>
      <c r="J21" s="92">
        <f t="shared" si="2"/>
        <v>5.7231562499999997</v>
      </c>
    </row>
    <row r="22" spans="1:11" ht="30" x14ac:dyDescent="0.25">
      <c r="B22" s="97" t="s">
        <v>455</v>
      </c>
      <c r="C22" s="98">
        <v>0.25</v>
      </c>
      <c r="D22" s="92">
        <f>D14*$C$22</f>
        <v>0.4427166796875</v>
      </c>
      <c r="E22" s="92">
        <f t="shared" ref="E22:J22" si="3">E14*$C$22</f>
        <v>0.68867039062500002</v>
      </c>
      <c r="F22" s="92">
        <f t="shared" si="3"/>
        <v>0.75753742968750015</v>
      </c>
      <c r="G22" s="92">
        <f t="shared" si="3"/>
        <v>0.82640446875000007</v>
      </c>
      <c r="H22" s="92">
        <f t="shared" si="3"/>
        <v>0.89527150781250009</v>
      </c>
      <c r="I22" s="92">
        <f t="shared" si="3"/>
        <v>0.964138546875</v>
      </c>
      <c r="J22" s="92">
        <f t="shared" si="3"/>
        <v>1.0330055859375</v>
      </c>
    </row>
    <row r="23" spans="1:11" ht="30" x14ac:dyDescent="0.25">
      <c r="B23" s="97" t="s">
        <v>464</v>
      </c>
      <c r="C23" s="98">
        <v>0.15</v>
      </c>
      <c r="D23" s="92">
        <f>D8*$C$23</f>
        <v>0.22266140625</v>
      </c>
      <c r="E23" s="92">
        <f t="shared" ref="E23:J23" si="4">E8*$C$23</f>
        <v>0.34636218750000003</v>
      </c>
      <c r="F23" s="92">
        <f t="shared" si="4"/>
        <v>0.38099840625000009</v>
      </c>
      <c r="G23" s="92">
        <f t="shared" si="4"/>
        <v>0.41563462500000004</v>
      </c>
      <c r="H23" s="92">
        <f t="shared" si="4"/>
        <v>0.45027084375000004</v>
      </c>
      <c r="I23" s="92">
        <f t="shared" si="4"/>
        <v>0.48490706249999993</v>
      </c>
      <c r="J23" s="92">
        <f t="shared" si="4"/>
        <v>0.51954328124999993</v>
      </c>
    </row>
    <row r="24" spans="1:11" x14ac:dyDescent="0.25">
      <c r="A24">
        <v>3850000</v>
      </c>
      <c r="B24" s="97" t="s">
        <v>412</v>
      </c>
      <c r="C24" s="98"/>
      <c r="D24" s="92">
        <f>+A24/10^7*D4</f>
        <v>3.4649999999999999</v>
      </c>
      <c r="E24" s="92">
        <f>+D24*(1.05)*E4/D4</f>
        <v>4.8510000000000009</v>
      </c>
      <c r="F24" s="92">
        <f>+E24*1.05</f>
        <v>5.0935500000000014</v>
      </c>
      <c r="G24" s="92">
        <f t="shared" ref="G24:J24" si="5">+F24*1.05</f>
        <v>5.3482275000000019</v>
      </c>
      <c r="H24" s="92">
        <f t="shared" si="5"/>
        <v>5.6156388750000019</v>
      </c>
      <c r="I24" s="92">
        <f t="shared" si="5"/>
        <v>5.896420818750002</v>
      </c>
      <c r="J24" s="92">
        <f t="shared" si="5"/>
        <v>6.1912418596875023</v>
      </c>
      <c r="K24" s="401">
        <f>+D24/D17*100</f>
        <v>27.065790411702089</v>
      </c>
    </row>
    <row r="25" spans="1:11" x14ac:dyDescent="0.25">
      <c r="B25" s="97" t="s">
        <v>47</v>
      </c>
      <c r="C25" s="99">
        <v>0.08</v>
      </c>
      <c r="D25" s="100">
        <f>D17*$C$25</f>
        <v>1.0241710875000001</v>
      </c>
      <c r="E25" s="100">
        <f t="shared" ref="E25:J25" si="6">E17*$C$25</f>
        <v>1.5931550250000002</v>
      </c>
      <c r="F25" s="100">
        <f t="shared" si="6"/>
        <v>1.7524705274999999</v>
      </c>
      <c r="G25" s="100">
        <f t="shared" si="6"/>
        <v>1.9117860299999998</v>
      </c>
      <c r="H25" s="100">
        <f t="shared" si="6"/>
        <v>2.0711015325000002</v>
      </c>
      <c r="I25" s="100">
        <f t="shared" si="6"/>
        <v>2.2304170349999999</v>
      </c>
      <c r="J25" s="100">
        <f t="shared" si="6"/>
        <v>2.3897325375000005</v>
      </c>
    </row>
    <row r="26" spans="1:11" x14ac:dyDescent="0.25">
      <c r="B26" s="97" t="s">
        <v>48</v>
      </c>
      <c r="C26" s="99">
        <v>0.06</v>
      </c>
      <c r="D26" s="100">
        <f>D17*$C$26</f>
        <v>0.76812831562499995</v>
      </c>
      <c r="E26" s="100">
        <f t="shared" ref="E26:J26" si="7">E17*$C$26</f>
        <v>1.19486626875</v>
      </c>
      <c r="F26" s="100">
        <f t="shared" si="7"/>
        <v>1.3143528956249999</v>
      </c>
      <c r="G26" s="100">
        <f t="shared" si="7"/>
        <v>1.4338395224999998</v>
      </c>
      <c r="H26" s="100">
        <f t="shared" si="7"/>
        <v>1.5533261493749999</v>
      </c>
      <c r="I26" s="100">
        <f t="shared" si="7"/>
        <v>1.6728127762499998</v>
      </c>
      <c r="J26" s="100">
        <f t="shared" si="7"/>
        <v>1.7922994031250001</v>
      </c>
    </row>
    <row r="27" spans="1:11" x14ac:dyDescent="0.25">
      <c r="B27" s="97" t="s">
        <v>49</v>
      </c>
      <c r="C27" s="99">
        <v>0.01</v>
      </c>
      <c r="D27" s="100">
        <f>D17*$C$27</f>
        <v>0.12802138593750001</v>
      </c>
      <c r="E27" s="100">
        <f t="shared" ref="E27:J27" si="8">E17*$C$27</f>
        <v>0.19914437812500002</v>
      </c>
      <c r="F27" s="100">
        <f t="shared" si="8"/>
        <v>0.21905881593749998</v>
      </c>
      <c r="G27" s="100">
        <f t="shared" si="8"/>
        <v>0.23897325374999998</v>
      </c>
      <c r="H27" s="100">
        <f t="shared" si="8"/>
        <v>0.25888769156250002</v>
      </c>
      <c r="I27" s="100">
        <f t="shared" si="8"/>
        <v>0.27880212937499999</v>
      </c>
      <c r="J27" s="100">
        <f t="shared" si="8"/>
        <v>0.29871656718750006</v>
      </c>
    </row>
    <row r="28" spans="1:11" x14ac:dyDescent="0.25">
      <c r="B28" s="89" t="s">
        <v>465</v>
      </c>
      <c r="C28" s="98">
        <v>0.01</v>
      </c>
      <c r="D28" s="100">
        <f>+$C$28*Dep!B43*9/12</f>
        <v>0.44803446728554414</v>
      </c>
      <c r="E28" s="100">
        <f>+$C$28*Dep!C43</f>
        <v>0.52278488199960282</v>
      </c>
      <c r="F28" s="100">
        <f>+$C$28*Dep!D43</f>
        <v>0.45787838686805005</v>
      </c>
      <c r="G28" s="100">
        <f>+$C$28*Dep!E43</f>
        <v>0.40135674228939139</v>
      </c>
      <c r="H28" s="100">
        <f>+$C$28*Dep!F43</f>
        <v>0.35209733305237662</v>
      </c>
      <c r="I28" s="100">
        <f>+$C$28*Dep!G43</f>
        <v>0.30913242499027471</v>
      </c>
      <c r="J28" s="100">
        <f>+$C$28*Dep!H43</f>
        <v>0.27162728394791263</v>
      </c>
    </row>
    <row r="29" spans="1:11" x14ac:dyDescent="0.25">
      <c r="B29" s="89" t="s">
        <v>466</v>
      </c>
      <c r="C29" s="98">
        <v>0.01</v>
      </c>
      <c r="D29" s="100">
        <f>+Dep!B43*'Project Details'!$C$29</f>
        <v>0.59737928971405885</v>
      </c>
      <c r="E29" s="100">
        <f>+Dep!C43*'Project Details'!$C$29</f>
        <v>0.52278488199960282</v>
      </c>
      <c r="F29" s="100">
        <f>+Dep!D43*'Project Details'!$C$29</f>
        <v>0.45787838686805005</v>
      </c>
      <c r="G29" s="100">
        <f>+Dep!E43*'Project Details'!$C$29</f>
        <v>0.40135674228939139</v>
      </c>
      <c r="H29" s="100">
        <f>+Dep!F43*'Project Details'!$C$29</f>
        <v>0.35209733305237662</v>
      </c>
      <c r="I29" s="100">
        <f>+Dep!G43*'Project Details'!$C$29</f>
        <v>0.30913242499027471</v>
      </c>
      <c r="J29" s="100">
        <f>+Dep!H43*'Project Details'!$C$29</f>
        <v>0.27162728394791263</v>
      </c>
    </row>
    <row r="30" spans="1:11" x14ac:dyDescent="0.25">
      <c r="B30" s="89"/>
      <c r="C30" s="90"/>
      <c r="D30" s="92"/>
      <c r="E30" s="92"/>
      <c r="F30" s="92"/>
      <c r="G30" s="92"/>
      <c r="H30" s="92"/>
      <c r="I30" s="92"/>
      <c r="J30" s="92"/>
    </row>
    <row r="31" spans="1:11" x14ac:dyDescent="0.25">
      <c r="B31" s="93" t="s">
        <v>30</v>
      </c>
      <c r="C31" s="101"/>
      <c r="D31" s="95">
        <f t="shared" ref="D31:J31" si="9">SUM(D20:D29)</f>
        <v>9.5488938819996019</v>
      </c>
      <c r="E31" s="95">
        <f t="shared" si="9"/>
        <v>13.734205513999203</v>
      </c>
      <c r="F31" s="95">
        <f t="shared" si="9"/>
        <v>14.630706098736098</v>
      </c>
      <c r="G31" s="95">
        <f t="shared" si="9"/>
        <v>15.556103884578782</v>
      </c>
      <c r="H31" s="95">
        <f t="shared" si="9"/>
        <v>16.508760016104755</v>
      </c>
      <c r="I31" s="95">
        <f t="shared" si="9"/>
        <v>17.487375718730547</v>
      </c>
      <c r="J31" s="95">
        <f t="shared" si="9"/>
        <v>18.490950052583326</v>
      </c>
      <c r="K31" s="11">
        <f>SUM(D31:J31)</f>
        <v>105.95699516673231</v>
      </c>
    </row>
    <row r="32" spans="1:11" x14ac:dyDescent="0.25">
      <c r="B32" s="89" t="s">
        <v>31</v>
      </c>
      <c r="C32" s="90"/>
      <c r="D32" s="102">
        <f t="shared" ref="D32:J32" si="10">D31/D17</f>
        <v>0.74588271421005936</v>
      </c>
      <c r="E32" s="102">
        <f t="shared" si="10"/>
        <v>0.68966071969043707</v>
      </c>
      <c r="F32" s="102">
        <f t="shared" si="10"/>
        <v>0.66788939929769398</v>
      </c>
      <c r="G32" s="102">
        <f t="shared" si="10"/>
        <v>0.65095585553907553</v>
      </c>
      <c r="H32" s="102">
        <f t="shared" si="10"/>
        <v>0.63768037470098315</v>
      </c>
      <c r="I32" s="102">
        <f t="shared" si="10"/>
        <v>0.62723250205916936</v>
      </c>
      <c r="J32" s="102">
        <f t="shared" si="10"/>
        <v>0.61901320796100423</v>
      </c>
    </row>
    <row r="33" spans="1:10" x14ac:dyDescent="0.25">
      <c r="B33" s="93" t="s">
        <v>32</v>
      </c>
      <c r="C33" s="94"/>
      <c r="D33" s="95">
        <f t="shared" ref="D33:J33" si="11">D17-D31</f>
        <v>3.2532447117503978</v>
      </c>
      <c r="E33" s="95">
        <f t="shared" si="11"/>
        <v>6.1802322985007976</v>
      </c>
      <c r="F33" s="95">
        <f t="shared" si="11"/>
        <v>7.2751754950139009</v>
      </c>
      <c r="G33" s="95">
        <f t="shared" si="11"/>
        <v>8.3412214904212156</v>
      </c>
      <c r="H33" s="95">
        <f t="shared" si="11"/>
        <v>9.3800091401452441</v>
      </c>
      <c r="I33" s="95">
        <f t="shared" si="11"/>
        <v>10.392837218769451</v>
      </c>
      <c r="J33" s="95">
        <f t="shared" si="11"/>
        <v>11.380706666166677</v>
      </c>
    </row>
    <row r="34" spans="1:10" x14ac:dyDescent="0.25">
      <c r="B34" s="89" t="s">
        <v>33</v>
      </c>
      <c r="C34" s="90"/>
      <c r="D34" s="102">
        <f t="shared" ref="D34:J34" si="12">D33/D17</f>
        <v>0.25411728578994064</v>
      </c>
      <c r="E34" s="102">
        <f t="shared" si="12"/>
        <v>0.31033928030956298</v>
      </c>
      <c r="F34" s="102">
        <f t="shared" si="12"/>
        <v>0.33211060070230602</v>
      </c>
      <c r="G34" s="102">
        <f t="shared" si="12"/>
        <v>0.34904414446092447</v>
      </c>
      <c r="H34" s="102">
        <f t="shared" si="12"/>
        <v>0.36231962529901685</v>
      </c>
      <c r="I34" s="102">
        <f t="shared" si="12"/>
        <v>0.37276749794083064</v>
      </c>
      <c r="J34" s="102">
        <f t="shared" si="12"/>
        <v>0.38098679203899571</v>
      </c>
    </row>
    <row r="35" spans="1:10" x14ac:dyDescent="0.25">
      <c r="B35" s="93" t="s">
        <v>34</v>
      </c>
      <c r="C35" s="94"/>
      <c r="D35" s="95">
        <f t="shared" ref="D35:J35" si="13">D33</f>
        <v>3.2532447117503978</v>
      </c>
      <c r="E35" s="95">
        <f t="shared" si="13"/>
        <v>6.1802322985007976</v>
      </c>
      <c r="F35" s="95">
        <f t="shared" si="13"/>
        <v>7.2751754950139009</v>
      </c>
      <c r="G35" s="95">
        <f t="shared" si="13"/>
        <v>8.3412214904212156</v>
      </c>
      <c r="H35" s="95">
        <f t="shared" si="13"/>
        <v>9.3800091401452441</v>
      </c>
      <c r="I35" s="95">
        <f t="shared" si="13"/>
        <v>10.392837218769451</v>
      </c>
      <c r="J35" s="95">
        <f t="shared" si="13"/>
        <v>11.380706666166677</v>
      </c>
    </row>
    <row r="36" spans="1:10" x14ac:dyDescent="0.25">
      <c r="B36" s="89"/>
      <c r="C36" s="90"/>
      <c r="D36" s="103"/>
      <c r="E36" s="103"/>
      <c r="F36" s="103"/>
      <c r="G36" s="103"/>
      <c r="H36" s="103"/>
      <c r="I36" s="103"/>
      <c r="J36" s="103"/>
    </row>
    <row r="37" spans="1:10" x14ac:dyDescent="0.25">
      <c r="B37" s="89" t="s">
        <v>35</v>
      </c>
      <c r="C37" s="90"/>
      <c r="D37" s="92">
        <f>Repayment!G144/100</f>
        <v>1.8118124999999998</v>
      </c>
      <c r="E37" s="92">
        <f>Repayment!H144/100</f>
        <v>2.27325</v>
      </c>
      <c r="F37" s="92">
        <f>Repayment!I144/100</f>
        <v>1.9907499999999998</v>
      </c>
      <c r="G37" s="92">
        <f>Repayment!J144/100</f>
        <v>1.6407500000000004</v>
      </c>
      <c r="H37" s="92">
        <f>Repayment!K144/100</f>
        <v>1.2032499999999999</v>
      </c>
      <c r="I37" s="92">
        <f>Repayment!L144/100</f>
        <v>0.66575000000000006</v>
      </c>
      <c r="J37" s="92">
        <f>Repayment!M144/100</f>
        <v>7.2687500000000002E-2</v>
      </c>
    </row>
    <row r="38" spans="1:10" x14ac:dyDescent="0.25">
      <c r="B38" s="89" t="s">
        <v>53</v>
      </c>
      <c r="C38" s="90"/>
      <c r="D38" s="92"/>
      <c r="E38" s="92"/>
      <c r="F38" s="92"/>
      <c r="G38" s="92"/>
      <c r="H38" s="92"/>
      <c r="I38" s="92"/>
      <c r="J38" s="92"/>
    </row>
    <row r="39" spans="1:10" x14ac:dyDescent="0.25">
      <c r="B39" s="89" t="s">
        <v>36</v>
      </c>
      <c r="C39" s="90"/>
      <c r="D39" s="92">
        <f>D35-D37-D38</f>
        <v>1.4414322117503979</v>
      </c>
      <c r="E39" s="92">
        <f t="shared" ref="E39:J39" si="14">E35-E37-E38</f>
        <v>3.9069822985007976</v>
      </c>
      <c r="F39" s="92">
        <f t="shared" si="14"/>
        <v>5.2844254950139007</v>
      </c>
      <c r="G39" s="92">
        <f t="shared" si="14"/>
        <v>6.700471490421215</v>
      </c>
      <c r="H39" s="92">
        <f t="shared" si="14"/>
        <v>8.1767591401452435</v>
      </c>
      <c r="I39" s="92">
        <f t="shared" si="14"/>
        <v>9.7270872187694515</v>
      </c>
      <c r="J39" s="92">
        <f t="shared" si="14"/>
        <v>11.308019166166677</v>
      </c>
    </row>
    <row r="40" spans="1:10" x14ac:dyDescent="0.25">
      <c r="B40" s="89" t="s">
        <v>20</v>
      </c>
      <c r="C40" s="90"/>
      <c r="D40" s="92">
        <f>+Dep!B22</f>
        <v>2.472976562579428</v>
      </c>
      <c r="E40" s="92">
        <f>+Dep!C22</f>
        <v>3.2973020834392375</v>
      </c>
      <c r="F40" s="92">
        <f>+Dep!D22</f>
        <v>3.2973020834392375</v>
      </c>
      <c r="G40" s="92">
        <f>+Dep!E22</f>
        <v>3.2973020834392375</v>
      </c>
      <c r="H40" s="92">
        <f>+Dep!F22</f>
        <v>3.2973020834392375</v>
      </c>
      <c r="I40" s="92">
        <f>+Dep!G22</f>
        <v>3.2973020834392375</v>
      </c>
      <c r="J40" s="92">
        <f>+Dep!H22</f>
        <v>3.2973020834392375</v>
      </c>
    </row>
    <row r="41" spans="1:10" x14ac:dyDescent="0.25">
      <c r="B41" s="89" t="s">
        <v>37</v>
      </c>
      <c r="C41" s="90"/>
      <c r="D41" s="92">
        <f t="shared" ref="D41:F41" si="15">D39-D40</f>
        <v>-1.0315443508290301</v>
      </c>
      <c r="E41" s="92">
        <f t="shared" si="15"/>
        <v>0.60968021506156012</v>
      </c>
      <c r="F41" s="92">
        <f t="shared" si="15"/>
        <v>1.9871234115746632</v>
      </c>
      <c r="G41" s="92">
        <f>G39-G40</f>
        <v>3.4031694069819776</v>
      </c>
      <c r="H41" s="92">
        <f t="shared" ref="H41:J41" si="16">H39-H40</f>
        <v>4.8794570567060056</v>
      </c>
      <c r="I41" s="92">
        <f t="shared" si="16"/>
        <v>6.4297851353302136</v>
      </c>
      <c r="J41" s="92">
        <f t="shared" si="16"/>
        <v>8.0107170827274388</v>
      </c>
    </row>
    <row r="42" spans="1:10" hidden="1" x14ac:dyDescent="0.25">
      <c r="B42" s="89" t="s">
        <v>38</v>
      </c>
      <c r="C42" s="90"/>
      <c r="D42" s="92"/>
      <c r="E42" s="92"/>
      <c r="F42" s="92"/>
      <c r="G42" s="92"/>
      <c r="H42" s="92"/>
      <c r="I42" s="92"/>
      <c r="J42" s="92"/>
    </row>
    <row r="43" spans="1:10" x14ac:dyDescent="0.25">
      <c r="B43" s="93" t="s">
        <v>39</v>
      </c>
      <c r="C43" s="101"/>
      <c r="D43" s="95">
        <f>D41-D42</f>
        <v>-1.0315443508290301</v>
      </c>
      <c r="E43" s="95">
        <f t="shared" ref="E43:J43" si="17">E41-E42</f>
        <v>0.60968021506156012</v>
      </c>
      <c r="F43" s="95">
        <f t="shared" si="17"/>
        <v>1.9871234115746632</v>
      </c>
      <c r="G43" s="95">
        <f t="shared" si="17"/>
        <v>3.4031694069819776</v>
      </c>
      <c r="H43" s="95">
        <f t="shared" si="17"/>
        <v>4.8794570567060056</v>
      </c>
      <c r="I43" s="95">
        <f t="shared" si="17"/>
        <v>6.4297851353302136</v>
      </c>
      <c r="J43" s="95">
        <f t="shared" si="17"/>
        <v>8.0107170827274388</v>
      </c>
    </row>
    <row r="44" spans="1:10" x14ac:dyDescent="0.25">
      <c r="A44" s="45">
        <f>30%*1.04*1.12</f>
        <v>0.34944000000000003</v>
      </c>
      <c r="B44" s="89" t="s">
        <v>40</v>
      </c>
      <c r="C44" s="90"/>
      <c r="D44" s="92">
        <v>0</v>
      </c>
      <c r="E44" s="92">
        <v>0</v>
      </c>
      <c r="F44" s="92">
        <f>+SUM(D43:F43)*A44</f>
        <v>0.54696420133806567</v>
      </c>
      <c r="G44" s="92">
        <f>G43*$A$44</f>
        <v>1.1892035175757822</v>
      </c>
      <c r="H44" s="92">
        <f t="shared" ref="H44:J44" si="18">H43*$A$44</f>
        <v>1.7050774738953467</v>
      </c>
      <c r="I44" s="92">
        <f t="shared" si="18"/>
        <v>2.2468241176897901</v>
      </c>
      <c r="J44" s="92">
        <f t="shared" si="18"/>
        <v>2.7992649773882765</v>
      </c>
    </row>
    <row r="45" spans="1:10" x14ac:dyDescent="0.25">
      <c r="B45" s="93" t="s">
        <v>41</v>
      </c>
      <c r="C45" s="101"/>
      <c r="D45" s="95">
        <f t="shared" ref="D45:E45" si="19">D43-D44</f>
        <v>-1.0315443508290301</v>
      </c>
      <c r="E45" s="95">
        <f t="shared" si="19"/>
        <v>0.60968021506156012</v>
      </c>
      <c r="F45" s="95">
        <f t="shared" ref="F45" si="20">F43-F44</f>
        <v>1.4401592102365974</v>
      </c>
      <c r="G45" s="95">
        <f t="shared" ref="G45" si="21">G43-G44</f>
        <v>2.2139658894061953</v>
      </c>
      <c r="H45" s="95">
        <f t="shared" ref="H45" si="22">H43-H44</f>
        <v>3.1743795828106589</v>
      </c>
      <c r="I45" s="95">
        <f t="shared" ref="I45" si="23">I43-I44</f>
        <v>4.1829610176404231</v>
      </c>
      <c r="J45" s="95">
        <f t="shared" ref="J45" si="24">J43-J44</f>
        <v>5.2114521053391627</v>
      </c>
    </row>
    <row r="46" spans="1:10" x14ac:dyDescent="0.25">
      <c r="B46" s="89" t="s">
        <v>42</v>
      </c>
      <c r="C46" s="90"/>
      <c r="D46" s="92">
        <v>0</v>
      </c>
      <c r="E46" s="92">
        <v>0</v>
      </c>
      <c r="F46" s="92">
        <v>0</v>
      </c>
      <c r="G46" s="92">
        <v>0</v>
      </c>
      <c r="H46" s="92">
        <v>0</v>
      </c>
      <c r="I46" s="92">
        <v>0</v>
      </c>
      <c r="J46" s="92">
        <v>0</v>
      </c>
    </row>
    <row r="47" spans="1:10" x14ac:dyDescent="0.25">
      <c r="B47" s="89" t="s">
        <v>43</v>
      </c>
      <c r="C47" s="90"/>
      <c r="D47" s="92">
        <f t="shared" ref="D47:J47" si="25">D45</f>
        <v>-1.0315443508290301</v>
      </c>
      <c r="E47" s="92">
        <f t="shared" si="25"/>
        <v>0.60968021506156012</v>
      </c>
      <c r="F47" s="92">
        <f t="shared" si="25"/>
        <v>1.4401592102365974</v>
      </c>
      <c r="G47" s="92">
        <f t="shared" si="25"/>
        <v>2.2139658894061953</v>
      </c>
      <c r="H47" s="92">
        <f t="shared" si="25"/>
        <v>3.1743795828106589</v>
      </c>
      <c r="I47" s="92">
        <f t="shared" si="25"/>
        <v>4.1829610176404231</v>
      </c>
      <c r="J47" s="92">
        <f t="shared" si="25"/>
        <v>5.2114521053391627</v>
      </c>
    </row>
    <row r="48" spans="1:10" x14ac:dyDescent="0.25">
      <c r="B48" s="89"/>
      <c r="C48" s="90"/>
      <c r="D48" s="92"/>
      <c r="E48" s="92"/>
      <c r="F48" s="92"/>
      <c r="G48" s="92"/>
      <c r="H48" s="92"/>
      <c r="I48" s="92"/>
      <c r="J48" s="92"/>
    </row>
    <row r="49" spans="2:10" x14ac:dyDescent="0.25">
      <c r="B49" s="93" t="s">
        <v>44</v>
      </c>
      <c r="C49" s="94"/>
      <c r="D49" s="95">
        <f>D47+D40</f>
        <v>1.4414322117503979</v>
      </c>
      <c r="E49" s="95">
        <f t="shared" ref="E49:J49" si="26">E47+E40</f>
        <v>3.9069822985007976</v>
      </c>
      <c r="F49" s="95">
        <f t="shared" si="26"/>
        <v>4.7374612936758353</v>
      </c>
      <c r="G49" s="95">
        <f t="shared" si="26"/>
        <v>5.5112679728454328</v>
      </c>
      <c r="H49" s="95">
        <f t="shared" si="26"/>
        <v>6.4716816662498964</v>
      </c>
      <c r="I49" s="95">
        <f t="shared" si="26"/>
        <v>7.480263101079661</v>
      </c>
      <c r="J49" s="95">
        <f t="shared" si="26"/>
        <v>8.5087541887784006</v>
      </c>
    </row>
    <row r="50" spans="2:10" x14ac:dyDescent="0.25">
      <c r="B50" s="89"/>
      <c r="C50" s="90"/>
      <c r="D50" s="92"/>
      <c r="E50" s="92"/>
      <c r="F50" s="92"/>
      <c r="G50" s="92"/>
      <c r="H50" s="92"/>
      <c r="I50" s="92"/>
      <c r="J50" s="92"/>
    </row>
    <row r="52" spans="2:10" ht="19.5" customHeight="1" x14ac:dyDescent="0.25"/>
  </sheetData>
  <mergeCells count="1">
    <mergeCell ref="B1:J1"/>
  </mergeCells>
  <phoneticPr fontId="7" type="noConversion"/>
  <dataValidations count="1">
    <dataValidation type="list" allowBlank="1" showInputMessage="1" showErrorMessage="1" sqref="A6" xr:uid="{00000000-0002-0000-0300-000000000000}">
      <formula1>"0%,5%,2%"</formula1>
    </dataValidation>
  </dataValidations>
  <pageMargins left="0.7" right="0.7" top="0.75" bottom="0.75" header="0.3" footer="0.3"/>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62"/>
  <sheetViews>
    <sheetView showGridLines="0" workbookViewId="0">
      <selection activeCell="M10" sqref="M10"/>
    </sheetView>
  </sheetViews>
  <sheetFormatPr defaultRowHeight="15" x14ac:dyDescent="0.25"/>
  <cols>
    <col min="1" max="1" width="5.85546875" customWidth="1"/>
    <col min="2" max="2" width="58.5703125" style="62" customWidth="1"/>
    <col min="3" max="3" width="9.140625" style="47" customWidth="1"/>
    <col min="4" max="10" width="12.7109375" style="47" customWidth="1"/>
  </cols>
  <sheetData>
    <row r="2" spans="1:22" ht="21" customHeight="1" x14ac:dyDescent="0.25">
      <c r="B2" s="61" t="s">
        <v>158</v>
      </c>
      <c r="C2" s="48"/>
      <c r="D2" s="48"/>
      <c r="E2" s="48"/>
      <c r="F2" s="48"/>
      <c r="G2" s="48"/>
      <c r="H2" s="48"/>
      <c r="I2" s="48"/>
      <c r="J2" s="48"/>
    </row>
    <row r="3" spans="1:22" ht="9.75" customHeight="1" x14ac:dyDescent="0.25"/>
    <row r="4" spans="1:22" ht="18.75" customHeight="1" x14ac:dyDescent="0.25">
      <c r="B4" s="416" t="s">
        <v>137</v>
      </c>
      <c r="C4" s="416"/>
      <c r="D4" s="416"/>
      <c r="E4" s="416"/>
      <c r="F4" s="416"/>
      <c r="G4" s="416"/>
      <c r="H4" s="416"/>
      <c r="I4" s="416"/>
      <c r="J4" s="416"/>
    </row>
    <row r="5" spans="1:22" x14ac:dyDescent="0.25">
      <c r="B5" s="63"/>
      <c r="C5" s="49"/>
      <c r="D5" s="49"/>
      <c r="E5" s="49"/>
      <c r="F5" s="49"/>
      <c r="G5" s="49"/>
      <c r="H5" s="49"/>
      <c r="I5" s="49"/>
      <c r="J5" s="49"/>
    </row>
    <row r="6" spans="1:22" ht="17.25" customHeight="1" x14ac:dyDescent="0.25">
      <c r="B6" s="46" t="s">
        <v>24</v>
      </c>
      <c r="C6" s="50"/>
      <c r="D6" s="88" t="s">
        <v>57</v>
      </c>
      <c r="E6" s="88" t="s">
        <v>58</v>
      </c>
      <c r="F6" s="88" t="s">
        <v>59</v>
      </c>
      <c r="G6" s="88" t="s">
        <v>60</v>
      </c>
      <c r="H6" s="88" t="s">
        <v>236</v>
      </c>
      <c r="I6" s="88" t="s">
        <v>237</v>
      </c>
      <c r="J6" s="88" t="s">
        <v>238</v>
      </c>
    </row>
    <row r="7" spans="1:22" x14ac:dyDescent="0.25">
      <c r="B7" s="46" t="s">
        <v>25</v>
      </c>
      <c r="C7" s="51"/>
      <c r="D7" s="50">
        <v>9</v>
      </c>
      <c r="E7" s="50">
        <v>12</v>
      </c>
      <c r="F7" s="50">
        <v>12</v>
      </c>
      <c r="G7" s="50">
        <v>12</v>
      </c>
      <c r="H7" s="50">
        <v>12</v>
      </c>
      <c r="I7" s="50">
        <v>12</v>
      </c>
      <c r="J7" s="50">
        <v>12</v>
      </c>
    </row>
    <row r="8" spans="1:22" ht="18" customHeight="1" x14ac:dyDescent="0.25">
      <c r="A8" s="79"/>
      <c r="B8" s="64" t="s">
        <v>66</v>
      </c>
      <c r="C8" s="52"/>
      <c r="D8" s="106">
        <f>+'Project Details'!D6-$A$8</f>
        <v>0.45</v>
      </c>
      <c r="E8" s="106">
        <f>+'Project Details'!E6-$A$8</f>
        <v>0.5</v>
      </c>
      <c r="F8" s="106">
        <f>+'Project Details'!F6-$A$8</f>
        <v>0.55000000000000004</v>
      </c>
      <c r="G8" s="106">
        <f>+'Project Details'!G6-$A$8</f>
        <v>0.6</v>
      </c>
      <c r="H8" s="106">
        <f>+'Project Details'!H6-$A$8</f>
        <v>0.65</v>
      </c>
      <c r="I8" s="106">
        <f>+'Project Details'!I6-$A$8</f>
        <v>0.7</v>
      </c>
      <c r="J8" s="106">
        <f>+'Project Details'!J6-$A$8</f>
        <v>0.75</v>
      </c>
    </row>
    <row r="9" spans="1:22" ht="18" customHeight="1" x14ac:dyDescent="0.25">
      <c r="B9" s="65" t="s">
        <v>155</v>
      </c>
      <c r="C9" s="53"/>
      <c r="D9" s="54">
        <f>+'Project Details'!D8</f>
        <v>1.484409375</v>
      </c>
      <c r="E9" s="54">
        <f>+'Project Details'!E8</f>
        <v>2.3090812500000002</v>
      </c>
      <c r="F9" s="54">
        <f>+'Project Details'!F8</f>
        <v>2.5399893750000007</v>
      </c>
      <c r="G9" s="54">
        <f>+'Project Details'!G8</f>
        <v>2.7708975000000002</v>
      </c>
      <c r="H9" s="54">
        <f>+'Project Details'!H8</f>
        <v>3.0018056250000003</v>
      </c>
      <c r="I9" s="54">
        <f>+'Project Details'!I8</f>
        <v>3.2327137499999998</v>
      </c>
      <c r="J9" s="54">
        <f>+'Project Details'!J8</f>
        <v>3.4636218749999999</v>
      </c>
    </row>
    <row r="10" spans="1:22" ht="18" customHeight="1" x14ac:dyDescent="0.25">
      <c r="B10" s="65" t="s">
        <v>74</v>
      </c>
      <c r="C10" s="53"/>
      <c r="D10" s="54">
        <f>+SUM('Project Details'!D10:D13)</f>
        <v>9.5468624999999996</v>
      </c>
      <c r="E10" s="54">
        <f>+SUM('Project Details'!E10:E13)</f>
        <v>14.850675000000001</v>
      </c>
      <c r="F10" s="54">
        <f>+SUM('Project Details'!F10:F13)</f>
        <v>16.335742500000002</v>
      </c>
      <c r="G10" s="54">
        <f>+SUM('Project Details'!G10:G13)</f>
        <v>17.820810000000002</v>
      </c>
      <c r="H10" s="54">
        <f>+SUM('Project Details'!H10:H13)</f>
        <v>19.305877500000001</v>
      </c>
      <c r="I10" s="54">
        <f>+SUM('Project Details'!I10:I13)</f>
        <v>20.790945000000001</v>
      </c>
      <c r="J10" s="54">
        <f>+SUM('Project Details'!J10:J13)</f>
        <v>22.2760125</v>
      </c>
      <c r="K10" s="54"/>
    </row>
    <row r="11" spans="1:22" ht="18" customHeight="1" x14ac:dyDescent="0.25">
      <c r="B11" s="65" t="str">
        <f>+'Project Details'!B14</f>
        <v xml:space="preserve">Diagnostic Revenue </v>
      </c>
      <c r="C11" s="53"/>
      <c r="D11" s="54">
        <f>+'Project Details'!D14</f>
        <v>1.77086671875</v>
      </c>
      <c r="E11" s="54">
        <f>+'Project Details'!E14</f>
        <v>2.7546815625000001</v>
      </c>
      <c r="F11" s="54">
        <f>+'Project Details'!F14</f>
        <v>3.0301497187500006</v>
      </c>
      <c r="G11" s="54">
        <f>+'Project Details'!G14</f>
        <v>3.3056178750000003</v>
      </c>
      <c r="H11" s="54">
        <f>+'Project Details'!H14</f>
        <v>3.5810860312500004</v>
      </c>
      <c r="I11" s="54">
        <f>+'Project Details'!I14</f>
        <v>3.8565541875</v>
      </c>
      <c r="J11" s="54">
        <f>+'Project Details'!J14</f>
        <v>4.1320223437500001</v>
      </c>
      <c r="N11" s="113">
        <f t="shared" ref="N11:T11" si="0">D15-N15</f>
        <v>1.8395859374999999</v>
      </c>
      <c r="O11" s="113">
        <f t="shared" si="0"/>
        <v>3.2431218749999999</v>
      </c>
      <c r="P11" s="113">
        <f t="shared" si="0"/>
        <v>3.5674340625000003</v>
      </c>
      <c r="Q11" s="113">
        <f t="shared" si="0"/>
        <v>3.8917462499999997</v>
      </c>
      <c r="R11" s="113">
        <f t="shared" si="0"/>
        <v>4.2160584375000001</v>
      </c>
      <c r="S11" s="113">
        <f t="shared" si="0"/>
        <v>4.5403706250000004</v>
      </c>
      <c r="T11" s="113">
        <f t="shared" si="0"/>
        <v>4.8646828124999999</v>
      </c>
    </row>
    <row r="12" spans="1:22" ht="18" customHeight="1" x14ac:dyDescent="0.25">
      <c r="A12" s="79">
        <v>0</v>
      </c>
      <c r="B12" s="68" t="s">
        <v>26</v>
      </c>
      <c r="C12" s="69"/>
      <c r="D12" s="70">
        <f>SUM(D9:D11)*(1-$A$12)</f>
        <v>12.80213859375</v>
      </c>
      <c r="E12" s="70">
        <f t="shared" ref="E12:J12" si="1">SUM(E9:E11)*(1-$A$12)</f>
        <v>19.914437812500001</v>
      </c>
      <c r="F12" s="70">
        <f t="shared" si="1"/>
        <v>21.905881593750003</v>
      </c>
      <c r="G12" s="70">
        <f t="shared" si="1"/>
        <v>23.897325375000001</v>
      </c>
      <c r="H12" s="70">
        <f t="shared" si="1"/>
        <v>25.88876915625</v>
      </c>
      <c r="I12" s="70">
        <f t="shared" si="1"/>
        <v>27.880212937499998</v>
      </c>
      <c r="J12" s="70">
        <f t="shared" si="1"/>
        <v>29.871656718750003</v>
      </c>
      <c r="N12" s="45">
        <f t="shared" ref="N12:T12" si="2">N11/D10</f>
        <v>0.19269010499522748</v>
      </c>
      <c r="O12" s="45">
        <f t="shared" si="2"/>
        <v>0.21838211899459115</v>
      </c>
      <c r="P12" s="45">
        <f t="shared" si="2"/>
        <v>0.21838211899459115</v>
      </c>
      <c r="Q12" s="45">
        <f t="shared" si="2"/>
        <v>0.21838211899459112</v>
      </c>
      <c r="R12" s="45">
        <f t="shared" si="2"/>
        <v>0.21838211899459115</v>
      </c>
      <c r="S12" s="45">
        <f t="shared" si="2"/>
        <v>0.21838211899459117</v>
      </c>
      <c r="T12" s="45">
        <f t="shared" si="2"/>
        <v>0.21838211899459115</v>
      </c>
    </row>
    <row r="13" spans="1:22" ht="18" customHeight="1" x14ac:dyDescent="0.25">
      <c r="B13" s="67" t="s">
        <v>27</v>
      </c>
      <c r="C13" s="53"/>
      <c r="D13" s="54"/>
      <c r="E13" s="54"/>
      <c r="F13" s="54"/>
      <c r="G13" s="54"/>
      <c r="H13" s="54"/>
      <c r="I13" s="54"/>
      <c r="J13" s="54"/>
    </row>
    <row r="14" spans="1:22" ht="18" customHeight="1" x14ac:dyDescent="0.25">
      <c r="B14" s="63"/>
      <c r="C14" s="53"/>
      <c r="D14" s="54"/>
      <c r="E14" s="54"/>
      <c r="F14" s="54"/>
      <c r="G14" s="54"/>
      <c r="H14" s="54"/>
      <c r="I14" s="54"/>
      <c r="J14" s="54"/>
    </row>
    <row r="15" spans="1:22" ht="29.25" customHeight="1" x14ac:dyDescent="0.25">
      <c r="B15" s="71" t="s">
        <v>410</v>
      </c>
      <c r="C15" s="57">
        <f>+'Project Details'!C21</f>
        <v>0.3</v>
      </c>
      <c r="D15" s="54">
        <f>+'Project Details'!D21</f>
        <v>2.4527812499999997</v>
      </c>
      <c r="E15" s="54">
        <f>+'Project Details'!E21</f>
        <v>3.8154374999999998</v>
      </c>
      <c r="F15" s="54">
        <f>+'Project Details'!F21</f>
        <v>4.1969812500000003</v>
      </c>
      <c r="G15" s="54">
        <f>+'Project Details'!G21</f>
        <v>4.578525</v>
      </c>
      <c r="H15" s="54">
        <f>+'Project Details'!H21</f>
        <v>4.9600687500000005</v>
      </c>
      <c r="I15" s="54">
        <f>+'Project Details'!I21</f>
        <v>5.3416125000000001</v>
      </c>
      <c r="J15" s="54">
        <f>+'Project Details'!J21</f>
        <v>5.7231562499999997</v>
      </c>
      <c r="L15" s="109" t="s">
        <v>154</v>
      </c>
      <c r="M15" s="111">
        <v>0.25</v>
      </c>
      <c r="N15" s="110">
        <f>$M$15*D15</f>
        <v>0.61319531249999992</v>
      </c>
      <c r="O15" s="110">
        <f t="shared" ref="O15:T15" si="3">$M$16*E15</f>
        <v>0.57231562499999999</v>
      </c>
      <c r="P15" s="110">
        <f t="shared" si="3"/>
        <v>0.62954718750000005</v>
      </c>
      <c r="Q15" s="110">
        <f t="shared" si="3"/>
        <v>0.68677874999999999</v>
      </c>
      <c r="R15" s="110">
        <f t="shared" si="3"/>
        <v>0.74401031250000005</v>
      </c>
      <c r="S15" s="110">
        <f t="shared" si="3"/>
        <v>0.80124187499999999</v>
      </c>
      <c r="T15" s="110">
        <f t="shared" si="3"/>
        <v>0.85847343749999994</v>
      </c>
      <c r="U15" s="108"/>
      <c r="V15" s="108"/>
    </row>
    <row r="16" spans="1:22" ht="21.75" customHeight="1" x14ac:dyDescent="0.25">
      <c r="B16" s="71" t="str">
        <f>+'Project Details'!B22</f>
        <v>Digonistic Expenses @25% % of Digonistic Revenues</v>
      </c>
      <c r="C16" s="57">
        <f>+'Project Details'!C22</f>
        <v>0.25</v>
      </c>
      <c r="D16" s="54">
        <f>+'Project Details'!D22</f>
        <v>0.4427166796875</v>
      </c>
      <c r="E16" s="54">
        <f>+'Project Details'!E22</f>
        <v>0.68867039062500002</v>
      </c>
      <c r="F16" s="54">
        <f>+'Project Details'!F22</f>
        <v>0.75753742968750015</v>
      </c>
      <c r="G16" s="54">
        <f>+'Project Details'!G22</f>
        <v>0.82640446875000007</v>
      </c>
      <c r="H16" s="54">
        <f>+'Project Details'!H22</f>
        <v>0.89527150781250009</v>
      </c>
      <c r="I16" s="54">
        <f>+'Project Details'!I22</f>
        <v>0.964138546875</v>
      </c>
      <c r="J16" s="54">
        <f>+'Project Details'!J22</f>
        <v>1.0330055859375</v>
      </c>
      <c r="M16" s="111">
        <v>0.15</v>
      </c>
      <c r="N16" s="114">
        <f t="shared" ref="N16:T16" si="4">N15/D10</f>
        <v>6.4230034998409152E-2</v>
      </c>
      <c r="O16" s="114">
        <f t="shared" si="4"/>
        <v>3.8538020999045498E-2</v>
      </c>
      <c r="P16" s="114">
        <f t="shared" si="4"/>
        <v>3.8538020999045498E-2</v>
      </c>
      <c r="Q16" s="114">
        <f t="shared" si="4"/>
        <v>3.8538020999045491E-2</v>
      </c>
      <c r="R16" s="114">
        <f t="shared" si="4"/>
        <v>3.8538020999045498E-2</v>
      </c>
      <c r="S16" s="114">
        <f t="shared" si="4"/>
        <v>3.8538020999045498E-2</v>
      </c>
      <c r="T16" s="114">
        <f t="shared" si="4"/>
        <v>3.8538020999045491E-2</v>
      </c>
    </row>
    <row r="17" spans="1:20" ht="28.5" customHeight="1" x14ac:dyDescent="0.25">
      <c r="B17" s="71" t="s">
        <v>128</v>
      </c>
      <c r="C17" s="57">
        <v>0.2</v>
      </c>
      <c r="D17" s="54">
        <f>+'Project Details'!D23</f>
        <v>0.22266140625</v>
      </c>
      <c r="E17" s="54">
        <f>+'Project Details'!E23</f>
        <v>0.34636218750000003</v>
      </c>
      <c r="F17" s="54">
        <f>+'Project Details'!F23</f>
        <v>0.38099840625000009</v>
      </c>
      <c r="G17" s="54">
        <f>+'Project Details'!G23</f>
        <v>0.41563462500000004</v>
      </c>
      <c r="H17" s="54">
        <f>+'Project Details'!H23</f>
        <v>0.45027084375000004</v>
      </c>
      <c r="I17" s="54">
        <f>+'Project Details'!I23</f>
        <v>0.48490706249999993</v>
      </c>
      <c r="J17" s="54">
        <f>+'Project Details'!J23</f>
        <v>0.51954328124999993</v>
      </c>
    </row>
    <row r="18" spans="1:20" ht="18" customHeight="1" x14ac:dyDescent="0.25">
      <c r="B18" s="63" t="s">
        <v>129</v>
      </c>
      <c r="C18" s="57">
        <v>0.15</v>
      </c>
      <c r="D18" s="54">
        <f>+'Project Details'!D24</f>
        <v>3.4649999999999999</v>
      </c>
      <c r="E18" s="54">
        <f>+'Project Details'!E24</f>
        <v>4.8510000000000009</v>
      </c>
      <c r="F18" s="54">
        <f>+'Project Details'!F24</f>
        <v>5.0935500000000014</v>
      </c>
      <c r="G18" s="54">
        <f>+'Project Details'!G24</f>
        <v>5.3482275000000019</v>
      </c>
      <c r="H18" s="54">
        <f>+'Project Details'!H24</f>
        <v>5.6156388750000019</v>
      </c>
      <c r="I18" s="54">
        <f>+'Project Details'!I24</f>
        <v>5.896420818750002</v>
      </c>
      <c r="J18" s="54">
        <f>+'Project Details'!J24</f>
        <v>6.1912418596875023</v>
      </c>
      <c r="N18" s="112">
        <v>1.3646860369570313</v>
      </c>
      <c r="O18" s="112">
        <v>1.5440447732428129</v>
      </c>
      <c r="P18" s="112">
        <v>1.824780186559688</v>
      </c>
      <c r="Q18" s="112">
        <v>1.965147893218125</v>
      </c>
      <c r="R18" s="112">
        <v>2.1055155998765627</v>
      </c>
      <c r="S18" s="112">
        <v>2.2458833065350001</v>
      </c>
      <c r="T18" s="112">
        <v>2.386251013193438</v>
      </c>
    </row>
    <row r="19" spans="1:20" ht="18" customHeight="1" x14ac:dyDescent="0.25">
      <c r="B19" s="63" t="s">
        <v>47</v>
      </c>
      <c r="C19" s="58">
        <v>0.08</v>
      </c>
      <c r="D19" s="59">
        <f>+'Project Details'!D25</f>
        <v>1.0241710875000001</v>
      </c>
      <c r="E19" s="59">
        <f>+'Project Details'!E25</f>
        <v>1.5931550250000002</v>
      </c>
      <c r="F19" s="59">
        <f>+'Project Details'!F25</f>
        <v>1.7524705274999999</v>
      </c>
      <c r="G19" s="59">
        <f>+'Project Details'!G25</f>
        <v>1.9117860299999998</v>
      </c>
      <c r="H19" s="59">
        <f>+'Project Details'!H25</f>
        <v>2.0711015325000002</v>
      </c>
      <c r="I19" s="59">
        <f>+'Project Details'!I25</f>
        <v>2.2304170349999999</v>
      </c>
      <c r="J19" s="59">
        <f>+'Project Details'!J25</f>
        <v>2.3897325375000005</v>
      </c>
      <c r="N19" s="1"/>
    </row>
    <row r="20" spans="1:20" ht="18" customHeight="1" x14ac:dyDescent="0.25">
      <c r="B20" s="63" t="s">
        <v>48</v>
      </c>
      <c r="C20" s="58">
        <v>0.06</v>
      </c>
      <c r="D20" s="59">
        <f>+'Project Details'!D26</f>
        <v>0.76812831562499995</v>
      </c>
      <c r="E20" s="59">
        <f>+'Project Details'!E26</f>
        <v>1.19486626875</v>
      </c>
      <c r="F20" s="59">
        <f>+'Project Details'!F26</f>
        <v>1.3143528956249999</v>
      </c>
      <c r="G20" s="59">
        <f>+'Project Details'!G26</f>
        <v>1.4338395224999998</v>
      </c>
      <c r="H20" s="59">
        <f>+'Project Details'!H26</f>
        <v>1.5533261493749999</v>
      </c>
      <c r="I20" s="59">
        <f>+'Project Details'!I26</f>
        <v>1.6728127762499998</v>
      </c>
      <c r="J20" s="59">
        <f>+'Project Details'!J26</f>
        <v>1.7922994031250001</v>
      </c>
    </row>
    <row r="21" spans="1:20" ht="18" customHeight="1" x14ac:dyDescent="0.25">
      <c r="B21" s="63" t="s">
        <v>49</v>
      </c>
      <c r="C21" s="58">
        <v>0.01</v>
      </c>
      <c r="D21" s="59">
        <f>+'Project Details'!D27</f>
        <v>0.12802138593750001</v>
      </c>
      <c r="E21" s="59">
        <f>+'Project Details'!E27</f>
        <v>0.19914437812500002</v>
      </c>
      <c r="F21" s="59">
        <f>+'Project Details'!F27</f>
        <v>0.21905881593749998</v>
      </c>
      <c r="G21" s="59">
        <f>+'Project Details'!G27</f>
        <v>0.23897325374999998</v>
      </c>
      <c r="H21" s="59">
        <f>+'Project Details'!H27</f>
        <v>0.25888769156250002</v>
      </c>
      <c r="I21" s="59">
        <f>+'Project Details'!I27</f>
        <v>0.27880212937499999</v>
      </c>
      <c r="J21" s="59">
        <f>+'Project Details'!J27</f>
        <v>0.29871656718750006</v>
      </c>
    </row>
    <row r="22" spans="1:20" ht="18" customHeight="1" x14ac:dyDescent="0.25">
      <c r="B22" s="63" t="s">
        <v>28</v>
      </c>
      <c r="C22" s="57">
        <v>0.01</v>
      </c>
      <c r="D22" s="59">
        <f>+'Project Details'!D28</f>
        <v>0.44803446728554414</v>
      </c>
      <c r="E22" s="59">
        <f>+'Project Details'!E28</f>
        <v>0.52278488199960282</v>
      </c>
      <c r="F22" s="59">
        <f>+'Project Details'!F28</f>
        <v>0.45787838686805005</v>
      </c>
      <c r="G22" s="59">
        <f>+'Project Details'!G28</f>
        <v>0.40135674228939139</v>
      </c>
      <c r="H22" s="59">
        <f>+'Project Details'!H28</f>
        <v>0.35209733305237662</v>
      </c>
      <c r="I22" s="59">
        <f>+'Project Details'!I28</f>
        <v>0.30913242499027471</v>
      </c>
      <c r="J22" s="59">
        <f>+'Project Details'!J28</f>
        <v>0.27162728394791263</v>
      </c>
    </row>
    <row r="23" spans="1:20" ht="18" customHeight="1" x14ac:dyDescent="0.25">
      <c r="B23" s="63" t="s">
        <v>29</v>
      </c>
      <c r="C23" s="57">
        <v>0.01</v>
      </c>
      <c r="D23" s="59">
        <f>+'Project Details'!D29</f>
        <v>0.59737928971405885</v>
      </c>
      <c r="E23" s="59">
        <f>+'Project Details'!E29</f>
        <v>0.52278488199960282</v>
      </c>
      <c r="F23" s="59">
        <f>+'Project Details'!F29</f>
        <v>0.45787838686805005</v>
      </c>
      <c r="G23" s="59">
        <f>+'Project Details'!G29</f>
        <v>0.40135674228939139</v>
      </c>
      <c r="H23" s="59">
        <f>+'Project Details'!H29</f>
        <v>0.35209733305237662</v>
      </c>
      <c r="I23" s="59">
        <f>+'Project Details'!I29</f>
        <v>0.30913242499027471</v>
      </c>
      <c r="J23" s="59">
        <f>+'Project Details'!J29</f>
        <v>0.27162728394791263</v>
      </c>
    </row>
    <row r="24" spans="1:20" s="1" customFormat="1" ht="18" customHeight="1" x14ac:dyDescent="0.25">
      <c r="A24" s="79">
        <v>0</v>
      </c>
      <c r="B24" s="68" t="s">
        <v>30</v>
      </c>
      <c r="C24" s="69"/>
      <c r="D24" s="70">
        <f t="shared" ref="D24:J24" si="5">SUM(D14:D23)*(1+$A$24)</f>
        <v>9.5488938819996019</v>
      </c>
      <c r="E24" s="70">
        <f t="shared" si="5"/>
        <v>13.734205513999203</v>
      </c>
      <c r="F24" s="70">
        <f t="shared" si="5"/>
        <v>14.630706098736098</v>
      </c>
      <c r="G24" s="70">
        <f t="shared" si="5"/>
        <v>15.556103884578782</v>
      </c>
      <c r="H24" s="70">
        <f t="shared" si="5"/>
        <v>16.508760016104755</v>
      </c>
      <c r="I24" s="70">
        <f t="shared" si="5"/>
        <v>17.487375718730547</v>
      </c>
      <c r="J24" s="70">
        <f t="shared" si="5"/>
        <v>18.490950052583326</v>
      </c>
      <c r="K24" s="219">
        <f>SUM(D24:J24)</f>
        <v>105.95699516673231</v>
      </c>
    </row>
    <row r="25" spans="1:20" ht="18" customHeight="1" x14ac:dyDescent="0.25">
      <c r="B25" s="65" t="s">
        <v>31</v>
      </c>
      <c r="C25" s="49"/>
      <c r="D25" s="60">
        <f t="shared" ref="D25:J25" si="6">D24/D12</f>
        <v>0.74588271421005936</v>
      </c>
      <c r="E25" s="60">
        <f t="shared" si="6"/>
        <v>0.68966071969043707</v>
      </c>
      <c r="F25" s="60">
        <f t="shared" si="6"/>
        <v>0.66788939929769386</v>
      </c>
      <c r="G25" s="60">
        <f t="shared" si="6"/>
        <v>0.65095585553907542</v>
      </c>
      <c r="H25" s="60">
        <f t="shared" si="6"/>
        <v>0.63768037470098315</v>
      </c>
      <c r="I25" s="60">
        <f t="shared" si="6"/>
        <v>0.62723250205916936</v>
      </c>
      <c r="J25" s="60">
        <f t="shared" si="6"/>
        <v>0.61901320796100423</v>
      </c>
    </row>
    <row r="26" spans="1:20" ht="18" customHeight="1" x14ac:dyDescent="0.25">
      <c r="B26" s="66" t="s">
        <v>138</v>
      </c>
      <c r="C26" s="55"/>
      <c r="D26" s="56">
        <f t="shared" ref="D26:J26" si="7">D12-D24</f>
        <v>3.2532447117503978</v>
      </c>
      <c r="E26" s="56">
        <f t="shared" si="7"/>
        <v>6.1802322985007976</v>
      </c>
      <c r="F26" s="56">
        <f t="shared" si="7"/>
        <v>7.2751754950139045</v>
      </c>
      <c r="G26" s="56">
        <f t="shared" si="7"/>
        <v>8.3412214904212192</v>
      </c>
      <c r="H26" s="56">
        <f t="shared" si="7"/>
        <v>9.3800091401452441</v>
      </c>
      <c r="I26" s="56">
        <f t="shared" si="7"/>
        <v>10.392837218769451</v>
      </c>
      <c r="J26" s="56">
        <f t="shared" si="7"/>
        <v>11.380706666166677</v>
      </c>
    </row>
    <row r="27" spans="1:20" ht="18" customHeight="1" x14ac:dyDescent="0.25">
      <c r="B27" s="72" t="s">
        <v>139</v>
      </c>
      <c r="C27" s="73"/>
      <c r="D27" s="74">
        <f t="shared" ref="D27:J27" si="8">D26/D12</f>
        <v>0.25411728578994064</v>
      </c>
      <c r="E27" s="74">
        <f t="shared" si="8"/>
        <v>0.31033928030956298</v>
      </c>
      <c r="F27" s="74">
        <f t="shared" si="8"/>
        <v>0.33211060070230614</v>
      </c>
      <c r="G27" s="74">
        <f t="shared" si="8"/>
        <v>0.34904414446092458</v>
      </c>
      <c r="H27" s="74">
        <f t="shared" si="8"/>
        <v>0.36231962529901685</v>
      </c>
      <c r="I27" s="74">
        <f t="shared" si="8"/>
        <v>0.37276749794083064</v>
      </c>
      <c r="J27" s="74">
        <f t="shared" si="8"/>
        <v>0.38098679203899571</v>
      </c>
    </row>
    <row r="28" spans="1:20" ht="18" customHeight="1" x14ac:dyDescent="0.25">
      <c r="B28" s="72" t="s">
        <v>136</v>
      </c>
      <c r="C28" s="73"/>
      <c r="D28" s="75">
        <f>D26/100</f>
        <v>3.2532447117503978E-2</v>
      </c>
      <c r="E28" s="75">
        <f t="shared" ref="E28:J28" si="9">E26/100</f>
        <v>6.1802322985007978E-2</v>
      </c>
      <c r="F28" s="75">
        <f t="shared" si="9"/>
        <v>7.2751754950139039E-2</v>
      </c>
      <c r="G28" s="75">
        <f t="shared" si="9"/>
        <v>8.341221490421219E-2</v>
      </c>
      <c r="H28" s="75">
        <f t="shared" si="9"/>
        <v>9.3800091401452443E-2</v>
      </c>
      <c r="I28" s="75">
        <f t="shared" si="9"/>
        <v>0.1039283721876945</v>
      </c>
      <c r="J28" s="75">
        <f t="shared" si="9"/>
        <v>0.11380706666166678</v>
      </c>
    </row>
    <row r="29" spans="1:20" ht="18" customHeight="1" x14ac:dyDescent="0.25">
      <c r="B29" s="65" t="s">
        <v>140</v>
      </c>
      <c r="C29" s="49"/>
      <c r="D29" s="54">
        <f>+'Project Details'!D40</f>
        <v>2.472976562579428</v>
      </c>
      <c r="E29" s="54">
        <f>+'Project Details'!E40</f>
        <v>3.2973020834392375</v>
      </c>
      <c r="F29" s="54">
        <f>+'Project Details'!F40</f>
        <v>3.2973020834392375</v>
      </c>
      <c r="G29" s="54">
        <f>+'Project Details'!G40</f>
        <v>3.2973020834392375</v>
      </c>
      <c r="H29" s="54">
        <f>+'Project Details'!H40</f>
        <v>3.2973020834392375</v>
      </c>
      <c r="I29" s="54">
        <f>+'Project Details'!I40</f>
        <v>3.2973020834392375</v>
      </c>
      <c r="J29" s="54">
        <f>+'Project Details'!J40</f>
        <v>3.2973020834392375</v>
      </c>
      <c r="K29" s="11">
        <f>SUM(D29:J29)</f>
        <v>22.256789063214853</v>
      </c>
    </row>
    <row r="30" spans="1:20" ht="18" customHeight="1" x14ac:dyDescent="0.25">
      <c r="B30" s="76" t="s">
        <v>141</v>
      </c>
      <c r="C30" s="77"/>
      <c r="D30" s="78">
        <f>D26-D29</f>
        <v>0.78026814917096976</v>
      </c>
      <c r="E30" s="78">
        <f t="shared" ref="E30:J30" si="10">E26-E29</f>
        <v>2.8829302150615601</v>
      </c>
      <c r="F30" s="78">
        <f t="shared" si="10"/>
        <v>3.977873411574667</v>
      </c>
      <c r="G30" s="78">
        <f t="shared" si="10"/>
        <v>5.0439194069819813</v>
      </c>
      <c r="H30" s="78">
        <f t="shared" si="10"/>
        <v>6.0827070567060062</v>
      </c>
      <c r="I30" s="78">
        <f t="shared" si="10"/>
        <v>7.0955351353302127</v>
      </c>
      <c r="J30" s="78">
        <f t="shared" si="10"/>
        <v>8.0834045827274394</v>
      </c>
    </row>
    <row r="31" spans="1:20" ht="18" customHeight="1" x14ac:dyDescent="0.25">
      <c r="B31" s="63" t="s">
        <v>46</v>
      </c>
      <c r="C31" s="49"/>
      <c r="D31" s="54">
        <f>+'Project Details'!D37</f>
        <v>1.8118124999999998</v>
      </c>
      <c r="E31" s="54">
        <f>+'Project Details'!E37</f>
        <v>2.27325</v>
      </c>
      <c r="F31" s="54">
        <f>+'Project Details'!F37</f>
        <v>1.9907499999999998</v>
      </c>
      <c r="G31" s="54">
        <f>+'Project Details'!G37</f>
        <v>1.6407500000000004</v>
      </c>
      <c r="H31" s="54">
        <f>+'Project Details'!H37</f>
        <v>1.2032499999999999</v>
      </c>
      <c r="I31" s="54">
        <f>+'Project Details'!I37</f>
        <v>0.66575000000000006</v>
      </c>
      <c r="J31" s="54">
        <f>+'Project Details'!J37</f>
        <v>7.2687500000000002E-2</v>
      </c>
      <c r="K31" s="11">
        <f>SUM(D31:J31)</f>
        <v>9.6582500000000024</v>
      </c>
    </row>
    <row r="32" spans="1:20" ht="18" customHeight="1" x14ac:dyDescent="0.25">
      <c r="B32" s="63" t="s">
        <v>142</v>
      </c>
      <c r="C32" s="49"/>
      <c r="D32" s="54"/>
      <c r="E32" s="54"/>
      <c r="F32" s="54"/>
      <c r="G32" s="54"/>
      <c r="H32" s="54"/>
      <c r="I32" s="54"/>
      <c r="J32" s="54"/>
    </row>
    <row r="33" spans="1:15" ht="18" customHeight="1" x14ac:dyDescent="0.25">
      <c r="B33" s="76" t="s">
        <v>143</v>
      </c>
      <c r="C33" s="77"/>
      <c r="D33" s="78">
        <f>SUM(D31:D32)</f>
        <v>1.8118124999999998</v>
      </c>
      <c r="E33" s="78">
        <f t="shared" ref="E33:J33" si="11">SUM(E31:E32)</f>
        <v>2.27325</v>
      </c>
      <c r="F33" s="78">
        <f t="shared" si="11"/>
        <v>1.9907499999999998</v>
      </c>
      <c r="G33" s="78">
        <f t="shared" si="11"/>
        <v>1.6407500000000004</v>
      </c>
      <c r="H33" s="78">
        <f t="shared" si="11"/>
        <v>1.2032499999999999</v>
      </c>
      <c r="I33" s="78">
        <f t="shared" si="11"/>
        <v>0.66575000000000006</v>
      </c>
      <c r="J33" s="78">
        <f t="shared" si="11"/>
        <v>7.2687500000000002E-2</v>
      </c>
    </row>
    <row r="34" spans="1:15" ht="18" customHeight="1" x14ac:dyDescent="0.25">
      <c r="B34" s="63" t="s">
        <v>144</v>
      </c>
      <c r="C34" s="49"/>
      <c r="D34" s="54">
        <f>D30-D33</f>
        <v>-1.0315443508290301</v>
      </c>
      <c r="E34" s="54">
        <f>E30-E33</f>
        <v>0.60968021506156012</v>
      </c>
      <c r="F34" s="54">
        <f>F30-F33</f>
        <v>1.9871234115746672</v>
      </c>
      <c r="G34" s="54">
        <f t="shared" ref="G34:J34" si="12">G30-G33</f>
        <v>3.4031694069819807</v>
      </c>
      <c r="H34" s="54">
        <f t="shared" si="12"/>
        <v>4.8794570567060065</v>
      </c>
      <c r="I34" s="54">
        <f t="shared" si="12"/>
        <v>6.4297851353302127</v>
      </c>
      <c r="J34" s="54">
        <f t="shared" si="12"/>
        <v>8.0107170827274388</v>
      </c>
      <c r="K34" s="11">
        <f>SUM(D34:J34)</f>
        <v>24.288387957552835</v>
      </c>
    </row>
    <row r="35" spans="1:15" ht="18" customHeight="1" x14ac:dyDescent="0.25">
      <c r="B35" s="63"/>
      <c r="C35" s="49"/>
      <c r="D35" s="54"/>
      <c r="E35" s="54"/>
      <c r="F35" s="54"/>
      <c r="G35" s="54"/>
      <c r="H35" s="54"/>
      <c r="I35" s="54"/>
      <c r="J35" s="54"/>
    </row>
    <row r="36" spans="1:15" ht="18" customHeight="1" x14ac:dyDescent="0.25">
      <c r="B36" s="63" t="s">
        <v>145</v>
      </c>
      <c r="C36" s="49"/>
      <c r="D36" s="54">
        <f t="shared" ref="D36:J36" si="13">D34-D35</f>
        <v>-1.0315443508290301</v>
      </c>
      <c r="E36" s="54">
        <f t="shared" si="13"/>
        <v>0.60968021506156012</v>
      </c>
      <c r="F36" s="54">
        <f t="shared" si="13"/>
        <v>1.9871234115746672</v>
      </c>
      <c r="G36" s="54">
        <f t="shared" si="13"/>
        <v>3.4031694069819807</v>
      </c>
      <c r="H36" s="54">
        <f t="shared" si="13"/>
        <v>4.8794570567060065</v>
      </c>
      <c r="I36" s="54">
        <f t="shared" si="13"/>
        <v>6.4297851353302127</v>
      </c>
      <c r="J36" s="54">
        <f t="shared" si="13"/>
        <v>8.0107170827274388</v>
      </c>
    </row>
    <row r="37" spans="1:15" ht="18" customHeight="1" x14ac:dyDescent="0.25">
      <c r="A37" s="79"/>
      <c r="B37" s="63" t="s">
        <v>364</v>
      </c>
      <c r="C37" s="49"/>
      <c r="D37" s="54">
        <f>+'Project Details'!D44</f>
        <v>0</v>
      </c>
      <c r="E37" s="54">
        <f>+'Project Details'!E44</f>
        <v>0</v>
      </c>
      <c r="F37" s="54">
        <f>+'Project Details'!F44</f>
        <v>0.54696420133806567</v>
      </c>
      <c r="G37" s="54">
        <f>+'Project Details'!G44</f>
        <v>1.1892035175757822</v>
      </c>
      <c r="H37" s="54">
        <f>+'Project Details'!H44</f>
        <v>1.7050774738953467</v>
      </c>
      <c r="I37" s="54">
        <f>+'Project Details'!I44</f>
        <v>2.2468241176897901</v>
      </c>
      <c r="J37" s="54">
        <f>+'Project Details'!J44</f>
        <v>2.7992649773882765</v>
      </c>
    </row>
    <row r="38" spans="1:15" ht="18" customHeight="1" x14ac:dyDescent="0.25">
      <c r="B38" s="83" t="s">
        <v>146</v>
      </c>
      <c r="C38" s="84"/>
      <c r="D38" s="85">
        <f>D36-D37</f>
        <v>-1.0315443508290301</v>
      </c>
      <c r="E38" s="85">
        <f t="shared" ref="E38:J38" si="14">E36-E37</f>
        <v>0.60968021506156012</v>
      </c>
      <c r="F38" s="85">
        <f t="shared" si="14"/>
        <v>1.4401592102366014</v>
      </c>
      <c r="G38" s="85">
        <f t="shared" si="14"/>
        <v>2.2139658894061984</v>
      </c>
      <c r="H38" s="85">
        <f t="shared" si="14"/>
        <v>3.1743795828106598</v>
      </c>
      <c r="I38" s="85">
        <f t="shared" si="14"/>
        <v>4.1829610176404231</v>
      </c>
      <c r="J38" s="85">
        <f t="shared" si="14"/>
        <v>5.2114521053391627</v>
      </c>
      <c r="M38">
        <v>30</v>
      </c>
      <c r="N38">
        <v>30</v>
      </c>
    </row>
    <row r="39" spans="1:15" ht="18" customHeight="1" x14ac:dyDescent="0.25">
      <c r="B39"/>
      <c r="C39"/>
      <c r="D39"/>
      <c r="E39"/>
      <c r="F39"/>
      <c r="G39"/>
      <c r="H39"/>
      <c r="I39"/>
      <c r="J39"/>
      <c r="M39">
        <f>+M38*12%</f>
        <v>3.5999999999999996</v>
      </c>
      <c r="N39">
        <f>+N38*12%</f>
        <v>3.5999999999999996</v>
      </c>
      <c r="O39">
        <f>+N39+N38</f>
        <v>33.6</v>
      </c>
    </row>
    <row r="40" spans="1:15" ht="18" customHeight="1" x14ac:dyDescent="0.25">
      <c r="B40" s="82" t="s">
        <v>150</v>
      </c>
      <c r="C40" s="20"/>
      <c r="D40" s="20"/>
      <c r="E40" s="20"/>
      <c r="F40" s="20"/>
      <c r="G40" s="20"/>
      <c r="H40" s="20"/>
      <c r="I40" s="20"/>
      <c r="J40" s="20"/>
      <c r="M40">
        <f>+M39+M38</f>
        <v>33.6</v>
      </c>
      <c r="N40">
        <f>+N38*4%</f>
        <v>1.2</v>
      </c>
      <c r="O40">
        <f>+O39*4%</f>
        <v>1.3440000000000001</v>
      </c>
    </row>
    <row r="41" spans="1:15" ht="18" customHeight="1" x14ac:dyDescent="0.25">
      <c r="B41"/>
      <c r="C41"/>
      <c r="D41"/>
      <c r="E41"/>
      <c r="F41"/>
      <c r="G41"/>
      <c r="H41"/>
      <c r="I41"/>
      <c r="J41"/>
      <c r="N41">
        <f>+N40+N39+N38</f>
        <v>34.799999999999997</v>
      </c>
      <c r="O41">
        <f>+O39+O40</f>
        <v>34.944000000000003</v>
      </c>
    </row>
    <row r="42" spans="1:15" ht="18.75" customHeight="1" x14ac:dyDescent="0.25">
      <c r="B42" s="46" t="s">
        <v>24</v>
      </c>
      <c r="C42" s="50"/>
      <c r="D42" s="88" t="s">
        <v>57</v>
      </c>
      <c r="E42" s="88" t="s">
        <v>58</v>
      </c>
      <c r="F42" s="88" t="s">
        <v>59</v>
      </c>
      <c r="G42" s="88" t="s">
        <v>60</v>
      </c>
      <c r="H42" s="88" t="s">
        <v>236</v>
      </c>
      <c r="I42" s="88" t="s">
        <v>237</v>
      </c>
      <c r="J42" s="88" t="s">
        <v>238</v>
      </c>
      <c r="K42" s="268"/>
    </row>
    <row r="43" spans="1:15" ht="18" customHeight="1" x14ac:dyDescent="0.25">
      <c r="B43" s="65" t="s">
        <v>139</v>
      </c>
      <c r="C43" s="49"/>
      <c r="D43" s="81">
        <f t="shared" ref="D43:J43" si="15">D26/D12</f>
        <v>0.25411728578994064</v>
      </c>
      <c r="E43" s="81">
        <f t="shared" si="15"/>
        <v>0.31033928030956298</v>
      </c>
      <c r="F43" s="81">
        <f t="shared" si="15"/>
        <v>0.33211060070230614</v>
      </c>
      <c r="G43" s="81">
        <f t="shared" si="15"/>
        <v>0.34904414446092458</v>
      </c>
      <c r="H43" s="81">
        <f t="shared" si="15"/>
        <v>0.36231962529901685</v>
      </c>
      <c r="I43" s="81">
        <f t="shared" si="15"/>
        <v>0.37276749794083064</v>
      </c>
      <c r="J43" s="81">
        <f t="shared" si="15"/>
        <v>0.38098679203899571</v>
      </c>
    </row>
    <row r="44" spans="1:15" x14ac:dyDescent="0.25">
      <c r="B44" s="80" t="s">
        <v>147</v>
      </c>
      <c r="D44" s="81">
        <f t="shared" ref="D44:J44" si="16">D30/D12</f>
        <v>6.0948266061726313E-2</v>
      </c>
      <c r="E44" s="81">
        <f t="shared" si="16"/>
        <v>0.14476583482823638</v>
      </c>
      <c r="F44" s="81">
        <f t="shared" si="16"/>
        <v>0.18158928662837287</v>
      </c>
      <c r="G44" s="81">
        <f t="shared" si="16"/>
        <v>0.21106627322648575</v>
      </c>
      <c r="H44" s="81">
        <f t="shared" si="16"/>
        <v>0.23495543646722714</v>
      </c>
      <c r="I44" s="81">
        <f t="shared" si="16"/>
        <v>0.2545007511684545</v>
      </c>
      <c r="J44" s="81">
        <f t="shared" si="16"/>
        <v>0.27060449505144468</v>
      </c>
    </row>
    <row r="45" spans="1:15" x14ac:dyDescent="0.25">
      <c r="B45" s="80" t="s">
        <v>148</v>
      </c>
      <c r="D45" s="81">
        <f t="shared" ref="D45:J45" si="17">D38/D12</f>
        <v>-8.0575939970891242E-2</v>
      </c>
      <c r="E45" s="81">
        <f t="shared" si="17"/>
        <v>3.0614985007453879E-2</v>
      </c>
      <c r="F45" s="81">
        <f t="shared" si="17"/>
        <v>6.574303819150995E-2</v>
      </c>
      <c r="G45" s="81">
        <f t="shared" si="17"/>
        <v>9.2644923842495008E-2</v>
      </c>
      <c r="H45" s="81">
        <f t="shared" si="17"/>
        <v>0.12261608744903615</v>
      </c>
      <c r="I45" s="81">
        <f t="shared" si="17"/>
        <v>0.1500333238852051</v>
      </c>
      <c r="J45" s="81">
        <f t="shared" si="17"/>
        <v>0.17446143527981861</v>
      </c>
    </row>
    <row r="46" spans="1:15" x14ac:dyDescent="0.25">
      <c r="B46" s="80" t="s">
        <v>149</v>
      </c>
      <c r="D46" s="107">
        <v>0</v>
      </c>
      <c r="E46" s="81">
        <f t="shared" ref="E46:J46" si="18">E12/D12-1</f>
        <v>0.55555555555555558</v>
      </c>
      <c r="F46" s="81">
        <f t="shared" si="18"/>
        <v>0.10000000000000009</v>
      </c>
      <c r="G46" s="81">
        <f t="shared" si="18"/>
        <v>9.0909090909090828E-2</v>
      </c>
      <c r="H46" s="81">
        <f t="shared" si="18"/>
        <v>8.3333333333333259E-2</v>
      </c>
      <c r="I46" s="81">
        <f t="shared" si="18"/>
        <v>7.6923076923076872E-2</v>
      </c>
      <c r="J46" s="81">
        <f t="shared" si="18"/>
        <v>7.1428571428571619E-2</v>
      </c>
    </row>
    <row r="47" spans="1:15" x14ac:dyDescent="0.25">
      <c r="B47" s="267" t="s">
        <v>365</v>
      </c>
      <c r="D47" s="105">
        <f>+D34+D31+D29/D31</f>
        <v>2.1451867390247368</v>
      </c>
      <c r="E47" s="105">
        <f t="shared" ref="E47:J47" si="19">+E34+E31+E29/E31</f>
        <v>4.3334095215343353</v>
      </c>
      <c r="F47" s="105">
        <f t="shared" si="19"/>
        <v>5.6341848939000405</v>
      </c>
      <c r="G47" s="105">
        <f t="shared" si="19"/>
        <v>7.0535504192868643</v>
      </c>
      <c r="H47" s="105">
        <f t="shared" si="19"/>
        <v>8.8230370657974149</v>
      </c>
      <c r="I47" s="105">
        <f t="shared" si="19"/>
        <v>12.048298309854038</v>
      </c>
      <c r="J47" s="105">
        <f t="shared" si="19"/>
        <v>53.446115962802935</v>
      </c>
      <c r="K47" s="105"/>
    </row>
    <row r="48" spans="1:15" hidden="1" x14ac:dyDescent="0.25">
      <c r="B48" s="80" t="s">
        <v>153</v>
      </c>
      <c r="D48" s="105" t="e">
        <f>#REF!</f>
        <v>#REF!</v>
      </c>
      <c r="E48" s="105"/>
      <c r="F48" s="105"/>
      <c r="G48" s="105"/>
      <c r="H48" s="105"/>
      <c r="I48" s="105"/>
      <c r="J48" s="105"/>
    </row>
    <row r="49" spans="2:10" hidden="1" x14ac:dyDescent="0.25">
      <c r="B49" s="80" t="s">
        <v>51</v>
      </c>
      <c r="D49" s="105" t="e">
        <f>#REF!</f>
        <v>#REF!</v>
      </c>
      <c r="E49" s="105"/>
      <c r="F49" s="105"/>
      <c r="G49" s="105"/>
      <c r="H49" s="105"/>
      <c r="I49" s="105"/>
      <c r="J49" s="105"/>
    </row>
    <row r="50" spans="2:10" x14ac:dyDescent="0.25">
      <c r="B50" s="267" t="str">
        <f>+'Balance Sheet'!A36</f>
        <v>TOL/ATNW</v>
      </c>
      <c r="D50" s="105">
        <f>+'Balance Sheet'!E36</f>
        <v>0.48994124077622181</v>
      </c>
      <c r="E50" s="105">
        <f>+'Balance Sheet'!F36</f>
        <v>0.43078169460336507</v>
      </c>
      <c r="F50" s="105">
        <f>+'Balance Sheet'!G36</f>
        <v>0.35503777384942631</v>
      </c>
      <c r="G50" s="105">
        <f>+'Balance Sheet'!H36</f>
        <v>0.26413870450011495</v>
      </c>
      <c r="H50" s="105">
        <f>+'Balance Sheet'!I36</f>
        <v>0.15955643959179225</v>
      </c>
      <c r="I50" s="105">
        <f>+'Balance Sheet'!J36</f>
        <v>4.8450579977328274E-2</v>
      </c>
      <c r="J50" s="105">
        <f>+'Balance Sheet'!K36</f>
        <v>0</v>
      </c>
    </row>
    <row r="51" spans="2:10" x14ac:dyDescent="0.25">
      <c r="B51" s="349" t="s">
        <v>421</v>
      </c>
      <c r="D51" s="105">
        <f>+'Balance Sheet'!E32</f>
        <v>1.2498381754677088</v>
      </c>
      <c r="E51" s="105">
        <f>+'Balance Sheet'!F32</f>
        <v>1.0781159220864067</v>
      </c>
      <c r="F51" s="105">
        <f>+'Balance Sheet'!G32</f>
        <v>0.85199584155387531</v>
      </c>
      <c r="G51" s="105">
        <f>+'Balance Sheet'!H32</f>
        <v>0.59862877838817619</v>
      </c>
      <c r="H51" s="105">
        <f>+'Balance Sheet'!I32</f>
        <v>0.33732045483982942</v>
      </c>
      <c r="I51" s="105">
        <f>+'Balance Sheet'!J32</f>
        <v>9.5048639122868664E-2</v>
      </c>
      <c r="J51" s="105">
        <f>+'Balance Sheet'!K32</f>
        <v>0</v>
      </c>
    </row>
    <row r="52" spans="2:10" x14ac:dyDescent="0.25">
      <c r="B52" s="267" t="s">
        <v>423</v>
      </c>
      <c r="D52" s="369">
        <f>+D30/('Balance Sheet'!E24-'Balance Sheet'!E27)</f>
        <v>1.0822634115121023E-2</v>
      </c>
      <c r="E52" s="369">
        <f>+E30/('Balance Sheet'!F24-'Balance Sheet'!F27)</f>
        <v>4.1122659819314379E-2</v>
      </c>
      <c r="F52" s="369">
        <f>+F30/('Balance Sheet'!G24-'Balance Sheet'!G27)</f>
        <v>5.820216748141422E-2</v>
      </c>
      <c r="G52" s="369">
        <f>+G30/('Balance Sheet'!H24-'Balance Sheet'!H27)</f>
        <v>7.5780311316314991E-2</v>
      </c>
      <c r="H52" s="369">
        <f>+H30/('Balance Sheet'!I24-'Balance Sheet'!I27)</f>
        <v>9.3964436776899585E-2</v>
      </c>
      <c r="I52" s="369">
        <f>+I30/('Balance Sheet'!J24-'Balance Sheet'!J27)</f>
        <v>0.11277593784379504</v>
      </c>
      <c r="J52" s="369">
        <f>+J30/('Balance Sheet'!K24-'Balance Sheet'!K27)</f>
        <v>0.12393857700718267</v>
      </c>
    </row>
    <row r="53" spans="2:10" x14ac:dyDescent="0.25">
      <c r="B53" s="267" t="s">
        <v>424</v>
      </c>
      <c r="D53" s="369">
        <f>+D30/(D31)</f>
        <v>0.4306561242793997</v>
      </c>
      <c r="E53" s="369">
        <f t="shared" ref="E53:J53" si="20">+E30/(E31)</f>
        <v>1.2681976091769758</v>
      </c>
      <c r="F53" s="369">
        <f t="shared" si="20"/>
        <v>1.9981782803338779</v>
      </c>
      <c r="G53" s="369">
        <f t="shared" si="20"/>
        <v>3.0741547505604023</v>
      </c>
      <c r="H53" s="369">
        <f t="shared" si="20"/>
        <v>5.0552312958288024</v>
      </c>
      <c r="I53" s="369">
        <f t="shared" si="20"/>
        <v>10.657957394412636</v>
      </c>
      <c r="J53" s="369">
        <f t="shared" si="20"/>
        <v>111.20762968498627</v>
      </c>
    </row>
    <row r="54" spans="2:10" x14ac:dyDescent="0.25">
      <c r="B54" s="267" t="s">
        <v>422</v>
      </c>
      <c r="D54" s="369">
        <f>+D30/('Balance Sheet'!E12+'Balance Sheet'!E13)</f>
        <v>1.8283554223960941E-2</v>
      </c>
      <c r="E54" s="369"/>
      <c r="F54" s="369"/>
      <c r="G54" s="369"/>
      <c r="H54" s="369"/>
      <c r="I54" s="369"/>
      <c r="J54" s="369"/>
    </row>
    <row r="55" spans="2:10" x14ac:dyDescent="0.25">
      <c r="B55" s="267" t="s">
        <v>444</v>
      </c>
      <c r="D55" s="105">
        <f>+'Ratio Analysis'!E126</f>
        <v>3.0410610840101633</v>
      </c>
      <c r="E55" s="105">
        <f>+'Ratio Analysis'!F126</f>
        <v>3.3213614053882514</v>
      </c>
      <c r="F55" s="105">
        <f>+'Ratio Analysis'!G126</f>
        <v>3.8166017073555287</v>
      </c>
      <c r="G55" s="105">
        <f>+'Ratio Analysis'!H126</f>
        <v>4.7858896972047686</v>
      </c>
      <c r="H55" s="105">
        <f>+'Ratio Analysis'!I126</f>
        <v>7.267374745628512</v>
      </c>
      <c r="I55" s="105">
        <f>+'Ratio Analysis'!J126</f>
        <v>21.639587812322059</v>
      </c>
      <c r="J55" s="105" t="e">
        <f>+'Ratio Analysis'!K126</f>
        <v>#DIV/0!</v>
      </c>
    </row>
    <row r="56" spans="2:10" x14ac:dyDescent="0.25">
      <c r="B56" s="267" t="s">
        <v>52</v>
      </c>
      <c r="D56" s="105">
        <f>+'Ratio Analysis'!E135</f>
        <v>3.4791680929248288</v>
      </c>
      <c r="E56" s="105">
        <f>+'Ratio Analysis'!F135</f>
        <v>4.3213911172127357</v>
      </c>
      <c r="F56" s="105">
        <f>+'Ratio Analysis'!G135</f>
        <v>5.8832896744059475</v>
      </c>
      <c r="G56" s="105">
        <f>+'Ratio Analysis'!H135</f>
        <v>7.2061547753163815</v>
      </c>
      <c r="H56" s="105">
        <f>+'Ratio Analysis'!I135</f>
        <v>8.3164063943169033</v>
      </c>
      <c r="I56" s="105">
        <f>+'Ratio Analysis'!J135</f>
        <v>9.2943109192216919</v>
      </c>
      <c r="J56" s="105">
        <f>+'Ratio Analysis'!K135</f>
        <v>13.874422852813847</v>
      </c>
    </row>
    <row r="57" spans="2:10" x14ac:dyDescent="0.25">
      <c r="B57" s="267" t="s">
        <v>384</v>
      </c>
      <c r="D57" s="105">
        <f>+'Ratio Analysis'!E141</f>
        <v>2.8498891193193612</v>
      </c>
      <c r="E57" s="105">
        <f>+'Ratio Analysis'!F141</f>
        <v>3.6571502910177172</v>
      </c>
      <c r="F57" s="105">
        <f>+'Ratio Analysis'!G141</f>
        <v>5.2036005237284026</v>
      </c>
      <c r="G57" s="105">
        <f>+'Ratio Analysis'!H141</f>
        <v>6.5137848859608205</v>
      </c>
      <c r="H57" s="105">
        <f>+'Ratio Analysis'!I141</f>
        <v>7.6136825804156683</v>
      </c>
      <c r="I57" s="105">
        <f>+'Ratio Analysis'!J141</f>
        <v>8.5832128365889471</v>
      </c>
      <c r="J57" s="105">
        <f>+'Ratio Analysis'!K141</f>
        <v>13.156652985107497</v>
      </c>
    </row>
    <row r="58" spans="2:10" x14ac:dyDescent="0.25">
      <c r="B58" s="267" t="s">
        <v>468</v>
      </c>
      <c r="D58" s="105">
        <f>+'Balance Sheet'!E41</f>
        <v>2.9844784746354764</v>
      </c>
      <c r="E58" s="105">
        <f>+'Balance Sheet'!F41</f>
        <v>3.1958887293133396</v>
      </c>
      <c r="F58" s="105">
        <f>+'Balance Sheet'!G41</f>
        <v>3.5828518369701015</v>
      </c>
      <c r="G58" s="105">
        <f>+'Balance Sheet'!H41</f>
        <v>4.3762442701494049</v>
      </c>
      <c r="H58" s="105">
        <f>+'Balance Sheet'!I41</f>
        <v>6.4625669496114071</v>
      </c>
      <c r="I58" s="105">
        <f>+'Balance Sheet'!J41</f>
        <v>18.664836808331682</v>
      </c>
      <c r="J58" s="105" t="e">
        <f>+'Balance Sheet'!K41</f>
        <v>#DIV/0!</v>
      </c>
    </row>
    <row r="59" spans="2:10" x14ac:dyDescent="0.25">
      <c r="B59" s="267"/>
      <c r="D59" s="105"/>
      <c r="E59" s="105"/>
      <c r="F59" s="105"/>
      <c r="G59" s="105"/>
      <c r="H59" s="105"/>
      <c r="I59" s="105"/>
      <c r="J59" s="105"/>
    </row>
    <row r="60" spans="2:10" x14ac:dyDescent="0.25">
      <c r="B60" s="267"/>
      <c r="D60" s="105"/>
      <c r="E60" s="105"/>
      <c r="F60" s="105"/>
      <c r="G60" s="105"/>
      <c r="H60" s="105"/>
      <c r="I60" s="105"/>
      <c r="J60" s="105"/>
    </row>
    <row r="61" spans="2:10" x14ac:dyDescent="0.25">
      <c r="J61"/>
    </row>
    <row r="62" spans="2:10" x14ac:dyDescent="0.25">
      <c r="J62"/>
    </row>
  </sheetData>
  <mergeCells count="1">
    <mergeCell ref="B4:J4"/>
  </mergeCells>
  <dataValidations count="2">
    <dataValidation type="list" allowBlank="1" showInputMessage="1" showErrorMessage="1" sqref="A8 A24" xr:uid="{00000000-0002-0000-0400-000000000000}">
      <formula1>"0%,5%"</formula1>
    </dataValidation>
    <dataValidation type="list" allowBlank="1" showInputMessage="1" showErrorMessage="1" sqref="A12" xr:uid="{1393FB7E-46B1-46CF-BBC3-79E915A44711}">
      <formula1>"0%,5%,4%,3%"</formula1>
    </dataValidation>
  </dataValidations>
  <pageMargins left="0.7" right="0.7" top="0.75" bottom="0.75" header="0.3" footer="0.3"/>
  <pageSetup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54"/>
  <sheetViews>
    <sheetView topLeftCell="A88" zoomScaleNormal="100" zoomScaleSheetLayoutView="100" workbookViewId="0">
      <selection activeCell="Q103" sqref="Q103"/>
    </sheetView>
  </sheetViews>
  <sheetFormatPr defaultColWidth="9" defaultRowHeight="15" x14ac:dyDescent="0.25"/>
  <cols>
    <col min="1" max="1" width="4.85546875" style="226" customWidth="1"/>
    <col min="2" max="2" width="19.7109375" style="226" bestFit="1" customWidth="1"/>
    <col min="3" max="3" width="3.28515625" style="226" customWidth="1"/>
    <col min="4" max="4" width="13.7109375" style="272" customWidth="1"/>
    <col min="5" max="11" width="12.7109375" style="272" customWidth="1"/>
    <col min="12" max="12" width="7.7109375" style="272" bestFit="1" customWidth="1"/>
    <col min="13" max="13" width="7.7109375" style="226" bestFit="1" customWidth="1"/>
    <col min="14" max="16384" width="9" style="226"/>
  </cols>
  <sheetData>
    <row r="1" spans="2:14" x14ac:dyDescent="0.25">
      <c r="B1" s="257" t="e">
        <f>#REF!</f>
        <v>#REF!</v>
      </c>
      <c r="C1" s="257"/>
      <c r="D1" s="257"/>
      <c r="E1" s="257"/>
      <c r="F1" s="257"/>
      <c r="G1" s="257"/>
      <c r="H1" s="257"/>
      <c r="I1" s="257"/>
      <c r="J1" s="257"/>
      <c r="K1" s="257"/>
      <c r="L1" s="257"/>
    </row>
    <row r="2" spans="2:14" ht="18" customHeight="1" x14ac:dyDescent="0.25">
      <c r="B2" s="269" t="s">
        <v>150</v>
      </c>
      <c r="C2" s="270"/>
      <c r="D2" s="271"/>
      <c r="E2" s="271"/>
      <c r="F2" s="271"/>
      <c r="G2" s="271"/>
      <c r="H2" s="271"/>
      <c r="I2" s="271"/>
      <c r="J2" s="271"/>
      <c r="K2" s="271"/>
      <c r="L2" s="271"/>
    </row>
    <row r="3" spans="2:14" ht="11.25" customHeight="1" x14ac:dyDescent="0.25"/>
    <row r="4" spans="2:14" x14ac:dyDescent="0.25">
      <c r="B4" s="273" t="s">
        <v>213</v>
      </c>
      <c r="C4" s="273"/>
      <c r="D4" s="274"/>
      <c r="E4" s="88" t="s">
        <v>57</v>
      </c>
      <c r="F4" s="88" t="s">
        <v>58</v>
      </c>
      <c r="G4" s="88" t="s">
        <v>59</v>
      </c>
      <c r="H4" s="88" t="s">
        <v>60</v>
      </c>
      <c r="I4" s="88" t="s">
        <v>236</v>
      </c>
      <c r="J4" s="88" t="s">
        <v>237</v>
      </c>
      <c r="K4" s="88" t="s">
        <v>238</v>
      </c>
      <c r="L4" s="88" t="s">
        <v>239</v>
      </c>
      <c r="M4" s="88" t="s">
        <v>240</v>
      </c>
    </row>
    <row r="5" spans="2:14" ht="9.75" customHeight="1" x14ac:dyDescent="0.25">
      <c r="B5" s="235"/>
      <c r="C5" s="235"/>
      <c r="D5" s="275"/>
      <c r="E5" s="275"/>
      <c r="F5" s="275"/>
      <c r="G5" s="275"/>
      <c r="H5" s="275"/>
      <c r="I5" s="275"/>
      <c r="J5" s="275"/>
      <c r="K5" s="275"/>
      <c r="L5" s="275"/>
    </row>
    <row r="6" spans="2:14" x14ac:dyDescent="0.25">
      <c r="B6" s="235" t="s">
        <v>366</v>
      </c>
      <c r="C6" s="235"/>
      <c r="D6" s="275"/>
      <c r="E6" s="276">
        <f>+'Proj P&amp;L'!D12</f>
        <v>12.80213859375</v>
      </c>
      <c r="F6" s="276">
        <f>+'Proj P&amp;L'!E12</f>
        <v>19.914437812500001</v>
      </c>
      <c r="G6" s="276">
        <f>+'Proj P&amp;L'!F12</f>
        <v>21.905881593750003</v>
      </c>
      <c r="H6" s="276">
        <f>+'Proj P&amp;L'!G12</f>
        <v>23.897325375000001</v>
      </c>
      <c r="I6" s="276">
        <f>+'Proj P&amp;L'!H12</f>
        <v>25.88876915625</v>
      </c>
      <c r="J6" s="276">
        <f>+'Proj P&amp;L'!I12</f>
        <v>27.880212937499998</v>
      </c>
      <c r="K6" s="276">
        <f>+'Proj P&amp;L'!J12</f>
        <v>29.871656718750003</v>
      </c>
      <c r="L6" s="276" t="e">
        <f>+'Proj P&amp;L'!#REF!</f>
        <v>#REF!</v>
      </c>
      <c r="M6" s="276" t="e">
        <f>+'Proj P&amp;L'!#REF!</f>
        <v>#REF!</v>
      </c>
    </row>
    <row r="7" spans="2:14" x14ac:dyDescent="0.25">
      <c r="B7" s="235" t="s">
        <v>367</v>
      </c>
      <c r="C7" s="235"/>
      <c r="D7" s="276"/>
      <c r="E7" s="276">
        <f>+'Proj P&amp;L'!D26</f>
        <v>3.2532447117503978</v>
      </c>
      <c r="F7" s="276">
        <f>+'Proj P&amp;L'!E26</f>
        <v>6.1802322985007976</v>
      </c>
      <c r="G7" s="276">
        <f>+'Proj P&amp;L'!F26</f>
        <v>7.2751754950139045</v>
      </c>
      <c r="H7" s="276">
        <f>+'Proj P&amp;L'!G26</f>
        <v>8.3412214904212192</v>
      </c>
      <c r="I7" s="276">
        <f>+'Proj P&amp;L'!H26</f>
        <v>9.3800091401452441</v>
      </c>
      <c r="J7" s="276">
        <f>+'Proj P&amp;L'!I26</f>
        <v>10.392837218769451</v>
      </c>
      <c r="K7" s="276">
        <f>+'Proj P&amp;L'!J26</f>
        <v>11.380706666166677</v>
      </c>
      <c r="L7" s="276" t="e">
        <f>+'Proj P&amp;L'!#REF!</f>
        <v>#REF!</v>
      </c>
      <c r="M7" s="276" t="e">
        <f>+'Proj P&amp;L'!#REF!</f>
        <v>#REF!</v>
      </c>
    </row>
    <row r="8" spans="2:14" ht="20.25" customHeight="1" x14ac:dyDescent="0.25">
      <c r="B8" s="277" t="s">
        <v>139</v>
      </c>
      <c r="C8" s="278"/>
      <c r="D8" s="279"/>
      <c r="E8" s="279">
        <f>E7/E6</f>
        <v>0.25411728578994064</v>
      </c>
      <c r="F8" s="279">
        <f t="shared" ref="F8:L8" si="0">F7/F6</f>
        <v>0.31033928030956298</v>
      </c>
      <c r="G8" s="279">
        <f t="shared" si="0"/>
        <v>0.33211060070230614</v>
      </c>
      <c r="H8" s="279">
        <f t="shared" si="0"/>
        <v>0.34904414446092458</v>
      </c>
      <c r="I8" s="279">
        <f t="shared" si="0"/>
        <v>0.36231962529901685</v>
      </c>
      <c r="J8" s="279">
        <f t="shared" si="0"/>
        <v>0.37276749794083064</v>
      </c>
      <c r="K8" s="279">
        <f t="shared" si="0"/>
        <v>0.38098679203899571</v>
      </c>
      <c r="L8" s="279" t="e">
        <f t="shared" si="0"/>
        <v>#REF!</v>
      </c>
      <c r="M8" s="279" t="e">
        <f t="shared" ref="M8" si="1">M7/M6</f>
        <v>#REF!</v>
      </c>
    </row>
    <row r="9" spans="2:14" x14ac:dyDescent="0.25">
      <c r="B9" s="260" t="s">
        <v>141</v>
      </c>
      <c r="C9" s="235"/>
      <c r="D9" s="276"/>
      <c r="E9" s="276">
        <f>+'Proj P&amp;L'!D30</f>
        <v>0.78026814917096976</v>
      </c>
      <c r="F9" s="276">
        <f>+'Proj P&amp;L'!E30</f>
        <v>2.8829302150615601</v>
      </c>
      <c r="G9" s="276">
        <f>+'Proj P&amp;L'!F30</f>
        <v>3.977873411574667</v>
      </c>
      <c r="H9" s="276">
        <f>+'Proj P&amp;L'!G30</f>
        <v>5.0439194069819813</v>
      </c>
      <c r="I9" s="276">
        <f>+'Proj P&amp;L'!H30</f>
        <v>6.0827070567060062</v>
      </c>
      <c r="J9" s="276">
        <f>+'Proj P&amp;L'!I30</f>
        <v>7.0955351353302127</v>
      </c>
      <c r="K9" s="276">
        <f>+'Proj P&amp;L'!J30</f>
        <v>8.0834045827274394</v>
      </c>
      <c r="L9" s="276" t="e">
        <f>+'Proj P&amp;L'!#REF!</f>
        <v>#REF!</v>
      </c>
      <c r="M9" s="276" t="e">
        <f>+'Proj P&amp;L'!#REF!</f>
        <v>#REF!</v>
      </c>
    </row>
    <row r="10" spans="2:14" ht="18" customHeight="1" x14ac:dyDescent="0.25">
      <c r="B10" s="280" t="s">
        <v>147</v>
      </c>
      <c r="C10" s="279"/>
      <c r="D10" s="279"/>
      <c r="E10" s="279">
        <f t="shared" ref="E10:L10" si="2">E9/E6</f>
        <v>6.0948266061726313E-2</v>
      </c>
      <c r="F10" s="279">
        <f t="shared" si="2"/>
        <v>0.14476583482823638</v>
      </c>
      <c r="G10" s="279">
        <f t="shared" si="2"/>
        <v>0.18158928662837287</v>
      </c>
      <c r="H10" s="279">
        <f t="shared" si="2"/>
        <v>0.21106627322648575</v>
      </c>
      <c r="I10" s="279">
        <f t="shared" si="2"/>
        <v>0.23495543646722714</v>
      </c>
      <c r="J10" s="279">
        <f t="shared" si="2"/>
        <v>0.2545007511684545</v>
      </c>
      <c r="K10" s="279">
        <f t="shared" si="2"/>
        <v>0.27060449505144468</v>
      </c>
      <c r="L10" s="279" t="e">
        <f t="shared" si="2"/>
        <v>#REF!</v>
      </c>
      <c r="M10" s="279" t="e">
        <f t="shared" ref="M10" si="3">M9/M6</f>
        <v>#REF!</v>
      </c>
    </row>
    <row r="11" spans="2:14" ht="18" customHeight="1" x14ac:dyDescent="0.25">
      <c r="B11" s="241" t="s">
        <v>368</v>
      </c>
      <c r="C11" s="235"/>
      <c r="D11" s="276"/>
      <c r="E11" s="276">
        <f>+'Proj P&amp;L'!D38</f>
        <v>-1.0315443508290301</v>
      </c>
      <c r="F11" s="276">
        <f>+'Proj P&amp;L'!E38</f>
        <v>0.60968021506156012</v>
      </c>
      <c r="G11" s="276">
        <f>+'Proj P&amp;L'!F38</f>
        <v>1.4401592102366014</v>
      </c>
      <c r="H11" s="276">
        <f>+'Proj P&amp;L'!G38</f>
        <v>2.2139658894061984</v>
      </c>
      <c r="I11" s="276">
        <f>+'Proj P&amp;L'!H38</f>
        <v>3.1743795828106598</v>
      </c>
      <c r="J11" s="276">
        <f>+'Proj P&amp;L'!I38</f>
        <v>4.1829610176404231</v>
      </c>
      <c r="K11" s="276">
        <f>+'Proj P&amp;L'!J38</f>
        <v>5.2114521053391627</v>
      </c>
      <c r="L11" s="276" t="e">
        <f>+'Proj P&amp;L'!#REF!</f>
        <v>#REF!</v>
      </c>
      <c r="M11" s="276" t="e">
        <f>+'Proj P&amp;L'!#REF!</f>
        <v>#REF!</v>
      </c>
    </row>
    <row r="12" spans="2:14" ht="18" customHeight="1" x14ac:dyDescent="0.25">
      <c r="B12" s="280" t="s">
        <v>369</v>
      </c>
      <c r="C12" s="279"/>
      <c r="D12" s="279"/>
      <c r="E12" s="279">
        <f>E11/E6</f>
        <v>-8.0575939970891242E-2</v>
      </c>
      <c r="F12" s="279">
        <f t="shared" ref="F12:L12" si="4">F11/F6</f>
        <v>3.0614985007453879E-2</v>
      </c>
      <c r="G12" s="279">
        <f t="shared" si="4"/>
        <v>6.574303819150995E-2</v>
      </c>
      <c r="H12" s="279">
        <f t="shared" si="4"/>
        <v>9.2644923842495008E-2</v>
      </c>
      <c r="I12" s="279">
        <f t="shared" si="4"/>
        <v>0.12261608744903615</v>
      </c>
      <c r="J12" s="279">
        <f t="shared" si="4"/>
        <v>0.1500333238852051</v>
      </c>
      <c r="K12" s="279">
        <f t="shared" si="4"/>
        <v>0.17446143527981861</v>
      </c>
      <c r="L12" s="279" t="e">
        <f t="shared" si="4"/>
        <v>#REF!</v>
      </c>
      <c r="M12" s="279" t="e">
        <f t="shared" ref="M12" si="5">M11/M6</f>
        <v>#REF!</v>
      </c>
    </row>
    <row r="13" spans="2:14" x14ac:dyDescent="0.25">
      <c r="B13" s="235" t="str">
        <f>B6</f>
        <v xml:space="preserve">Revenue </v>
      </c>
      <c r="C13" s="235"/>
      <c r="D13" s="275"/>
      <c r="E13" s="305">
        <f t="shared" ref="E13:L13" si="6">E6</f>
        <v>12.80213859375</v>
      </c>
      <c r="F13" s="305">
        <f t="shared" si="6"/>
        <v>19.914437812500001</v>
      </c>
      <c r="G13" s="305">
        <f t="shared" si="6"/>
        <v>21.905881593750003</v>
      </c>
      <c r="H13" s="305">
        <f t="shared" si="6"/>
        <v>23.897325375000001</v>
      </c>
      <c r="I13" s="305">
        <f t="shared" si="6"/>
        <v>25.88876915625</v>
      </c>
      <c r="J13" s="305">
        <f t="shared" si="6"/>
        <v>27.880212937499998</v>
      </c>
      <c r="K13" s="305">
        <f t="shared" si="6"/>
        <v>29.871656718750003</v>
      </c>
      <c r="L13" s="305" t="e">
        <f t="shared" si="6"/>
        <v>#REF!</v>
      </c>
      <c r="M13" s="305" t="e">
        <f t="shared" ref="M13" si="7">M6</f>
        <v>#REF!</v>
      </c>
    </row>
    <row r="14" spans="2:14" ht="18" customHeight="1" x14ac:dyDescent="0.25">
      <c r="B14" s="280" t="s">
        <v>149</v>
      </c>
      <c r="C14" s="279"/>
      <c r="D14" s="279"/>
      <c r="E14" s="279">
        <v>0</v>
      </c>
      <c r="F14" s="279">
        <f t="shared" ref="F14:M14" si="8">F13/E13-1</f>
        <v>0.55555555555555558</v>
      </c>
      <c r="G14" s="279">
        <f t="shared" si="8"/>
        <v>0.10000000000000009</v>
      </c>
      <c r="H14" s="279">
        <f t="shared" si="8"/>
        <v>9.0909090909090828E-2</v>
      </c>
      <c r="I14" s="279">
        <f t="shared" si="8"/>
        <v>8.3333333333333259E-2</v>
      </c>
      <c r="J14" s="279">
        <f t="shared" si="8"/>
        <v>7.6923076923076872E-2</v>
      </c>
      <c r="K14" s="279">
        <f t="shared" si="8"/>
        <v>7.1428571428571619E-2</v>
      </c>
      <c r="L14" s="279" t="e">
        <f>L13/K13-1</f>
        <v>#REF!</v>
      </c>
      <c r="M14" s="279" t="e">
        <f t="shared" si="8"/>
        <v>#REF!</v>
      </c>
    </row>
    <row r="15" spans="2:14" ht="15.75" thickBot="1" x14ac:dyDescent="0.3"/>
    <row r="16" spans="2:14" ht="15.75" thickBot="1" x14ac:dyDescent="0.3">
      <c r="B16" s="281" t="s">
        <v>370</v>
      </c>
      <c r="C16" s="282"/>
      <c r="D16" s="283"/>
      <c r="E16" s="284">
        <f>AVERAGE(E8:K8)</f>
        <v>0.33738360379165394</v>
      </c>
      <c r="N16" s="285" t="s">
        <v>371</v>
      </c>
    </row>
    <row r="17" spans="2:14" ht="15.75" thickBot="1" x14ac:dyDescent="0.3">
      <c r="B17" s="286" t="s">
        <v>372</v>
      </c>
      <c r="E17" s="284">
        <f>AVERAGE(E10:K10)</f>
        <v>0.19406147763313536</v>
      </c>
      <c r="N17" s="287"/>
    </row>
    <row r="18" spans="2:14" ht="15.75" thickBot="1" x14ac:dyDescent="0.3">
      <c r="B18" s="286" t="s">
        <v>373</v>
      </c>
      <c r="E18" s="284">
        <f>AVERAGE(E12:K12)</f>
        <v>7.936255052637535E-2</v>
      </c>
      <c r="N18" s="285" t="s">
        <v>374</v>
      </c>
    </row>
    <row r="19" spans="2:14" ht="15.75" thickBot="1" x14ac:dyDescent="0.3">
      <c r="B19" s="288" t="s">
        <v>375</v>
      </c>
      <c r="C19" s="289"/>
      <c r="D19" s="290"/>
      <c r="E19" s="291">
        <f>AVERAGE(E14:K14)</f>
        <v>0.13973566116423261</v>
      </c>
    </row>
    <row r="89" spans="2:13" x14ac:dyDescent="0.25">
      <c r="B89" s="292" t="s">
        <v>151</v>
      </c>
    </row>
    <row r="90" spans="2:13" x14ac:dyDescent="0.25">
      <c r="B90" s="273" t="s">
        <v>213</v>
      </c>
      <c r="C90" s="273"/>
      <c r="D90" s="274"/>
      <c r="E90" s="88" t="s">
        <v>57</v>
      </c>
      <c r="F90" s="88" t="s">
        <v>58</v>
      </c>
      <c r="G90" s="88" t="s">
        <v>59</v>
      </c>
      <c r="H90" s="88" t="s">
        <v>60</v>
      </c>
      <c r="I90" s="88" t="s">
        <v>236</v>
      </c>
      <c r="J90" s="88" t="s">
        <v>237</v>
      </c>
      <c r="K90" s="88" t="s">
        <v>238</v>
      </c>
      <c r="L90"/>
      <c r="M90"/>
    </row>
    <row r="91" spans="2:13" x14ac:dyDescent="0.25">
      <c r="B91" s="235" t="s">
        <v>359</v>
      </c>
      <c r="C91" s="235"/>
      <c r="D91" s="276"/>
      <c r="E91" s="276">
        <f>+'Proj P&amp;L'!D38</f>
        <v>-1.0315443508290301</v>
      </c>
      <c r="F91" s="276">
        <f>+'Proj P&amp;L'!E38</f>
        <v>0.60968021506156012</v>
      </c>
      <c r="G91" s="276">
        <f>+'Proj P&amp;L'!F38</f>
        <v>1.4401592102366014</v>
      </c>
      <c r="H91" s="276">
        <f>+'Proj P&amp;L'!G38</f>
        <v>2.2139658894061984</v>
      </c>
      <c r="I91" s="276">
        <f>+'Proj P&amp;L'!H38</f>
        <v>3.1743795828106598</v>
      </c>
      <c r="J91" s="276">
        <f>+'Proj P&amp;L'!I38</f>
        <v>4.1829610176404231</v>
      </c>
      <c r="K91" s="276">
        <f>+'Proj P&amp;L'!J38</f>
        <v>5.2114521053391627</v>
      </c>
      <c r="L91"/>
      <c r="M91"/>
    </row>
    <row r="92" spans="2:13" x14ac:dyDescent="0.25">
      <c r="B92" s="235" t="s">
        <v>360</v>
      </c>
      <c r="C92" s="235"/>
      <c r="D92" s="276"/>
      <c r="E92" s="276">
        <f>+'Proj P&amp;L'!D29</f>
        <v>2.472976562579428</v>
      </c>
      <c r="F92" s="276">
        <f>+'Proj P&amp;L'!E29</f>
        <v>3.2973020834392375</v>
      </c>
      <c r="G92" s="276">
        <f>+'Proj P&amp;L'!F29</f>
        <v>3.2973020834392375</v>
      </c>
      <c r="H92" s="276">
        <f>+'Proj P&amp;L'!G29</f>
        <v>3.2973020834392375</v>
      </c>
      <c r="I92" s="276">
        <f>+'Proj P&amp;L'!H29</f>
        <v>3.2973020834392375</v>
      </c>
      <c r="J92" s="276">
        <f>+'Proj P&amp;L'!I29</f>
        <v>3.2973020834392375</v>
      </c>
      <c r="K92" s="276">
        <f>+'Proj P&amp;L'!J29</f>
        <v>3.2973020834392375</v>
      </c>
      <c r="L92"/>
      <c r="M92"/>
    </row>
    <row r="93" spans="2:13" x14ac:dyDescent="0.25">
      <c r="B93" s="235" t="s">
        <v>361</v>
      </c>
      <c r="C93" s="235"/>
      <c r="D93" s="276"/>
      <c r="E93" s="276">
        <f>+'Proj P&amp;L'!D31</f>
        <v>1.8118124999999998</v>
      </c>
      <c r="F93" s="276">
        <f>+'Proj P&amp;L'!E31</f>
        <v>2.27325</v>
      </c>
      <c r="G93" s="276">
        <f>+'Proj P&amp;L'!F31</f>
        <v>1.9907499999999998</v>
      </c>
      <c r="H93" s="276">
        <f>+'Proj P&amp;L'!G31</f>
        <v>1.6407500000000004</v>
      </c>
      <c r="I93" s="276">
        <f>+'Proj P&amp;L'!H31</f>
        <v>1.2032499999999999</v>
      </c>
      <c r="J93" s="276">
        <f>+'Proj P&amp;L'!I31</f>
        <v>0.66575000000000006</v>
      </c>
      <c r="K93" s="276">
        <f>+'Proj P&amp;L'!J31</f>
        <v>7.2687500000000002E-2</v>
      </c>
      <c r="L93"/>
      <c r="M93"/>
    </row>
    <row r="94" spans="2:13" ht="45" x14ac:dyDescent="0.25">
      <c r="B94" s="293" t="s">
        <v>386</v>
      </c>
      <c r="C94" s="235"/>
      <c r="D94" s="276"/>
      <c r="E94" s="276">
        <v>0</v>
      </c>
      <c r="F94" s="276">
        <v>0</v>
      </c>
      <c r="G94" s="276">
        <v>0</v>
      </c>
      <c r="H94" s="276">
        <v>0</v>
      </c>
      <c r="I94" s="276">
        <v>0</v>
      </c>
      <c r="J94" s="276">
        <v>0</v>
      </c>
      <c r="K94" s="276">
        <v>0</v>
      </c>
      <c r="L94" s="226"/>
      <c r="M94"/>
    </row>
    <row r="95" spans="2:13" x14ac:dyDescent="0.25">
      <c r="B95" s="278" t="str">
        <f>'[1]PROJECT RK'!B700</f>
        <v>Total "A"</v>
      </c>
      <c r="C95" s="278"/>
      <c r="D95" s="294"/>
      <c r="E95" s="294">
        <f>SUM(E91:E94)</f>
        <v>3.2532447117503978</v>
      </c>
      <c r="F95" s="294">
        <f t="shared" ref="F95:K95" si="9">SUM(F91:F94)</f>
        <v>6.1802322985007976</v>
      </c>
      <c r="G95" s="294">
        <f t="shared" si="9"/>
        <v>6.7282112936758391</v>
      </c>
      <c r="H95" s="294">
        <f t="shared" si="9"/>
        <v>7.1520179728454369</v>
      </c>
      <c r="I95" s="294">
        <f t="shared" si="9"/>
        <v>7.674931666249897</v>
      </c>
      <c r="J95" s="294">
        <f t="shared" si="9"/>
        <v>8.1460131010796601</v>
      </c>
      <c r="K95" s="294">
        <f t="shared" si="9"/>
        <v>8.5814416887784013</v>
      </c>
      <c r="L95" s="295">
        <f>+SUM(E95:K95)</f>
        <v>47.716092732880426</v>
      </c>
      <c r="M95"/>
    </row>
    <row r="96" spans="2:13" x14ac:dyDescent="0.25">
      <c r="B96" s="235" t="s">
        <v>45</v>
      </c>
      <c r="C96" s="235"/>
      <c r="D96" s="276"/>
      <c r="E96" s="276">
        <f>+Repayment!G143/100</f>
        <v>0.45</v>
      </c>
      <c r="F96" s="276">
        <f>+Repayment!H143/100</f>
        <v>2.6</v>
      </c>
      <c r="G96" s="276">
        <f>+Repayment!I143/100</f>
        <v>3.2</v>
      </c>
      <c r="H96" s="276">
        <f>+Repayment!J143/100</f>
        <v>4</v>
      </c>
      <c r="I96" s="276">
        <f>+Repayment!K143/100</f>
        <v>5</v>
      </c>
      <c r="J96" s="276">
        <f>+Repayment!L143/100</f>
        <v>6</v>
      </c>
      <c r="K96" s="276">
        <f>+Repayment!M143/100</f>
        <v>2.9075000000000002</v>
      </c>
      <c r="L96" s="226"/>
      <c r="M96"/>
    </row>
    <row r="97" spans="2:13" x14ac:dyDescent="0.25">
      <c r="B97" s="235" t="s">
        <v>46</v>
      </c>
      <c r="C97" s="235"/>
      <c r="D97" s="276"/>
      <c r="E97" s="276">
        <f>+E93</f>
        <v>1.8118124999999998</v>
      </c>
      <c r="F97" s="276">
        <f t="shared" ref="F97:K97" si="10">+F93</f>
        <v>2.27325</v>
      </c>
      <c r="G97" s="276">
        <f t="shared" si="10"/>
        <v>1.9907499999999998</v>
      </c>
      <c r="H97" s="276">
        <f t="shared" si="10"/>
        <v>1.6407500000000004</v>
      </c>
      <c r="I97" s="276">
        <f t="shared" si="10"/>
        <v>1.2032499999999999</v>
      </c>
      <c r="J97" s="276">
        <f t="shared" si="10"/>
        <v>0.66575000000000006</v>
      </c>
      <c r="K97" s="276">
        <f t="shared" si="10"/>
        <v>7.2687500000000002E-2</v>
      </c>
      <c r="L97" s="226"/>
      <c r="M97"/>
    </row>
    <row r="98" spans="2:13" x14ac:dyDescent="0.25">
      <c r="B98" s="278" t="str">
        <f>'[1]PROJECT RK'!B706</f>
        <v>Total "B"</v>
      </c>
      <c r="C98" s="278"/>
      <c r="D98" s="296"/>
      <c r="E98" s="297">
        <f>SUM(E96:E97)</f>
        <v>2.2618125</v>
      </c>
      <c r="F98" s="297">
        <f t="shared" ref="F98:K98" si="11">SUM(F96:F97)</f>
        <v>4.8732500000000005</v>
      </c>
      <c r="G98" s="297">
        <f t="shared" si="11"/>
        <v>5.1907499999999995</v>
      </c>
      <c r="H98" s="297">
        <f t="shared" si="11"/>
        <v>5.6407500000000006</v>
      </c>
      <c r="I98" s="297">
        <f t="shared" si="11"/>
        <v>6.2032499999999997</v>
      </c>
      <c r="J98" s="297">
        <f t="shared" si="11"/>
        <v>6.6657500000000001</v>
      </c>
      <c r="K98" s="297">
        <f t="shared" si="11"/>
        <v>2.9801875</v>
      </c>
      <c r="L98" s="295">
        <f>+SUM(E98:K98)</f>
        <v>33.815750000000001</v>
      </c>
      <c r="M98"/>
    </row>
    <row r="99" spans="2:13" x14ac:dyDescent="0.25">
      <c r="B99" s="273" t="str">
        <f>'[1]PROJECT RK'!B708</f>
        <v xml:space="preserve">D.S.C.R. </v>
      </c>
      <c r="C99" s="273"/>
      <c r="D99" s="298"/>
      <c r="E99" s="298">
        <f>E95/E98</f>
        <v>1.4383352783444241</v>
      </c>
      <c r="F99" s="298">
        <f t="shared" ref="F99:K99" si="12">F95/F98</f>
        <v>1.2681952082287584</v>
      </c>
      <c r="G99" s="298">
        <f t="shared" si="12"/>
        <v>1.2961925143140856</v>
      </c>
      <c r="H99" s="298">
        <f t="shared" si="12"/>
        <v>1.2679196867163829</v>
      </c>
      <c r="I99" s="298">
        <f t="shared" si="12"/>
        <v>1.2372436490952159</v>
      </c>
      <c r="J99" s="298">
        <f t="shared" si="12"/>
        <v>1.2220699997869198</v>
      </c>
      <c r="K99" s="404">
        <f t="shared" si="12"/>
        <v>2.879497242632687</v>
      </c>
      <c r="L99"/>
      <c r="M99"/>
    </row>
    <row r="100" spans="2:13" x14ac:dyDescent="0.25">
      <c r="B100" s="260" t="str">
        <f>'[1]PROJECT RK'!B710</f>
        <v>Average D.S.C.R.</v>
      </c>
      <c r="C100" s="260"/>
      <c r="D100" s="393">
        <f>+L95/L98</f>
        <v>1.4110611987869683</v>
      </c>
      <c r="E100" s="299"/>
      <c r="F100" s="299"/>
      <c r="G100" s="299"/>
      <c r="H100" s="299"/>
      <c r="I100" s="299"/>
      <c r="J100" s="403"/>
      <c r="K100" s="299"/>
      <c r="L100" s="300"/>
    </row>
    <row r="101" spans="2:13" x14ac:dyDescent="0.25">
      <c r="B101" s="292"/>
      <c r="C101" s="292"/>
      <c r="D101" s="301"/>
      <c r="E101" s="300"/>
    </row>
    <row r="102" spans="2:13" x14ac:dyDescent="0.25">
      <c r="E102" s="302"/>
      <c r="F102" s="302"/>
      <c r="G102" s="302"/>
      <c r="H102" s="302"/>
      <c r="I102" s="302"/>
      <c r="J102" s="302"/>
      <c r="K102" s="302"/>
      <c r="L102" s="302"/>
    </row>
    <row r="120" spans="2:13" x14ac:dyDescent="0.25">
      <c r="B120" s="303" t="s">
        <v>376</v>
      </c>
    </row>
    <row r="121" spans="2:13" x14ac:dyDescent="0.25">
      <c r="B121" s="273" t="s">
        <v>213</v>
      </c>
      <c r="C121" s="273"/>
      <c r="D121" s="274"/>
      <c r="E121" s="88" t="s">
        <v>57</v>
      </c>
      <c r="F121" s="88" t="s">
        <v>58</v>
      </c>
      <c r="G121" s="88" t="s">
        <v>59</v>
      </c>
      <c r="H121" s="88" t="s">
        <v>60</v>
      </c>
      <c r="I121" s="88" t="s">
        <v>236</v>
      </c>
      <c r="J121" s="88" t="s">
        <v>237</v>
      </c>
      <c r="K121" s="88" t="s">
        <v>238</v>
      </c>
      <c r="L121" s="88" t="s">
        <v>239</v>
      </c>
      <c r="M121" s="88" t="s">
        <v>240</v>
      </c>
    </row>
    <row r="122" spans="2:13" x14ac:dyDescent="0.25">
      <c r="B122" s="235" t="s">
        <v>377</v>
      </c>
      <c r="C122" s="235"/>
      <c r="D122" s="275"/>
      <c r="E122" s="276">
        <f>+'Balance Sheet'!E24</f>
        <v>72.637037238426089</v>
      </c>
      <c r="F122" s="276">
        <f>+'Balance Sheet'!F24</f>
        <v>70.903016966544172</v>
      </c>
      <c r="G122" s="276">
        <f>+'Balance Sheet'!G24</f>
        <v>69.202978670573572</v>
      </c>
      <c r="H122" s="276">
        <f>+'Balance Sheet'!H24</f>
        <v>67.477743834594492</v>
      </c>
      <c r="I122" s="276">
        <f>+'Balance Sheet'!I24</f>
        <v>65.713969311882892</v>
      </c>
      <c r="J122" s="276">
        <f>+'Balance Sheet'!J24</f>
        <v>63.959875174857217</v>
      </c>
      <c r="K122" s="276">
        <f>+'Balance Sheet'!K24</f>
        <v>66.327926023929265</v>
      </c>
      <c r="L122" s="276" t="e">
        <f>+'Balance Sheet'!#REF!</f>
        <v>#REF!</v>
      </c>
      <c r="M122" s="276" t="e">
        <f>+'Balance Sheet'!#REF!</f>
        <v>#REF!</v>
      </c>
    </row>
    <row r="123" spans="2:13" x14ac:dyDescent="0.25">
      <c r="B123" s="235" t="s">
        <v>378</v>
      </c>
      <c r="C123" s="235"/>
      <c r="D123" s="275"/>
      <c r="E123" s="276">
        <f>+'Balance Sheet'!E27</f>
        <v>0.54108158925513694</v>
      </c>
      <c r="F123" s="276">
        <f>+'Balance Sheet'!F27</f>
        <v>0.79738110231164383</v>
      </c>
      <c r="G123" s="276">
        <f>+'Balance Sheet'!G27</f>
        <v>0.85718359610445216</v>
      </c>
      <c r="H123" s="276">
        <f>+'Balance Sheet'!H27</f>
        <v>0.91798287071917817</v>
      </c>
      <c r="I123" s="276">
        <f>+'Balance Sheet'!I27</f>
        <v>0.97982876519691797</v>
      </c>
      <c r="J123" s="276">
        <f>+'Balance Sheet'!J27</f>
        <v>1.0427736105308221</v>
      </c>
      <c r="K123" s="276">
        <f>+'Balance Sheet'!K27</f>
        <v>1.1068723542636987</v>
      </c>
      <c r="L123" s="276" t="e">
        <f>+'Balance Sheet'!#REF!</f>
        <v>#REF!</v>
      </c>
      <c r="M123" s="276" t="e">
        <f>+'Balance Sheet'!#REF!</f>
        <v>#REF!</v>
      </c>
    </row>
    <row r="124" spans="2:13" x14ac:dyDescent="0.25">
      <c r="B124" s="235" t="s">
        <v>379</v>
      </c>
      <c r="C124" s="235"/>
      <c r="D124" s="275"/>
      <c r="E124" s="276">
        <f>E122-E123</f>
        <v>72.095955649170946</v>
      </c>
      <c r="F124" s="276">
        <f t="shared" ref="F124:M124" si="13">F122-F123</f>
        <v>70.105635864232525</v>
      </c>
      <c r="G124" s="276">
        <f t="shared" si="13"/>
        <v>68.345795074469123</v>
      </c>
      <c r="H124" s="276">
        <f t="shared" si="13"/>
        <v>66.55976096387532</v>
      </c>
      <c r="I124" s="276">
        <f t="shared" si="13"/>
        <v>64.734140546685978</v>
      </c>
      <c r="J124" s="276">
        <f t="shared" si="13"/>
        <v>62.917101564326394</v>
      </c>
      <c r="K124" s="276">
        <f t="shared" si="13"/>
        <v>65.221053669665565</v>
      </c>
      <c r="L124" s="276" t="e">
        <f t="shared" si="13"/>
        <v>#REF!</v>
      </c>
      <c r="M124" s="276" t="e">
        <f t="shared" si="13"/>
        <v>#REF!</v>
      </c>
    </row>
    <row r="125" spans="2:13" x14ac:dyDescent="0.25">
      <c r="B125" s="235" t="s">
        <v>380</v>
      </c>
      <c r="C125" s="235"/>
      <c r="D125" s="275"/>
      <c r="E125" s="276">
        <f>+'Balance Sheet'!E13</f>
        <v>23.7075</v>
      </c>
      <c r="F125" s="276">
        <f>+'Balance Sheet'!F13</f>
        <v>21.107500000000002</v>
      </c>
      <c r="G125" s="276">
        <f>+'Balance Sheet'!G13</f>
        <v>17.907499999999999</v>
      </c>
      <c r="H125" s="276">
        <f>+'Balance Sheet'!H13</f>
        <v>13.907500000000001</v>
      </c>
      <c r="I125" s="276">
        <f>+'Balance Sheet'!I13</f>
        <v>8.9075000000000006</v>
      </c>
      <c r="J125" s="276">
        <f>+'Balance Sheet'!J13</f>
        <v>2.9075000000000002</v>
      </c>
      <c r="K125" s="276">
        <f>+'Balance Sheet'!K13</f>
        <v>0</v>
      </c>
      <c r="L125" s="276" t="e">
        <f>+'Balance Sheet'!#REF!</f>
        <v>#REF!</v>
      </c>
      <c r="M125" s="276" t="e">
        <f>+'Balance Sheet'!#REF!</f>
        <v>#REF!</v>
      </c>
    </row>
    <row r="126" spans="2:13" x14ac:dyDescent="0.25">
      <c r="B126" s="260" t="s">
        <v>381</v>
      </c>
      <c r="C126" s="235"/>
      <c r="D126" s="275"/>
      <c r="E126" s="304">
        <f>E124/E125</f>
        <v>3.0410610840101633</v>
      </c>
      <c r="F126" s="304">
        <f t="shared" ref="F126:M126" si="14">F124/F125</f>
        <v>3.3213614053882514</v>
      </c>
      <c r="G126" s="304">
        <f t="shared" si="14"/>
        <v>3.8166017073555287</v>
      </c>
      <c r="H126" s="304">
        <f t="shared" si="14"/>
        <v>4.7858896972047686</v>
      </c>
      <c r="I126" s="304">
        <f t="shared" si="14"/>
        <v>7.267374745628512</v>
      </c>
      <c r="J126" s="304">
        <f t="shared" si="14"/>
        <v>21.639587812322059</v>
      </c>
      <c r="K126" s="304" t="e">
        <f t="shared" si="14"/>
        <v>#DIV/0!</v>
      </c>
      <c r="L126" s="304" t="e">
        <f t="shared" si="14"/>
        <v>#REF!</v>
      </c>
      <c r="M126" s="304" t="e">
        <f t="shared" si="14"/>
        <v>#REF!</v>
      </c>
    </row>
    <row r="130" spans="2:13" x14ac:dyDescent="0.25">
      <c r="B130" s="264" t="s">
        <v>52</v>
      </c>
    </row>
    <row r="131" spans="2:13" x14ac:dyDescent="0.25">
      <c r="B131" s="273" t="s">
        <v>213</v>
      </c>
      <c r="C131" s="273"/>
      <c r="D131" s="274"/>
      <c r="E131" s="88" t="s">
        <v>57</v>
      </c>
      <c r="F131" s="88" t="s">
        <v>58</v>
      </c>
      <c r="G131" s="88" t="s">
        <v>59</v>
      </c>
      <c r="H131" s="88" t="s">
        <v>60</v>
      </c>
      <c r="I131" s="88" t="s">
        <v>236</v>
      </c>
      <c r="J131" s="88" t="s">
        <v>237</v>
      </c>
      <c r="K131" s="88" t="s">
        <v>238</v>
      </c>
      <c r="L131" s="88" t="s">
        <v>239</v>
      </c>
      <c r="M131" s="88" t="s">
        <v>240</v>
      </c>
    </row>
    <row r="132" spans="2:13" x14ac:dyDescent="0.25">
      <c r="B132" s="235" t="s">
        <v>382</v>
      </c>
      <c r="C132" s="235"/>
      <c r="D132" s="275"/>
      <c r="E132" s="276">
        <f>+'Balance Sheet'!E26</f>
        <v>1.8825138010055302</v>
      </c>
      <c r="F132" s="276">
        <f>+'Balance Sheet'!F26</f>
        <v>3.4457956125628373</v>
      </c>
      <c r="G132" s="276">
        <f>+'Balance Sheet'!G26</f>
        <v>5.0430594000314812</v>
      </c>
      <c r="H132" s="276">
        <f>+'Balance Sheet'!H26</f>
        <v>6.6151266474916461</v>
      </c>
      <c r="I132" s="276">
        <f>+'Balance Sheet'!I26</f>
        <v>8.1486542082192841</v>
      </c>
      <c r="J132" s="276">
        <f>+'Balance Sheet'!J26</f>
        <v>9.6918621546328474</v>
      </c>
      <c r="K132" s="276">
        <f>+'Balance Sheet'!K26</f>
        <v>15.357215087144125</v>
      </c>
      <c r="L132" s="276" t="e">
        <f>+'Balance Sheet'!#REF!</f>
        <v>#REF!</v>
      </c>
      <c r="M132" s="276" t="e">
        <f>+'Balance Sheet'!#REF!</f>
        <v>#REF!</v>
      </c>
    </row>
    <row r="133" spans="2:13" x14ac:dyDescent="0.25">
      <c r="B133" s="235" t="s">
        <v>383</v>
      </c>
      <c r="C133" s="235"/>
      <c r="D133" s="275"/>
      <c r="E133" s="276">
        <f>+'Balance Sheet'!E27</f>
        <v>0.54108158925513694</v>
      </c>
      <c r="F133" s="276">
        <f>+'Balance Sheet'!F27</f>
        <v>0.79738110231164383</v>
      </c>
      <c r="G133" s="276">
        <f>+'Balance Sheet'!G27</f>
        <v>0.85718359610445216</v>
      </c>
      <c r="H133" s="276">
        <f>+'Balance Sheet'!H27</f>
        <v>0.91798287071917817</v>
      </c>
      <c r="I133" s="276">
        <f>+'Balance Sheet'!I27</f>
        <v>0.97982876519691797</v>
      </c>
      <c r="J133" s="276">
        <f>+'Balance Sheet'!J27</f>
        <v>1.0427736105308221</v>
      </c>
      <c r="K133" s="276">
        <f>+'Balance Sheet'!K27</f>
        <v>1.1068723542636987</v>
      </c>
      <c r="L133" s="276" t="e">
        <f>+'Balance Sheet'!#REF!</f>
        <v>#REF!</v>
      </c>
      <c r="M133" s="276" t="e">
        <f>+'Balance Sheet'!#REF!</f>
        <v>#REF!</v>
      </c>
    </row>
    <row r="134" spans="2:13" x14ac:dyDescent="0.25">
      <c r="B134" s="235" t="s">
        <v>12</v>
      </c>
      <c r="C134" s="235"/>
      <c r="D134" s="275"/>
      <c r="E134" s="276">
        <f>+'Balance Sheet'!E13</f>
        <v>23.7075</v>
      </c>
      <c r="F134" s="276">
        <f>+'Balance Sheet'!F13</f>
        <v>21.107500000000002</v>
      </c>
      <c r="G134" s="276">
        <f>+'Balance Sheet'!G13</f>
        <v>17.907499999999999</v>
      </c>
      <c r="H134" s="276">
        <f>+'Balance Sheet'!H13</f>
        <v>13.907500000000001</v>
      </c>
      <c r="I134" s="276">
        <f>+'Balance Sheet'!I13</f>
        <v>8.9075000000000006</v>
      </c>
      <c r="J134" s="276">
        <f>+'Balance Sheet'!J13</f>
        <v>2.9075000000000002</v>
      </c>
      <c r="K134" s="276">
        <f>+'Balance Sheet'!K13</f>
        <v>0</v>
      </c>
      <c r="L134" s="276" t="e">
        <f>+'Balance Sheet'!#REF!</f>
        <v>#REF!</v>
      </c>
      <c r="M134" s="276" t="e">
        <f>+'Balance Sheet'!#REF!</f>
        <v>#REF!</v>
      </c>
    </row>
    <row r="135" spans="2:13" s="292" customFormat="1" x14ac:dyDescent="0.25">
      <c r="B135" s="260" t="s">
        <v>52</v>
      </c>
      <c r="C135" s="260"/>
      <c r="D135" s="299"/>
      <c r="E135" s="304">
        <f t="shared" ref="E135:M135" si="15">E132/E133</f>
        <v>3.4791680929248288</v>
      </c>
      <c r="F135" s="304">
        <f t="shared" si="15"/>
        <v>4.3213911172127357</v>
      </c>
      <c r="G135" s="304">
        <f t="shared" si="15"/>
        <v>5.8832896744059475</v>
      </c>
      <c r="H135" s="304">
        <f t="shared" si="15"/>
        <v>7.2061547753163815</v>
      </c>
      <c r="I135" s="304">
        <f t="shared" si="15"/>
        <v>8.3164063943169033</v>
      </c>
      <c r="J135" s="304">
        <f t="shared" si="15"/>
        <v>9.2943109192216919</v>
      </c>
      <c r="K135" s="304">
        <f t="shared" si="15"/>
        <v>13.874422852813847</v>
      </c>
      <c r="L135" s="304" t="e">
        <f t="shared" si="15"/>
        <v>#REF!</v>
      </c>
      <c r="M135" s="304" t="e">
        <f t="shared" si="15"/>
        <v>#REF!</v>
      </c>
    </row>
    <row r="137" spans="2:13" x14ac:dyDescent="0.25">
      <c r="B137" s="264" t="s">
        <v>384</v>
      </c>
    </row>
    <row r="138" spans="2:13" x14ac:dyDescent="0.25">
      <c r="B138" s="273" t="s">
        <v>213</v>
      </c>
      <c r="C138" s="273"/>
      <c r="D138" s="274"/>
      <c r="E138" s="88" t="s">
        <v>57</v>
      </c>
      <c r="F138" s="88" t="s">
        <v>58</v>
      </c>
      <c r="G138" s="88" t="s">
        <v>59</v>
      </c>
      <c r="H138" s="88" t="s">
        <v>60</v>
      </c>
      <c r="I138" s="88" t="s">
        <v>236</v>
      </c>
      <c r="J138" s="88" t="s">
        <v>237</v>
      </c>
      <c r="K138" s="88" t="s">
        <v>238</v>
      </c>
      <c r="L138" s="88" t="s">
        <v>239</v>
      </c>
      <c r="M138" s="88" t="s">
        <v>240</v>
      </c>
    </row>
    <row r="139" spans="2:13" x14ac:dyDescent="0.25">
      <c r="B139" s="235" t="s">
        <v>385</v>
      </c>
      <c r="C139" s="235"/>
      <c r="D139" s="275"/>
      <c r="E139" s="276">
        <f>+'Balance Sheet'!E23</f>
        <v>1.5420225338822426</v>
      </c>
      <c r="F139" s="276">
        <f>+'Balance Sheet'!F23</f>
        <v>2.9161425303710562</v>
      </c>
      <c r="G139" s="276">
        <f>+'Balance Sheet'!G23</f>
        <v>4.4604410096205225</v>
      </c>
      <c r="H139" s="276">
        <f>+'Balance Sheet'!H23</f>
        <v>5.9795429488615088</v>
      </c>
      <c r="I139" s="276">
        <f>+'Balance Sheet'!I23</f>
        <v>7.4601052013699682</v>
      </c>
      <c r="J139" s="276">
        <f>+'Balance Sheet'!J23</f>
        <v>8.9503478395643548</v>
      </c>
      <c r="K139" s="276">
        <f>+'Balance Sheet'!K23</f>
        <v>14.562735463856454</v>
      </c>
      <c r="L139" s="276" t="e">
        <f>+'Balance Sheet'!#REF!</f>
        <v>#REF!</v>
      </c>
      <c r="M139" s="276" t="e">
        <f>+'Balance Sheet'!#REF!</f>
        <v>#REF!</v>
      </c>
    </row>
    <row r="140" spans="2:13" x14ac:dyDescent="0.25">
      <c r="B140" s="235" t="s">
        <v>383</v>
      </c>
      <c r="C140" s="235"/>
      <c r="D140" s="275"/>
      <c r="E140" s="276">
        <f>+'Balance Sheet'!E15</f>
        <v>0.54108158925513694</v>
      </c>
      <c r="F140" s="276">
        <f>+'Balance Sheet'!F15</f>
        <v>0.79738110231164383</v>
      </c>
      <c r="G140" s="276">
        <f>+'Balance Sheet'!G15</f>
        <v>0.85718359610445216</v>
      </c>
      <c r="H140" s="276">
        <f>+'Balance Sheet'!H15</f>
        <v>0.91798287071917817</v>
      </c>
      <c r="I140" s="276">
        <f>+'Balance Sheet'!I15</f>
        <v>0.97982876519691797</v>
      </c>
      <c r="J140" s="276">
        <f>+'Balance Sheet'!J15</f>
        <v>1.0427736105308221</v>
      </c>
      <c r="K140" s="276">
        <f>+'Balance Sheet'!K15</f>
        <v>1.1068723542636987</v>
      </c>
      <c r="L140" s="276" t="e">
        <f>+'Balance Sheet'!#REF!</f>
        <v>#REF!</v>
      </c>
      <c r="M140" s="276" t="e">
        <f>+'Balance Sheet'!#REF!</f>
        <v>#REF!</v>
      </c>
    </row>
    <row r="141" spans="2:13" s="292" customFormat="1" x14ac:dyDescent="0.25">
      <c r="B141" s="260" t="s">
        <v>384</v>
      </c>
      <c r="C141" s="260"/>
      <c r="D141" s="299"/>
      <c r="E141" s="304">
        <f>E139/E140</f>
        <v>2.8498891193193612</v>
      </c>
      <c r="F141" s="304">
        <f t="shared" ref="F141:M141" si="16">F139/F140</f>
        <v>3.6571502910177172</v>
      </c>
      <c r="G141" s="304">
        <f t="shared" si="16"/>
        <v>5.2036005237284026</v>
      </c>
      <c r="H141" s="304">
        <f t="shared" si="16"/>
        <v>6.5137848859608205</v>
      </c>
      <c r="I141" s="304">
        <f t="shared" si="16"/>
        <v>7.6136825804156683</v>
      </c>
      <c r="J141" s="304">
        <f t="shared" si="16"/>
        <v>8.5832128365889471</v>
      </c>
      <c r="K141" s="304">
        <f t="shared" si="16"/>
        <v>13.156652985107497</v>
      </c>
      <c r="L141" s="304" t="e">
        <f t="shared" si="16"/>
        <v>#REF!</v>
      </c>
      <c r="M141" s="304" t="e">
        <f t="shared" si="16"/>
        <v>#REF!</v>
      </c>
    </row>
    <row r="143" spans="2:13" x14ac:dyDescent="0.25">
      <c r="B143" s="264" t="s">
        <v>422</v>
      </c>
    </row>
    <row r="144" spans="2:13" x14ac:dyDescent="0.25">
      <c r="B144" s="273" t="s">
        <v>213</v>
      </c>
      <c r="C144" s="273"/>
      <c r="D144" s="274"/>
      <c r="E144" s="402" t="s">
        <v>57</v>
      </c>
      <c r="F144" s="402" t="s">
        <v>58</v>
      </c>
      <c r="G144" s="402" t="s">
        <v>59</v>
      </c>
      <c r="H144" s="402" t="s">
        <v>60</v>
      </c>
      <c r="I144" s="402" t="s">
        <v>236</v>
      </c>
      <c r="J144" s="402" t="s">
        <v>237</v>
      </c>
      <c r="K144" s="402" t="s">
        <v>238</v>
      </c>
      <c r="L144" s="88" t="s">
        <v>239</v>
      </c>
      <c r="M144" s="88" t="s">
        <v>240</v>
      </c>
    </row>
    <row r="145" spans="1:13" x14ac:dyDescent="0.25">
      <c r="B145" s="226" t="s">
        <v>446</v>
      </c>
      <c r="E145" s="302">
        <f>+'Proj P&amp;L'!D30</f>
        <v>0.78026814917096976</v>
      </c>
      <c r="F145" s="302">
        <f>+'Proj P&amp;L'!E30</f>
        <v>2.8829302150615601</v>
      </c>
      <c r="G145" s="302">
        <f>+'Proj P&amp;L'!F30</f>
        <v>3.977873411574667</v>
      </c>
      <c r="H145" s="302">
        <f>+'Proj P&amp;L'!G30</f>
        <v>5.0439194069819813</v>
      </c>
      <c r="I145" s="302">
        <f>+'Proj P&amp;L'!H30</f>
        <v>6.0827070567060062</v>
      </c>
      <c r="J145" s="302">
        <f>+'Proj P&amp;L'!I30</f>
        <v>7.0955351353302127</v>
      </c>
      <c r="K145" s="302">
        <f>+'Proj P&amp;L'!J30</f>
        <v>8.0834045827274394</v>
      </c>
      <c r="L145" s="302" t="e">
        <f>+'Proj P&amp;L'!#REF!</f>
        <v>#REF!</v>
      </c>
      <c r="M145" s="302" t="e">
        <f>+'Proj P&amp;L'!#REF!</f>
        <v>#REF!</v>
      </c>
    </row>
    <row r="146" spans="1:13" x14ac:dyDescent="0.25">
      <c r="B146" s="226" t="s">
        <v>447</v>
      </c>
      <c r="E146" s="302">
        <f>+'Balance Sheet'!E12</f>
        <v>18.96845564917097</v>
      </c>
      <c r="F146" s="302">
        <f>+'Balance Sheet'!F12</f>
        <v>19.578135864232529</v>
      </c>
      <c r="G146" s="302">
        <f>+'Balance Sheet'!G12</f>
        <v>21.01829507446913</v>
      </c>
      <c r="H146" s="302">
        <f>+'Balance Sheet'!H12</f>
        <v>23.23226096387533</v>
      </c>
      <c r="I146" s="302">
        <f>+'Balance Sheet'!I12</f>
        <v>26.406640546685992</v>
      </c>
      <c r="J146" s="302">
        <f>+'Balance Sheet'!J12</f>
        <v>30.589601564326415</v>
      </c>
      <c r="K146" s="302">
        <f>+'Balance Sheet'!K12</f>
        <v>35.801053669665578</v>
      </c>
      <c r="L146" s="302" t="e">
        <f>+'Balance Sheet'!#REF!</f>
        <v>#REF!</v>
      </c>
      <c r="M146" s="302" t="e">
        <f>+'Balance Sheet'!#REF!</f>
        <v>#REF!</v>
      </c>
    </row>
    <row r="147" spans="1:13" x14ac:dyDescent="0.25">
      <c r="B147" s="226" t="s">
        <v>448</v>
      </c>
      <c r="E147" s="302">
        <f>+'Balance Sheet'!E13+'Balance Sheet'!E14</f>
        <v>53.127499999999984</v>
      </c>
      <c r="F147" s="302">
        <f>+'Balance Sheet'!F13+'Balance Sheet'!F14</f>
        <v>50.527499999999989</v>
      </c>
      <c r="G147" s="302">
        <f>+'Balance Sheet'!G13+'Balance Sheet'!G14</f>
        <v>47.327499999999986</v>
      </c>
      <c r="H147" s="302">
        <f>+'Balance Sheet'!H13+'Balance Sheet'!H14</f>
        <v>43.327499999999986</v>
      </c>
      <c r="I147" s="302">
        <f>+'Balance Sheet'!I13+'Balance Sheet'!I14</f>
        <v>38.327499999999986</v>
      </c>
      <c r="J147" s="302">
        <f>+'Balance Sheet'!J13+'Balance Sheet'!J14</f>
        <v>32.327499999999986</v>
      </c>
      <c r="K147" s="302">
        <f>+'Balance Sheet'!K13+'Balance Sheet'!K14</f>
        <v>29.419999999999987</v>
      </c>
      <c r="L147" s="302" t="e">
        <f>+'Balance Sheet'!#REF!+'Balance Sheet'!#REF!</f>
        <v>#REF!</v>
      </c>
      <c r="M147" s="302" t="e">
        <f>+'Balance Sheet'!#REF!+'Balance Sheet'!#REF!</f>
        <v>#REF!</v>
      </c>
    </row>
    <row r="148" spans="1:13" x14ac:dyDescent="0.25">
      <c r="B148" s="226" t="s">
        <v>449</v>
      </c>
      <c r="E148" s="302">
        <f>+E146+E147</f>
        <v>72.095955649170946</v>
      </c>
      <c r="F148" s="302">
        <f t="shared" ref="F148:M148" si="17">+F146+F147</f>
        <v>70.105635864232511</v>
      </c>
      <c r="G148" s="302">
        <f t="shared" si="17"/>
        <v>68.345795074469123</v>
      </c>
      <c r="H148" s="302">
        <f t="shared" si="17"/>
        <v>66.55976096387532</v>
      </c>
      <c r="I148" s="302">
        <f t="shared" si="17"/>
        <v>64.734140546685978</v>
      </c>
      <c r="J148" s="302">
        <f t="shared" si="17"/>
        <v>62.917101564326401</v>
      </c>
      <c r="K148" s="302">
        <f t="shared" si="17"/>
        <v>65.221053669665565</v>
      </c>
      <c r="L148" s="302" t="e">
        <f t="shared" si="17"/>
        <v>#REF!</v>
      </c>
      <c r="M148" s="302" t="e">
        <f t="shared" si="17"/>
        <v>#REF!</v>
      </c>
    </row>
    <row r="149" spans="1:13" x14ac:dyDescent="0.25">
      <c r="B149" s="226" t="s">
        <v>422</v>
      </c>
      <c r="E149" s="374">
        <f>+E145/E148</f>
        <v>1.0822634115121023E-2</v>
      </c>
      <c r="F149" s="374">
        <f t="shared" ref="F149:M149" si="18">+F145/F148</f>
        <v>4.1122659819314393E-2</v>
      </c>
      <c r="G149" s="374">
        <f t="shared" si="18"/>
        <v>5.820216748141422E-2</v>
      </c>
      <c r="H149" s="374">
        <f t="shared" si="18"/>
        <v>7.5780311316314991E-2</v>
      </c>
      <c r="I149" s="374">
        <f t="shared" si="18"/>
        <v>9.3964436776899585E-2</v>
      </c>
      <c r="J149" s="374">
        <f t="shared" si="18"/>
        <v>0.11277593784379503</v>
      </c>
      <c r="K149" s="374">
        <f t="shared" si="18"/>
        <v>0.12393857700718267</v>
      </c>
      <c r="L149" s="374" t="e">
        <f t="shared" si="18"/>
        <v>#REF!</v>
      </c>
      <c r="M149" s="374" t="e">
        <f t="shared" si="18"/>
        <v>#REF!</v>
      </c>
    </row>
    <row r="151" spans="1:13" x14ac:dyDescent="0.25">
      <c r="A151" s="226" t="s">
        <v>416</v>
      </c>
      <c r="B151" s="226" t="s">
        <v>377</v>
      </c>
      <c r="E151" s="302">
        <f>+'Balance Sheet'!E24</f>
        <v>72.637037238426089</v>
      </c>
      <c r="F151" s="302">
        <f>+'Balance Sheet'!F24</f>
        <v>70.903016966544172</v>
      </c>
      <c r="G151" s="302">
        <f>+'Balance Sheet'!G24</f>
        <v>69.202978670573572</v>
      </c>
      <c r="H151" s="302">
        <f>+'Balance Sheet'!H24</f>
        <v>67.477743834594492</v>
      </c>
      <c r="I151" s="302">
        <f>+'Balance Sheet'!I24</f>
        <v>65.713969311882892</v>
      </c>
      <c r="J151" s="302">
        <f>+'Balance Sheet'!J24</f>
        <v>63.959875174857217</v>
      </c>
      <c r="K151" s="302">
        <f>+'Balance Sheet'!K24</f>
        <v>66.327926023929265</v>
      </c>
      <c r="L151" s="302" t="e">
        <f>+'Balance Sheet'!#REF!</f>
        <v>#REF!</v>
      </c>
      <c r="M151" s="302" t="e">
        <f>+'Balance Sheet'!#REF!</f>
        <v>#REF!</v>
      </c>
    </row>
    <row r="152" spans="1:13" x14ac:dyDescent="0.25">
      <c r="A152" s="226" t="s">
        <v>417</v>
      </c>
      <c r="B152" s="226" t="s">
        <v>383</v>
      </c>
      <c r="E152" s="302">
        <f>+'Balance Sheet'!E15</f>
        <v>0.54108158925513694</v>
      </c>
      <c r="F152" s="302">
        <f>+'Balance Sheet'!F15</f>
        <v>0.79738110231164383</v>
      </c>
      <c r="G152" s="302">
        <f>+'Balance Sheet'!G15</f>
        <v>0.85718359610445216</v>
      </c>
      <c r="H152" s="302">
        <f>+'Balance Sheet'!H15</f>
        <v>0.91798287071917817</v>
      </c>
      <c r="I152" s="302">
        <f>+'Balance Sheet'!I15</f>
        <v>0.97982876519691797</v>
      </c>
      <c r="J152" s="302">
        <f>+'Balance Sheet'!J15</f>
        <v>1.0427736105308221</v>
      </c>
      <c r="K152" s="302">
        <f>+'Balance Sheet'!K15</f>
        <v>1.1068723542636987</v>
      </c>
      <c r="L152" s="302" t="e">
        <f>+'Balance Sheet'!#REF!</f>
        <v>#REF!</v>
      </c>
      <c r="M152" s="302" t="e">
        <f>+'Balance Sheet'!#REF!</f>
        <v>#REF!</v>
      </c>
    </row>
    <row r="153" spans="1:13" x14ac:dyDescent="0.25">
      <c r="B153" s="226" t="s">
        <v>450</v>
      </c>
      <c r="E153" s="302">
        <f>+E151-E152</f>
        <v>72.095955649170946</v>
      </c>
      <c r="F153" s="302">
        <f t="shared" ref="F153:M153" si="19">+F151-F152</f>
        <v>70.105635864232525</v>
      </c>
      <c r="G153" s="302">
        <f t="shared" si="19"/>
        <v>68.345795074469123</v>
      </c>
      <c r="H153" s="302">
        <f t="shared" si="19"/>
        <v>66.55976096387532</v>
      </c>
      <c r="I153" s="302">
        <f t="shared" si="19"/>
        <v>64.734140546685978</v>
      </c>
      <c r="J153" s="302">
        <f t="shared" si="19"/>
        <v>62.917101564326394</v>
      </c>
      <c r="K153" s="302">
        <f t="shared" si="19"/>
        <v>65.221053669665565</v>
      </c>
      <c r="L153" s="302" t="e">
        <f t="shared" si="19"/>
        <v>#REF!</v>
      </c>
      <c r="M153" s="302" t="e">
        <f t="shared" si="19"/>
        <v>#REF!</v>
      </c>
    </row>
    <row r="154" spans="1:13" x14ac:dyDescent="0.25">
      <c r="B154" s="226" t="s">
        <v>422</v>
      </c>
      <c r="E154" s="374">
        <f>+E145/E153</f>
        <v>1.0822634115121023E-2</v>
      </c>
      <c r="F154" s="374">
        <f t="shared" ref="F154:M154" si="20">+F145/F153</f>
        <v>4.1122659819314379E-2</v>
      </c>
      <c r="G154" s="374">
        <f t="shared" si="20"/>
        <v>5.820216748141422E-2</v>
      </c>
      <c r="H154" s="374">
        <f t="shared" si="20"/>
        <v>7.5780311316314991E-2</v>
      </c>
      <c r="I154" s="374">
        <f t="shared" si="20"/>
        <v>9.3964436776899585E-2</v>
      </c>
      <c r="J154" s="374">
        <f t="shared" si="20"/>
        <v>0.11277593784379504</v>
      </c>
      <c r="K154" s="374">
        <f t="shared" si="20"/>
        <v>0.12393857700718267</v>
      </c>
      <c r="L154" s="374" t="e">
        <f t="shared" si="20"/>
        <v>#REF!</v>
      </c>
      <c r="M154" s="374" t="e">
        <f t="shared" si="20"/>
        <v>#REF!</v>
      </c>
    </row>
  </sheetData>
  <pageMargins left="0.7" right="0.7" top="0.75" bottom="0.75" header="0.3" footer="0.3"/>
  <pageSetup scale="48" orientation="portrait" horizontalDpi="4294967294" verticalDpi="4294967294" r:id="rId1"/>
  <rowBreaks count="1" manualBreakCount="1">
    <brk id="100" max="22" man="1"/>
  </rowBreaks>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96"/>
  <sheetViews>
    <sheetView showGridLines="0" topLeftCell="A41" workbookViewId="0">
      <pane xSplit="5" topLeftCell="F1" activePane="topRight" state="frozen"/>
      <selection activeCell="A37" sqref="A37"/>
      <selection pane="topRight" activeCell="B57" sqref="B57"/>
    </sheetView>
  </sheetViews>
  <sheetFormatPr defaultRowHeight="15" x14ac:dyDescent="0.25"/>
  <cols>
    <col min="1" max="1" width="4.28515625" customWidth="1"/>
    <col min="2" max="2" width="19.140625" customWidth="1"/>
    <col min="3" max="5" width="8.85546875" customWidth="1"/>
    <col min="6" max="12" width="10.85546875" style="47" customWidth="1"/>
    <col min="13" max="17" width="10.85546875" customWidth="1"/>
  </cols>
  <sheetData>
    <row r="2" spans="2:13" ht="15.75" thickBot="1" x14ac:dyDescent="0.3">
      <c r="B2" s="350" t="s">
        <v>156</v>
      </c>
      <c r="C2" s="350"/>
      <c r="D2" s="350"/>
      <c r="E2" s="350"/>
      <c r="F2" s="350"/>
      <c r="G2" s="350"/>
      <c r="H2" s="350"/>
      <c r="I2" s="350"/>
      <c r="J2" s="350"/>
      <c r="K2" s="350"/>
      <c r="L2" s="350"/>
      <c r="M2" s="351" t="s">
        <v>425</v>
      </c>
    </row>
    <row r="3" spans="2:13" ht="15.75" thickBot="1" x14ac:dyDescent="0.3">
      <c r="B3" s="352" t="s">
        <v>426</v>
      </c>
      <c r="C3" s="353"/>
      <c r="D3" s="353"/>
      <c r="E3" s="353"/>
      <c r="F3" s="88" t="s">
        <v>57</v>
      </c>
      <c r="G3" s="88" t="s">
        <v>58</v>
      </c>
      <c r="H3" s="88" t="s">
        <v>59</v>
      </c>
      <c r="I3" s="88" t="s">
        <v>60</v>
      </c>
      <c r="J3" s="88" t="s">
        <v>236</v>
      </c>
      <c r="K3" s="88" t="s">
        <v>237</v>
      </c>
      <c r="L3" s="88" t="s">
        <v>238</v>
      </c>
    </row>
    <row r="4" spans="2:13" x14ac:dyDescent="0.25">
      <c r="B4" s="354" t="s">
        <v>427</v>
      </c>
    </row>
    <row r="5" spans="2:13" x14ac:dyDescent="0.25">
      <c r="B5" s="354" t="s">
        <v>1</v>
      </c>
      <c r="F5" s="47" t="s">
        <v>189</v>
      </c>
    </row>
    <row r="6" spans="2:13" x14ac:dyDescent="0.25">
      <c r="B6" s="355" t="s">
        <v>428</v>
      </c>
      <c r="F6" s="105">
        <f>+'Project Details'!D17</f>
        <v>12.80213859375</v>
      </c>
      <c r="G6" s="105">
        <f>+'Project Details'!E17</f>
        <v>19.914437812500001</v>
      </c>
      <c r="H6" s="105">
        <f>+'Project Details'!F17</f>
        <v>21.905881593749999</v>
      </c>
      <c r="I6" s="105">
        <f>+'Project Details'!G17</f>
        <v>23.897325374999998</v>
      </c>
      <c r="J6" s="105">
        <f>+'Project Details'!H17</f>
        <v>25.88876915625</v>
      </c>
      <c r="K6" s="105">
        <f>+'Project Details'!I17</f>
        <v>27.880212937499998</v>
      </c>
      <c r="L6" s="105">
        <f>+'Project Details'!J17</f>
        <v>29.871656718750003</v>
      </c>
    </row>
    <row r="7" spans="2:13" x14ac:dyDescent="0.25">
      <c r="B7" s="355" t="s">
        <v>163</v>
      </c>
      <c r="F7" s="107">
        <f>+'Project Details'!D6</f>
        <v>0.45</v>
      </c>
      <c r="G7" s="107">
        <f>+'Project Details'!E6</f>
        <v>0.5</v>
      </c>
      <c r="H7" s="107">
        <f>+'Project Details'!F6</f>
        <v>0.55000000000000004</v>
      </c>
      <c r="I7" s="107">
        <f>+'Project Details'!G6</f>
        <v>0.6</v>
      </c>
      <c r="J7" s="107">
        <f>+'Project Details'!H6</f>
        <v>0.65</v>
      </c>
      <c r="K7" s="107">
        <f>+'Project Details'!I6</f>
        <v>0.7</v>
      </c>
      <c r="L7" s="107">
        <f>+'Project Details'!J6</f>
        <v>0.75</v>
      </c>
    </row>
    <row r="8" spans="2:13" x14ac:dyDescent="0.25">
      <c r="B8" s="356"/>
      <c r="F8" s="105"/>
      <c r="G8" s="105"/>
      <c r="H8" s="105"/>
      <c r="I8" s="105"/>
      <c r="J8" s="105"/>
      <c r="K8" s="105"/>
      <c r="L8" s="105"/>
    </row>
    <row r="9" spans="2:13" x14ac:dyDescent="0.25">
      <c r="B9" s="357" t="s">
        <v>429</v>
      </c>
      <c r="F9" s="105"/>
      <c r="G9" s="105"/>
      <c r="H9" s="105"/>
      <c r="I9" s="105"/>
      <c r="J9" s="105"/>
      <c r="K9" s="105"/>
      <c r="L9" s="105"/>
    </row>
    <row r="10" spans="2:13" ht="24" customHeight="1" x14ac:dyDescent="0.25">
      <c r="B10" s="370" t="s">
        <v>411</v>
      </c>
      <c r="C10" s="368"/>
      <c r="D10" s="368"/>
      <c r="E10" s="368"/>
      <c r="F10" s="105">
        <f>+'Project Details'!D21</f>
        <v>2.4527812499999997</v>
      </c>
      <c r="G10" s="105">
        <f>+'Project Details'!E21</f>
        <v>3.8154374999999998</v>
      </c>
      <c r="H10" s="105">
        <f>+'Project Details'!F21</f>
        <v>4.1969812500000003</v>
      </c>
      <c r="I10" s="105">
        <f>+'Project Details'!G21</f>
        <v>4.578525</v>
      </c>
      <c r="J10" s="105">
        <f>+'Project Details'!H21</f>
        <v>4.9600687500000005</v>
      </c>
      <c r="K10" s="105">
        <f>+'Project Details'!I21</f>
        <v>5.3416125000000001</v>
      </c>
      <c r="L10" s="105">
        <f>+'Project Details'!J21</f>
        <v>5.7231562499999997</v>
      </c>
    </row>
    <row r="11" spans="2:13" ht="15" customHeight="1" x14ac:dyDescent="0.25">
      <c r="B11" s="370" t="s">
        <v>348</v>
      </c>
      <c r="C11" s="368"/>
      <c r="D11" s="368"/>
      <c r="E11" s="368"/>
      <c r="F11" s="105">
        <f>+'Project Details'!D22</f>
        <v>0.4427166796875</v>
      </c>
      <c r="G11" s="105">
        <f>+'Project Details'!E22</f>
        <v>0.68867039062500002</v>
      </c>
      <c r="H11" s="105">
        <f>+'Project Details'!F22</f>
        <v>0.75753742968750015</v>
      </c>
      <c r="I11" s="105">
        <f>+'Project Details'!G22</f>
        <v>0.82640446875000007</v>
      </c>
      <c r="J11" s="105">
        <f>+'Project Details'!H22</f>
        <v>0.89527150781250009</v>
      </c>
      <c r="K11" s="105">
        <f>+'Project Details'!I22</f>
        <v>0.964138546875</v>
      </c>
      <c r="L11" s="105">
        <f>+'Project Details'!J22</f>
        <v>1.0330055859375</v>
      </c>
    </row>
    <row r="12" spans="2:13" ht="15" customHeight="1" x14ac:dyDescent="0.25">
      <c r="B12" s="370" t="s">
        <v>128</v>
      </c>
      <c r="C12" s="368"/>
      <c r="D12" s="368"/>
      <c r="E12" s="368"/>
      <c r="F12" s="105">
        <f>+'Project Details'!D23</f>
        <v>0.22266140625</v>
      </c>
      <c r="G12" s="105">
        <f>+'Project Details'!E23</f>
        <v>0.34636218750000003</v>
      </c>
      <c r="H12" s="105">
        <f>+'Project Details'!F23</f>
        <v>0.38099840625000009</v>
      </c>
      <c r="I12" s="105">
        <f>+'Project Details'!G23</f>
        <v>0.41563462500000004</v>
      </c>
      <c r="J12" s="105">
        <f>+'Project Details'!H23</f>
        <v>0.45027084375000004</v>
      </c>
      <c r="K12" s="105">
        <f>+'Project Details'!I23</f>
        <v>0.48490706249999993</v>
      </c>
      <c r="L12" s="105">
        <f>+'Project Details'!J23</f>
        <v>0.51954328124999993</v>
      </c>
    </row>
    <row r="13" spans="2:13" x14ac:dyDescent="0.25">
      <c r="B13" s="65" t="s">
        <v>49</v>
      </c>
      <c r="F13" s="105">
        <f>+'Project Details'!D27</f>
        <v>0.12802138593750001</v>
      </c>
      <c r="G13" s="105">
        <f>+'Project Details'!E27</f>
        <v>0.19914437812500002</v>
      </c>
      <c r="H13" s="105">
        <f>+'Project Details'!F27</f>
        <v>0.21905881593749998</v>
      </c>
      <c r="I13" s="105">
        <f>+'Project Details'!G27</f>
        <v>0.23897325374999998</v>
      </c>
      <c r="J13" s="105">
        <f>+'Project Details'!H27</f>
        <v>0.25888769156250002</v>
      </c>
      <c r="K13" s="105">
        <f>+'Project Details'!I27</f>
        <v>0.27880212937499999</v>
      </c>
      <c r="L13" s="105">
        <f>+'Project Details'!J27</f>
        <v>0.29871656718750006</v>
      </c>
    </row>
    <row r="14" spans="2:13" x14ac:dyDescent="0.25">
      <c r="B14" s="65" t="s">
        <v>28</v>
      </c>
      <c r="F14" s="105">
        <f>+'Project Details'!D28</f>
        <v>0.44803446728554414</v>
      </c>
      <c r="G14" s="105">
        <f>+'Project Details'!E28</f>
        <v>0.52278488199960282</v>
      </c>
      <c r="H14" s="105">
        <f>+'Project Details'!F28</f>
        <v>0.45787838686805005</v>
      </c>
      <c r="I14" s="105">
        <f>+'Project Details'!G28</f>
        <v>0.40135674228939139</v>
      </c>
      <c r="J14" s="105">
        <f>+'Project Details'!H28</f>
        <v>0.35209733305237662</v>
      </c>
      <c r="K14" s="105">
        <f>+'Project Details'!I28</f>
        <v>0.30913242499027471</v>
      </c>
      <c r="L14" s="105">
        <f>+'Project Details'!J28</f>
        <v>0.27162728394791263</v>
      </c>
    </row>
    <row r="15" spans="2:13" x14ac:dyDescent="0.25">
      <c r="B15" s="65" t="s">
        <v>48</v>
      </c>
      <c r="F15" s="105">
        <f>+'Project Details'!D26</f>
        <v>0.76812831562499995</v>
      </c>
      <c r="G15" s="105">
        <f>+'Project Details'!E26</f>
        <v>1.19486626875</v>
      </c>
      <c r="H15" s="105">
        <f>+'Project Details'!F26</f>
        <v>1.3143528956249999</v>
      </c>
      <c r="I15" s="105">
        <f>+'Project Details'!G26</f>
        <v>1.4338395224999998</v>
      </c>
      <c r="J15" s="105">
        <f>+'Project Details'!H26</f>
        <v>1.5533261493749999</v>
      </c>
      <c r="K15" s="105">
        <f>+'Project Details'!I26</f>
        <v>1.6728127762499998</v>
      </c>
      <c r="L15" s="105">
        <f>+'Project Details'!J26</f>
        <v>1.7922994031250001</v>
      </c>
    </row>
    <row r="16" spans="2:13" x14ac:dyDescent="0.25">
      <c r="F16" s="105"/>
      <c r="G16" s="105"/>
      <c r="H16" s="105"/>
      <c r="I16" s="105"/>
      <c r="J16" s="105"/>
      <c r="K16" s="105"/>
      <c r="L16" s="105"/>
    </row>
    <row r="17" spans="2:12" x14ac:dyDescent="0.25">
      <c r="F17" s="105"/>
      <c r="G17" s="105"/>
      <c r="H17" s="105"/>
      <c r="I17" s="105"/>
      <c r="J17" s="105"/>
      <c r="K17" s="105"/>
      <c r="L17" s="105"/>
    </row>
    <row r="18" spans="2:12" x14ac:dyDescent="0.25">
      <c r="F18" s="105"/>
      <c r="G18" s="105"/>
      <c r="H18" s="105"/>
      <c r="I18" s="105"/>
      <c r="J18" s="105"/>
      <c r="K18" s="105"/>
      <c r="L18" s="105"/>
    </row>
    <row r="19" spans="2:12" x14ac:dyDescent="0.25">
      <c r="B19" s="358" t="s">
        <v>430</v>
      </c>
      <c r="C19" s="359"/>
      <c r="D19" s="359"/>
      <c r="E19" s="359"/>
      <c r="F19" s="360">
        <f>SUM(F10:F18)</f>
        <v>4.4623435047855438</v>
      </c>
      <c r="G19" s="360">
        <f t="shared" ref="G19:L19" si="0">SUM(G10:G18)</f>
        <v>6.7672656069996027</v>
      </c>
      <c r="H19" s="360">
        <f t="shared" si="0"/>
        <v>7.3268071843680502</v>
      </c>
      <c r="I19" s="360">
        <f t="shared" si="0"/>
        <v>7.8947336122893912</v>
      </c>
      <c r="J19" s="360">
        <f t="shared" si="0"/>
        <v>8.4699222755523778</v>
      </c>
      <c r="K19" s="360">
        <f t="shared" si="0"/>
        <v>9.0514054399902744</v>
      </c>
      <c r="L19" s="360">
        <f t="shared" si="0"/>
        <v>9.638348371447913</v>
      </c>
    </row>
    <row r="20" spans="2:12" x14ac:dyDescent="0.25">
      <c r="B20" s="361" t="s">
        <v>431</v>
      </c>
      <c r="F20" s="105"/>
      <c r="G20" s="105"/>
      <c r="H20" s="105"/>
      <c r="I20" s="105"/>
      <c r="J20" s="105"/>
      <c r="K20" s="105"/>
      <c r="L20" s="105"/>
    </row>
    <row r="21" spans="2:12" x14ac:dyDescent="0.25">
      <c r="B21" s="65" t="s">
        <v>29</v>
      </c>
      <c r="F21" s="105">
        <f>+'Project Details'!D29</f>
        <v>0.59737928971405885</v>
      </c>
      <c r="G21" s="105">
        <f>+'Project Details'!E29</f>
        <v>0.52278488199960282</v>
      </c>
      <c r="H21" s="105">
        <f>+'Project Details'!F29</f>
        <v>0.45787838686805005</v>
      </c>
      <c r="I21" s="105">
        <f>+'Project Details'!G29</f>
        <v>0.40135674228939139</v>
      </c>
      <c r="J21" s="105">
        <f>+'Project Details'!H29</f>
        <v>0.35209733305237662</v>
      </c>
      <c r="K21" s="105">
        <f>+'Project Details'!I29</f>
        <v>0.30913242499027471</v>
      </c>
      <c r="L21" s="105">
        <f>+'Project Details'!J29</f>
        <v>0.27162728394791263</v>
      </c>
    </row>
    <row r="22" spans="2:12" x14ac:dyDescent="0.25">
      <c r="B22" s="371" t="s">
        <v>412</v>
      </c>
      <c r="F22" s="105">
        <f>+'Project Details'!D24</f>
        <v>3.4649999999999999</v>
      </c>
      <c r="G22" s="105">
        <f>+'Project Details'!E24</f>
        <v>4.8510000000000009</v>
      </c>
      <c r="H22" s="105">
        <f>+'Project Details'!F24</f>
        <v>5.0935500000000014</v>
      </c>
      <c r="I22" s="105">
        <f>+'Project Details'!G24</f>
        <v>5.3482275000000019</v>
      </c>
      <c r="J22" s="105">
        <f>+'Project Details'!H24</f>
        <v>5.6156388750000019</v>
      </c>
      <c r="K22" s="105">
        <f>+'Project Details'!I24</f>
        <v>5.896420818750002</v>
      </c>
      <c r="L22" s="105">
        <f>+'Project Details'!J24</f>
        <v>6.1912418596875023</v>
      </c>
    </row>
    <row r="23" spans="2:12" x14ac:dyDescent="0.25">
      <c r="B23" s="371" t="s">
        <v>47</v>
      </c>
      <c r="F23" s="105">
        <f>+'Project Details'!D25</f>
        <v>1.0241710875000001</v>
      </c>
      <c r="G23" s="105">
        <f>+'Project Details'!E25</f>
        <v>1.5931550250000002</v>
      </c>
      <c r="H23" s="105">
        <f>+'Project Details'!F25</f>
        <v>1.7524705274999999</v>
      </c>
      <c r="I23" s="105">
        <f>+'Project Details'!G25</f>
        <v>1.9117860299999998</v>
      </c>
      <c r="J23" s="105">
        <f>+'Project Details'!H25</f>
        <v>2.0711015325000002</v>
      </c>
      <c r="K23" s="105">
        <f>+'Project Details'!I25</f>
        <v>2.2304170349999999</v>
      </c>
      <c r="L23" s="105">
        <f>+'Project Details'!J25</f>
        <v>2.3897325375000005</v>
      </c>
    </row>
    <row r="24" spans="2:12" x14ac:dyDescent="0.25">
      <c r="B24" s="65" t="s">
        <v>46</v>
      </c>
      <c r="F24" s="105">
        <f>+'Project Details'!D37</f>
        <v>1.8118124999999998</v>
      </c>
      <c r="G24" s="105">
        <f>+'Project Details'!E37</f>
        <v>2.27325</v>
      </c>
      <c r="H24" s="105">
        <f>+'Project Details'!F37</f>
        <v>1.9907499999999998</v>
      </c>
      <c r="I24" s="105">
        <f>+'Project Details'!G37</f>
        <v>1.6407500000000004</v>
      </c>
      <c r="J24" s="105">
        <f>+'Project Details'!H37</f>
        <v>1.2032499999999999</v>
      </c>
      <c r="K24" s="105">
        <f>+'Project Details'!I37</f>
        <v>0.66575000000000006</v>
      </c>
      <c r="L24" s="105">
        <f>+'Project Details'!J37</f>
        <v>7.2687500000000002E-2</v>
      </c>
    </row>
    <row r="25" spans="2:12" x14ac:dyDescent="0.25">
      <c r="B25" s="65" t="s">
        <v>20</v>
      </c>
      <c r="F25" s="105">
        <f>+'Project Details'!D40</f>
        <v>2.472976562579428</v>
      </c>
      <c r="G25" s="105">
        <f>+'Project Details'!E40</f>
        <v>3.2973020834392375</v>
      </c>
      <c r="H25" s="105">
        <f>+'Project Details'!F40</f>
        <v>3.2973020834392375</v>
      </c>
      <c r="I25" s="105">
        <f>+'Project Details'!G40</f>
        <v>3.2973020834392375</v>
      </c>
      <c r="J25" s="105">
        <f>+'Project Details'!H40</f>
        <v>3.2973020834392375</v>
      </c>
      <c r="K25" s="105">
        <f>+'Project Details'!I40</f>
        <v>3.2973020834392375</v>
      </c>
      <c r="L25" s="105">
        <f>+'Project Details'!J40</f>
        <v>3.2973020834392375</v>
      </c>
    </row>
    <row r="26" spans="2:12" x14ac:dyDescent="0.25">
      <c r="B26" s="358" t="s">
        <v>432</v>
      </c>
      <c r="C26" s="359"/>
      <c r="D26" s="359"/>
      <c r="E26" s="359"/>
      <c r="F26" s="360">
        <f t="shared" ref="F26:L26" si="1">SUM(F21:F25)</f>
        <v>9.3713394397934859</v>
      </c>
      <c r="G26" s="360">
        <f t="shared" si="1"/>
        <v>12.537491990438841</v>
      </c>
      <c r="H26" s="360">
        <f t="shared" si="1"/>
        <v>12.59195099780729</v>
      </c>
      <c r="I26" s="360">
        <f t="shared" si="1"/>
        <v>12.599422355728631</v>
      </c>
      <c r="J26" s="360">
        <f t="shared" si="1"/>
        <v>12.539389823991616</v>
      </c>
      <c r="K26" s="360">
        <f t="shared" si="1"/>
        <v>12.399022362179515</v>
      </c>
      <c r="L26" s="360">
        <f t="shared" si="1"/>
        <v>12.222591264574653</v>
      </c>
    </row>
    <row r="27" spans="2:12" x14ac:dyDescent="0.25">
      <c r="B27" s="362"/>
      <c r="C27" s="363"/>
      <c r="D27" s="363"/>
      <c r="E27" s="363"/>
      <c r="F27" s="364">
        <f t="shared" ref="F27:L27" si="2">+F19+F26</f>
        <v>13.83368294457903</v>
      </c>
      <c r="G27" s="364">
        <f t="shared" si="2"/>
        <v>19.304757597438446</v>
      </c>
      <c r="H27" s="364">
        <f t="shared" si="2"/>
        <v>19.918758182175338</v>
      </c>
      <c r="I27" s="364">
        <f t="shared" si="2"/>
        <v>20.494155968018021</v>
      </c>
      <c r="J27" s="364">
        <f t="shared" si="2"/>
        <v>21.009312099543994</v>
      </c>
      <c r="K27" s="364">
        <f t="shared" si="2"/>
        <v>21.450427802169791</v>
      </c>
      <c r="L27" s="364">
        <f t="shared" si="2"/>
        <v>21.860939636022565</v>
      </c>
    </row>
    <row r="28" spans="2:12" x14ac:dyDescent="0.25">
      <c r="B28" s="362" t="s">
        <v>467</v>
      </c>
      <c r="F28" s="365">
        <f>+F29/F6</f>
        <v>0.65143765066220582</v>
      </c>
      <c r="G28" s="365">
        <f t="shared" ref="G28:L28" si="3">+G29/G6</f>
        <v>0.66018294512176035</v>
      </c>
      <c r="H28" s="365">
        <f t="shared" si="3"/>
        <v>0.66553242091573828</v>
      </c>
      <c r="I28" s="365">
        <f t="shared" si="3"/>
        <v>0.66963944757816274</v>
      </c>
      <c r="J28" s="365">
        <f t="shared" si="3"/>
        <v>0.67283410715925862</v>
      </c>
      <c r="K28" s="365">
        <f t="shared" si="3"/>
        <v>0.67534661732027967</v>
      </c>
      <c r="L28" s="365">
        <f t="shared" si="3"/>
        <v>0.67734135196465151</v>
      </c>
    </row>
    <row r="29" spans="2:12" x14ac:dyDescent="0.25">
      <c r="B29" s="362" t="s">
        <v>433</v>
      </c>
      <c r="C29" s="363"/>
      <c r="D29" s="363"/>
      <c r="E29" s="363"/>
      <c r="F29" s="360">
        <f>+F6-F19</f>
        <v>8.3397950889644559</v>
      </c>
      <c r="G29" s="360">
        <f t="shared" ref="G29:L29" si="4">+G6-G19</f>
        <v>13.147172205500398</v>
      </c>
      <c r="H29" s="360">
        <f t="shared" si="4"/>
        <v>14.579074409381949</v>
      </c>
      <c r="I29" s="360">
        <f t="shared" si="4"/>
        <v>16.002591762710608</v>
      </c>
      <c r="J29" s="360">
        <f t="shared" si="4"/>
        <v>17.418846880697622</v>
      </c>
      <c r="K29" s="360">
        <f t="shared" si="4"/>
        <v>18.828807497509722</v>
      </c>
      <c r="L29" s="360">
        <f t="shared" si="4"/>
        <v>20.233308347302092</v>
      </c>
    </row>
    <row r="30" spans="2:12" x14ac:dyDescent="0.25">
      <c r="B30" t="s">
        <v>434</v>
      </c>
      <c r="D30" s="372" t="s">
        <v>435</v>
      </c>
      <c r="F30" s="365">
        <f>F29/F6</f>
        <v>0.65143765066220582</v>
      </c>
      <c r="G30" s="365">
        <f t="shared" ref="G30:L30" si="5">G29/G6</f>
        <v>0.66018294512176035</v>
      </c>
      <c r="H30" s="365">
        <f t="shared" si="5"/>
        <v>0.66553242091573828</v>
      </c>
      <c r="I30" s="365">
        <f t="shared" si="5"/>
        <v>0.66963944757816274</v>
      </c>
      <c r="J30" s="365">
        <f t="shared" si="5"/>
        <v>0.67283410715925862</v>
      </c>
      <c r="K30" s="365">
        <f t="shared" si="5"/>
        <v>0.67534661732027967</v>
      </c>
      <c r="L30" s="365">
        <f t="shared" si="5"/>
        <v>0.67734135196465151</v>
      </c>
    </row>
    <row r="31" spans="2:12" x14ac:dyDescent="0.25">
      <c r="B31" s="373" t="s">
        <v>436</v>
      </c>
      <c r="C31" s="373"/>
      <c r="D31" s="373"/>
      <c r="F31" s="105">
        <f>F26/F30</f>
        <v>14.385627588867852</v>
      </c>
      <c r="G31" s="105">
        <f t="shared" ref="G31:L31" si="6">G26/G30</f>
        <v>18.990935895998494</v>
      </c>
      <c r="H31" s="105">
        <f t="shared" si="6"/>
        <v>18.920116589483971</v>
      </c>
      <c r="I31" s="105">
        <f t="shared" si="6"/>
        <v>18.815233184508564</v>
      </c>
      <c r="J31" s="105">
        <f t="shared" si="6"/>
        <v>18.636673870374359</v>
      </c>
      <c r="K31" s="105">
        <f t="shared" si="6"/>
        <v>18.359494286619551</v>
      </c>
      <c r="L31" s="105">
        <f t="shared" si="6"/>
        <v>18.044950642866574</v>
      </c>
    </row>
    <row r="32" spans="2:12" x14ac:dyDescent="0.25">
      <c r="B32" s="359" t="s">
        <v>437</v>
      </c>
      <c r="C32" s="359"/>
      <c r="D32" s="359"/>
      <c r="E32" s="359"/>
      <c r="F32" s="366">
        <f>F31/F6</f>
        <v>1.1236894120089367</v>
      </c>
      <c r="G32" s="366">
        <f t="shared" ref="G32:L32" si="7">G31/G6</f>
        <v>0.95362651332683668</v>
      </c>
      <c r="H32" s="366">
        <f t="shared" si="7"/>
        <v>0.86370030388925767</v>
      </c>
      <c r="I32" s="366">
        <f t="shared" si="7"/>
        <v>0.78733636041931176</v>
      </c>
      <c r="J32" s="366">
        <f t="shared" si="7"/>
        <v>0.71987485221463843</v>
      </c>
      <c r="K32" s="366">
        <f t="shared" si="7"/>
        <v>0.65851341694472132</v>
      </c>
      <c r="L32" s="366">
        <f t="shared" si="7"/>
        <v>0.60408268656689612</v>
      </c>
    </row>
    <row r="35" spans="2:11" x14ac:dyDescent="0.25">
      <c r="B35" s="420" t="s">
        <v>438</v>
      </c>
      <c r="C35" s="421"/>
      <c r="D35" s="421"/>
      <c r="E35" s="421"/>
      <c r="F35" s="421"/>
      <c r="G35" s="421"/>
      <c r="H35" s="421"/>
      <c r="I35" s="421"/>
      <c r="J35" s="422"/>
      <c r="K35" s="218" t="s">
        <v>151</v>
      </c>
    </row>
    <row r="36" spans="2:11" x14ac:dyDescent="0.25">
      <c r="B36" s="423" t="s">
        <v>439</v>
      </c>
      <c r="C36" s="423"/>
      <c r="D36" s="423"/>
      <c r="E36" s="423"/>
      <c r="F36" s="423"/>
      <c r="G36" s="423"/>
      <c r="H36" s="423"/>
      <c r="I36" s="423"/>
      <c r="J36" s="423"/>
      <c r="K36" s="367">
        <f>+'Ratio Analysis'!D100</f>
        <v>1.4110611987869683</v>
      </c>
    </row>
    <row r="37" spans="2:11" x14ac:dyDescent="0.25">
      <c r="B37" s="424" t="s">
        <v>470</v>
      </c>
      <c r="C37" s="424"/>
      <c r="D37" s="424"/>
      <c r="E37" s="424"/>
      <c r="F37" s="424"/>
      <c r="G37" s="424"/>
      <c r="H37" s="424"/>
      <c r="I37" s="424"/>
      <c r="J37" s="424"/>
      <c r="K37" s="405">
        <f>+D55</f>
        <v>1.2550628149232952</v>
      </c>
    </row>
    <row r="38" spans="2:11" x14ac:dyDescent="0.25">
      <c r="B38" s="424" t="s">
        <v>479</v>
      </c>
      <c r="C38" s="424"/>
      <c r="D38" s="424"/>
      <c r="E38" s="424"/>
      <c r="F38" s="424"/>
      <c r="G38" s="424"/>
      <c r="H38" s="424"/>
      <c r="I38" s="424"/>
      <c r="J38" s="424"/>
      <c r="K38" s="405">
        <f>+D68</f>
        <v>1.2192447556354782</v>
      </c>
    </row>
    <row r="39" spans="2:11" x14ac:dyDescent="0.25">
      <c r="B39" s="424" t="s">
        <v>440</v>
      </c>
      <c r="C39" s="424"/>
      <c r="D39" s="424"/>
      <c r="E39" s="424"/>
      <c r="F39" s="424"/>
      <c r="G39" s="424"/>
      <c r="H39" s="424"/>
      <c r="I39" s="424"/>
      <c r="J39" s="424"/>
      <c r="K39" s="405">
        <f>+D82</f>
        <v>1.2543930853091769</v>
      </c>
    </row>
    <row r="40" spans="2:11" x14ac:dyDescent="0.25">
      <c r="B40" s="417" t="s">
        <v>457</v>
      </c>
      <c r="C40" s="418"/>
      <c r="D40" s="418"/>
      <c r="E40" s="418"/>
      <c r="F40" s="418"/>
      <c r="G40" s="418"/>
      <c r="H40" s="418"/>
      <c r="I40" s="418"/>
      <c r="J40" s="419"/>
      <c r="K40" s="405">
        <f>+D96</f>
        <v>1.3815817892341113</v>
      </c>
    </row>
    <row r="44" spans="2:11" x14ac:dyDescent="0.25">
      <c r="B44" s="1" t="s">
        <v>470</v>
      </c>
    </row>
    <row r="45" spans="2:11" x14ac:dyDescent="0.25">
      <c r="B45" s="273" t="s">
        <v>213</v>
      </c>
      <c r="C45" s="273"/>
      <c r="D45" s="274"/>
      <c r="E45" s="88" t="s">
        <v>57</v>
      </c>
      <c r="F45" s="88" t="s">
        <v>58</v>
      </c>
      <c r="G45" s="88" t="s">
        <v>59</v>
      </c>
      <c r="H45" s="88" t="s">
        <v>60</v>
      </c>
      <c r="I45" s="88" t="s">
        <v>236</v>
      </c>
      <c r="J45" s="88" t="s">
        <v>237</v>
      </c>
      <c r="K45" s="88" t="s">
        <v>238</v>
      </c>
    </row>
    <row r="46" spans="2:11" x14ac:dyDescent="0.25">
      <c r="B46" s="235" t="s">
        <v>359</v>
      </c>
      <c r="C46" s="235"/>
      <c r="D46" s="276"/>
      <c r="E46" s="276">
        <v>-1.8941730695790291</v>
      </c>
      <c r="F46" s="276">
        <v>-0.59799999118843994</v>
      </c>
      <c r="G46" s="276">
        <v>1.3779395260105989</v>
      </c>
      <c r="H46" s="276">
        <v>1.4282974544281979</v>
      </c>
      <c r="I46" s="276">
        <v>2.3887111478326606</v>
      </c>
      <c r="J46" s="276">
        <v>3.3972925826624203</v>
      </c>
      <c r="K46" s="276">
        <v>4.4257836703611613</v>
      </c>
    </row>
    <row r="47" spans="2:11" x14ac:dyDescent="0.25">
      <c r="B47" s="235" t="s">
        <v>360</v>
      </c>
      <c r="C47" s="235"/>
      <c r="D47" s="276"/>
      <c r="E47" s="276">
        <v>2.472976562579428</v>
      </c>
      <c r="F47" s="276">
        <v>3.2973020834392375</v>
      </c>
      <c r="G47" s="276">
        <v>3.2973020834392375</v>
      </c>
      <c r="H47" s="276">
        <v>3.2973020834392375</v>
      </c>
      <c r="I47" s="276">
        <v>3.2973020834392375</v>
      </c>
      <c r="J47" s="276">
        <v>3.2973020834392375</v>
      </c>
      <c r="K47" s="276">
        <v>3.2973020834392375</v>
      </c>
    </row>
    <row r="48" spans="2:11" x14ac:dyDescent="0.25">
      <c r="B48" s="235" t="s">
        <v>361</v>
      </c>
      <c r="C48" s="235"/>
      <c r="D48" s="276"/>
      <c r="E48" s="276">
        <v>1.8118124999999998</v>
      </c>
      <c r="F48" s="276">
        <v>2.27325</v>
      </c>
      <c r="G48" s="276">
        <v>1.9907499999999998</v>
      </c>
      <c r="H48" s="276">
        <v>1.6407500000000004</v>
      </c>
      <c r="I48" s="276">
        <v>1.2032499999999999</v>
      </c>
      <c r="J48" s="276">
        <v>0.66575000000000006</v>
      </c>
      <c r="K48" s="276">
        <v>7.2687500000000002E-2</v>
      </c>
    </row>
    <row r="49" spans="2:11" ht="45" x14ac:dyDescent="0.25">
      <c r="B49" s="293" t="s">
        <v>386</v>
      </c>
      <c r="C49" s="235"/>
      <c r="D49" s="276"/>
      <c r="E49" s="276">
        <v>0</v>
      </c>
      <c r="F49" s="276">
        <v>0</v>
      </c>
      <c r="G49" s="276">
        <v>0</v>
      </c>
      <c r="H49" s="276">
        <v>0</v>
      </c>
      <c r="I49" s="276">
        <v>0</v>
      </c>
      <c r="J49" s="276">
        <v>0</v>
      </c>
      <c r="K49" s="276">
        <v>0</v>
      </c>
    </row>
    <row r="50" spans="2:11" x14ac:dyDescent="0.25">
      <c r="B50" s="278" t="s">
        <v>459</v>
      </c>
      <c r="C50" s="278"/>
      <c r="D50" s="294"/>
      <c r="E50" s="294">
        <v>2.3906159930003987</v>
      </c>
      <c r="F50" s="294">
        <v>4.9725520922507975</v>
      </c>
      <c r="G50" s="294">
        <v>6.6659916094498364</v>
      </c>
      <c r="H50" s="294">
        <v>6.3663495378674355</v>
      </c>
      <c r="I50" s="294">
        <v>6.8892632312718982</v>
      </c>
      <c r="J50" s="294">
        <v>7.3603446661016578</v>
      </c>
      <c r="K50" s="294">
        <v>7.795773253800399</v>
      </c>
    </row>
    <row r="51" spans="2:11" x14ac:dyDescent="0.25">
      <c r="B51" s="235" t="s">
        <v>45</v>
      </c>
      <c r="C51" s="235"/>
      <c r="D51" s="276"/>
      <c r="E51" s="276">
        <v>0.45</v>
      </c>
      <c r="F51" s="276">
        <v>2.6</v>
      </c>
      <c r="G51" s="276">
        <v>3.2</v>
      </c>
      <c r="H51" s="276">
        <v>4</v>
      </c>
      <c r="I51" s="276">
        <v>5</v>
      </c>
      <c r="J51" s="276">
        <v>6</v>
      </c>
      <c r="K51" s="276">
        <v>2.9075000000000002</v>
      </c>
    </row>
    <row r="52" spans="2:11" x14ac:dyDescent="0.25">
      <c r="B52" s="235" t="s">
        <v>46</v>
      </c>
      <c r="C52" s="235"/>
      <c r="D52" s="276"/>
      <c r="E52" s="276">
        <v>1.8118124999999998</v>
      </c>
      <c r="F52" s="276">
        <v>2.27325</v>
      </c>
      <c r="G52" s="276">
        <v>1.9907499999999998</v>
      </c>
      <c r="H52" s="276">
        <v>1.6407500000000004</v>
      </c>
      <c r="I52" s="276">
        <v>1.2032499999999999</v>
      </c>
      <c r="J52" s="276">
        <v>0.66575000000000006</v>
      </c>
      <c r="K52" s="276">
        <v>7.2687500000000002E-2</v>
      </c>
    </row>
    <row r="53" spans="2:11" x14ac:dyDescent="0.25">
      <c r="B53" s="278" t="s">
        <v>460</v>
      </c>
      <c r="C53" s="278"/>
      <c r="D53" s="296"/>
      <c r="E53" s="297">
        <v>2.2618125</v>
      </c>
      <c r="F53" s="297">
        <v>4.8732500000000005</v>
      </c>
      <c r="G53" s="297">
        <v>5.1907499999999995</v>
      </c>
      <c r="H53" s="297">
        <v>5.6407500000000006</v>
      </c>
      <c r="I53" s="297">
        <v>6.2032499999999997</v>
      </c>
      <c r="J53" s="297">
        <v>6.6657500000000001</v>
      </c>
      <c r="K53" s="297">
        <v>2.9801875</v>
      </c>
    </row>
    <row r="54" spans="2:11" x14ac:dyDescent="0.25">
      <c r="B54" s="273" t="s">
        <v>461</v>
      </c>
      <c r="C54" s="273"/>
      <c r="D54" s="298"/>
      <c r="E54" s="298">
        <v>1.0569470250077753</v>
      </c>
      <c r="F54" s="298">
        <v>1.020376974760334</v>
      </c>
      <c r="G54" s="298">
        <v>1.2842058680248205</v>
      </c>
      <c r="H54" s="298">
        <v>1.1286352945738483</v>
      </c>
      <c r="I54" s="298">
        <v>1.1105893251556682</v>
      </c>
      <c r="J54" s="298">
        <v>1.104203527900335</v>
      </c>
      <c r="K54" s="298">
        <v>2.6158667042930683</v>
      </c>
    </row>
    <row r="55" spans="2:11" x14ac:dyDescent="0.25">
      <c r="B55" s="260" t="s">
        <v>462</v>
      </c>
      <c r="C55" s="260"/>
      <c r="D55" s="393">
        <v>1.2550628149232952</v>
      </c>
      <c r="E55" s="299"/>
      <c r="F55" s="299"/>
      <c r="G55" s="299"/>
      <c r="H55" s="299"/>
      <c r="I55" s="299"/>
      <c r="J55" s="299"/>
      <c r="K55" s="299"/>
    </row>
    <row r="57" spans="2:11" x14ac:dyDescent="0.25">
      <c r="B57" t="s">
        <v>479</v>
      </c>
    </row>
    <row r="58" spans="2:11" x14ac:dyDescent="0.25">
      <c r="B58" s="273" t="s">
        <v>213</v>
      </c>
      <c r="C58" s="273"/>
      <c r="D58" s="274"/>
      <c r="E58" s="88" t="s">
        <v>57</v>
      </c>
      <c r="F58" s="88" t="s">
        <v>58</v>
      </c>
      <c r="G58" s="88" t="s">
        <v>59</v>
      </c>
      <c r="H58" s="88" t="s">
        <v>60</v>
      </c>
      <c r="I58" s="88" t="s">
        <v>236</v>
      </c>
      <c r="J58" s="88" t="s">
        <v>237</v>
      </c>
      <c r="K58" s="88" t="s">
        <v>238</v>
      </c>
    </row>
    <row r="59" spans="2:11" x14ac:dyDescent="0.25">
      <c r="B59" s="235" t="s">
        <v>359</v>
      </c>
      <c r="C59" s="235"/>
      <c r="D59" s="276"/>
      <c r="E59" s="276">
        <v>-1.5436298945790305</v>
      </c>
      <c r="F59" s="276">
        <v>-0.18689729743844063</v>
      </c>
      <c r="G59" s="276">
        <v>0.56392394648660071</v>
      </c>
      <c r="H59" s="276">
        <v>1.2580728744061975</v>
      </c>
      <c r="I59" s="276">
        <v>2.1388288165606588</v>
      </c>
      <c r="J59" s="276">
        <v>3.0677525001404216</v>
      </c>
      <c r="K59" s="276">
        <v>4.0165858365891616</v>
      </c>
    </row>
    <row r="60" spans="2:11" x14ac:dyDescent="0.25">
      <c r="B60" s="235" t="s">
        <v>360</v>
      </c>
      <c r="C60" s="235"/>
      <c r="D60" s="276"/>
      <c r="E60" s="276">
        <v>2.472976562579428</v>
      </c>
      <c r="F60" s="276">
        <v>3.2973020834392375</v>
      </c>
      <c r="G60" s="276">
        <v>3.2973020834392375</v>
      </c>
      <c r="H60" s="276">
        <v>3.2973020834392375</v>
      </c>
      <c r="I60" s="276">
        <v>3.2973020834392375</v>
      </c>
      <c r="J60" s="276">
        <v>3.2973020834392375</v>
      </c>
      <c r="K60" s="276">
        <v>3.2973020834392375</v>
      </c>
    </row>
    <row r="61" spans="2:11" x14ac:dyDescent="0.25">
      <c r="B61" s="235" t="s">
        <v>361</v>
      </c>
      <c r="C61" s="235"/>
      <c r="D61" s="276"/>
      <c r="E61" s="276">
        <v>1.8118124999999998</v>
      </c>
      <c r="F61" s="276">
        <v>2.27325</v>
      </c>
      <c r="G61" s="276">
        <v>1.9907499999999998</v>
      </c>
      <c r="H61" s="276">
        <v>1.6407500000000004</v>
      </c>
      <c r="I61" s="276">
        <v>1.2032499999999999</v>
      </c>
      <c r="J61" s="276">
        <v>0.66575000000000006</v>
      </c>
      <c r="K61" s="276">
        <v>7.2687500000000002E-2</v>
      </c>
    </row>
    <row r="62" spans="2:11" ht="45" x14ac:dyDescent="0.25">
      <c r="B62" s="293" t="s">
        <v>386</v>
      </c>
      <c r="C62" s="235"/>
      <c r="D62" s="276"/>
      <c r="E62" s="276">
        <v>0</v>
      </c>
      <c r="F62" s="276">
        <v>0</v>
      </c>
      <c r="G62" s="276">
        <v>0</v>
      </c>
      <c r="H62" s="276">
        <v>0</v>
      </c>
      <c r="I62" s="276">
        <v>0</v>
      </c>
      <c r="J62" s="276">
        <v>0</v>
      </c>
      <c r="K62" s="276">
        <v>0</v>
      </c>
    </row>
    <row r="63" spans="2:11" x14ac:dyDescent="0.25">
      <c r="B63" s="278" t="s">
        <v>459</v>
      </c>
      <c r="C63" s="278"/>
      <c r="D63" s="294"/>
      <c r="E63" s="294">
        <v>2.7411591680003973</v>
      </c>
      <c r="F63" s="294">
        <v>5.3836547860007968</v>
      </c>
      <c r="G63" s="294">
        <v>5.8519760299258383</v>
      </c>
      <c r="H63" s="294">
        <v>6.196124957845436</v>
      </c>
      <c r="I63" s="294">
        <v>6.639380899999896</v>
      </c>
      <c r="J63" s="294">
        <v>7.0308045835796591</v>
      </c>
      <c r="K63" s="294">
        <v>7.3865754200283993</v>
      </c>
    </row>
    <row r="64" spans="2:11" x14ac:dyDescent="0.25">
      <c r="B64" s="235" t="s">
        <v>45</v>
      </c>
      <c r="C64" s="235"/>
      <c r="D64" s="276"/>
      <c r="E64" s="276">
        <v>0.45</v>
      </c>
      <c r="F64" s="276">
        <v>2.6</v>
      </c>
      <c r="G64" s="276">
        <v>3.2</v>
      </c>
      <c r="H64" s="276">
        <v>4</v>
      </c>
      <c r="I64" s="276">
        <v>5</v>
      </c>
      <c r="J64" s="276">
        <v>6</v>
      </c>
      <c r="K64" s="276">
        <v>2.9075000000000002</v>
      </c>
    </row>
    <row r="65" spans="2:11" x14ac:dyDescent="0.25">
      <c r="B65" s="235" t="s">
        <v>46</v>
      </c>
      <c r="C65" s="235"/>
      <c r="D65" s="276"/>
      <c r="E65" s="276">
        <v>1.8118124999999998</v>
      </c>
      <c r="F65" s="276">
        <v>2.27325</v>
      </c>
      <c r="G65" s="276">
        <v>1.9907499999999998</v>
      </c>
      <c r="H65" s="276">
        <v>1.6407500000000004</v>
      </c>
      <c r="I65" s="276">
        <v>1.2032499999999999</v>
      </c>
      <c r="J65" s="276">
        <v>0.66575000000000006</v>
      </c>
      <c r="K65" s="276">
        <v>7.2687500000000002E-2</v>
      </c>
    </row>
    <row r="66" spans="2:11" x14ac:dyDescent="0.25">
      <c r="B66" s="278" t="s">
        <v>460</v>
      </c>
      <c r="C66" s="278"/>
      <c r="D66" s="296"/>
      <c r="E66" s="297">
        <v>2.2618125</v>
      </c>
      <c r="F66" s="297">
        <v>4.8732500000000005</v>
      </c>
      <c r="G66" s="297">
        <v>5.1907499999999995</v>
      </c>
      <c r="H66" s="297">
        <v>5.6407500000000006</v>
      </c>
      <c r="I66" s="297">
        <v>6.2032499999999997</v>
      </c>
      <c r="J66" s="297">
        <v>6.6657500000000001</v>
      </c>
      <c r="K66" s="297">
        <v>2.9801875</v>
      </c>
    </row>
    <row r="67" spans="2:11" x14ac:dyDescent="0.25">
      <c r="B67" s="273" t="s">
        <v>461</v>
      </c>
      <c r="C67" s="273"/>
      <c r="D67" s="298"/>
      <c r="E67" s="298">
        <v>1.2119303293267667</v>
      </c>
      <c r="F67" s="298">
        <v>1.1047360151851016</v>
      </c>
      <c r="G67" s="298">
        <v>1.1273854510284331</v>
      </c>
      <c r="H67" s="298">
        <v>1.0984576444347711</v>
      </c>
      <c r="I67" s="298">
        <v>1.0703068391568769</v>
      </c>
      <c r="J67" s="298">
        <v>1.0547657178231495</v>
      </c>
      <c r="K67" s="298">
        <v>2.4785606341978146</v>
      </c>
    </row>
    <row r="68" spans="2:11" x14ac:dyDescent="0.25">
      <c r="B68" s="260" t="s">
        <v>462</v>
      </c>
      <c r="C68" s="260"/>
      <c r="D68" s="393">
        <v>1.2192447556354782</v>
      </c>
      <c r="E68" s="299"/>
      <c r="F68" s="299"/>
      <c r="G68" s="299"/>
      <c r="H68" s="299"/>
      <c r="I68" s="299"/>
      <c r="J68" s="299"/>
      <c r="K68" s="299"/>
    </row>
    <row r="71" spans="2:11" x14ac:dyDescent="0.25">
      <c r="B71" t="s">
        <v>457</v>
      </c>
    </row>
    <row r="72" spans="2:11" x14ac:dyDescent="0.25">
      <c r="B72" s="273" t="s">
        <v>213</v>
      </c>
      <c r="C72" s="273"/>
      <c r="D72" s="274"/>
      <c r="E72" s="88" t="s">
        <v>57</v>
      </c>
      <c r="F72" s="88" t="s">
        <v>58</v>
      </c>
      <c r="G72" s="88" t="s">
        <v>59</v>
      </c>
      <c r="H72" s="88" t="s">
        <v>60</v>
      </c>
      <c r="I72" s="88" t="s">
        <v>236</v>
      </c>
      <c r="J72" s="88" t="s">
        <v>237</v>
      </c>
      <c r="K72" s="88" t="s">
        <v>238</v>
      </c>
    </row>
    <row r="73" spans="2:11" x14ac:dyDescent="0.25">
      <c r="B73" s="235" t="s">
        <v>359</v>
      </c>
      <c r="C73" s="235"/>
      <c r="D73" s="276"/>
      <c r="E73" s="276">
        <v>-1.5089890449290113</v>
      </c>
      <c r="F73" s="276">
        <v>-7.7030060638400233E-2</v>
      </c>
      <c r="G73" s="276">
        <v>0.70862390529979591</v>
      </c>
      <c r="H73" s="276">
        <v>1.436160695177259</v>
      </c>
      <c r="I73" s="276">
        <v>2.3489415820054211</v>
      </c>
      <c r="J73" s="276">
        <v>3.3085922317038938</v>
      </c>
      <c r="K73" s="276">
        <v>4.2869046027099955</v>
      </c>
    </row>
    <row r="74" spans="2:11" x14ac:dyDescent="0.25">
      <c r="B74" s="235" t="s">
        <v>360</v>
      </c>
      <c r="C74" s="235"/>
      <c r="D74" s="276"/>
      <c r="E74" s="276">
        <v>2.472976562579428</v>
      </c>
      <c r="F74" s="276">
        <v>3.2973020834392375</v>
      </c>
      <c r="G74" s="276">
        <v>3.2973020834392375</v>
      </c>
      <c r="H74" s="276">
        <v>3.2973020834392375</v>
      </c>
      <c r="I74" s="276">
        <v>3.2973020834392375</v>
      </c>
      <c r="J74" s="276">
        <v>3.2973020834392375</v>
      </c>
      <c r="K74" s="276">
        <v>3.2973020834392375</v>
      </c>
    </row>
    <row r="75" spans="2:11" x14ac:dyDescent="0.25">
      <c r="B75" s="235" t="s">
        <v>361</v>
      </c>
      <c r="C75" s="235"/>
      <c r="D75" s="276"/>
      <c r="E75" s="276">
        <v>1.8118124999999998</v>
      </c>
      <c r="F75" s="276">
        <v>2.27325</v>
      </c>
      <c r="G75" s="276">
        <v>1.9907499999999998</v>
      </c>
      <c r="H75" s="276">
        <v>1.6407500000000004</v>
      </c>
      <c r="I75" s="276">
        <v>1.2032499999999999</v>
      </c>
      <c r="J75" s="276">
        <v>0.66575000000000006</v>
      </c>
      <c r="K75" s="276">
        <v>7.2687500000000002E-2</v>
      </c>
    </row>
    <row r="76" spans="2:11" ht="45" x14ac:dyDescent="0.25">
      <c r="B76" s="293" t="s">
        <v>386</v>
      </c>
      <c r="C76" s="235"/>
      <c r="D76" s="276"/>
      <c r="E76" s="276">
        <v>0</v>
      </c>
      <c r="F76" s="276">
        <v>0</v>
      </c>
      <c r="G76" s="276">
        <v>0</v>
      </c>
      <c r="H76" s="276">
        <v>0</v>
      </c>
      <c r="I76" s="276">
        <v>0</v>
      </c>
      <c r="J76" s="276">
        <v>0</v>
      </c>
      <c r="K76" s="276">
        <v>0</v>
      </c>
    </row>
    <row r="77" spans="2:11" x14ac:dyDescent="0.25">
      <c r="B77" s="278" t="s">
        <v>459</v>
      </c>
      <c r="C77" s="278"/>
      <c r="D77" s="294"/>
      <c r="E77" s="294">
        <v>2.7758000176504165</v>
      </c>
      <c r="F77" s="294">
        <v>5.4935220228008372</v>
      </c>
      <c r="G77" s="294">
        <v>5.9966759887390335</v>
      </c>
      <c r="H77" s="294">
        <v>6.3742127786164975</v>
      </c>
      <c r="I77" s="294">
        <v>6.8494936654446583</v>
      </c>
      <c r="J77" s="294">
        <v>7.2716443151431314</v>
      </c>
      <c r="K77" s="294">
        <v>7.6568941861492332</v>
      </c>
    </row>
    <row r="78" spans="2:11" x14ac:dyDescent="0.25">
      <c r="B78" s="235" t="s">
        <v>45</v>
      </c>
      <c r="C78" s="235"/>
      <c r="D78" s="276"/>
      <c r="E78" s="276">
        <v>0.45</v>
      </c>
      <c r="F78" s="276">
        <v>2.6</v>
      </c>
      <c r="G78" s="276">
        <v>3.2</v>
      </c>
      <c r="H78" s="276">
        <v>4</v>
      </c>
      <c r="I78" s="276">
        <v>5</v>
      </c>
      <c r="J78" s="276">
        <v>6</v>
      </c>
      <c r="K78" s="276">
        <v>2.9075000000000002</v>
      </c>
    </row>
    <row r="79" spans="2:11" x14ac:dyDescent="0.25">
      <c r="B79" s="235" t="s">
        <v>46</v>
      </c>
      <c r="C79" s="235"/>
      <c r="D79" s="276"/>
      <c r="E79" s="276">
        <v>1.8118124999999998</v>
      </c>
      <c r="F79" s="276">
        <v>2.27325</v>
      </c>
      <c r="G79" s="276">
        <v>1.9907499999999998</v>
      </c>
      <c r="H79" s="276">
        <v>1.6407500000000004</v>
      </c>
      <c r="I79" s="276">
        <v>1.2032499999999999</v>
      </c>
      <c r="J79" s="276">
        <v>0.66575000000000006</v>
      </c>
      <c r="K79" s="276">
        <v>7.2687500000000002E-2</v>
      </c>
    </row>
    <row r="80" spans="2:11" x14ac:dyDescent="0.25">
      <c r="B80" s="278" t="s">
        <v>460</v>
      </c>
      <c r="C80" s="278"/>
      <c r="D80" s="296"/>
      <c r="E80" s="297">
        <v>2.2618125</v>
      </c>
      <c r="F80" s="297">
        <v>4.8732500000000005</v>
      </c>
      <c r="G80" s="297">
        <v>5.1907499999999995</v>
      </c>
      <c r="H80" s="297">
        <v>5.6407500000000006</v>
      </c>
      <c r="I80" s="297">
        <v>6.2032499999999997</v>
      </c>
      <c r="J80" s="297">
        <v>6.6657500000000001</v>
      </c>
      <c r="K80" s="297">
        <v>2.9801875</v>
      </c>
    </row>
    <row r="81" spans="2:11" x14ac:dyDescent="0.25">
      <c r="B81" s="273" t="s">
        <v>461</v>
      </c>
      <c r="C81" s="273"/>
      <c r="D81" s="298"/>
      <c r="E81" s="298">
        <v>1.2272458559895731</v>
      </c>
      <c r="F81" s="298">
        <v>1.1272809773356254</v>
      </c>
      <c r="G81" s="298">
        <v>1.1552619541952578</v>
      </c>
      <c r="H81" s="298">
        <v>1.130029300822851</v>
      </c>
      <c r="I81" s="298">
        <v>1.1041782397041322</v>
      </c>
      <c r="J81" s="298">
        <v>1.0908966455602342</v>
      </c>
      <c r="K81" s="298">
        <v>2.5692659224123426</v>
      </c>
    </row>
    <row r="82" spans="2:11" x14ac:dyDescent="0.25">
      <c r="B82" s="260" t="s">
        <v>462</v>
      </c>
      <c r="C82" s="260"/>
      <c r="D82" s="393">
        <v>1.2543930853091769</v>
      </c>
      <c r="E82" s="299"/>
      <c r="F82" s="299"/>
      <c r="G82" s="299"/>
      <c r="H82" s="299"/>
      <c r="I82" s="299"/>
      <c r="J82" s="299"/>
      <c r="K82" s="299"/>
    </row>
    <row r="85" spans="2:11" x14ac:dyDescent="0.25">
      <c r="B85" t="s">
        <v>440</v>
      </c>
    </row>
    <row r="86" spans="2:11" x14ac:dyDescent="0.25">
      <c r="B86" s="273" t="s">
        <v>213</v>
      </c>
      <c r="C86" s="273"/>
      <c r="D86" s="274"/>
      <c r="E86" s="88" t="s">
        <v>57</v>
      </c>
      <c r="F86" s="88" t="s">
        <v>58</v>
      </c>
      <c r="G86" s="88" t="s">
        <v>59</v>
      </c>
      <c r="H86" s="88" t="s">
        <v>60</v>
      </c>
      <c r="I86" s="88" t="s">
        <v>236</v>
      </c>
      <c r="J86" s="88" t="s">
        <v>237</v>
      </c>
      <c r="K86" s="88" t="s">
        <v>238</v>
      </c>
    </row>
    <row r="87" spans="2:11" x14ac:dyDescent="0.25">
      <c r="B87" s="235" t="s">
        <v>359</v>
      </c>
      <c r="C87" s="235"/>
      <c r="D87" s="276"/>
      <c r="E87" s="276">
        <v>-1.2127256008290301</v>
      </c>
      <c r="F87" s="276">
        <v>0.38235521506155967</v>
      </c>
      <c r="G87" s="276">
        <v>1.4533974022366016</v>
      </c>
      <c r="H87" s="276">
        <v>2.1072252574061987</v>
      </c>
      <c r="I87" s="276">
        <v>3.0961009508106594</v>
      </c>
      <c r="J87" s="276">
        <v>4.139649985640423</v>
      </c>
      <c r="K87" s="276">
        <v>5.2067233473391621</v>
      </c>
    </row>
    <row r="88" spans="2:11" x14ac:dyDescent="0.25">
      <c r="B88" s="235" t="s">
        <v>360</v>
      </c>
      <c r="C88" s="235"/>
      <c r="D88" s="276"/>
      <c r="E88" s="276">
        <v>2.472976562579428</v>
      </c>
      <c r="F88" s="276">
        <v>3.2973020834392375</v>
      </c>
      <c r="G88" s="276">
        <v>3.2973020834392375</v>
      </c>
      <c r="H88" s="276">
        <v>3.2973020834392375</v>
      </c>
      <c r="I88" s="276">
        <v>3.2973020834392375</v>
      </c>
      <c r="J88" s="276">
        <v>3.2973020834392375</v>
      </c>
      <c r="K88" s="276">
        <v>3.2973020834392375</v>
      </c>
    </row>
    <row r="89" spans="2:11" x14ac:dyDescent="0.25">
      <c r="B89" s="235" t="s">
        <v>361</v>
      </c>
      <c r="C89" s="235"/>
      <c r="D89" s="276"/>
      <c r="E89" s="276">
        <v>1.9929937499999999</v>
      </c>
      <c r="F89" s="276">
        <v>2.5005750000000004</v>
      </c>
      <c r="G89" s="276">
        <v>2.1898249999999999</v>
      </c>
      <c r="H89" s="276">
        <v>1.8048250000000001</v>
      </c>
      <c r="I89" s="276">
        <v>1.3235749999999999</v>
      </c>
      <c r="J89" s="276">
        <v>0.73232500000000011</v>
      </c>
      <c r="K89" s="276">
        <v>7.9956250000000006E-2</v>
      </c>
    </row>
    <row r="90" spans="2:11" ht="45" x14ac:dyDescent="0.25">
      <c r="B90" s="293" t="s">
        <v>386</v>
      </c>
      <c r="C90" s="235"/>
      <c r="D90" s="276"/>
      <c r="E90" s="276">
        <v>0</v>
      </c>
      <c r="F90" s="276">
        <v>0</v>
      </c>
      <c r="G90" s="276">
        <v>0</v>
      </c>
      <c r="H90" s="276">
        <v>0</v>
      </c>
      <c r="I90" s="276">
        <v>0</v>
      </c>
      <c r="J90" s="276">
        <v>0</v>
      </c>
      <c r="K90" s="276">
        <v>0</v>
      </c>
    </row>
    <row r="91" spans="2:11" x14ac:dyDescent="0.25">
      <c r="B91" s="278" t="s">
        <v>459</v>
      </c>
      <c r="C91" s="278"/>
      <c r="D91" s="294"/>
      <c r="E91" s="294">
        <v>3.2532447117503978</v>
      </c>
      <c r="F91" s="294">
        <v>6.1802322985007976</v>
      </c>
      <c r="G91" s="294">
        <v>6.940524485675839</v>
      </c>
      <c r="H91" s="294">
        <v>7.2093523408454363</v>
      </c>
      <c r="I91" s="294">
        <v>7.7169780342498964</v>
      </c>
      <c r="J91" s="294">
        <v>8.1692770690796603</v>
      </c>
      <c r="K91" s="294">
        <v>8.5839816807784004</v>
      </c>
    </row>
    <row r="92" spans="2:11" x14ac:dyDescent="0.25">
      <c r="B92" s="235" t="s">
        <v>45</v>
      </c>
      <c r="C92" s="235"/>
      <c r="D92" s="276"/>
      <c r="E92" s="276">
        <v>0.45</v>
      </c>
      <c r="F92" s="276">
        <v>2.6</v>
      </c>
      <c r="G92" s="276">
        <v>3.2</v>
      </c>
      <c r="H92" s="276">
        <v>4</v>
      </c>
      <c r="I92" s="276">
        <v>5</v>
      </c>
      <c r="J92" s="276">
        <v>6</v>
      </c>
      <c r="K92" s="276">
        <v>2.9075000000000002</v>
      </c>
    </row>
    <row r="93" spans="2:11" x14ac:dyDescent="0.25">
      <c r="B93" s="235" t="s">
        <v>46</v>
      </c>
      <c r="C93" s="235"/>
      <c r="D93" s="276"/>
      <c r="E93" s="276">
        <v>1.9929937499999999</v>
      </c>
      <c r="F93" s="276">
        <v>2.5005750000000004</v>
      </c>
      <c r="G93" s="276">
        <v>2.1898249999999999</v>
      </c>
      <c r="H93" s="276">
        <v>1.8048250000000001</v>
      </c>
      <c r="I93" s="276">
        <v>1.3235749999999999</v>
      </c>
      <c r="J93" s="276">
        <v>0.73232500000000011</v>
      </c>
      <c r="K93" s="276">
        <v>7.9956250000000006E-2</v>
      </c>
    </row>
    <row r="94" spans="2:11" x14ac:dyDescent="0.25">
      <c r="B94" s="278" t="s">
        <v>460</v>
      </c>
      <c r="C94" s="278"/>
      <c r="D94" s="296"/>
      <c r="E94" s="297">
        <v>2.4429937499999999</v>
      </c>
      <c r="F94" s="297">
        <v>5.100575000000001</v>
      </c>
      <c r="G94" s="297">
        <v>5.3898250000000001</v>
      </c>
      <c r="H94" s="297">
        <v>5.8048250000000001</v>
      </c>
      <c r="I94" s="297">
        <v>6.3235749999999999</v>
      </c>
      <c r="J94" s="297">
        <v>6.7323250000000003</v>
      </c>
      <c r="K94" s="297">
        <v>2.9874562500000001</v>
      </c>
    </row>
    <row r="95" spans="2:11" x14ac:dyDescent="0.25">
      <c r="B95" s="273" t="s">
        <v>461</v>
      </c>
      <c r="C95" s="273"/>
      <c r="D95" s="298"/>
      <c r="E95" s="298">
        <v>1.3316631332971678</v>
      </c>
      <c r="F95" s="298">
        <v>1.2116736443441762</v>
      </c>
      <c r="G95" s="298">
        <v>1.2877086891830141</v>
      </c>
      <c r="H95" s="298">
        <v>1.2419586018261422</v>
      </c>
      <c r="I95" s="298">
        <v>1.2203505191683337</v>
      </c>
      <c r="J95" s="298">
        <v>1.2134406864017497</v>
      </c>
      <c r="K95" s="298">
        <v>2.8733413855946508</v>
      </c>
    </row>
    <row r="96" spans="2:11" x14ac:dyDescent="0.25">
      <c r="B96" s="260" t="s">
        <v>462</v>
      </c>
      <c r="C96" s="260"/>
      <c r="D96" s="393">
        <v>1.3815817892341113</v>
      </c>
      <c r="E96" s="299"/>
      <c r="F96" s="299"/>
      <c r="G96" s="299"/>
      <c r="H96" s="299"/>
      <c r="I96" s="299"/>
      <c r="J96" s="299"/>
      <c r="K96" s="299"/>
    </row>
  </sheetData>
  <mergeCells count="6">
    <mergeCell ref="B40:J40"/>
    <mergeCell ref="B35:J35"/>
    <mergeCell ref="B36:J36"/>
    <mergeCell ref="B37:J37"/>
    <mergeCell ref="B38:J38"/>
    <mergeCell ref="B39:J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4"/>
  <sheetViews>
    <sheetView zoomScaleNormal="100" zoomScaleSheetLayoutView="115" workbookViewId="0">
      <pane xSplit="1" ySplit="4" topLeftCell="B5" activePane="bottomRight" state="frozen"/>
      <selection pane="topRight" activeCell="B1" sqref="B1"/>
      <selection pane="bottomLeft" activeCell="A5" sqref="A5"/>
      <selection pane="bottomRight" activeCell="N31" sqref="N31"/>
    </sheetView>
  </sheetViews>
  <sheetFormatPr defaultColWidth="8.85546875" defaultRowHeight="13.5" customHeight="1" x14ac:dyDescent="0.25"/>
  <cols>
    <col min="1" max="1" width="40.5703125" style="226" customWidth="1"/>
    <col min="2" max="3" width="8.42578125" style="226" customWidth="1"/>
    <col min="4" max="4" width="9.85546875" style="226" customWidth="1"/>
    <col min="5" max="5" width="17.5703125" style="226" customWidth="1"/>
    <col min="6" max="6" width="9.28515625" style="226" customWidth="1"/>
    <col min="7" max="7" width="10.140625" style="226" customWidth="1"/>
    <col min="8" max="8" width="10" style="226" customWidth="1"/>
    <col min="9" max="9" width="9.42578125" style="226" customWidth="1"/>
    <col min="10" max="10" width="10" style="226" customWidth="1"/>
    <col min="11" max="11" width="10.28515625" style="226" customWidth="1"/>
    <col min="12" max="12" width="12.28515625" style="226" bestFit="1" customWidth="1"/>
    <col min="13" max="13" width="11.28515625" style="226" bestFit="1" customWidth="1"/>
    <col min="14" max="16384" width="8.85546875" style="226"/>
  </cols>
  <sheetData>
    <row r="1" spans="1:11" ht="13.5" customHeight="1" x14ac:dyDescent="0.25">
      <c r="A1" s="257" t="s">
        <v>156</v>
      </c>
      <c r="B1" s="257"/>
      <c r="C1" s="257"/>
      <c r="D1" s="257"/>
      <c r="E1" s="257"/>
      <c r="F1" s="257"/>
      <c r="G1" s="257"/>
      <c r="H1" s="257"/>
      <c r="I1" s="257"/>
      <c r="J1" s="257"/>
      <c r="K1" s="257"/>
    </row>
    <row r="2" spans="1:11" ht="13.5" customHeight="1" x14ac:dyDescent="0.25">
      <c r="A2" s="257"/>
      <c r="B2" s="257"/>
      <c r="C2" s="257"/>
      <c r="D2" s="257"/>
      <c r="E2" s="257"/>
      <c r="F2" s="257"/>
      <c r="G2" s="257"/>
      <c r="H2" s="257"/>
      <c r="I2" s="257"/>
      <c r="J2" s="257"/>
      <c r="K2" s="257"/>
    </row>
    <row r="3" spans="1:11" ht="13.5" customHeight="1" x14ac:dyDescent="0.25">
      <c r="A3" s="425" t="s">
        <v>317</v>
      </c>
      <c r="B3" s="425"/>
      <c r="C3" s="425"/>
      <c r="D3" s="425"/>
      <c r="E3" s="425"/>
      <c r="F3" s="425"/>
      <c r="G3" s="425"/>
      <c r="H3" s="425"/>
      <c r="I3" s="425"/>
      <c r="J3" s="426" t="s">
        <v>318</v>
      </c>
      <c r="K3" s="426"/>
    </row>
    <row r="4" spans="1:11" ht="34.5" customHeight="1" x14ac:dyDescent="0.25">
      <c r="A4" s="227" t="s">
        <v>319</v>
      </c>
      <c r="B4" s="228" t="s">
        <v>320</v>
      </c>
      <c r="C4" s="228" t="s">
        <v>196</v>
      </c>
      <c r="D4" s="228" t="s">
        <v>198</v>
      </c>
      <c r="E4" s="228" t="s">
        <v>200</v>
      </c>
      <c r="F4" s="229" t="s">
        <v>202</v>
      </c>
      <c r="G4" s="229" t="s">
        <v>204</v>
      </c>
      <c r="H4" s="229" t="s">
        <v>206</v>
      </c>
      <c r="I4" s="229" t="s">
        <v>209</v>
      </c>
      <c r="J4" s="229" t="s">
        <v>211</v>
      </c>
      <c r="K4" s="229" t="s">
        <v>212</v>
      </c>
    </row>
    <row r="5" spans="1:11" ht="29.25" customHeight="1" x14ac:dyDescent="0.25">
      <c r="A5" s="230"/>
      <c r="B5" s="427" t="s">
        <v>321</v>
      </c>
      <c r="C5" s="428"/>
      <c r="D5" s="428"/>
      <c r="E5" s="231" t="s">
        <v>50</v>
      </c>
      <c r="F5" s="231" t="s">
        <v>50</v>
      </c>
      <c r="G5" s="231" t="s">
        <v>50</v>
      </c>
      <c r="H5" s="231" t="s">
        <v>50</v>
      </c>
      <c r="I5" s="231" t="s">
        <v>50</v>
      </c>
      <c r="J5" s="232" t="s">
        <v>50</v>
      </c>
      <c r="K5" s="231" t="s">
        <v>50</v>
      </c>
    </row>
    <row r="6" spans="1:11" ht="13.5" customHeight="1" x14ac:dyDescent="0.25">
      <c r="A6" s="233" t="s">
        <v>322</v>
      </c>
      <c r="B6" s="233"/>
      <c r="C6" s="233"/>
      <c r="D6" s="234"/>
      <c r="E6" s="234"/>
      <c r="F6" s="234"/>
      <c r="G6" s="234"/>
      <c r="H6" s="234"/>
      <c r="I6" s="234"/>
      <c r="J6" s="234"/>
      <c r="K6" s="234"/>
    </row>
    <row r="7" spans="1:11" ht="13.5" customHeight="1" x14ac:dyDescent="0.25">
      <c r="A7" s="235" t="s">
        <v>323</v>
      </c>
      <c r="B7" s="235">
        <v>0</v>
      </c>
      <c r="C7" s="236">
        <f>+B10</f>
        <v>0.26100000000000001</v>
      </c>
      <c r="D7" s="236">
        <f t="shared" ref="D7:E7" si="0">+C10</f>
        <v>5.2610000000000001</v>
      </c>
      <c r="E7" s="236">
        <f t="shared" si="0"/>
        <v>15.260999999999999</v>
      </c>
      <c r="F7" s="236">
        <f>E7+E8</f>
        <v>20</v>
      </c>
      <c r="G7" s="236">
        <f>F7</f>
        <v>20</v>
      </c>
      <c r="H7" s="236">
        <f t="shared" ref="H7:K7" si="1">G7</f>
        <v>20</v>
      </c>
      <c r="I7" s="236">
        <f t="shared" si="1"/>
        <v>20</v>
      </c>
      <c r="J7" s="236">
        <f t="shared" si="1"/>
        <v>20</v>
      </c>
      <c r="K7" s="236">
        <f t="shared" si="1"/>
        <v>20</v>
      </c>
    </row>
    <row r="8" spans="1:11" ht="13.5" customHeight="1" x14ac:dyDescent="0.25">
      <c r="A8" s="235" t="s">
        <v>324</v>
      </c>
      <c r="B8" s="236">
        <v>0.26100000000000001</v>
      </c>
      <c r="C8" s="236">
        <f>+'Project Cost'!B34</f>
        <v>5</v>
      </c>
      <c r="D8" s="234">
        <f>+'Project Cost'!B35</f>
        <v>10</v>
      </c>
      <c r="E8" s="234">
        <f>+'Project Cost'!B36</f>
        <v>4.7390000000000008</v>
      </c>
      <c r="F8" s="234">
        <v>0</v>
      </c>
      <c r="G8" s="234">
        <v>0</v>
      </c>
      <c r="H8" s="234">
        <v>0</v>
      </c>
      <c r="I8" s="234">
        <v>0</v>
      </c>
      <c r="J8" s="234">
        <v>0</v>
      </c>
      <c r="K8" s="234">
        <v>0</v>
      </c>
    </row>
    <row r="9" spans="1:11" ht="13.5" customHeight="1" x14ac:dyDescent="0.25">
      <c r="A9" s="235" t="s">
        <v>325</v>
      </c>
      <c r="B9" s="236" t="s">
        <v>445</v>
      </c>
      <c r="C9" s="236" t="s">
        <v>445</v>
      </c>
      <c r="D9" s="236" t="s">
        <v>445</v>
      </c>
      <c r="E9" s="236">
        <f>+'Proj P&amp;L'!D38</f>
        <v>-1.0315443508290301</v>
      </c>
      <c r="F9" s="236">
        <f>E9+'Proj P&amp;L'!E38</f>
        <v>-0.42186413576746995</v>
      </c>
      <c r="G9" s="236">
        <f>F9+'Proj P&amp;L'!F38</f>
        <v>1.0182950744691315</v>
      </c>
      <c r="H9" s="236">
        <f>G9+'Proj P&amp;L'!G38</f>
        <v>3.2322609638753299</v>
      </c>
      <c r="I9" s="236">
        <f>H9+'Proj P&amp;L'!H38</f>
        <v>6.4066405466859901</v>
      </c>
      <c r="J9" s="236">
        <f>I9+'Proj P&amp;L'!I38</f>
        <v>10.589601564326413</v>
      </c>
      <c r="K9" s="236">
        <f>J9+'Proj P&amp;L'!J38</f>
        <v>15.801053669665576</v>
      </c>
    </row>
    <row r="10" spans="1:11" ht="13.5" customHeight="1" x14ac:dyDescent="0.25">
      <c r="A10" s="235" t="s">
        <v>9</v>
      </c>
      <c r="B10" s="236">
        <f>SUM(B7:B9)</f>
        <v>0.26100000000000001</v>
      </c>
      <c r="C10" s="236">
        <f>SUM(C7:C9)</f>
        <v>5.2610000000000001</v>
      </c>
      <c r="D10" s="236">
        <f>SUM(D7:D9)</f>
        <v>15.260999999999999</v>
      </c>
      <c r="E10" s="236">
        <f>SUM(E7:E9)</f>
        <v>18.96845564917097</v>
      </c>
      <c r="F10" s="236">
        <f t="shared" ref="F10:K10" si="2">SUM(F7:F9)</f>
        <v>19.578135864232529</v>
      </c>
      <c r="G10" s="236">
        <f t="shared" si="2"/>
        <v>21.01829507446913</v>
      </c>
      <c r="H10" s="236">
        <f t="shared" si="2"/>
        <v>23.23226096387533</v>
      </c>
      <c r="I10" s="236">
        <f t="shared" si="2"/>
        <v>26.406640546685992</v>
      </c>
      <c r="J10" s="236">
        <f t="shared" si="2"/>
        <v>30.589601564326415</v>
      </c>
      <c r="K10" s="236">
        <f t="shared" si="2"/>
        <v>35.801053669665578</v>
      </c>
    </row>
    <row r="11" spans="1:11" ht="15" hidden="1" x14ac:dyDescent="0.25">
      <c r="A11" s="235" t="s">
        <v>326</v>
      </c>
      <c r="B11" s="235"/>
      <c r="C11" s="235"/>
      <c r="D11" s="237">
        <v>0</v>
      </c>
      <c r="E11" s="237">
        <v>0</v>
      </c>
      <c r="F11" s="237">
        <v>0</v>
      </c>
      <c r="G11" s="237">
        <v>0</v>
      </c>
      <c r="H11" s="237">
        <v>0</v>
      </c>
      <c r="I11" s="237">
        <v>0</v>
      </c>
      <c r="J11" s="237">
        <v>0</v>
      </c>
      <c r="K11" s="237">
        <v>0</v>
      </c>
    </row>
    <row r="12" spans="1:11" ht="13.5" customHeight="1" x14ac:dyDescent="0.25">
      <c r="A12" s="238" t="s">
        <v>327</v>
      </c>
      <c r="B12" s="239">
        <f t="shared" ref="B12:K12" si="3">B10-B11</f>
        <v>0.26100000000000001</v>
      </c>
      <c r="C12" s="239">
        <f t="shared" si="3"/>
        <v>5.2610000000000001</v>
      </c>
      <c r="D12" s="239">
        <f t="shared" si="3"/>
        <v>15.260999999999999</v>
      </c>
      <c r="E12" s="239">
        <f t="shared" si="3"/>
        <v>18.96845564917097</v>
      </c>
      <c r="F12" s="239">
        <f t="shared" si="3"/>
        <v>19.578135864232529</v>
      </c>
      <c r="G12" s="239">
        <f t="shared" si="3"/>
        <v>21.01829507446913</v>
      </c>
      <c r="H12" s="239">
        <f t="shared" si="3"/>
        <v>23.23226096387533</v>
      </c>
      <c r="I12" s="239">
        <f t="shared" si="3"/>
        <v>26.406640546685992</v>
      </c>
      <c r="J12" s="239">
        <f t="shared" si="3"/>
        <v>30.589601564326415</v>
      </c>
      <c r="K12" s="239">
        <f t="shared" si="3"/>
        <v>35.801053669665578</v>
      </c>
    </row>
    <row r="13" spans="1:11" ht="13.5" customHeight="1" x14ac:dyDescent="0.25">
      <c r="A13" s="235" t="s">
        <v>328</v>
      </c>
      <c r="B13" s="236">
        <v>0</v>
      </c>
      <c r="C13" s="236">
        <f>+Repayment!E146/100</f>
        <v>0.3</v>
      </c>
      <c r="D13" s="236">
        <f>+Repayment!F146/100</f>
        <v>18.899999999999999</v>
      </c>
      <c r="E13" s="236">
        <f>+Repayment!G146/100</f>
        <v>23.7075</v>
      </c>
      <c r="F13" s="236">
        <f>+Repayment!H146/100</f>
        <v>21.107500000000002</v>
      </c>
      <c r="G13" s="236">
        <f>+Repayment!I146/100</f>
        <v>17.907499999999999</v>
      </c>
      <c r="H13" s="236">
        <f>+Repayment!J146/100</f>
        <v>13.907500000000001</v>
      </c>
      <c r="I13" s="236">
        <f>+Repayment!K146/100</f>
        <v>8.9075000000000006</v>
      </c>
      <c r="J13" s="236">
        <f>+Repayment!L146/100</f>
        <v>2.9075000000000002</v>
      </c>
      <c r="K13" s="383">
        <f>+Repayment!M146/100</f>
        <v>0</v>
      </c>
    </row>
    <row r="14" spans="1:11" ht="13.5" customHeight="1" x14ac:dyDescent="0.25">
      <c r="A14" s="235" t="s">
        <v>329</v>
      </c>
      <c r="B14" s="236">
        <f>+'Project Cost'!C33</f>
        <v>5.1292999999999997</v>
      </c>
      <c r="C14" s="236">
        <f>+'Project Cost'!C34+B14</f>
        <v>15.929300000000001</v>
      </c>
      <c r="D14" s="236">
        <f>+'Project Cost'!C35+C14</f>
        <v>27.689300000000003</v>
      </c>
      <c r="E14" s="236">
        <f>+'Project Cost'!C36+D14</f>
        <v>29.419999999999987</v>
      </c>
      <c r="F14" s="236">
        <f>E14</f>
        <v>29.419999999999987</v>
      </c>
      <c r="G14" s="236">
        <f t="shared" ref="G14:K14" si="4">F14</f>
        <v>29.419999999999987</v>
      </c>
      <c r="H14" s="236">
        <f t="shared" si="4"/>
        <v>29.419999999999987</v>
      </c>
      <c r="I14" s="236">
        <f t="shared" si="4"/>
        <v>29.419999999999987</v>
      </c>
      <c r="J14" s="236">
        <f t="shared" si="4"/>
        <v>29.419999999999987</v>
      </c>
      <c r="K14" s="236">
        <f t="shared" si="4"/>
        <v>29.419999999999987</v>
      </c>
    </row>
    <row r="15" spans="1:11" ht="27" customHeight="1" x14ac:dyDescent="0.25">
      <c r="A15" s="240" t="s">
        <v>330</v>
      </c>
      <c r="B15" s="241">
        <v>0</v>
      </c>
      <c r="C15" s="242">
        <v>0</v>
      </c>
      <c r="D15" s="242">
        <v>0</v>
      </c>
      <c r="E15" s="242">
        <f>+(SUM('Project Details'!D21:D24)/365*30)</f>
        <v>0.54108158925513694</v>
      </c>
      <c r="F15" s="242">
        <f>+(SUM('Project Details'!E21:E24)/365*30)</f>
        <v>0.79738110231164383</v>
      </c>
      <c r="G15" s="242">
        <f>+(SUM('Project Details'!F21:F24)/365*30)</f>
        <v>0.85718359610445216</v>
      </c>
      <c r="H15" s="242">
        <f>+(SUM('Project Details'!G21:G24)/365*30)</f>
        <v>0.91798287071917817</v>
      </c>
      <c r="I15" s="242">
        <f>+(SUM('Project Details'!H21:H24)/365*30)</f>
        <v>0.97982876519691797</v>
      </c>
      <c r="J15" s="242">
        <f>+(SUM('Project Details'!I21:I24)/365*30)</f>
        <v>1.0427736105308221</v>
      </c>
      <c r="K15" s="242">
        <f>+(SUM('Project Details'!J21:J24)/365*30)</f>
        <v>1.1068723542636987</v>
      </c>
    </row>
    <row r="16" spans="1:11" ht="13.5" customHeight="1" x14ac:dyDescent="0.25">
      <c r="A16" s="238" t="s">
        <v>9</v>
      </c>
      <c r="B16" s="239">
        <f t="shared" ref="B16:G16" si="5">SUM(B12:B15)</f>
        <v>5.3902999999999999</v>
      </c>
      <c r="C16" s="239">
        <f t="shared" si="5"/>
        <v>21.490300000000001</v>
      </c>
      <c r="D16" s="239">
        <f t="shared" si="5"/>
        <v>61.850300000000004</v>
      </c>
      <c r="E16" s="239">
        <f t="shared" si="5"/>
        <v>72.637037238426103</v>
      </c>
      <c r="F16" s="239">
        <f t="shared" si="5"/>
        <v>70.903016966544158</v>
      </c>
      <c r="G16" s="239">
        <f t="shared" si="5"/>
        <v>69.202978670573572</v>
      </c>
      <c r="H16" s="239">
        <f t="shared" ref="H16:K16" si="6">SUM(H12:H15)</f>
        <v>67.477743834594492</v>
      </c>
      <c r="I16" s="239">
        <f t="shared" si="6"/>
        <v>65.713969311882892</v>
      </c>
      <c r="J16" s="239">
        <f>SUM(J12:J15)</f>
        <v>63.959875174857224</v>
      </c>
      <c r="K16" s="239">
        <f t="shared" si="6"/>
        <v>66.327926023929265</v>
      </c>
    </row>
    <row r="17" spans="1:16" ht="13.5" customHeight="1" x14ac:dyDescent="0.25">
      <c r="A17" s="233" t="s">
        <v>331</v>
      </c>
      <c r="B17" s="388">
        <f>+B16-B24</f>
        <v>0</v>
      </c>
      <c r="C17" s="388">
        <f t="shared" ref="C17:K17" si="7">+C16-C24</f>
        <v>0</v>
      </c>
      <c r="D17" s="388">
        <f t="shared" si="7"/>
        <v>0</v>
      </c>
      <c r="E17" s="388">
        <f t="shared" si="7"/>
        <v>0</v>
      </c>
      <c r="F17" s="388">
        <f t="shared" si="7"/>
        <v>0</v>
      </c>
      <c r="G17" s="388">
        <f t="shared" si="7"/>
        <v>0</v>
      </c>
      <c r="H17" s="388">
        <f t="shared" si="7"/>
        <v>0</v>
      </c>
      <c r="I17" s="388">
        <f t="shared" si="7"/>
        <v>0</v>
      </c>
      <c r="J17" s="388">
        <f t="shared" si="7"/>
        <v>0</v>
      </c>
      <c r="K17" s="388">
        <f t="shared" si="7"/>
        <v>0</v>
      </c>
      <c r="M17" s="246">
        <f>+Dep!E7</f>
        <v>73.227499999999992</v>
      </c>
      <c r="N17" s="246">
        <f>+M17-D18</f>
        <v>11.377199999999988</v>
      </c>
    </row>
    <row r="18" spans="1:16" ht="13.5" customHeight="1" x14ac:dyDescent="0.25">
      <c r="A18" s="243" t="s">
        <v>332</v>
      </c>
      <c r="B18" s="236">
        <f>+B16</f>
        <v>5.3902999999999999</v>
      </c>
      <c r="C18" s="236">
        <f>+C16</f>
        <v>21.490300000000001</v>
      </c>
      <c r="D18" s="236">
        <f>+D16</f>
        <v>61.850300000000004</v>
      </c>
      <c r="E18" s="236">
        <f>+Dep!B25</f>
        <v>70.754523437420559</v>
      </c>
      <c r="F18" s="236">
        <f>+Dep!C25</f>
        <v>67.457221353981325</v>
      </c>
      <c r="G18" s="236">
        <f>+Dep!D25</f>
        <v>64.15991927054209</v>
      </c>
      <c r="H18" s="236">
        <f>+Dep!E25</f>
        <v>60.862617187102849</v>
      </c>
      <c r="I18" s="236">
        <f>+Dep!F25</f>
        <v>57.565315103663615</v>
      </c>
      <c r="J18" s="236">
        <f>+Dep!G25</f>
        <v>54.268013020224373</v>
      </c>
      <c r="K18" s="236">
        <f>+Dep!H25</f>
        <v>50.970710936785139</v>
      </c>
    </row>
    <row r="19" spans="1:16" ht="13.5" customHeight="1" x14ac:dyDescent="0.25">
      <c r="A19" s="235" t="s">
        <v>333</v>
      </c>
      <c r="B19" s="234"/>
      <c r="C19" s="234"/>
      <c r="D19" s="244"/>
      <c r="E19" s="244"/>
      <c r="F19" s="242"/>
      <c r="G19" s="242"/>
      <c r="H19" s="242"/>
      <c r="I19" s="242"/>
      <c r="J19" s="242"/>
      <c r="K19" s="242"/>
    </row>
    <row r="20" spans="1:16" ht="13.5" customHeight="1" x14ac:dyDescent="0.25">
      <c r="A20" s="243" t="s">
        <v>334</v>
      </c>
      <c r="B20" s="236">
        <v>0</v>
      </c>
      <c r="C20" s="236">
        <v>0</v>
      </c>
      <c r="D20" s="236">
        <v>0</v>
      </c>
      <c r="E20" s="236">
        <v>0</v>
      </c>
      <c r="F20" s="236">
        <v>0</v>
      </c>
      <c r="G20" s="236">
        <v>0</v>
      </c>
      <c r="H20" s="236">
        <v>0</v>
      </c>
      <c r="I20" s="236">
        <v>0</v>
      </c>
      <c r="J20" s="236">
        <v>0</v>
      </c>
      <c r="K20" s="236">
        <v>0</v>
      </c>
    </row>
    <row r="21" spans="1:16" ht="13.5" customHeight="1" x14ac:dyDescent="0.25">
      <c r="A21" s="235" t="s">
        <v>404</v>
      </c>
      <c r="B21" s="234">
        <v>0</v>
      </c>
      <c r="C21" s="234">
        <v>0</v>
      </c>
      <c r="D21" s="234">
        <v>0</v>
      </c>
      <c r="E21" s="234">
        <f>+('Project Details'!D11+'Project Details'!D12)/365*15</f>
        <v>0.22781250000000003</v>
      </c>
      <c r="F21" s="234">
        <f>+('Project Details'!E11+'Project Details'!E12)/365*15</f>
        <v>0.354375</v>
      </c>
      <c r="G21" s="234">
        <f>+('Project Details'!F11+'Project Details'!F12)/365*15</f>
        <v>0.38981250000000006</v>
      </c>
      <c r="H21" s="234">
        <f>+('Project Details'!G11+'Project Details'!G12)/365*15</f>
        <v>0.42525000000000007</v>
      </c>
      <c r="I21" s="234">
        <f>+('Project Details'!H11+'Project Details'!H12)/365*15</f>
        <v>0.46068750000000003</v>
      </c>
      <c r="J21" s="234">
        <f>+('Project Details'!I11+'Project Details'!I12)/365*15</f>
        <v>0.49612499999999998</v>
      </c>
      <c r="K21" s="234">
        <f>+('Project Details'!J11+'Project Details'!J12)/365*15</f>
        <v>0.53156250000000005</v>
      </c>
    </row>
    <row r="22" spans="1:16" ht="13.5" customHeight="1" x14ac:dyDescent="0.25">
      <c r="A22" s="235" t="s">
        <v>363</v>
      </c>
      <c r="B22" s="234">
        <v>0</v>
      </c>
      <c r="C22" s="234">
        <v>0</v>
      </c>
      <c r="D22" s="234">
        <v>0</v>
      </c>
      <c r="E22" s="234">
        <f>+'Project Details'!D13/365*30</f>
        <v>0.11267876712328767</v>
      </c>
      <c r="F22" s="234">
        <f>+'Project Details'!E13/365*30</f>
        <v>0.17527808219178082</v>
      </c>
      <c r="G22" s="234">
        <f>+'Project Details'!F13/365*30</f>
        <v>0.19280589041095894</v>
      </c>
      <c r="H22" s="234">
        <f>+'Project Details'!G13/365*30</f>
        <v>0.21033369863013704</v>
      </c>
      <c r="I22" s="234">
        <f>+'Project Details'!H13/365*30</f>
        <v>0.22786150684931508</v>
      </c>
      <c r="J22" s="234">
        <f>+'Project Details'!I13/365*30</f>
        <v>0.24538931506849318</v>
      </c>
      <c r="K22" s="234">
        <f>+'Project Details'!J13/365*30</f>
        <v>0.26291712328767125</v>
      </c>
    </row>
    <row r="23" spans="1:16" ht="13.5" customHeight="1" x14ac:dyDescent="0.25">
      <c r="A23" s="235" t="s">
        <v>335</v>
      </c>
      <c r="B23" s="234">
        <v>0</v>
      </c>
      <c r="C23" s="234">
        <v>0</v>
      </c>
      <c r="D23" s="234">
        <v>0</v>
      </c>
      <c r="E23" s="234">
        <f>+'Cash Flow'!E23</f>
        <v>1.5420225338822426</v>
      </c>
      <c r="F23" s="234">
        <f>+'Cash Flow'!F23</f>
        <v>2.9161425303710562</v>
      </c>
      <c r="G23" s="234">
        <f>+'Cash Flow'!G23</f>
        <v>4.4604410096205225</v>
      </c>
      <c r="H23" s="234">
        <f>+'Cash Flow'!H23</f>
        <v>5.9795429488615088</v>
      </c>
      <c r="I23" s="234">
        <f>+'Cash Flow'!I23</f>
        <v>7.4601052013699682</v>
      </c>
      <c r="J23" s="234">
        <f>+'Cash Flow'!J23</f>
        <v>8.9503478395643548</v>
      </c>
      <c r="K23" s="234">
        <f>+'Cash Flow'!K23</f>
        <v>14.562735463856454</v>
      </c>
    </row>
    <row r="24" spans="1:16" ht="13.5" customHeight="1" x14ac:dyDescent="0.25">
      <c r="A24" s="238" t="s">
        <v>9</v>
      </c>
      <c r="B24" s="245">
        <f t="shared" ref="B24:K24" si="8">SUM(B18:B23)</f>
        <v>5.3902999999999999</v>
      </c>
      <c r="C24" s="245">
        <f t="shared" si="8"/>
        <v>21.490300000000001</v>
      </c>
      <c r="D24" s="245">
        <f t="shared" si="8"/>
        <v>61.850300000000004</v>
      </c>
      <c r="E24" s="245">
        <f t="shared" si="8"/>
        <v>72.637037238426089</v>
      </c>
      <c r="F24" s="245">
        <f t="shared" si="8"/>
        <v>70.903016966544172</v>
      </c>
      <c r="G24" s="245">
        <f t="shared" si="8"/>
        <v>69.202978670573572</v>
      </c>
      <c r="H24" s="245">
        <f t="shared" si="8"/>
        <v>67.477743834594492</v>
      </c>
      <c r="I24" s="245">
        <f t="shared" si="8"/>
        <v>65.713969311882892</v>
      </c>
      <c r="J24" s="245">
        <f t="shared" si="8"/>
        <v>63.959875174857217</v>
      </c>
      <c r="K24" s="245">
        <f t="shared" si="8"/>
        <v>66.327926023929265</v>
      </c>
      <c r="L24" s="246"/>
      <c r="M24" s="246"/>
      <c r="N24" s="246"/>
      <c r="O24" s="246"/>
      <c r="P24" s="246"/>
    </row>
    <row r="25" spans="1:16" ht="13.5" customHeight="1" x14ac:dyDescent="0.25">
      <c r="A25" s="247" t="s">
        <v>336</v>
      </c>
      <c r="B25" s="248">
        <f>B21+B22</f>
        <v>0</v>
      </c>
      <c r="C25" s="248">
        <f>C21+C22</f>
        <v>0</v>
      </c>
      <c r="D25" s="248">
        <f>D21+D22</f>
        <v>0</v>
      </c>
      <c r="E25" s="248">
        <f>E21+E22</f>
        <v>0.3404912671232877</v>
      </c>
      <c r="F25" s="248">
        <f t="shared" ref="F25:K25" si="9">F21+F22</f>
        <v>0.52965308219178087</v>
      </c>
      <c r="G25" s="248">
        <f t="shared" si="9"/>
        <v>0.58261839041095898</v>
      </c>
      <c r="H25" s="248">
        <f t="shared" si="9"/>
        <v>0.63558369863013708</v>
      </c>
      <c r="I25" s="248">
        <f t="shared" si="9"/>
        <v>0.68854900684931508</v>
      </c>
      <c r="J25" s="248">
        <f t="shared" si="9"/>
        <v>0.74151431506849319</v>
      </c>
      <c r="K25" s="248">
        <f t="shared" si="9"/>
        <v>0.7944796232876713</v>
      </c>
    </row>
    <row r="26" spans="1:16" ht="13.5" customHeight="1" x14ac:dyDescent="0.25">
      <c r="A26" s="247" t="s">
        <v>337</v>
      </c>
      <c r="B26" s="248">
        <f t="shared" ref="B26:D26" si="10">SUM(B21:B23)</f>
        <v>0</v>
      </c>
      <c r="C26" s="248">
        <f t="shared" si="10"/>
        <v>0</v>
      </c>
      <c r="D26" s="248">
        <f t="shared" si="10"/>
        <v>0</v>
      </c>
      <c r="E26" s="248">
        <f>SUM(E21:E23)</f>
        <v>1.8825138010055302</v>
      </c>
      <c r="F26" s="248">
        <f t="shared" ref="F26:K26" si="11">SUM(F21:F23)</f>
        <v>3.4457956125628373</v>
      </c>
      <c r="G26" s="248">
        <f t="shared" si="11"/>
        <v>5.0430594000314812</v>
      </c>
      <c r="H26" s="248">
        <f t="shared" si="11"/>
        <v>6.6151266474916461</v>
      </c>
      <c r="I26" s="248">
        <f t="shared" si="11"/>
        <v>8.1486542082192841</v>
      </c>
      <c r="J26" s="248">
        <f t="shared" si="11"/>
        <v>9.6918621546328474</v>
      </c>
      <c r="K26" s="248">
        <f t="shared" si="11"/>
        <v>15.357215087144125</v>
      </c>
    </row>
    <row r="27" spans="1:16" ht="13.5" customHeight="1" x14ac:dyDescent="0.25">
      <c r="A27" s="247" t="s">
        <v>338</v>
      </c>
      <c r="B27" s="249">
        <f t="shared" ref="B27:C27" si="12">B15</f>
        <v>0</v>
      </c>
      <c r="C27" s="249">
        <f t="shared" si="12"/>
        <v>0</v>
      </c>
      <c r="D27" s="249">
        <f>D15</f>
        <v>0</v>
      </c>
      <c r="E27" s="249">
        <f t="shared" ref="E27:K27" si="13">E15</f>
        <v>0.54108158925513694</v>
      </c>
      <c r="F27" s="249">
        <f t="shared" si="13"/>
        <v>0.79738110231164383</v>
      </c>
      <c r="G27" s="249">
        <f t="shared" si="13"/>
        <v>0.85718359610445216</v>
      </c>
      <c r="H27" s="249">
        <f t="shared" si="13"/>
        <v>0.91798287071917817</v>
      </c>
      <c r="I27" s="249">
        <f t="shared" si="13"/>
        <v>0.97982876519691797</v>
      </c>
      <c r="J27" s="249">
        <f t="shared" si="13"/>
        <v>1.0427736105308221</v>
      </c>
      <c r="K27" s="249">
        <f t="shared" si="13"/>
        <v>1.1068723542636987</v>
      </c>
    </row>
    <row r="28" spans="1:16" ht="13.5" customHeight="1" x14ac:dyDescent="0.25">
      <c r="A28" s="238" t="s">
        <v>339</v>
      </c>
      <c r="B28" s="250">
        <f t="shared" ref="B28:K28" si="14">B26-B27</f>
        <v>0</v>
      </c>
      <c r="C28" s="250">
        <f t="shared" si="14"/>
        <v>0</v>
      </c>
      <c r="D28" s="250">
        <f t="shared" si="14"/>
        <v>0</v>
      </c>
      <c r="E28" s="250">
        <f t="shared" si="14"/>
        <v>1.3414322117503934</v>
      </c>
      <c r="F28" s="250">
        <f t="shared" si="14"/>
        <v>2.6484145102511936</v>
      </c>
      <c r="G28" s="250">
        <f t="shared" si="14"/>
        <v>4.1858758039270292</v>
      </c>
      <c r="H28" s="250">
        <f t="shared" si="14"/>
        <v>5.6971437767724682</v>
      </c>
      <c r="I28" s="250">
        <f t="shared" si="14"/>
        <v>7.1688254430223664</v>
      </c>
      <c r="J28" s="250">
        <f t="shared" si="14"/>
        <v>8.6490885441020247</v>
      </c>
      <c r="K28" s="250">
        <f t="shared" si="14"/>
        <v>14.250342732880426</v>
      </c>
    </row>
    <row r="29" spans="1:16" ht="13.5" customHeight="1" x14ac:dyDescent="0.25">
      <c r="A29" s="247" t="s">
        <v>340</v>
      </c>
      <c r="B29" s="251">
        <v>0</v>
      </c>
      <c r="C29" s="251">
        <v>0</v>
      </c>
      <c r="D29" s="251">
        <v>0</v>
      </c>
      <c r="E29" s="251">
        <f>(E26+E13-F13)/E27</f>
        <v>8.284358385167458</v>
      </c>
      <c r="F29" s="251">
        <f>(F26+F13-G13)/F27</f>
        <v>8.3345286128507148</v>
      </c>
      <c r="G29" s="251">
        <f t="shared" ref="G29:I29" si="15">(G26+G13-H13)/G27</f>
        <v>10.549734550600915</v>
      </c>
      <c r="H29" s="251">
        <f t="shared" si="15"/>
        <v>12.652879501326613</v>
      </c>
      <c r="I29" s="251">
        <f t="shared" si="15"/>
        <v>14.439925332642996</v>
      </c>
      <c r="J29" s="251">
        <f>(J26+J13-K13)/J27</f>
        <v>12.0825479542191</v>
      </c>
      <c r="K29" s="251">
        <f>(K26+K13)/K27</f>
        <v>13.874422852813847</v>
      </c>
    </row>
    <row r="30" spans="1:16" ht="13.5" customHeight="1" x14ac:dyDescent="0.25">
      <c r="A30" s="247" t="s">
        <v>341</v>
      </c>
      <c r="B30" s="248">
        <f>B13</f>
        <v>0</v>
      </c>
      <c r="C30" s="248">
        <f t="shared" ref="C30:J30" si="16">C13</f>
        <v>0.3</v>
      </c>
      <c r="D30" s="248">
        <f t="shared" si="16"/>
        <v>18.899999999999999</v>
      </c>
      <c r="E30" s="248">
        <f t="shared" si="16"/>
        <v>23.7075</v>
      </c>
      <c r="F30" s="248">
        <f t="shared" si="16"/>
        <v>21.107500000000002</v>
      </c>
      <c r="G30" s="248">
        <f t="shared" si="16"/>
        <v>17.907499999999999</v>
      </c>
      <c r="H30" s="248">
        <f t="shared" si="16"/>
        <v>13.907500000000001</v>
      </c>
      <c r="I30" s="248">
        <f t="shared" si="16"/>
        <v>8.9075000000000006</v>
      </c>
      <c r="J30" s="248">
        <f t="shared" si="16"/>
        <v>2.9075000000000002</v>
      </c>
      <c r="K30" s="248">
        <f>K13</f>
        <v>0</v>
      </c>
    </row>
    <row r="31" spans="1:16" ht="13.5" customHeight="1" x14ac:dyDescent="0.25">
      <c r="A31" s="247" t="s">
        <v>441</v>
      </c>
      <c r="B31" s="248">
        <f>B12</f>
        <v>0.26100000000000001</v>
      </c>
      <c r="C31" s="248">
        <f t="shared" ref="C31:K31" si="17">C12</f>
        <v>5.2610000000000001</v>
      </c>
      <c r="D31" s="248">
        <f t="shared" si="17"/>
        <v>15.260999999999999</v>
      </c>
      <c r="E31" s="248">
        <f t="shared" si="17"/>
        <v>18.96845564917097</v>
      </c>
      <c r="F31" s="248">
        <f t="shared" si="17"/>
        <v>19.578135864232529</v>
      </c>
      <c r="G31" s="248">
        <f t="shared" si="17"/>
        <v>21.01829507446913</v>
      </c>
      <c r="H31" s="248">
        <f t="shared" si="17"/>
        <v>23.23226096387533</v>
      </c>
      <c r="I31" s="248">
        <f t="shared" si="17"/>
        <v>26.406640546685992</v>
      </c>
      <c r="J31" s="248">
        <f t="shared" si="17"/>
        <v>30.589601564326415</v>
      </c>
      <c r="K31" s="248">
        <f t="shared" si="17"/>
        <v>35.801053669665578</v>
      </c>
    </row>
    <row r="32" spans="1:16" ht="13.5" customHeight="1" x14ac:dyDescent="0.25">
      <c r="A32" s="252" t="s">
        <v>442</v>
      </c>
      <c r="B32" s="252">
        <f t="shared" ref="B32:D32" si="18">B30/B31</f>
        <v>0</v>
      </c>
      <c r="C32" s="252">
        <f t="shared" si="18"/>
        <v>5.7023379585630106E-2</v>
      </c>
      <c r="D32" s="252">
        <f t="shared" si="18"/>
        <v>1.2384509534106545</v>
      </c>
      <c r="E32" s="252">
        <f t="shared" ref="E32:K32" si="19">E30/E31</f>
        <v>1.2498381754677088</v>
      </c>
      <c r="F32" s="252">
        <f t="shared" si="19"/>
        <v>1.0781159220864067</v>
      </c>
      <c r="G32" s="252">
        <f t="shared" si="19"/>
        <v>0.85199584155387531</v>
      </c>
      <c r="H32" s="252">
        <f t="shared" si="19"/>
        <v>0.59862877838817619</v>
      </c>
      <c r="I32" s="252">
        <f t="shared" si="19"/>
        <v>0.33732045483982942</v>
      </c>
      <c r="J32" s="252">
        <f t="shared" si="19"/>
        <v>9.5048639122868664E-2</v>
      </c>
      <c r="K32" s="253">
        <f t="shared" si="19"/>
        <v>0</v>
      </c>
    </row>
    <row r="33" spans="1:11" ht="13.5" customHeight="1" x14ac:dyDescent="0.25">
      <c r="A33" s="254" t="s">
        <v>443</v>
      </c>
      <c r="B33" s="254"/>
      <c r="C33" s="254"/>
      <c r="D33" s="255"/>
      <c r="E33" s="255">
        <f>(D32+E32+F32+G32+H32+I32+J32+K32)/8</f>
        <v>0.68117484560868991</v>
      </c>
      <c r="F33" s="256"/>
      <c r="G33" s="256" t="s">
        <v>189</v>
      </c>
    </row>
    <row r="34" spans="1:11" ht="13.5" customHeight="1" x14ac:dyDescent="0.25">
      <c r="A34" s="235" t="s">
        <v>342</v>
      </c>
      <c r="B34" s="236">
        <f t="shared" ref="B34:K34" si="20">B13</f>
        <v>0</v>
      </c>
      <c r="C34" s="236">
        <f>C13</f>
        <v>0.3</v>
      </c>
      <c r="D34" s="236">
        <f t="shared" si="20"/>
        <v>18.899999999999999</v>
      </c>
      <c r="E34" s="236">
        <f t="shared" si="20"/>
        <v>23.7075</v>
      </c>
      <c r="F34" s="236">
        <f t="shared" si="20"/>
        <v>21.107500000000002</v>
      </c>
      <c r="G34" s="236">
        <f t="shared" si="20"/>
        <v>17.907499999999999</v>
      </c>
      <c r="H34" s="236">
        <f t="shared" si="20"/>
        <v>13.907500000000001</v>
      </c>
      <c r="I34" s="236">
        <f t="shared" si="20"/>
        <v>8.9075000000000006</v>
      </c>
      <c r="J34" s="236">
        <f t="shared" si="20"/>
        <v>2.9075000000000002</v>
      </c>
      <c r="K34" s="236">
        <f t="shared" si="20"/>
        <v>0</v>
      </c>
    </row>
    <row r="35" spans="1:11" ht="13.5" customHeight="1" x14ac:dyDescent="0.25">
      <c r="A35" s="235" t="s">
        <v>343</v>
      </c>
      <c r="B35" s="236">
        <f>B12+B14</f>
        <v>5.3902999999999999</v>
      </c>
      <c r="C35" s="236">
        <f t="shared" ref="C35:K35" si="21">C12+C14</f>
        <v>21.190300000000001</v>
      </c>
      <c r="D35" s="236">
        <f t="shared" si="21"/>
        <v>42.950299999999999</v>
      </c>
      <c r="E35" s="236">
        <f t="shared" si="21"/>
        <v>48.388455649170957</v>
      </c>
      <c r="F35" s="236">
        <f t="shared" si="21"/>
        <v>48.998135864232516</v>
      </c>
      <c r="G35" s="236">
        <f t="shared" si="21"/>
        <v>50.438295074469117</v>
      </c>
      <c r="H35" s="236">
        <f t="shared" si="21"/>
        <v>52.652260963875321</v>
      </c>
      <c r="I35" s="236">
        <f t="shared" si="21"/>
        <v>55.826640546685979</v>
      </c>
      <c r="J35" s="236">
        <f t="shared" si="21"/>
        <v>60.009601564326402</v>
      </c>
      <c r="K35" s="236">
        <f t="shared" si="21"/>
        <v>65.221053669665565</v>
      </c>
    </row>
    <row r="36" spans="1:11" ht="13.5" customHeight="1" x14ac:dyDescent="0.25">
      <c r="A36" s="235" t="s">
        <v>344</v>
      </c>
      <c r="B36" s="236">
        <f>B34/B35</f>
        <v>0</v>
      </c>
      <c r="C36" s="236">
        <f>C34/C35</f>
        <v>1.4157421084175306E-2</v>
      </c>
      <c r="D36" s="236">
        <f t="shared" ref="D36:K36" si="22">D34/D35</f>
        <v>0.44004349212927496</v>
      </c>
      <c r="E36" s="236">
        <f t="shared" si="22"/>
        <v>0.48994124077622181</v>
      </c>
      <c r="F36" s="236">
        <f t="shared" si="22"/>
        <v>0.43078169460336507</v>
      </c>
      <c r="G36" s="236">
        <f t="shared" si="22"/>
        <v>0.35503777384942631</v>
      </c>
      <c r="H36" s="236">
        <f t="shared" si="22"/>
        <v>0.26413870450011495</v>
      </c>
      <c r="I36" s="236">
        <f t="shared" si="22"/>
        <v>0.15955643959179225</v>
      </c>
      <c r="J36" s="236">
        <f t="shared" si="22"/>
        <v>4.8450579977328274E-2</v>
      </c>
      <c r="K36" s="236">
        <f t="shared" si="22"/>
        <v>0</v>
      </c>
    </row>
    <row r="38" spans="1:11" ht="13.5" customHeight="1" x14ac:dyDescent="0.25">
      <c r="A38" s="235" t="s">
        <v>345</v>
      </c>
      <c r="B38" s="236">
        <v>0</v>
      </c>
      <c r="C38" s="236">
        <v>0</v>
      </c>
      <c r="D38" s="236">
        <v>0</v>
      </c>
      <c r="E38" s="236">
        <f>+'Proj P&amp;L'!D29+'Balance Sheet'!E9</f>
        <v>1.4414322117503979</v>
      </c>
      <c r="F38" s="236">
        <f>+'Proj P&amp;L'!E29+'Balance Sheet'!F9</f>
        <v>2.8754379476717675</v>
      </c>
      <c r="G38" s="236">
        <f>+'Proj P&amp;L'!F29+'Balance Sheet'!G9</f>
        <v>4.3155971579083694</v>
      </c>
      <c r="H38" s="236">
        <f>+'Proj P&amp;L'!G29+'Balance Sheet'!H9</f>
        <v>6.5295630473145678</v>
      </c>
      <c r="I38" s="236">
        <f>+'Proj P&amp;L'!H29+'Balance Sheet'!I9</f>
        <v>9.7039426301252281</v>
      </c>
      <c r="J38" s="236">
        <f>+'Proj P&amp;L'!I29+'Balance Sheet'!J9</f>
        <v>13.886903647765651</v>
      </c>
      <c r="K38" s="236">
        <f>+'Proj P&amp;L'!J29+'Balance Sheet'!K9</f>
        <v>19.098355753104812</v>
      </c>
    </row>
    <row r="39" spans="1:11" ht="13.5" customHeight="1" x14ac:dyDescent="0.25">
      <c r="A39" s="235" t="s">
        <v>346</v>
      </c>
      <c r="B39" s="236">
        <v>0</v>
      </c>
      <c r="C39" s="236">
        <v>0</v>
      </c>
      <c r="D39" s="236">
        <v>0</v>
      </c>
      <c r="E39" s="236">
        <f>E25-E27</f>
        <v>-0.20059032213184924</v>
      </c>
      <c r="F39" s="236">
        <f>F25-F27</f>
        <v>-0.26772802011986296</v>
      </c>
      <c r="G39" s="236">
        <f t="shared" ref="G39:K39" si="23">G25-G27</f>
        <v>-0.27456520569349319</v>
      </c>
      <c r="H39" s="236">
        <f t="shared" si="23"/>
        <v>-0.28239917208904108</v>
      </c>
      <c r="I39" s="236">
        <f t="shared" si="23"/>
        <v>-0.29127975834760289</v>
      </c>
      <c r="J39" s="236">
        <f t="shared" si="23"/>
        <v>-0.30125929546232888</v>
      </c>
      <c r="K39" s="236">
        <f t="shared" si="23"/>
        <v>-0.31239273097602738</v>
      </c>
    </row>
    <row r="40" spans="1:11" ht="13.5" customHeight="1" x14ac:dyDescent="0.25">
      <c r="A40" s="235" t="s">
        <v>347</v>
      </c>
      <c r="B40" s="236">
        <v>0</v>
      </c>
      <c r="C40" s="236">
        <v>0</v>
      </c>
      <c r="D40" s="236">
        <v>0</v>
      </c>
      <c r="E40" s="236">
        <f>E39-D39</f>
        <v>-0.20059032213184924</v>
      </c>
      <c r="F40" s="236">
        <f>F39-E39</f>
        <v>-6.7137697988013723E-2</v>
      </c>
      <c r="G40" s="236">
        <f>G39-F39</f>
        <v>-6.8371855736302223E-3</v>
      </c>
      <c r="H40" s="236">
        <f t="shared" ref="H40:K40" si="24">H39-G39</f>
        <v>-7.8339663955478978E-3</v>
      </c>
      <c r="I40" s="236">
        <f t="shared" si="24"/>
        <v>-8.8805862585618067E-3</v>
      </c>
      <c r="J40" s="236">
        <f t="shared" si="24"/>
        <v>-9.9795371147259893E-3</v>
      </c>
      <c r="K40" s="236">
        <f t="shared" si="24"/>
        <v>-1.1133435513698497E-2</v>
      </c>
    </row>
    <row r="41" spans="1:11" ht="13.5" customHeight="1" x14ac:dyDescent="0.25">
      <c r="A41" s="226" t="s">
        <v>468</v>
      </c>
      <c r="E41" s="246">
        <f>+E18/E13</f>
        <v>2.9844784746354764</v>
      </c>
      <c r="F41" s="246">
        <f t="shared" ref="F41:K41" si="25">+F18/F13</f>
        <v>3.1958887293133396</v>
      </c>
      <c r="G41" s="246">
        <f t="shared" si="25"/>
        <v>3.5828518369701015</v>
      </c>
      <c r="H41" s="246">
        <f t="shared" si="25"/>
        <v>4.3762442701494049</v>
      </c>
      <c r="I41" s="246">
        <f t="shared" si="25"/>
        <v>6.4625669496114071</v>
      </c>
      <c r="J41" s="246">
        <f t="shared" si="25"/>
        <v>18.664836808331682</v>
      </c>
      <c r="K41" s="226" t="e">
        <f t="shared" si="25"/>
        <v>#DIV/0!</v>
      </c>
    </row>
    <row r="44" spans="1:11" ht="13.5" customHeight="1" x14ac:dyDescent="0.25">
      <c r="E44" s="246"/>
      <c r="F44" s="246"/>
      <c r="G44" s="246"/>
      <c r="H44" s="246"/>
      <c r="I44" s="246"/>
      <c r="J44" s="246"/>
      <c r="K44" s="246"/>
    </row>
  </sheetData>
  <mergeCells count="3">
    <mergeCell ref="A3:I3"/>
    <mergeCell ref="J3:K3"/>
    <mergeCell ref="B5:D5"/>
  </mergeCells>
  <pageMargins left="0.7" right="0.7" top="0.75" bottom="0.75" header="0.3" footer="0.3"/>
  <pageSetup paperSize="9" scale="58" orientation="landscape" horizontalDpi="4294967294" vertic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24"/>
  <sheetViews>
    <sheetView zoomScaleNormal="100" zoomScaleSheetLayoutView="115" workbookViewId="0">
      <selection activeCell="N22" sqref="N22"/>
    </sheetView>
  </sheetViews>
  <sheetFormatPr defaultColWidth="9.140625" defaultRowHeight="15" x14ac:dyDescent="0.25"/>
  <cols>
    <col min="1" max="1" width="45.85546875" style="226" bestFit="1" customWidth="1"/>
    <col min="2" max="2" width="6.5703125" style="226" bestFit="1" customWidth="1"/>
    <col min="3" max="3" width="7.5703125" style="226" bestFit="1" customWidth="1"/>
    <col min="4" max="5" width="8.7109375" style="226" bestFit="1" customWidth="1"/>
    <col min="6" max="8" width="8.5703125" style="226" bestFit="1" customWidth="1"/>
    <col min="9" max="9" width="9.140625" style="226"/>
    <col min="10" max="10" width="9.42578125" style="226" customWidth="1"/>
    <col min="11" max="11" width="10.28515625" style="226" customWidth="1"/>
    <col min="12" max="16384" width="9.140625" style="226"/>
  </cols>
  <sheetData>
    <row r="1" spans="1:13" x14ac:dyDescent="0.25">
      <c r="A1" s="265"/>
      <c r="B1" s="265"/>
      <c r="C1" s="265"/>
      <c r="D1" s="265"/>
      <c r="E1" s="265"/>
      <c r="F1" s="265"/>
      <c r="G1" s="265"/>
      <c r="H1" s="265"/>
      <c r="I1" s="265"/>
      <c r="J1" s="265"/>
      <c r="K1" s="265"/>
    </row>
    <row r="2" spans="1:13" ht="15" customHeight="1" x14ac:dyDescent="0.25">
      <c r="A2" s="265"/>
      <c r="B2" s="265"/>
      <c r="C2" s="265"/>
      <c r="D2" s="265"/>
      <c r="E2" s="265"/>
      <c r="F2" s="265"/>
      <c r="G2" s="265"/>
      <c r="H2" s="265"/>
      <c r="I2" s="265"/>
      <c r="J2" s="265"/>
      <c r="K2" s="265"/>
    </row>
    <row r="3" spans="1:13" x14ac:dyDescent="0.25">
      <c r="A3" s="266" t="s">
        <v>349</v>
      </c>
      <c r="B3" s="266"/>
      <c r="C3" s="266"/>
      <c r="D3" s="266"/>
      <c r="E3" s="266"/>
      <c r="F3" s="266"/>
      <c r="G3" s="266"/>
      <c r="H3" s="266"/>
      <c r="I3" s="266"/>
      <c r="J3" s="266"/>
      <c r="K3" s="266"/>
    </row>
    <row r="4" spans="1:13" ht="28.9" customHeight="1" x14ac:dyDescent="0.25">
      <c r="A4" s="429" t="s">
        <v>135</v>
      </c>
      <c r="B4" s="228" t="s">
        <v>320</v>
      </c>
      <c r="C4" s="228" t="s">
        <v>196</v>
      </c>
      <c r="D4" s="228" t="s">
        <v>198</v>
      </c>
      <c r="E4" s="228" t="s">
        <v>200</v>
      </c>
      <c r="F4" s="229" t="s">
        <v>202</v>
      </c>
      <c r="G4" s="229" t="s">
        <v>204</v>
      </c>
      <c r="H4" s="229" t="s">
        <v>206</v>
      </c>
      <c r="I4" s="229" t="s">
        <v>209</v>
      </c>
      <c r="J4" s="229" t="s">
        <v>211</v>
      </c>
      <c r="K4" s="229" t="s">
        <v>212</v>
      </c>
    </row>
    <row r="5" spans="1:13" ht="15" customHeight="1" x14ac:dyDescent="0.25">
      <c r="A5" s="429"/>
      <c r="B5" s="430" t="s">
        <v>350</v>
      </c>
      <c r="C5" s="431"/>
      <c r="D5" s="431"/>
      <c r="E5" s="432"/>
      <c r="F5" s="259" t="s">
        <v>50</v>
      </c>
      <c r="G5" s="259" t="s">
        <v>50</v>
      </c>
      <c r="H5" s="259" t="s">
        <v>50</v>
      </c>
      <c r="I5" s="259" t="s">
        <v>50</v>
      </c>
      <c r="J5" s="259" t="s">
        <v>50</v>
      </c>
      <c r="K5" s="259" t="s">
        <v>50</v>
      </c>
    </row>
    <row r="6" spans="1:13" x14ac:dyDescent="0.25">
      <c r="A6" s="260" t="s">
        <v>351</v>
      </c>
      <c r="B6" s="243"/>
      <c r="C6" s="243"/>
      <c r="D6" s="261"/>
      <c r="E6" s="261"/>
      <c r="F6" s="261"/>
      <c r="G6" s="261"/>
      <c r="H6" s="261"/>
      <c r="I6" s="261"/>
      <c r="J6" s="261"/>
      <c r="K6" s="261"/>
    </row>
    <row r="7" spans="1:13" x14ac:dyDescent="0.25">
      <c r="A7" s="235" t="s">
        <v>362</v>
      </c>
      <c r="B7" s="236">
        <f>'Balance Sheet'!B8</f>
        <v>0.26100000000000001</v>
      </c>
      <c r="C7" s="236">
        <f>'Balance Sheet'!C8</f>
        <v>5</v>
      </c>
      <c r="D7" s="236">
        <f>'Balance Sheet'!D8</f>
        <v>10</v>
      </c>
      <c r="E7" s="236">
        <f>'Balance Sheet'!E8</f>
        <v>4.7390000000000008</v>
      </c>
      <c r="F7" s="236">
        <f>'Balance Sheet'!F8</f>
        <v>0</v>
      </c>
      <c r="G7" s="236">
        <f>'Balance Sheet'!G8</f>
        <v>0</v>
      </c>
      <c r="H7" s="236">
        <f>'Balance Sheet'!H8</f>
        <v>0</v>
      </c>
      <c r="I7" s="236">
        <f>'Balance Sheet'!I8</f>
        <v>0</v>
      </c>
      <c r="J7" s="236">
        <f>'Balance Sheet'!J8</f>
        <v>0</v>
      </c>
      <c r="K7" s="236">
        <f>'Balance Sheet'!K8</f>
        <v>0</v>
      </c>
    </row>
    <row r="8" spans="1:13" x14ac:dyDescent="0.25">
      <c r="A8" s="235" t="s">
        <v>152</v>
      </c>
      <c r="B8" s="236">
        <v>0</v>
      </c>
      <c r="C8" s="236">
        <v>0</v>
      </c>
      <c r="D8" s="236">
        <v>0</v>
      </c>
      <c r="E8" s="236">
        <f>'Proj P&amp;L'!D38</f>
        <v>-1.0315443508290301</v>
      </c>
      <c r="F8" s="236">
        <f>'Proj P&amp;L'!E38</f>
        <v>0.60968021506156012</v>
      </c>
      <c r="G8" s="236">
        <f>'Proj P&amp;L'!F38</f>
        <v>1.4401592102366014</v>
      </c>
      <c r="H8" s="236">
        <f>'Proj P&amp;L'!G38</f>
        <v>2.2139658894061984</v>
      </c>
      <c r="I8" s="236">
        <f>'Proj P&amp;L'!H38</f>
        <v>3.1743795828106598</v>
      </c>
      <c r="J8" s="236">
        <f>'Proj P&amp;L'!I38</f>
        <v>4.1829610176404231</v>
      </c>
      <c r="K8" s="236">
        <f>'Proj P&amp;L'!J38</f>
        <v>5.2114521053391627</v>
      </c>
    </row>
    <row r="9" spans="1:13" x14ac:dyDescent="0.25">
      <c r="A9" s="235" t="s">
        <v>12</v>
      </c>
      <c r="B9" s="383">
        <f>+'Balance Sheet'!B13</f>
        <v>0</v>
      </c>
      <c r="C9" s="383">
        <f>+'Balance Sheet'!C13</f>
        <v>0.3</v>
      </c>
      <c r="D9" s="383">
        <f>+'Balance Sheet'!D13-C9</f>
        <v>18.599999999999998</v>
      </c>
      <c r="E9" s="236">
        <f>+SUM(Repayment!D31:D33)/100</f>
        <v>5.2575000000000003</v>
      </c>
      <c r="F9" s="236"/>
      <c r="G9" s="236"/>
      <c r="H9" s="236"/>
      <c r="I9" s="236"/>
      <c r="J9" s="236"/>
      <c r="K9" s="236"/>
      <c r="M9" s="226">
        <f>18.9-24.15</f>
        <v>-5.25</v>
      </c>
    </row>
    <row r="10" spans="1:13" x14ac:dyDescent="0.25">
      <c r="A10" s="235" t="s">
        <v>352</v>
      </c>
      <c r="B10" s="236">
        <f>+'Balance Sheet'!B14</f>
        <v>5.1292999999999997</v>
      </c>
      <c r="C10" s="236">
        <f>+'Balance Sheet'!C14-'Balance Sheet'!B14</f>
        <v>10.8</v>
      </c>
      <c r="D10" s="236">
        <f>+'Balance Sheet'!D14-'Balance Sheet'!C14</f>
        <v>11.760000000000002</v>
      </c>
      <c r="E10" s="236">
        <f>+'Balance Sheet'!E14-'Balance Sheet'!D14</f>
        <v>1.7306999999999846</v>
      </c>
      <c r="F10" s="236">
        <f>+'Balance Sheet'!F14-'Balance Sheet'!E14</f>
        <v>0</v>
      </c>
      <c r="G10" s="236">
        <f>+'Balance Sheet'!G14-'Balance Sheet'!F14</f>
        <v>0</v>
      </c>
      <c r="H10" s="236">
        <f>+'Balance Sheet'!H14-'Balance Sheet'!G14</f>
        <v>0</v>
      </c>
      <c r="I10" s="236">
        <f>+'Balance Sheet'!I14-'Balance Sheet'!H14</f>
        <v>0</v>
      </c>
      <c r="J10" s="236">
        <f>+'Balance Sheet'!J14-'Balance Sheet'!I14</f>
        <v>0</v>
      </c>
      <c r="K10" s="236">
        <f>+'Balance Sheet'!K14-'Balance Sheet'!J14</f>
        <v>0</v>
      </c>
    </row>
    <row r="11" spans="1:13" x14ac:dyDescent="0.25">
      <c r="A11" s="235" t="s">
        <v>20</v>
      </c>
      <c r="B11" s="236">
        <v>0</v>
      </c>
      <c r="C11" s="236">
        <v>0</v>
      </c>
      <c r="D11" s="236">
        <v>0</v>
      </c>
      <c r="E11" s="236">
        <f>+'Proj P&amp;L'!D29</f>
        <v>2.472976562579428</v>
      </c>
      <c r="F11" s="236">
        <f>+'Proj P&amp;L'!E29</f>
        <v>3.2973020834392375</v>
      </c>
      <c r="G11" s="236">
        <f>+'Proj P&amp;L'!F29</f>
        <v>3.2973020834392375</v>
      </c>
      <c r="H11" s="236">
        <f>+'Proj P&amp;L'!G29</f>
        <v>3.2973020834392375</v>
      </c>
      <c r="I11" s="236">
        <f>+'Proj P&amp;L'!H29</f>
        <v>3.2973020834392375</v>
      </c>
      <c r="J11" s="236">
        <f>+'Proj P&amp;L'!I29</f>
        <v>3.2973020834392375</v>
      </c>
      <c r="K11" s="236">
        <f>+'Proj P&amp;L'!J29</f>
        <v>3.2973020834392375</v>
      </c>
    </row>
    <row r="12" spans="1:13" x14ac:dyDescent="0.25">
      <c r="A12" s="235" t="s">
        <v>353</v>
      </c>
      <c r="B12" s="236">
        <v>0</v>
      </c>
      <c r="C12" s="236">
        <v>0</v>
      </c>
      <c r="D12" s="244">
        <v>0</v>
      </c>
      <c r="E12" s="234">
        <v>0</v>
      </c>
      <c r="F12" s="234">
        <v>0</v>
      </c>
      <c r="G12" s="234">
        <v>0</v>
      </c>
      <c r="H12" s="234">
        <v>0</v>
      </c>
      <c r="I12" s="234">
        <v>0</v>
      </c>
      <c r="J12" s="234">
        <v>0</v>
      </c>
      <c r="K12" s="234">
        <v>0</v>
      </c>
    </row>
    <row r="13" spans="1:13" x14ac:dyDescent="0.25">
      <c r="A13" s="235" t="s">
        <v>456</v>
      </c>
      <c r="B13" s="236">
        <v>0</v>
      </c>
      <c r="C13" s="236">
        <v>0</v>
      </c>
      <c r="D13" s="244">
        <v>0</v>
      </c>
      <c r="E13" s="234">
        <f>-'Balance Sheet'!E40</f>
        <v>0.20059032213184924</v>
      </c>
      <c r="F13" s="234">
        <f>-'Balance Sheet'!F40</f>
        <v>6.7137697988013723E-2</v>
      </c>
      <c r="G13" s="234">
        <f>-'Balance Sheet'!G40</f>
        <v>6.8371855736302223E-3</v>
      </c>
      <c r="H13" s="234">
        <f>-'Balance Sheet'!H40</f>
        <v>7.8339663955478978E-3</v>
      </c>
      <c r="I13" s="234">
        <f>-'Balance Sheet'!I40</f>
        <v>8.8805862585618067E-3</v>
      </c>
      <c r="J13" s="234">
        <f>-'Balance Sheet'!J40</f>
        <v>9.9795371147259893E-3</v>
      </c>
      <c r="K13" s="234">
        <f>-'Balance Sheet'!K40</f>
        <v>1.1133435513698497E-2</v>
      </c>
    </row>
    <row r="14" spans="1:13" x14ac:dyDescent="0.25">
      <c r="A14" s="238" t="s">
        <v>9</v>
      </c>
      <c r="B14" s="245">
        <f t="shared" ref="B14:J14" si="0">SUM(B7:B13)</f>
        <v>5.3902999999999999</v>
      </c>
      <c r="C14" s="245">
        <f>SUM(C7:C13)</f>
        <v>16.100000000000001</v>
      </c>
      <c r="D14" s="245">
        <f t="shared" si="0"/>
        <v>40.36</v>
      </c>
      <c r="E14" s="245">
        <f>SUM(E7:E13)</f>
        <v>13.369222533882233</v>
      </c>
      <c r="F14" s="245">
        <f t="shared" si="0"/>
        <v>3.9741199964888114</v>
      </c>
      <c r="G14" s="245">
        <f t="shared" si="0"/>
        <v>4.7442984792494691</v>
      </c>
      <c r="H14" s="245">
        <f t="shared" si="0"/>
        <v>5.5191019392409846</v>
      </c>
      <c r="I14" s="245">
        <f t="shared" si="0"/>
        <v>6.4805622525084594</v>
      </c>
      <c r="J14" s="245">
        <f t="shared" si="0"/>
        <v>7.4902426381943865</v>
      </c>
      <c r="K14" s="245">
        <f>SUM(K7:K13)</f>
        <v>8.5198876242920996</v>
      </c>
    </row>
    <row r="15" spans="1:13" x14ac:dyDescent="0.25">
      <c r="A15" s="260" t="s">
        <v>354</v>
      </c>
      <c r="B15" s="243"/>
      <c r="C15" s="243"/>
      <c r="D15" s="234"/>
      <c r="E15" s="234"/>
      <c r="F15" s="234"/>
      <c r="G15" s="234"/>
      <c r="H15" s="234"/>
      <c r="I15" s="234"/>
      <c r="J15" s="234"/>
      <c r="K15" s="234"/>
    </row>
    <row r="16" spans="1:13" x14ac:dyDescent="0.25">
      <c r="A16" s="235" t="s">
        <v>310</v>
      </c>
      <c r="B16" s="236">
        <f>+'Balance Sheet'!B18</f>
        <v>5.3902999999999999</v>
      </c>
      <c r="C16" s="236">
        <f>+'Balance Sheet'!C18-'Balance Sheet'!B18</f>
        <v>16.100000000000001</v>
      </c>
      <c r="D16" s="236">
        <f>+'Balance Sheet'!D18-'Balance Sheet'!C18</f>
        <v>40.36</v>
      </c>
      <c r="E16" s="236">
        <f>+Dep!B24-'Cash Flow'!D16-'Cash Flow'!C16-'Cash Flow'!B16</f>
        <v>11.377199999999991</v>
      </c>
      <c r="F16" s="236">
        <v>0</v>
      </c>
      <c r="G16" s="236">
        <v>0</v>
      </c>
      <c r="H16" s="236">
        <v>0</v>
      </c>
      <c r="I16" s="236">
        <v>0</v>
      </c>
      <c r="J16" s="236">
        <v>0</v>
      </c>
      <c r="K16" s="236">
        <v>0</v>
      </c>
      <c r="M16" s="246">
        <f>+Dep!E7</f>
        <v>73.227499999999992</v>
      </c>
    </row>
    <row r="17" spans="1:24" x14ac:dyDescent="0.25">
      <c r="A17" s="235" t="s">
        <v>355</v>
      </c>
      <c r="B17" s="236">
        <v>0</v>
      </c>
      <c r="C17" s="236">
        <v>0</v>
      </c>
      <c r="D17" s="236">
        <v>0</v>
      </c>
      <c r="E17" s="236">
        <v>0</v>
      </c>
      <c r="F17" s="236">
        <v>0</v>
      </c>
      <c r="G17" s="236">
        <v>0</v>
      </c>
      <c r="H17" s="236">
        <v>0</v>
      </c>
      <c r="I17" s="236">
        <v>0</v>
      </c>
      <c r="J17" s="236">
        <v>0</v>
      </c>
      <c r="K17" s="236">
        <v>0</v>
      </c>
      <c r="L17" s="262"/>
      <c r="M17" s="262">
        <f>+D16+C16+B16</f>
        <v>61.850300000000004</v>
      </c>
      <c r="N17" s="262"/>
      <c r="O17" s="262"/>
      <c r="P17" s="262"/>
      <c r="Q17" s="262"/>
      <c r="R17" s="262"/>
      <c r="S17" s="262"/>
      <c r="T17" s="262"/>
      <c r="U17" s="262"/>
      <c r="V17" s="262"/>
      <c r="W17" s="262"/>
      <c r="X17" s="262"/>
    </row>
    <row r="18" spans="1:24" x14ac:dyDescent="0.25">
      <c r="A18" s="235"/>
      <c r="B18" s="236">
        <v>0</v>
      </c>
      <c r="C18" s="236">
        <v>0</v>
      </c>
      <c r="D18" s="244">
        <v>0</v>
      </c>
      <c r="E18" s="234"/>
      <c r="F18" s="234"/>
      <c r="G18" s="234"/>
      <c r="H18" s="234"/>
      <c r="I18" s="234"/>
      <c r="J18" s="234"/>
      <c r="K18" s="234"/>
      <c r="L18" s="263"/>
      <c r="M18" s="246">
        <f>+M16-M17</f>
        <v>11.377199999999988</v>
      </c>
    </row>
    <row r="19" spans="1:24" x14ac:dyDescent="0.25">
      <c r="A19" s="235" t="s">
        <v>45</v>
      </c>
      <c r="B19" s="234">
        <v>0</v>
      </c>
      <c r="C19" s="234">
        <v>0</v>
      </c>
      <c r="D19" s="234">
        <v>0</v>
      </c>
      <c r="E19" s="234">
        <f>+Repayment!G143/100</f>
        <v>0.45</v>
      </c>
      <c r="F19" s="234">
        <f>'Balance Sheet'!E13-'Balance Sheet'!F13</f>
        <v>2.5999999999999979</v>
      </c>
      <c r="G19" s="234">
        <f>'Balance Sheet'!F13-'Balance Sheet'!G13</f>
        <v>3.2000000000000028</v>
      </c>
      <c r="H19" s="234">
        <f>'Balance Sheet'!G13-'Balance Sheet'!H13</f>
        <v>3.9999999999999982</v>
      </c>
      <c r="I19" s="234">
        <f>'Balance Sheet'!H13-'Balance Sheet'!I13</f>
        <v>5</v>
      </c>
      <c r="J19" s="234">
        <f>'Balance Sheet'!I13-'Balance Sheet'!J13</f>
        <v>6</v>
      </c>
      <c r="K19" s="234">
        <f>'Balance Sheet'!J13-'Balance Sheet'!K13</f>
        <v>2.9075000000000002</v>
      </c>
      <c r="L19" s="246"/>
      <c r="M19" s="246"/>
      <c r="N19" s="246"/>
      <c r="O19" s="246"/>
      <c r="P19" s="246"/>
      <c r="Q19" s="246"/>
      <c r="R19" s="246"/>
      <c r="S19" s="246"/>
      <c r="T19" s="246"/>
      <c r="U19" s="246"/>
      <c r="V19" s="246"/>
      <c r="W19" s="246"/>
      <c r="X19" s="246"/>
    </row>
    <row r="20" spans="1:24" x14ac:dyDescent="0.25">
      <c r="A20" s="238" t="s">
        <v>9</v>
      </c>
      <c r="B20" s="245">
        <f>ROUND(SUM(B16:B19),2)</f>
        <v>5.39</v>
      </c>
      <c r="C20" s="245">
        <f>ROUND(SUM(C16:C19),2)</f>
        <v>16.100000000000001</v>
      </c>
      <c r="D20" s="245">
        <f>ROUND(SUM(D16:D19),2)</f>
        <v>40.36</v>
      </c>
      <c r="E20" s="245">
        <f t="shared" ref="E20:K20" si="1">E16+E17+E19</f>
        <v>11.827199999999991</v>
      </c>
      <c r="F20" s="245">
        <f t="shared" si="1"/>
        <v>2.5999999999999979</v>
      </c>
      <c r="G20" s="245">
        <f t="shared" si="1"/>
        <v>3.2000000000000028</v>
      </c>
      <c r="H20" s="245">
        <f t="shared" si="1"/>
        <v>3.9999999999999982</v>
      </c>
      <c r="I20" s="245">
        <f t="shared" si="1"/>
        <v>5</v>
      </c>
      <c r="J20" s="245">
        <f t="shared" si="1"/>
        <v>6</v>
      </c>
      <c r="K20" s="245">
        <f t="shared" si="1"/>
        <v>2.9075000000000002</v>
      </c>
    </row>
    <row r="21" spans="1:24" x14ac:dyDescent="0.25">
      <c r="A21" s="235" t="s">
        <v>356</v>
      </c>
      <c r="B21" s="236">
        <v>0</v>
      </c>
      <c r="C21" s="236">
        <f>B23</f>
        <v>0</v>
      </c>
      <c r="D21" s="234">
        <f>C23</f>
        <v>0</v>
      </c>
      <c r="E21" s="234">
        <f>D23</f>
        <v>0</v>
      </c>
      <c r="F21" s="234">
        <f t="shared" ref="F21:K21" si="2">E23</f>
        <v>1.5420225338822426</v>
      </c>
      <c r="G21" s="234">
        <f>F23</f>
        <v>2.9161425303710562</v>
      </c>
      <c r="H21" s="234">
        <f t="shared" si="2"/>
        <v>4.4604410096205225</v>
      </c>
      <c r="I21" s="234">
        <f t="shared" si="2"/>
        <v>5.9795429488615088</v>
      </c>
      <c r="J21" s="234">
        <f t="shared" si="2"/>
        <v>7.4601052013699682</v>
      </c>
      <c r="K21" s="234">
        <f t="shared" si="2"/>
        <v>8.9503478395643548</v>
      </c>
    </row>
    <row r="22" spans="1:24" x14ac:dyDescent="0.25">
      <c r="A22" s="235" t="s">
        <v>357</v>
      </c>
      <c r="B22" s="236">
        <v>0</v>
      </c>
      <c r="C22" s="236">
        <f t="shared" ref="C22:K22" si="3">C14-C20</f>
        <v>0</v>
      </c>
      <c r="D22" s="236">
        <f t="shared" si="3"/>
        <v>0</v>
      </c>
      <c r="E22" s="236">
        <f t="shared" si="3"/>
        <v>1.5420225338822426</v>
      </c>
      <c r="F22" s="236">
        <f t="shared" si="3"/>
        <v>1.3741199964888136</v>
      </c>
      <c r="G22" s="236">
        <f t="shared" si="3"/>
        <v>1.5442984792494663</v>
      </c>
      <c r="H22" s="236">
        <f t="shared" si="3"/>
        <v>1.5191019392409864</v>
      </c>
      <c r="I22" s="236">
        <f t="shared" si="3"/>
        <v>1.4805622525084594</v>
      </c>
      <c r="J22" s="236">
        <f t="shared" si="3"/>
        <v>1.4902426381943865</v>
      </c>
      <c r="K22" s="236">
        <f t="shared" si="3"/>
        <v>5.6123876242920989</v>
      </c>
    </row>
    <row r="23" spans="1:24" x14ac:dyDescent="0.25">
      <c r="A23" s="235" t="s">
        <v>358</v>
      </c>
      <c r="B23" s="244">
        <f>ROUND(SUM(B21:B22),2)</f>
        <v>0</v>
      </c>
      <c r="C23" s="244">
        <f>ROUND(SUM(C21:C22),2)</f>
        <v>0</v>
      </c>
      <c r="D23" s="244">
        <f t="shared" ref="D23" si="4">ROUND(SUM(D21:D22),2)</f>
        <v>0</v>
      </c>
      <c r="E23" s="244">
        <f>E21+E22</f>
        <v>1.5420225338822426</v>
      </c>
      <c r="F23" s="244">
        <f t="shared" ref="F23:K23" si="5">F21+F22</f>
        <v>2.9161425303710562</v>
      </c>
      <c r="G23" s="244">
        <f t="shared" si="5"/>
        <v>4.4604410096205225</v>
      </c>
      <c r="H23" s="244">
        <f t="shared" si="5"/>
        <v>5.9795429488615088</v>
      </c>
      <c r="I23" s="244">
        <f t="shared" si="5"/>
        <v>7.4601052013699682</v>
      </c>
      <c r="J23" s="244">
        <f t="shared" si="5"/>
        <v>8.9503478395643548</v>
      </c>
      <c r="K23" s="244">
        <f t="shared" si="5"/>
        <v>14.562735463856454</v>
      </c>
    </row>
    <row r="24" spans="1:24" x14ac:dyDescent="0.25">
      <c r="D24" s="246"/>
      <c r="E24" s="246"/>
      <c r="F24" s="246"/>
      <c r="G24" s="246"/>
      <c r="H24" s="246"/>
      <c r="I24" s="246"/>
      <c r="J24" s="246"/>
      <c r="K24" s="246"/>
    </row>
  </sheetData>
  <mergeCells count="2">
    <mergeCell ref="A4:A5"/>
    <mergeCell ref="B5:E5"/>
  </mergeCells>
  <pageMargins left="0.7" right="0.7" top="0.75" bottom="0.75" header="0.3" footer="0.3"/>
  <pageSetup paperSize="9" scale="62" orientation="landscape" horizontalDpi="4294967294" verticalDpi="4294967294"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X B H W h B x N U K n A A A A 9 w A A A B I A H A B D b 2 5 m a W c v U G F j a 2 F n Z S 5 4 b W w g o h g A K K A U A A A A A A A A A A A A A A A A A A A A A A A A A A A A h Y + x D o I w G I R f h X S n L T A I p J T B y U S M i Y l x b U q F R v g x t F j e z c F H 8 h X E K O r m e H f f J X f 3 6 4 3 l Y 9 t 4 F 9 U b 3 U G G A k y R p 0 B 2 p Y Y q Q 4 M 9 + j H K O d s K e R K V 8 i Y Y T D o a n a H a 2 n N K i H M O u w h 3 f U V C S g N y K N Y 7 W a t W + B q M F S A V + r T K / y 3 E 2 f 4 1 h o c 4 i B I c x I s E U 0 Z m l x U a v k Q 4 D X 6 m P y Z b D o 0 d e s U V + K s N I 7 N k 5 H 2 C P w B Q S w M E F A A C A A g A O X B H 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l w R 1 o o i k e 4 D g A A A B E A A A A T A B w A R m 9 y b X V s Y X M v U 2 V j d G l v b j E u b S C i G A A o o B Q A A A A A A A A A A A A A A A A A A A A A A A A A A A A r T k 0 u y c z P U w i G 0 I b W A F B L A Q I t A B Q A A g A I A D l w R 1 o Q c T V C p w A A A P c A A A A S A A A A A A A A A A A A A A A A A A A A A A B D b 2 5 m a W c v U G F j a 2 F n Z S 5 4 b W x Q S w E C L Q A U A A I A C A A 5 c E d a D 8 r p q 6 Q A A A D p A A A A E w A A A A A A A A A A A A A A A A D z A A A A W 0 N v b n R l b n R f V H l w Z X N d L n h t b F B L A Q I t A B Q A A g A I A D l w R 1 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a m W W 6 o O P A T Y w y w r 1 O v 5 t I A A A A A A I A A A A A A B B m A A A A A Q A A I A A A A D V H 1 C 1 I W C D W q M F u d Q P O t k p P 8 5 M e e 7 R o l F i i O i k h 5 V 5 v A A A A A A 6 A A A A A A g A A I A A A A O Z u O 8 F e u l a P o L E o / 2 g V j s j M X O a 0 L y 8 / 8 O a v L D R w f M D p U A A A A G H 9 h P l V 7 8 g Y F I U o I G T l r S z w x l i M R V V R 1 p D D a i A x l k 7 9 f p H s 0 P 5 + 1 + 9 1 d 3 P D X d c S u i f F + 4 S Q w C E + / m x h q b 8 r 1 D d r 3 x 8 G 0 o J a b / s Z 8 M 0 d F Z j / Q A A A A M j I S w K p n 9 v A I v r z O s c r B j c p N E t 2 H s Q Z E U d / H C B K Y l a E 1 h g Y P c j g w s f 2 N 8 E N n m y e M r n m o E s d q o 8 V a 7 z I E m 6 O j q Q = < / D a t a M a s h u p > 
</file>

<file path=customXml/itemProps1.xml><?xml version="1.0" encoding="utf-8"?>
<ds:datastoreItem xmlns:ds="http://schemas.openxmlformats.org/officeDocument/2006/customXml" ds:itemID="{6B6752AA-2E65-4B35-9192-5713B657305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sheet1</vt:lpstr>
      <vt:lpstr>Assumption</vt:lpstr>
      <vt:lpstr>Project Cost</vt:lpstr>
      <vt:lpstr>Project Details</vt:lpstr>
      <vt:lpstr>Proj P&amp;L</vt:lpstr>
      <vt:lpstr>Ratio Analysis</vt:lpstr>
      <vt:lpstr>Breakeven &amp; Sensitivity</vt:lpstr>
      <vt:lpstr>Balance Sheet</vt:lpstr>
      <vt:lpstr>Cash Flow</vt:lpstr>
      <vt:lpstr>IRR</vt:lpstr>
      <vt:lpstr>Dep</vt:lpstr>
      <vt:lpstr>Pre opreating</vt:lpstr>
      <vt:lpstr>Repayment</vt:lpstr>
      <vt:lpstr>Interest_Rate</vt:lpstr>
      <vt:lpstr>Loan_Amount</vt:lpstr>
      <vt:lpstr>Loan_Start</vt:lpstr>
      <vt:lpstr>Loan_Years</vt:lpstr>
      <vt:lpstr>'Balance Sheet'!Print_Area</vt:lpstr>
      <vt:lpstr>'Cash Flow'!Print_Area</vt:lpstr>
      <vt:lpstr>IRR!Print_Area</vt:lpstr>
      <vt:lpstr>'Ratio Analysis'!Print_Area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2025-02-19T09:13:55Z</dcterms:modified>
</cp:coreProperties>
</file>