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bhinav Chaturvedi's Assignments\In-Progress\VIS(2024-25)-PL747-671-917_Lalwani Ferro Alloys Ltd\Report\"/>
    </mc:Choice>
  </mc:AlternateContent>
  <xr:revisionPtr revIDLastSave="0" documentId="13_ncr:1_{EA660F90-D6FE-42C8-9F78-7FB4F5F4D1F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Sheet1" sheetId="6" r:id="rId1"/>
    <sheet name="Sheet4" sheetId="5" r:id="rId2"/>
    <sheet name="Sheet2" sheetId="7" r:id="rId3"/>
  </sheets>
  <externalReferences>
    <externalReference r:id="rId4"/>
  </externalReferences>
  <calcPr calcId="181029"/>
</workbook>
</file>

<file path=xl/calcChain.xml><?xml version="1.0" encoding="utf-8"?>
<calcChain xmlns="http://schemas.openxmlformats.org/spreadsheetml/2006/main">
  <c r="O22" i="6" l="1"/>
  <c r="O14" i="6"/>
  <c r="O18" i="5"/>
  <c r="O20" i="5" s="1"/>
  <c r="O19" i="5"/>
  <c r="O16" i="5"/>
  <c r="O17" i="5"/>
  <c r="O14" i="5"/>
  <c r="N13" i="5"/>
  <c r="D7" i="5"/>
  <c r="O18" i="6"/>
  <c r="F13" i="7"/>
  <c r="F12" i="7"/>
  <c r="F11" i="7"/>
  <c r="F10" i="7"/>
  <c r="F9" i="7"/>
  <c r="F2" i="7"/>
  <c r="E2" i="7"/>
  <c r="C2" i="7"/>
  <c r="C16" i="5"/>
  <c r="C17" i="5" s="1"/>
  <c r="D9" i="5"/>
  <c r="D10" i="5" s="1"/>
  <c r="D11" i="5" s="1"/>
  <c r="M13" i="5" s="1"/>
  <c r="O12" i="6"/>
  <c r="P12" i="6" s="1"/>
  <c r="Q12" i="6" s="1"/>
  <c r="O11" i="6"/>
  <c r="O10" i="6"/>
  <c r="O9" i="6"/>
  <c r="P9" i="6" s="1"/>
  <c r="O8" i="6"/>
  <c r="O7" i="6"/>
  <c r="P7" i="6" s="1"/>
  <c r="Q7" i="6" s="1"/>
  <c r="P6" i="6"/>
  <c r="Q6" i="6" s="1"/>
  <c r="O6" i="6"/>
  <c r="O5" i="6"/>
  <c r="O4" i="6"/>
  <c r="O3" i="6"/>
  <c r="P3" i="6" s="1"/>
  <c r="K12" i="6"/>
  <c r="K11" i="6"/>
  <c r="K10" i="6"/>
  <c r="K9" i="6"/>
  <c r="K8" i="6"/>
  <c r="K7" i="6"/>
  <c r="K6" i="6"/>
  <c r="K5" i="6"/>
  <c r="K4" i="6"/>
  <c r="K3" i="6"/>
  <c r="J1" i="6"/>
  <c r="J12" i="6"/>
  <c r="J11" i="6"/>
  <c r="J10" i="6"/>
  <c r="J9" i="6"/>
  <c r="J8" i="6"/>
  <c r="J7" i="6"/>
  <c r="J6" i="6"/>
  <c r="J5" i="6"/>
  <c r="J4" i="6"/>
  <c r="J3" i="6"/>
  <c r="G13" i="5"/>
  <c r="J7" i="5"/>
  <c r="J6" i="5"/>
  <c r="J5" i="5"/>
  <c r="O13" i="5" l="1"/>
  <c r="P10" i="6"/>
  <c r="Q10" i="6" s="1"/>
  <c r="P11" i="6"/>
  <c r="Q11" i="6" s="1"/>
  <c r="Q3" i="6"/>
  <c r="O1" i="6"/>
  <c r="Q9" i="6"/>
  <c r="P5" i="6"/>
  <c r="Q5" i="6" s="1"/>
  <c r="P4" i="6"/>
  <c r="Q4" i="6" s="1"/>
  <c r="P8" i="6"/>
  <c r="Q8" i="6" s="1"/>
  <c r="P1" i="6" l="1"/>
  <c r="Q1" i="6"/>
</calcChain>
</file>

<file path=xl/sharedStrings.xml><?xml version="1.0" encoding="utf-8"?>
<sst xmlns="http://schemas.openxmlformats.org/spreadsheetml/2006/main" count="82" uniqueCount="63">
  <si>
    <t>TIR-1</t>
  </si>
  <si>
    <t>8 Satak</t>
  </si>
  <si>
    <t>TIR-3</t>
  </si>
  <si>
    <t>TIR-5</t>
  </si>
  <si>
    <t>TIR-6</t>
  </si>
  <si>
    <t>24 Satak</t>
  </si>
  <si>
    <t>22 Satak</t>
  </si>
  <si>
    <t>30 Satak</t>
  </si>
  <si>
    <t>Admin Building</t>
  </si>
  <si>
    <t>G+3</t>
  </si>
  <si>
    <t>RCC with Shed</t>
  </si>
  <si>
    <t>Avreage</t>
  </si>
  <si>
    <t>L</t>
  </si>
  <si>
    <t>W</t>
  </si>
  <si>
    <t>Labour Quarter &amp; Security</t>
  </si>
  <si>
    <t>G+2</t>
  </si>
  <si>
    <t>RCC</t>
  </si>
  <si>
    <t>Generator Room</t>
  </si>
  <si>
    <t>G</t>
  </si>
  <si>
    <t>Main production shed</t>
  </si>
  <si>
    <t>10ft</t>
  </si>
  <si>
    <t>12ft</t>
  </si>
  <si>
    <t>32ft</t>
  </si>
  <si>
    <t>ACC shed</t>
  </si>
  <si>
    <t>Connecting shed</t>
  </si>
  <si>
    <t>22ft</t>
  </si>
  <si>
    <t>Brick wall GI Shed</t>
  </si>
  <si>
    <t>Store Room</t>
  </si>
  <si>
    <t>40ft</t>
  </si>
  <si>
    <t>Store Room 2 &amp; 3</t>
  </si>
  <si>
    <t>G+1</t>
  </si>
  <si>
    <t>Godown-1</t>
  </si>
  <si>
    <t>Godown-1 Extension</t>
  </si>
  <si>
    <t>Godown-2</t>
  </si>
  <si>
    <t>33ft</t>
  </si>
  <si>
    <t>Area (Sqft)</t>
  </si>
  <si>
    <t>Age</t>
  </si>
  <si>
    <t>EL</t>
  </si>
  <si>
    <t>SV</t>
  </si>
  <si>
    <t>CoC</t>
  </si>
  <si>
    <t>GCRC</t>
  </si>
  <si>
    <t>Dep.</t>
  </si>
  <si>
    <t>DRC</t>
  </si>
  <si>
    <t>Name</t>
  </si>
  <si>
    <t>Floors</t>
  </si>
  <si>
    <t>Height</t>
  </si>
  <si>
    <t>Type</t>
  </si>
  <si>
    <t>Acre</t>
  </si>
  <si>
    <t>Sqm</t>
  </si>
  <si>
    <t>Sq.ft.</t>
  </si>
  <si>
    <t>katha</t>
  </si>
  <si>
    <t>per acre</t>
  </si>
  <si>
    <t>Land Area</t>
  </si>
  <si>
    <t>Katha</t>
  </si>
  <si>
    <t>Rate</t>
  </si>
  <si>
    <t>FMV</t>
  </si>
  <si>
    <t>https://www.realestateindia.com/property-detail/residential-plot-for-sale-in-polba-hooghly-1-bigha-20-lac-1254474.htm</t>
  </si>
  <si>
    <t>https://findauction.in/auction/centralbankofindia/land-in-polba-hooghly-1008488</t>
  </si>
  <si>
    <t>Building</t>
  </si>
  <si>
    <t>Asthetics</t>
  </si>
  <si>
    <t>P&amp;M</t>
  </si>
  <si>
    <t>RV</t>
  </si>
  <si>
    <t>DV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</si>
</sst>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43" fontId="0" fillId="0" borderId="0" xfId="2" applyFont="1"/>
    <xf numFmtId="4" fontId="0" fillId="0" borderId="0" xfId="0" applyNumberFormat="1"/>
    <xf numFmtId="164" fontId="0" fillId="0" borderId="0" xfId="2" applyNumberFormat="1" applyFont="1"/>
    <xf numFmtId="9" fontId="0" fillId="0" borderId="0" xfId="0" applyNumberFormat="1"/>
    <xf numFmtId="164" fontId="1" fillId="0" borderId="0" xfId="2" applyNumberFormat="1" applyFont="1" applyAlignment="1">
      <alignment horizontal="center" vertical="center"/>
    </xf>
    <xf numFmtId="164" fontId="0" fillId="0" borderId="0" xfId="0" applyNumberFormat="1"/>
    <xf numFmtId="43" fontId="0" fillId="0" borderId="0" xfId="0" applyNumberFormat="1"/>
    <xf numFmtId="164" fontId="1" fillId="0" borderId="0" xfId="2" applyNumberFormat="1" applyFont="1"/>
  </cellXfs>
  <cellStyles count="3">
    <cellStyle name="Comma" xfId="2" builtinId="3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bhinav%20Chaturvedi's%20Assignments\In-Progress\VIS(2024-25)-PL747-671-917_Lalwani%20Ferro%20Alloys%20Ltd\Report\P&amp;M%20Valuation.xlsx" TargetMode="External"/><Relationship Id="rId1" Type="http://schemas.openxmlformats.org/officeDocument/2006/relationships/externalLinkPath" Target="P&amp;M%20Valu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MONTHLY_INDEX"/>
    </sheetNames>
    <sheetDataSet>
      <sheetData sheetId="0">
        <row r="2">
          <cell r="V2">
            <v>17331362.981668036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C2C35-6DEB-4DEF-883D-1877DAE6114C}">
  <dimension ref="B1:Q23"/>
  <sheetViews>
    <sheetView workbookViewId="0">
      <selection activeCell="O22" sqref="O22"/>
    </sheetView>
  </sheetViews>
  <sheetFormatPr defaultRowHeight="15" x14ac:dyDescent="0.25"/>
  <cols>
    <col min="2" max="2" width="14.7109375" bestFit="1" customWidth="1"/>
    <col min="5" max="5" width="0" hidden="1" customWidth="1"/>
    <col min="6" max="6" width="16.7109375" bestFit="1" customWidth="1"/>
    <col min="7" max="9" width="0" hidden="1" customWidth="1"/>
    <col min="10" max="10" width="10" style="5" bestFit="1" customWidth="1"/>
    <col min="12" max="12" width="7.140625" customWidth="1"/>
    <col min="13" max="13" width="6.85546875" customWidth="1"/>
    <col min="14" max="14" width="7" customWidth="1"/>
    <col min="15" max="15" width="14.28515625" style="5" bestFit="1" customWidth="1"/>
    <col min="16" max="16" width="12.5703125" style="5" bestFit="1" customWidth="1"/>
    <col min="17" max="17" width="14.28515625" style="5" bestFit="1" customWidth="1"/>
  </cols>
  <sheetData>
    <row r="1" spans="2:17" x14ac:dyDescent="0.25">
      <c r="J1" s="5">
        <f>SUM(J3:J12)</f>
        <v>29449.883900000001</v>
      </c>
      <c r="K1">
        <v>2025</v>
      </c>
      <c r="O1" s="5">
        <f t="shared" ref="O1:Q1" si="0">SUM(O3:O12)</f>
        <v>32060079.899999999</v>
      </c>
      <c r="P1" s="5">
        <f t="shared" si="0"/>
        <v>7144654.5267777769</v>
      </c>
      <c r="Q1" s="5">
        <f t="shared" si="0"/>
        <v>24915425.373222221</v>
      </c>
    </row>
    <row r="2" spans="2:17" s="1" customFormat="1" x14ac:dyDescent="0.25">
      <c r="B2" s="1" t="s">
        <v>43</v>
      </c>
      <c r="C2" s="1" t="s">
        <v>44</v>
      </c>
      <c r="D2" s="1" t="s">
        <v>45</v>
      </c>
      <c r="F2" s="1" t="s">
        <v>46</v>
      </c>
      <c r="H2" s="1" t="s">
        <v>12</v>
      </c>
      <c r="I2" s="1" t="s">
        <v>13</v>
      </c>
      <c r="J2" s="7" t="s">
        <v>35</v>
      </c>
      <c r="K2" s="1" t="s">
        <v>36</v>
      </c>
      <c r="L2" s="1" t="s">
        <v>37</v>
      </c>
      <c r="M2" s="1" t="s">
        <v>38</v>
      </c>
      <c r="N2" s="1" t="s">
        <v>39</v>
      </c>
      <c r="O2" s="7" t="s">
        <v>40</v>
      </c>
      <c r="P2" s="7" t="s">
        <v>41</v>
      </c>
      <c r="Q2" s="7" t="s">
        <v>42</v>
      </c>
    </row>
    <row r="3" spans="2:17" x14ac:dyDescent="0.25">
      <c r="B3" t="s">
        <v>8</v>
      </c>
      <c r="C3" t="s">
        <v>9</v>
      </c>
      <c r="D3" t="s">
        <v>20</v>
      </c>
      <c r="E3">
        <v>2014</v>
      </c>
      <c r="F3" t="s">
        <v>10</v>
      </c>
      <c r="G3" t="s">
        <v>11</v>
      </c>
      <c r="H3">
        <v>76.28</v>
      </c>
      <c r="I3">
        <v>16</v>
      </c>
      <c r="J3" s="5">
        <f>I3*H3</f>
        <v>1220.48</v>
      </c>
      <c r="K3">
        <f>$K$1-E3</f>
        <v>11</v>
      </c>
      <c r="L3">
        <v>45</v>
      </c>
      <c r="M3" s="6">
        <v>0.95</v>
      </c>
      <c r="N3">
        <v>1200</v>
      </c>
      <c r="O3" s="5">
        <f>N3*J3</f>
        <v>1464576</v>
      </c>
      <c r="P3" s="5">
        <f>O3*(M3/L3)*K3</f>
        <v>340107.09333333332</v>
      </c>
      <c r="Q3" s="5">
        <f>O3-P3</f>
        <v>1124468.9066666667</v>
      </c>
    </row>
    <row r="4" spans="2:17" x14ac:dyDescent="0.25">
      <c r="B4" t="s">
        <v>14</v>
      </c>
      <c r="C4" t="s">
        <v>15</v>
      </c>
      <c r="D4" t="s">
        <v>20</v>
      </c>
      <c r="E4">
        <v>2014</v>
      </c>
      <c r="F4" t="s">
        <v>16</v>
      </c>
      <c r="H4">
        <v>80</v>
      </c>
      <c r="I4">
        <v>36</v>
      </c>
      <c r="J4" s="5">
        <f t="shared" ref="J4:J12" si="1">I4*H4</f>
        <v>2880</v>
      </c>
      <c r="K4">
        <f t="shared" ref="K4:K12" si="2">$K$1-E4</f>
        <v>11</v>
      </c>
      <c r="L4">
        <v>60</v>
      </c>
      <c r="M4" s="6">
        <v>0.95</v>
      </c>
      <c r="N4">
        <v>1200</v>
      </c>
      <c r="O4" s="5">
        <f t="shared" ref="O4:O12" si="3">N4*J4</f>
        <v>3456000</v>
      </c>
      <c r="P4" s="5">
        <f t="shared" ref="P4:P12" si="4">O4*(M4/L4)*K4</f>
        <v>601919.99999999988</v>
      </c>
      <c r="Q4" s="5">
        <f t="shared" ref="Q4:Q12" si="5">O4-P4</f>
        <v>2854080</v>
      </c>
    </row>
    <row r="5" spans="2:17" x14ac:dyDescent="0.25">
      <c r="B5" t="s">
        <v>17</v>
      </c>
      <c r="C5" t="s">
        <v>18</v>
      </c>
      <c r="D5" t="s">
        <v>21</v>
      </c>
      <c r="E5">
        <v>2014</v>
      </c>
      <c r="F5" t="s">
        <v>16</v>
      </c>
      <c r="H5">
        <v>56</v>
      </c>
      <c r="I5">
        <v>16</v>
      </c>
      <c r="J5" s="5">
        <f t="shared" si="1"/>
        <v>896</v>
      </c>
      <c r="K5">
        <f t="shared" si="2"/>
        <v>11</v>
      </c>
      <c r="L5">
        <v>60</v>
      </c>
      <c r="M5" s="6">
        <v>0.95</v>
      </c>
      <c r="N5">
        <v>1000</v>
      </c>
      <c r="O5" s="5">
        <f t="shared" si="3"/>
        <v>896000</v>
      </c>
      <c r="P5" s="5">
        <f t="shared" si="4"/>
        <v>156053.33333333331</v>
      </c>
      <c r="Q5" s="5">
        <f t="shared" si="5"/>
        <v>739946.66666666674</v>
      </c>
    </row>
    <row r="6" spans="2:17" x14ac:dyDescent="0.25">
      <c r="B6" t="s">
        <v>19</v>
      </c>
      <c r="C6" t="s">
        <v>18</v>
      </c>
      <c r="D6" t="s">
        <v>22</v>
      </c>
      <c r="E6">
        <v>2014</v>
      </c>
      <c r="F6" t="s">
        <v>23</v>
      </c>
      <c r="H6">
        <v>120</v>
      </c>
      <c r="I6">
        <v>130</v>
      </c>
      <c r="J6" s="5">
        <f t="shared" si="1"/>
        <v>15600</v>
      </c>
      <c r="K6">
        <f t="shared" si="2"/>
        <v>11</v>
      </c>
      <c r="L6">
        <v>45</v>
      </c>
      <c r="M6" s="6">
        <v>0.95</v>
      </c>
      <c r="N6">
        <v>1100</v>
      </c>
      <c r="O6" s="5">
        <f t="shared" si="3"/>
        <v>17160000</v>
      </c>
      <c r="P6" s="5">
        <f t="shared" si="4"/>
        <v>3984933.3333333335</v>
      </c>
      <c r="Q6" s="5">
        <f t="shared" si="5"/>
        <v>13175066.666666666</v>
      </c>
    </row>
    <row r="7" spans="2:17" x14ac:dyDescent="0.25">
      <c r="B7" t="s">
        <v>24</v>
      </c>
      <c r="C7" t="s">
        <v>18</v>
      </c>
      <c r="D7" t="s">
        <v>25</v>
      </c>
      <c r="E7">
        <v>2014</v>
      </c>
      <c r="F7" t="s">
        <v>26</v>
      </c>
      <c r="H7">
        <v>24.17</v>
      </c>
      <c r="I7">
        <v>63.67</v>
      </c>
      <c r="J7" s="5">
        <f t="shared" si="1"/>
        <v>1538.9039000000002</v>
      </c>
      <c r="K7">
        <f t="shared" si="2"/>
        <v>11</v>
      </c>
      <c r="L7">
        <v>45</v>
      </c>
      <c r="M7" s="6">
        <v>0.95</v>
      </c>
      <c r="N7">
        <v>1000</v>
      </c>
      <c r="O7" s="5">
        <f t="shared" si="3"/>
        <v>1538903.9000000001</v>
      </c>
      <c r="P7" s="5">
        <f t="shared" si="4"/>
        <v>357367.6834444445</v>
      </c>
      <c r="Q7" s="5">
        <f t="shared" si="5"/>
        <v>1181536.2165555556</v>
      </c>
    </row>
    <row r="8" spans="2:17" x14ac:dyDescent="0.25">
      <c r="B8" t="s">
        <v>27</v>
      </c>
      <c r="C8" t="s">
        <v>18</v>
      </c>
      <c r="D8" t="s">
        <v>28</v>
      </c>
      <c r="E8">
        <v>2014</v>
      </c>
      <c r="F8" t="s">
        <v>26</v>
      </c>
      <c r="H8">
        <v>39</v>
      </c>
      <c r="I8">
        <v>59</v>
      </c>
      <c r="J8" s="5">
        <f t="shared" si="1"/>
        <v>2301</v>
      </c>
      <c r="K8">
        <f t="shared" si="2"/>
        <v>11</v>
      </c>
      <c r="L8">
        <v>45</v>
      </c>
      <c r="M8" s="6">
        <v>0.95</v>
      </c>
      <c r="N8">
        <v>1100</v>
      </c>
      <c r="O8" s="5">
        <f t="shared" si="3"/>
        <v>2531100</v>
      </c>
      <c r="P8" s="5">
        <f t="shared" si="4"/>
        <v>587777.66666666674</v>
      </c>
      <c r="Q8" s="5">
        <f t="shared" si="5"/>
        <v>1943322.3333333333</v>
      </c>
    </row>
    <row r="9" spans="2:17" x14ac:dyDescent="0.25">
      <c r="B9" t="s">
        <v>29</v>
      </c>
      <c r="C9" t="s">
        <v>30</v>
      </c>
      <c r="D9" t="s">
        <v>20</v>
      </c>
      <c r="E9">
        <v>2014</v>
      </c>
      <c r="F9" t="s">
        <v>16</v>
      </c>
      <c r="H9">
        <v>35</v>
      </c>
      <c r="I9">
        <v>23.5</v>
      </c>
      <c r="J9" s="5">
        <f t="shared" si="1"/>
        <v>822.5</v>
      </c>
      <c r="K9">
        <f t="shared" si="2"/>
        <v>11</v>
      </c>
      <c r="L9">
        <v>60</v>
      </c>
      <c r="M9" s="6">
        <v>0.95</v>
      </c>
      <c r="N9">
        <v>1000</v>
      </c>
      <c r="O9" s="5">
        <f t="shared" si="3"/>
        <v>822500</v>
      </c>
      <c r="P9" s="5">
        <f t="shared" si="4"/>
        <v>143252.08333333331</v>
      </c>
      <c r="Q9" s="5">
        <f t="shared" si="5"/>
        <v>679247.91666666674</v>
      </c>
    </row>
    <row r="10" spans="2:17" x14ac:dyDescent="0.25">
      <c r="B10" t="s">
        <v>31</v>
      </c>
      <c r="C10" t="s">
        <v>18</v>
      </c>
      <c r="D10" t="s">
        <v>34</v>
      </c>
      <c r="E10">
        <v>2014</v>
      </c>
      <c r="F10" t="s">
        <v>26</v>
      </c>
      <c r="H10">
        <v>49</v>
      </c>
      <c r="I10">
        <v>49</v>
      </c>
      <c r="J10" s="5">
        <f t="shared" si="1"/>
        <v>2401</v>
      </c>
      <c r="K10">
        <f t="shared" si="2"/>
        <v>11</v>
      </c>
      <c r="L10">
        <v>45</v>
      </c>
      <c r="M10" s="6">
        <v>0.95</v>
      </c>
      <c r="N10">
        <v>1000</v>
      </c>
      <c r="O10" s="5">
        <f t="shared" si="3"/>
        <v>2401000</v>
      </c>
      <c r="P10" s="5">
        <f t="shared" si="4"/>
        <v>557565.55555555562</v>
      </c>
      <c r="Q10" s="5">
        <f t="shared" si="5"/>
        <v>1843434.4444444445</v>
      </c>
    </row>
    <row r="11" spans="2:17" x14ac:dyDescent="0.25">
      <c r="B11" t="s">
        <v>32</v>
      </c>
      <c r="C11" t="s">
        <v>18</v>
      </c>
      <c r="D11" t="s">
        <v>34</v>
      </c>
      <c r="E11">
        <v>2014</v>
      </c>
      <c r="F11" t="s">
        <v>26</v>
      </c>
      <c r="H11">
        <v>20</v>
      </c>
      <c r="I11">
        <v>12</v>
      </c>
      <c r="J11" s="5">
        <f t="shared" si="1"/>
        <v>240</v>
      </c>
      <c r="K11">
        <f t="shared" si="2"/>
        <v>11</v>
      </c>
      <c r="L11">
        <v>45</v>
      </c>
      <c r="M11" s="6">
        <v>0.95</v>
      </c>
      <c r="N11">
        <v>1000</v>
      </c>
      <c r="O11" s="5">
        <f t="shared" si="3"/>
        <v>240000</v>
      </c>
      <c r="P11" s="5">
        <f t="shared" si="4"/>
        <v>55733.333333333336</v>
      </c>
      <c r="Q11" s="5">
        <f t="shared" si="5"/>
        <v>184266.66666666666</v>
      </c>
    </row>
    <row r="12" spans="2:17" x14ac:dyDescent="0.25">
      <c r="B12" t="s">
        <v>33</v>
      </c>
      <c r="C12" t="s">
        <v>18</v>
      </c>
      <c r="D12" t="s">
        <v>34</v>
      </c>
      <c r="E12">
        <v>2014</v>
      </c>
      <c r="F12" t="s">
        <v>26</v>
      </c>
      <c r="H12">
        <v>50</v>
      </c>
      <c r="I12">
        <v>31</v>
      </c>
      <c r="J12" s="5">
        <f t="shared" si="1"/>
        <v>1550</v>
      </c>
      <c r="K12">
        <f t="shared" si="2"/>
        <v>11</v>
      </c>
      <c r="L12">
        <v>45</v>
      </c>
      <c r="M12" s="6">
        <v>0.95</v>
      </c>
      <c r="N12">
        <v>1000</v>
      </c>
      <c r="O12" s="5">
        <f t="shared" si="3"/>
        <v>1550000</v>
      </c>
      <c r="P12" s="5">
        <f t="shared" si="4"/>
        <v>359944.44444444444</v>
      </c>
      <c r="Q12" s="5">
        <f t="shared" si="5"/>
        <v>1190055.5555555555</v>
      </c>
    </row>
    <row r="14" spans="2:17" x14ac:dyDescent="0.25">
      <c r="O14" s="5">
        <f>O1*0.8</f>
        <v>25648063.920000002</v>
      </c>
    </row>
    <row r="17" spans="15:16" x14ac:dyDescent="0.25">
      <c r="O17" s="5">
        <v>230</v>
      </c>
    </row>
    <row r="18" spans="15:16" x14ac:dyDescent="0.25">
      <c r="O18" s="5">
        <f>O17*4000</f>
        <v>920000</v>
      </c>
    </row>
    <row r="21" spans="15:16" x14ac:dyDescent="0.25">
      <c r="O21" s="5">
        <v>5519.8</v>
      </c>
    </row>
    <row r="22" spans="15:16" x14ac:dyDescent="0.25">
      <c r="O22" s="3">
        <f>O21/4046.845</f>
        <v>1.3639761344948969</v>
      </c>
    </row>
    <row r="23" spans="15:16" x14ac:dyDescent="0.25">
      <c r="O23" s="3"/>
      <c r="P2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Q20"/>
  <sheetViews>
    <sheetView tabSelected="1" workbookViewId="0">
      <selection activeCell="K21" sqref="K21"/>
    </sheetView>
  </sheetViews>
  <sheetFormatPr defaultRowHeight="15" x14ac:dyDescent="0.25"/>
  <cols>
    <col min="3" max="3" width="11.5703125" bestFit="1" customWidth="1"/>
    <col min="4" max="4" width="7.42578125" bestFit="1" customWidth="1"/>
    <col min="14" max="14" width="10" style="5" bestFit="1" customWidth="1"/>
    <col min="15" max="15" width="11.5703125" style="5" bestFit="1" customWidth="1"/>
    <col min="17" max="17" width="14.28515625" bestFit="1" customWidth="1"/>
  </cols>
  <sheetData>
    <row r="3" spans="2:17" s="1" customFormat="1" x14ac:dyDescent="0.25">
      <c r="B3" s="1" t="s">
        <v>0</v>
      </c>
      <c r="C3" t="s">
        <v>1</v>
      </c>
      <c r="D3" s="2">
        <v>8</v>
      </c>
      <c r="N3" s="7"/>
      <c r="O3" s="7"/>
    </row>
    <row r="4" spans="2:17" x14ac:dyDescent="0.25">
      <c r="B4" s="1" t="s">
        <v>2</v>
      </c>
      <c r="C4" t="s">
        <v>5</v>
      </c>
      <c r="D4">
        <v>24</v>
      </c>
    </row>
    <row r="5" spans="2:17" x14ac:dyDescent="0.25">
      <c r="B5" s="1" t="s">
        <v>3</v>
      </c>
      <c r="C5" t="s">
        <v>6</v>
      </c>
      <c r="D5">
        <v>22</v>
      </c>
      <c r="I5">
        <v>82512</v>
      </c>
      <c r="J5">
        <f>I5/1000</f>
        <v>82.512</v>
      </c>
    </row>
    <row r="6" spans="2:17" x14ac:dyDescent="0.25">
      <c r="B6" s="1" t="s">
        <v>4</v>
      </c>
      <c r="C6" t="s">
        <v>7</v>
      </c>
      <c r="D6">
        <v>30</v>
      </c>
      <c r="I6">
        <v>87212</v>
      </c>
      <c r="J6">
        <f>I6/1000</f>
        <v>87.212000000000003</v>
      </c>
    </row>
    <row r="7" spans="2:17" x14ac:dyDescent="0.25">
      <c r="D7">
        <f>SUM(D3:D6)</f>
        <v>84</v>
      </c>
      <c r="J7" s="3">
        <f>J6*J5</f>
        <v>7196.0365440000005</v>
      </c>
    </row>
    <row r="8" spans="2:17" x14ac:dyDescent="0.25">
      <c r="C8" t="s">
        <v>47</v>
      </c>
      <c r="D8">
        <v>1</v>
      </c>
    </row>
    <row r="9" spans="2:17" x14ac:dyDescent="0.25">
      <c r="C9" t="s">
        <v>48</v>
      </c>
      <c r="D9" s="5">
        <f>D8*4046.845</f>
        <v>4046.8449999999998</v>
      </c>
    </row>
    <row r="10" spans="2:17" x14ac:dyDescent="0.25">
      <c r="C10" t="s">
        <v>49</v>
      </c>
      <c r="D10" s="5">
        <f>D9*10.764</f>
        <v>43560.239579999994</v>
      </c>
    </row>
    <row r="11" spans="2:17" x14ac:dyDescent="0.25">
      <c r="C11" t="s">
        <v>50</v>
      </c>
      <c r="D11" s="9">
        <f>D10/720</f>
        <v>60.500332749999991</v>
      </c>
      <c r="N11" s="5">
        <v>9</v>
      </c>
    </row>
    <row r="12" spans="2:17" x14ac:dyDescent="0.25">
      <c r="D12" s="9"/>
      <c r="G12" s="4">
        <v>12491</v>
      </c>
      <c r="M12" s="1" t="s">
        <v>53</v>
      </c>
      <c r="N12" s="7" t="s">
        <v>54</v>
      </c>
      <c r="O12" s="7" t="s">
        <v>55</v>
      </c>
    </row>
    <row r="13" spans="2:17" x14ac:dyDescent="0.25">
      <c r="G13" s="3">
        <f>G12/4046.845</f>
        <v>3.0866020319532872</v>
      </c>
      <c r="L13" t="s">
        <v>52</v>
      </c>
      <c r="M13" s="9">
        <f>D11</f>
        <v>60.500332749999991</v>
      </c>
      <c r="N13" s="5">
        <f>N11*10^5</f>
        <v>900000</v>
      </c>
      <c r="O13" s="5">
        <f>N13*M13</f>
        <v>54450299.474999994</v>
      </c>
      <c r="Q13" s="5">
        <v>20250000</v>
      </c>
    </row>
    <row r="14" spans="2:17" x14ac:dyDescent="0.25">
      <c r="L14" t="s">
        <v>58</v>
      </c>
      <c r="O14" s="5">
        <f>Sheet1!Q1</f>
        <v>24915425.373222221</v>
      </c>
    </row>
    <row r="15" spans="2:17" x14ac:dyDescent="0.25">
      <c r="L15" t="s">
        <v>59</v>
      </c>
      <c r="O15" s="5">
        <v>1000000</v>
      </c>
    </row>
    <row r="16" spans="2:17" x14ac:dyDescent="0.25">
      <c r="C16">
        <f>99.53*10^5</f>
        <v>9953000</v>
      </c>
      <c r="D16" t="s">
        <v>51</v>
      </c>
      <c r="L16" t="s">
        <v>60</v>
      </c>
      <c r="O16" s="5">
        <f>[1]Sheet1!$V$2</f>
        <v>17331362.981668036</v>
      </c>
    </row>
    <row r="17" spans="3:15" x14ac:dyDescent="0.25">
      <c r="C17" s="5">
        <f>C16/60.5</f>
        <v>164512.39669421487</v>
      </c>
      <c r="O17" s="10">
        <f>SUM(O13:O16)</f>
        <v>97697087.829890251</v>
      </c>
    </row>
    <row r="18" spans="3:15" x14ac:dyDescent="0.25">
      <c r="N18" s="10" t="s">
        <v>55</v>
      </c>
      <c r="O18" s="10">
        <f>ROUND(O17,-6)</f>
        <v>98000000</v>
      </c>
    </row>
    <row r="19" spans="3:15" x14ac:dyDescent="0.25">
      <c r="N19" s="10" t="s">
        <v>61</v>
      </c>
      <c r="O19" s="10">
        <f>O18*0.85</f>
        <v>83300000</v>
      </c>
    </row>
    <row r="20" spans="3:15" x14ac:dyDescent="0.25">
      <c r="N20" s="10" t="s">
        <v>62</v>
      </c>
      <c r="O20" s="10">
        <f>O18*0.75</f>
        <v>73500000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82B3C-1E7D-4F82-A989-5A13A5EA1073}">
  <dimension ref="B1:G13"/>
  <sheetViews>
    <sheetView workbookViewId="0">
      <selection activeCell="J16" sqref="J16"/>
    </sheetView>
  </sheetViews>
  <sheetFormatPr defaultRowHeight="15" x14ac:dyDescent="0.25"/>
  <cols>
    <col min="5" max="5" width="12.5703125" bestFit="1" customWidth="1"/>
    <col min="6" max="6" width="11.5703125" bestFit="1" customWidth="1"/>
  </cols>
  <sheetData>
    <row r="1" spans="2:7" x14ac:dyDescent="0.25">
      <c r="D1" t="s">
        <v>49</v>
      </c>
      <c r="E1" t="s">
        <v>53</v>
      </c>
    </row>
    <row r="2" spans="2:7" x14ac:dyDescent="0.25">
      <c r="B2">
        <v>20</v>
      </c>
      <c r="C2">
        <f>B2*10^5</f>
        <v>2000000</v>
      </c>
      <c r="D2">
        <v>17452</v>
      </c>
      <c r="E2">
        <f>D2/720</f>
        <v>24.238888888888887</v>
      </c>
      <c r="F2" s="5">
        <f>C2/E2</f>
        <v>82512.033004813202</v>
      </c>
      <c r="G2" t="s">
        <v>56</v>
      </c>
    </row>
    <row r="3" spans="2:7" x14ac:dyDescent="0.25">
      <c r="G3" t="s">
        <v>57</v>
      </c>
    </row>
    <row r="8" spans="2:7" x14ac:dyDescent="0.25">
      <c r="E8" s="5">
        <v>1880000</v>
      </c>
      <c r="F8">
        <v>3.25</v>
      </c>
    </row>
    <row r="9" spans="2:7" x14ac:dyDescent="0.25">
      <c r="F9">
        <f>F8/100</f>
        <v>3.2500000000000001E-2</v>
      </c>
    </row>
    <row r="10" spans="2:7" x14ac:dyDescent="0.25">
      <c r="F10">
        <f>F9*4046.845</f>
        <v>131.52246249999999</v>
      </c>
    </row>
    <row r="11" spans="2:7" x14ac:dyDescent="0.25">
      <c r="F11">
        <f>F10*10.764</f>
        <v>1415.7077863499999</v>
      </c>
    </row>
    <row r="12" spans="2:7" x14ac:dyDescent="0.25">
      <c r="F12">
        <f>F11/720</f>
        <v>1.9662608143749998</v>
      </c>
    </row>
    <row r="13" spans="2:7" x14ac:dyDescent="0.25">
      <c r="F13" s="8">
        <f>E8/F12</f>
        <v>956129.51560425677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Sheet4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Mohit Agarwal</dc:creator>
  <cp:lastModifiedBy>Abhinav Chaturvedi</cp:lastModifiedBy>
  <dcterms:created xsi:type="dcterms:W3CDTF">2016-02-17T05:50:56Z</dcterms:created>
  <dcterms:modified xsi:type="dcterms:W3CDTF">2025-03-19T14:03:03Z</dcterms:modified>
</cp:coreProperties>
</file>