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Anuj Sharma\VIS(2024-25)-PL754-679-928-C Fan Electrical\Working\"/>
    </mc:Choice>
  </mc:AlternateContent>
  <bookViews>
    <workbookView xWindow="0" yWindow="0" windowWidth="24000" windowHeight="11025"/>
  </bookViews>
  <sheets>
    <sheet name="Sheet1" sheetId="4" r:id="rId1"/>
    <sheet name="Sheet2" sheetId="6" r:id="rId2"/>
    <sheet name="Boundary Wall Length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4" l="1"/>
  <c r="AA3" i="4"/>
  <c r="Y24" i="4"/>
  <c r="Y22" i="4"/>
  <c r="W22" i="4"/>
  <c r="U4" i="4" l="1"/>
  <c r="U6" i="4" s="1"/>
  <c r="U5" i="4"/>
  <c r="U3" i="4"/>
  <c r="Q17" i="6"/>
  <c r="O27" i="6"/>
  <c r="O30" i="6" s="1"/>
  <c r="N20" i="4"/>
  <c r="AB20" i="4" l="1"/>
  <c r="AB19" i="4"/>
  <c r="AB18" i="4"/>
  <c r="L21" i="6"/>
  <c r="K19" i="6"/>
  <c r="I16" i="6" l="1"/>
  <c r="N13" i="6"/>
  <c r="N15" i="6" l="1"/>
  <c r="F4" i="4"/>
  <c r="F5" i="4"/>
  <c r="F3" i="4"/>
  <c r="AD16" i="4"/>
  <c r="AC16" i="4"/>
  <c r="AC3" i="4"/>
  <c r="AB15" i="4"/>
  <c r="X3" i="4"/>
  <c r="F12" i="6" l="1"/>
  <c r="H4" i="4" l="1"/>
  <c r="H5" i="4"/>
  <c r="P5" i="4" s="1"/>
  <c r="N4" i="4"/>
  <c r="N5" i="4"/>
  <c r="K4" i="4"/>
  <c r="K5" i="4"/>
  <c r="Q5" i="4" l="1"/>
  <c r="S5" i="4" s="1"/>
  <c r="N3" i="4"/>
  <c r="K3" i="4"/>
  <c r="H3" i="4" l="1"/>
  <c r="P3" i="4" s="1"/>
  <c r="Q3" i="4" s="1"/>
  <c r="S3" i="4" s="1"/>
  <c r="P4" i="4" l="1"/>
  <c r="Q4" i="4" s="1"/>
  <c r="S4" i="4" s="1"/>
  <c r="Y18" i="4" l="1"/>
  <c r="D9" i="5"/>
  <c r="D10" i="5" s="1"/>
  <c r="F10" i="5" s="1"/>
  <c r="I4" i="5"/>
  <c r="J4" i="5" s="1"/>
  <c r="K4" i="5" s="1"/>
  <c r="L4" i="5" s="1"/>
  <c r="I3" i="5"/>
  <c r="J3" i="5" l="1"/>
  <c r="K3" i="5" s="1"/>
  <c r="L3" i="5" s="1"/>
  <c r="L5" i="5" s="1"/>
  <c r="K5" i="5" l="1"/>
  <c r="K17" i="4"/>
  <c r="M16" i="4"/>
  <c r="N16" i="4" s="1"/>
  <c r="J15" i="4"/>
  <c r="G6" i="4"/>
  <c r="F6" i="4" s="1"/>
  <c r="N17" i="4" l="1"/>
  <c r="M17" i="4" s="1"/>
  <c r="R6" i="4"/>
  <c r="AA4" i="4"/>
  <c r="AA10" i="4" s="1"/>
  <c r="P6" i="4" l="1"/>
  <c r="AC9" i="4" s="1"/>
  <c r="Q6" i="4" l="1"/>
  <c r="S6" i="4"/>
  <c r="AC4" i="4" l="1"/>
  <c r="AD5" i="4" s="1"/>
  <c r="AE5" i="4" l="1"/>
  <c r="AC6" i="4" s="1"/>
  <c r="AC7" i="4" s="1"/>
  <c r="AC8" i="4" l="1"/>
</calcChain>
</file>

<file path=xl/sharedStrings.xml><?xml version="1.0" encoding="utf-8"?>
<sst xmlns="http://schemas.openxmlformats.org/spreadsheetml/2006/main" count="115" uniqueCount="80">
  <si>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</si>
  <si>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</si>
  <si>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</si>
  <si>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</si>
  <si>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</si>
  <si>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</si>
  <si>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</si>
  <si>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</si>
  <si>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</si>
  <si>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</si>
  <si>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</si>
  <si>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</si>
  <si>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</si>
  <si>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</si>
  <si>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</si>
  <si>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</si>
  <si>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</si>
  <si>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</si>
  <si>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</si>
  <si>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</si>
  <si>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</si>
  <si>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</si>
  <si>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</si>
  <si>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</si>
  <si>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</si>
  <si>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</si>
  <si>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</si>
  <si>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</si>
  <si>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</si>
  <si>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</si>
  <si>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</si>
  <si>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</si>
  <si>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</si>
  <si>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</si>
  <si>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</si>
  <si>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</si>
  <si>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</si>
  <si>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</si>
  <si>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Market Rate per sq.yds.</t>
  </si>
  <si>
    <t>S.No.</t>
  </si>
  <si>
    <t>Running   mtr.</t>
  </si>
  <si>
    <t>Height/Width (in ft.)</t>
  </si>
  <si>
    <t>CoC</t>
  </si>
  <si>
    <t>EL</t>
  </si>
  <si>
    <t>SV</t>
  </si>
  <si>
    <t>GCRC</t>
  </si>
  <si>
    <t>Dep.</t>
  </si>
  <si>
    <t>DRC</t>
  </si>
  <si>
    <t>LENGTH OF BOUNDARY WALL</t>
  </si>
  <si>
    <t>Internal Roads</t>
  </si>
  <si>
    <t>Total Built-up Area</t>
  </si>
  <si>
    <t xml:space="preserve">Floor </t>
  </si>
  <si>
    <t>GF</t>
  </si>
  <si>
    <t>Ground</t>
  </si>
  <si>
    <t>Built up Area</t>
  </si>
  <si>
    <t>Description</t>
  </si>
  <si>
    <t>Floor</t>
  </si>
  <si>
    <t>First</t>
  </si>
  <si>
    <t>Second</t>
  </si>
  <si>
    <t>Area (Sq.ft)</t>
  </si>
  <si>
    <t>M/S KALLURAM</t>
  </si>
  <si>
    <t xml:space="preserve">Ground </t>
  </si>
  <si>
    <t>Drawing room</t>
  </si>
  <si>
    <t>Lobby</t>
  </si>
  <si>
    <t>Bedroom</t>
  </si>
  <si>
    <t>Kitchen</t>
  </si>
  <si>
    <t>Toilet</t>
  </si>
  <si>
    <t>Pooja Room</t>
  </si>
  <si>
    <t>Room</t>
  </si>
  <si>
    <t>Mr. Kaluram</t>
  </si>
  <si>
    <t>Quantity</t>
  </si>
  <si>
    <t>Permissible</t>
  </si>
  <si>
    <t>FAR</t>
  </si>
  <si>
    <t xml:space="preserve">Permissible </t>
  </si>
  <si>
    <t>Construction Rate for RCC structure</t>
  </si>
  <si>
    <t>Area (Sq.mt)</t>
  </si>
  <si>
    <t>Total Cost (Rs.)</t>
  </si>
  <si>
    <t>Rate (Rs. Per sq.mt)</t>
  </si>
  <si>
    <t>Guideline construction rate (Sq.m.)</t>
  </si>
  <si>
    <t>Guideline value (INR)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</si>
</sst>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/>
    <xf numFmtId="164" fontId="0" fillId="0" borderId="0" xfId="1" applyNumberFormat="1" applyFont="1" applyBorder="1" applyAlignment="1">
      <alignment horizontal="center"/>
    </xf>
    <xf numFmtId="1" fontId="0" fillId="0" borderId="0" xfId="0" applyNumberFormat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0" fillId="5" borderId="0" xfId="0" applyNumberFormat="1" applyFill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2" fillId="7" borderId="0" xfId="0" applyFont="1" applyFill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3" fontId="0" fillId="0" borderId="0" xfId="1" applyFont="1"/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3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zoomScaleNormal="100" workbookViewId="0">
      <selection activeCell="Y24" sqref="Y24"/>
    </sheetView>
  </sheetViews>
  <sheetFormatPr defaultRowHeight="15" x14ac:dyDescent="0.25"/>
  <cols>
    <col min="1" max="1" width="4.28515625" customWidth="1"/>
    <col min="2" max="2" width="8.28515625" customWidth="1"/>
    <col min="3" max="3" width="7" hidden="1" customWidth="1"/>
    <col min="4" max="4" width="6.7109375" customWidth="1"/>
    <col min="5" max="5" width="8.85546875" hidden="1" customWidth="1"/>
    <col min="6" max="6" width="11.140625" customWidth="1"/>
    <col min="7" max="8" width="10" customWidth="1"/>
    <col min="9" max="9" width="12" customWidth="1"/>
    <col min="10" max="10" width="9.7109375" customWidth="1"/>
    <col min="11" max="11" width="10.140625" hidden="1" customWidth="1"/>
    <col min="12" max="12" width="10.7109375" hidden="1" customWidth="1"/>
    <col min="13" max="13" width="9" hidden="1" customWidth="1"/>
    <col min="14" max="14" width="14.28515625" hidden="1" customWidth="1"/>
    <col min="15" max="15" width="9.140625" customWidth="1"/>
    <col min="16" max="16" width="11.5703125" hidden="1" customWidth="1"/>
    <col min="17" max="17" width="10.85546875" hidden="1" customWidth="1"/>
    <col min="18" max="18" width="9.140625" hidden="1" customWidth="1"/>
    <col min="19" max="19" width="12.7109375" customWidth="1"/>
    <col min="20" max="22" width="11.5703125" customWidth="1"/>
    <col min="24" max="24" width="7.5703125" customWidth="1"/>
    <col min="25" max="25" width="12.5703125" bestFit="1" customWidth="1"/>
    <col min="26" max="26" width="12.28515625" bestFit="1" customWidth="1"/>
    <col min="27" max="27" width="12.28515625" customWidth="1"/>
    <col min="28" max="28" width="11.85546875" bestFit="1" customWidth="1"/>
    <col min="29" max="29" width="10.7109375" customWidth="1"/>
    <col min="30" max="31" width="11.5703125" bestFit="1" customWidth="1"/>
  </cols>
  <sheetData>
    <row r="1" spans="1:36" ht="15.75" x14ac:dyDescent="0.25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64"/>
      <c r="U1" s="64"/>
      <c r="V1" s="64"/>
    </row>
    <row r="2" spans="1:36" ht="75" x14ac:dyDescent="0.25">
      <c r="A2" s="5" t="s">
        <v>1</v>
      </c>
      <c r="B2" s="5" t="s">
        <v>51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50</v>
      </c>
      <c r="I2" s="5" t="s">
        <v>6</v>
      </c>
      <c r="J2" s="4" t="s">
        <v>7</v>
      </c>
      <c r="K2" s="5" t="s">
        <v>8</v>
      </c>
      <c r="L2" s="5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6" t="s">
        <v>14</v>
      </c>
      <c r="R2" s="6" t="s">
        <v>15</v>
      </c>
      <c r="S2" s="5" t="s">
        <v>16</v>
      </c>
      <c r="T2" s="5" t="s">
        <v>78</v>
      </c>
      <c r="U2" s="5" t="s">
        <v>79</v>
      </c>
      <c r="V2" s="65"/>
      <c r="X2" s="26" t="s">
        <v>35</v>
      </c>
      <c r="Y2" s="26" t="s">
        <v>17</v>
      </c>
      <c r="Z2" s="1" t="s">
        <v>18</v>
      </c>
      <c r="AA2" s="2" t="s">
        <v>19</v>
      </c>
      <c r="AB2" s="7" t="s">
        <v>38</v>
      </c>
      <c r="AC2" s="76" t="s">
        <v>0</v>
      </c>
      <c r="AD2" s="77"/>
    </row>
    <row r="3" spans="1:36" ht="15" customHeight="1" x14ac:dyDescent="0.25">
      <c r="A3" s="46">
        <v>1</v>
      </c>
      <c r="B3" s="8" t="s">
        <v>52</v>
      </c>
      <c r="C3" s="8">
        <v>8.5</v>
      </c>
      <c r="D3" s="8">
        <v>10</v>
      </c>
      <c r="E3" s="81" t="s">
        <v>23</v>
      </c>
      <c r="F3" s="9">
        <f>G3/10.764</f>
        <v>92.391304347826093</v>
      </c>
      <c r="G3" s="8">
        <v>994.5</v>
      </c>
      <c r="H3" s="9">
        <f>G3</f>
        <v>994.5</v>
      </c>
      <c r="I3" s="46">
        <v>2018</v>
      </c>
      <c r="J3" s="10">
        <v>2024</v>
      </c>
      <c r="K3" s="10">
        <f t="shared" ref="K3:K5" si="0">J3-I3</f>
        <v>6</v>
      </c>
      <c r="L3" s="10">
        <v>70</v>
      </c>
      <c r="M3" s="42">
        <v>0.1</v>
      </c>
      <c r="N3" s="11">
        <f>(1-M3)/L3</f>
        <v>1.2857142857142857E-2</v>
      </c>
      <c r="O3" s="12">
        <v>1800</v>
      </c>
      <c r="P3" s="13">
        <f>O3*H3</f>
        <v>1790100</v>
      </c>
      <c r="Q3" s="13">
        <f>P3*N3*IF(K3&gt;L3,L3,K3)</f>
        <v>138093.42857142858</v>
      </c>
      <c r="R3" s="14">
        <v>0</v>
      </c>
      <c r="S3" s="13">
        <f>P3-Q3</f>
        <v>1652006.5714285714</v>
      </c>
      <c r="T3" s="13">
        <v>14000</v>
      </c>
      <c r="U3" s="13">
        <f>T3*F3</f>
        <v>1293478.2608695654</v>
      </c>
      <c r="V3" s="66"/>
      <c r="X3" s="26">
        <f>Y3*1.196</f>
        <v>1002.2479999999999</v>
      </c>
      <c r="Y3" s="39">
        <v>838</v>
      </c>
      <c r="Z3" s="1">
        <v>6000</v>
      </c>
      <c r="AA3" s="15">
        <f>Z3*Y3</f>
        <v>5028000</v>
      </c>
      <c r="AB3">
        <v>24750</v>
      </c>
      <c r="AC3" s="78">
        <f>AB3*X3</f>
        <v>24805638</v>
      </c>
      <c r="AD3" s="78"/>
    </row>
    <row r="4" spans="1:36" x14ac:dyDescent="0.25">
      <c r="A4" s="46">
        <v>2</v>
      </c>
      <c r="B4" s="8">
        <v>1</v>
      </c>
      <c r="C4" s="8">
        <v>6</v>
      </c>
      <c r="D4" s="8">
        <v>10</v>
      </c>
      <c r="E4" s="81"/>
      <c r="F4" s="9">
        <f t="shared" ref="F4:F6" si="1">G4/10.764</f>
        <v>92.391304347826093</v>
      </c>
      <c r="G4" s="8">
        <v>994.5</v>
      </c>
      <c r="H4" s="9">
        <f t="shared" ref="H4:H5" si="2">G4</f>
        <v>994.5</v>
      </c>
      <c r="I4" s="46">
        <v>2018</v>
      </c>
      <c r="J4" s="10">
        <v>2024</v>
      </c>
      <c r="K4" s="10">
        <f t="shared" si="0"/>
        <v>6</v>
      </c>
      <c r="L4" s="10">
        <v>70</v>
      </c>
      <c r="M4" s="42">
        <v>0.1</v>
      </c>
      <c r="N4" s="11">
        <f t="shared" ref="N4:N5" si="3">(1-M4)/L4</f>
        <v>1.2857142857142857E-2</v>
      </c>
      <c r="O4" s="12">
        <v>1800</v>
      </c>
      <c r="P4" s="13">
        <f t="shared" ref="P4" si="4">O4*H4</f>
        <v>1790100</v>
      </c>
      <c r="Q4" s="13">
        <f t="shared" ref="Q4" si="5">P4*N4*IF(K4&gt;L4,L4,K4)</f>
        <v>138093.42857142858</v>
      </c>
      <c r="R4" s="14">
        <v>0</v>
      </c>
      <c r="S4" s="13">
        <f t="shared" ref="S4" si="6">P4-Q4</f>
        <v>1652006.5714285714</v>
      </c>
      <c r="T4" s="13">
        <v>14000</v>
      </c>
      <c r="U4" s="13">
        <f t="shared" ref="U4:U5" si="7">T4*F4</f>
        <v>1293478.2608695654</v>
      </c>
      <c r="V4" s="66"/>
      <c r="X4" s="79" t="s">
        <v>20</v>
      </c>
      <c r="Y4" s="79"/>
      <c r="Z4" s="79"/>
      <c r="AA4" s="16">
        <f>SUM(AA3:AA3)</f>
        <v>5028000</v>
      </c>
      <c r="AB4" s="17" t="s">
        <v>21</v>
      </c>
      <c r="AC4" s="72" t="e">
        <f>#REF!</f>
        <v>#REF!</v>
      </c>
      <c r="AD4" s="80"/>
    </row>
    <row r="5" spans="1:36" x14ac:dyDescent="0.25">
      <c r="A5" s="46">
        <v>3</v>
      </c>
      <c r="B5" s="8">
        <v>2</v>
      </c>
      <c r="C5" s="8"/>
      <c r="D5" s="8">
        <v>10</v>
      </c>
      <c r="E5" s="81"/>
      <c r="F5" s="9">
        <f t="shared" si="1"/>
        <v>71.070234113712374</v>
      </c>
      <c r="G5" s="58">
        <v>765</v>
      </c>
      <c r="H5" s="9">
        <f t="shared" si="2"/>
        <v>765</v>
      </c>
      <c r="I5" s="46">
        <v>2018</v>
      </c>
      <c r="J5" s="10">
        <v>2024</v>
      </c>
      <c r="K5" s="10">
        <f t="shared" si="0"/>
        <v>6</v>
      </c>
      <c r="L5" s="10">
        <v>70</v>
      </c>
      <c r="M5" s="42">
        <v>0.1</v>
      </c>
      <c r="N5" s="11">
        <f t="shared" si="3"/>
        <v>1.2857142857142857E-2</v>
      </c>
      <c r="O5" s="12">
        <v>1600</v>
      </c>
      <c r="P5" s="13">
        <f t="shared" ref="P5" si="8">O5*H5</f>
        <v>1224000</v>
      </c>
      <c r="Q5" s="13">
        <f t="shared" ref="Q5" si="9">P5*N5*IF(K5&gt;L5,L5,K5)</f>
        <v>94422.857142857145</v>
      </c>
      <c r="R5" s="14">
        <v>0</v>
      </c>
      <c r="S5" s="13">
        <f t="shared" ref="S5" si="10">P5-Q5</f>
        <v>1129577.142857143</v>
      </c>
      <c r="T5" s="13">
        <v>14000</v>
      </c>
      <c r="U5" s="13">
        <f t="shared" si="7"/>
        <v>994983.27759197319</v>
      </c>
      <c r="V5" s="66"/>
      <c r="X5" s="40"/>
      <c r="Y5" s="40"/>
      <c r="Z5" s="40"/>
      <c r="AA5" s="41"/>
      <c r="AB5" s="17" t="s">
        <v>24</v>
      </c>
      <c r="AC5" s="45"/>
      <c r="AD5" s="47" t="e">
        <f>SUM(AC3:AD4)</f>
        <v>#REF!</v>
      </c>
      <c r="AE5" s="29" t="e">
        <f>ROUND(AD5,-5)</f>
        <v>#REF!</v>
      </c>
    </row>
    <row r="6" spans="1:36" x14ac:dyDescent="0.25">
      <c r="A6" s="73" t="s">
        <v>24</v>
      </c>
      <c r="B6" s="73"/>
      <c r="C6" s="73"/>
      <c r="D6" s="73"/>
      <c r="E6" s="73"/>
      <c r="F6" s="9">
        <f t="shared" si="1"/>
        <v>255.85284280936457</v>
      </c>
      <c r="G6" s="21">
        <f>SUM(G3:G5)</f>
        <v>2754</v>
      </c>
      <c r="H6" s="21"/>
      <c r="I6" s="46"/>
      <c r="J6" s="43"/>
      <c r="K6" s="43"/>
      <c r="L6" s="43"/>
      <c r="M6" s="42"/>
      <c r="N6" s="11"/>
      <c r="O6" s="44"/>
      <c r="P6" s="22">
        <f>SUM(P3:P5)</f>
        <v>4804200</v>
      </c>
      <c r="Q6" s="22">
        <f>SUM(Q3:Q5)</f>
        <v>370609.71428571432</v>
      </c>
      <c r="R6" s="22">
        <f>SUM(R3:R5)</f>
        <v>0</v>
      </c>
      <c r="S6" s="22">
        <f>SUM(S3:S5)</f>
        <v>4433590.2857142854</v>
      </c>
      <c r="T6" s="22"/>
      <c r="U6" s="22">
        <f>SUM(U3:U5)</f>
        <v>3581939.7993311039</v>
      </c>
      <c r="V6" s="67"/>
      <c r="AB6" s="3" t="s">
        <v>26</v>
      </c>
      <c r="AC6" s="72" t="e">
        <f>AE5</f>
        <v>#REF!</v>
      </c>
      <c r="AD6" s="80"/>
    </row>
    <row r="7" spans="1:36" ht="15" customHeight="1" x14ac:dyDescent="0.25">
      <c r="A7" s="74" t="s">
        <v>30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59"/>
      <c r="U7" s="59"/>
      <c r="V7" s="68"/>
      <c r="AB7" s="3" t="s">
        <v>27</v>
      </c>
      <c r="AC7" s="70" t="e">
        <f>AC6*AE8</f>
        <v>#REF!</v>
      </c>
      <c r="AD7" s="71"/>
    </row>
    <row r="8" spans="1:36" x14ac:dyDescent="0.25">
      <c r="A8" s="75" t="s">
        <v>31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60"/>
      <c r="U8" s="60"/>
      <c r="V8" s="69"/>
      <c r="AB8" s="3" t="s">
        <v>28</v>
      </c>
      <c r="AC8" s="72" t="e">
        <f>AC6*AE9</f>
        <v>#REF!</v>
      </c>
      <c r="AD8" s="72"/>
      <c r="AE8" s="38">
        <v>0.85</v>
      </c>
    </row>
    <row r="9" spans="1:36" ht="15" customHeight="1" x14ac:dyDescent="0.25">
      <c r="A9" s="75" t="s">
        <v>32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60"/>
      <c r="U9" s="60"/>
      <c r="V9" s="69"/>
      <c r="AB9" s="3" t="s">
        <v>29</v>
      </c>
      <c r="AC9" s="72">
        <f>P6*0.8</f>
        <v>3843360</v>
      </c>
      <c r="AD9" s="72"/>
      <c r="AE9" s="38">
        <v>0.75</v>
      </c>
    </row>
    <row r="10" spans="1:36" ht="11.25" customHeight="1" x14ac:dyDescent="0.25">
      <c r="A10" s="75" t="s">
        <v>33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60"/>
      <c r="U10" s="60"/>
      <c r="V10" s="69"/>
      <c r="Z10" s="3" t="s">
        <v>25</v>
      </c>
      <c r="AA10" s="18">
        <f>(AC3-AA4)/AC3</f>
        <v>0.79730414513023207</v>
      </c>
      <c r="AC10" s="20"/>
      <c r="AD10" s="20"/>
    </row>
    <row r="11" spans="1:36" ht="24" customHeight="1" x14ac:dyDescent="0.25">
      <c r="A11" s="75" t="s">
        <v>34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60"/>
      <c r="U11" s="60"/>
      <c r="V11" s="69"/>
      <c r="AA11" s="19"/>
      <c r="AC11" s="20"/>
      <c r="AD11" s="20"/>
    </row>
    <row r="12" spans="1:36" ht="26.25" customHeight="1" x14ac:dyDescent="0.25">
      <c r="AA12" s="19"/>
    </row>
    <row r="13" spans="1:36" ht="16.5" customHeight="1" x14ac:dyDescent="0.25"/>
    <row r="14" spans="1:36" ht="15" customHeight="1" x14ac:dyDescent="0.25">
      <c r="T14" s="27"/>
      <c r="U14" s="27"/>
      <c r="V14" s="27"/>
      <c r="AC14">
        <v>9</v>
      </c>
      <c r="AD14" s="36"/>
      <c r="AJ14" s="27">
        <v>0.42</v>
      </c>
    </row>
    <row r="15" spans="1:36" x14ac:dyDescent="0.25">
      <c r="J15" s="80">
        <f>220*10^7</f>
        <v>2200000000</v>
      </c>
      <c r="K15" s="80"/>
      <c r="L15" s="3"/>
      <c r="M15" s="3"/>
      <c r="N15" s="3"/>
      <c r="O15" s="23"/>
      <c r="P15" s="23"/>
      <c r="Q15" s="23"/>
      <c r="R15" s="23"/>
      <c r="T15" s="23"/>
      <c r="U15" s="23"/>
      <c r="V15" s="23"/>
      <c r="Z15" s="82"/>
      <c r="AA15" s="82"/>
      <c r="AB15">
        <f>5250*9</f>
        <v>47250</v>
      </c>
      <c r="AC15">
        <v>5000</v>
      </c>
      <c r="AD15" s="36">
        <v>5500</v>
      </c>
      <c r="AE15" s="36"/>
      <c r="AF15" s="23"/>
      <c r="AG15" s="23"/>
      <c r="AH15" s="23"/>
      <c r="AJ15" s="23"/>
    </row>
    <row r="16" spans="1:36" x14ac:dyDescent="0.25">
      <c r="J16" s="3" t="s">
        <v>36</v>
      </c>
      <c r="K16" s="3">
        <v>18494</v>
      </c>
      <c r="L16" s="3">
        <v>1500</v>
      </c>
      <c r="M16" s="3" t="e">
        <f>L16*#REF!</f>
        <v>#REF!</v>
      </c>
      <c r="N16" s="30" t="e">
        <f>M16*K16</f>
        <v>#REF!</v>
      </c>
      <c r="P16" s="24"/>
      <c r="Q16" s="24"/>
      <c r="R16" s="25"/>
      <c r="S16" s="24"/>
      <c r="T16" s="24"/>
      <c r="U16" s="24"/>
      <c r="V16" s="24"/>
      <c r="AC16" s="29">
        <f>AC15*AC14</f>
        <v>45000</v>
      </c>
      <c r="AD16" s="20">
        <f>AD15*AC14</f>
        <v>49500</v>
      </c>
      <c r="AE16" s="36"/>
      <c r="AF16" s="24"/>
      <c r="AG16" s="24"/>
      <c r="AH16" s="25"/>
      <c r="AI16" s="24"/>
      <c r="AJ16" s="24"/>
    </row>
    <row r="17" spans="10:36" x14ac:dyDescent="0.25">
      <c r="J17" s="3" t="s">
        <v>37</v>
      </c>
      <c r="K17" s="31">
        <f>19883/9</f>
        <v>2209.2222222222222</v>
      </c>
      <c r="L17" s="3"/>
      <c r="M17" s="32" t="e">
        <f>N17/K17</f>
        <v>#REF!</v>
      </c>
      <c r="N17" s="32" t="e">
        <f>J15-N16</f>
        <v>#REF!</v>
      </c>
      <c r="P17" s="24"/>
      <c r="Q17" s="24"/>
      <c r="R17" s="25"/>
      <c r="S17" s="24"/>
      <c r="T17" s="24"/>
      <c r="U17" s="24"/>
      <c r="V17" s="24"/>
      <c r="AA17" s="37"/>
      <c r="AE17" s="20"/>
      <c r="AF17" s="24"/>
      <c r="AG17" s="24"/>
      <c r="AH17" s="25"/>
      <c r="AI17" s="24"/>
      <c r="AJ17" s="24"/>
    </row>
    <row r="18" spans="10:36" x14ac:dyDescent="0.25">
      <c r="P18" s="24"/>
      <c r="Q18" s="24"/>
      <c r="R18" s="25"/>
      <c r="S18" s="24"/>
      <c r="T18" s="24"/>
      <c r="U18" s="24"/>
      <c r="V18" s="24"/>
      <c r="Y18" s="29" t="e">
        <f>#REF!+AA3</f>
        <v>#REF!</v>
      </c>
      <c r="AB18">
        <f>2750*9</f>
        <v>24750</v>
      </c>
      <c r="AF18" s="24"/>
      <c r="AG18" s="24"/>
      <c r="AH18" s="25"/>
      <c r="AI18" s="24"/>
      <c r="AJ18" s="24"/>
    </row>
    <row r="19" spans="10:36" ht="29.25" customHeight="1" x14ac:dyDescent="0.25">
      <c r="P19" s="24"/>
      <c r="Q19" s="24"/>
      <c r="R19" s="25"/>
      <c r="S19" s="24">
        <f>6.05*10^7/27832.25</f>
        <v>2173.7373011524401</v>
      </c>
      <c r="T19" s="24"/>
      <c r="U19" s="24"/>
      <c r="V19" s="24"/>
      <c r="AB19">
        <f>2500*9</f>
        <v>22500</v>
      </c>
    </row>
    <row r="20" spans="10:36" x14ac:dyDescent="0.25">
      <c r="N20" s="61">
        <f>140*14000</f>
        <v>1960000</v>
      </c>
      <c r="P20" s="24"/>
      <c r="Q20" s="24"/>
      <c r="R20" s="25"/>
      <c r="S20" s="24"/>
      <c r="T20" s="24"/>
      <c r="U20" s="24"/>
      <c r="V20" s="24"/>
      <c r="AB20">
        <f>3000*9</f>
        <v>27000</v>
      </c>
    </row>
    <row r="21" spans="10:36" x14ac:dyDescent="0.25">
      <c r="P21" s="24"/>
      <c r="Q21" s="24"/>
      <c r="R21" s="25"/>
      <c r="S21" s="24"/>
      <c r="T21" s="24"/>
      <c r="U21" s="24"/>
      <c r="V21" s="24"/>
    </row>
    <row r="22" spans="10:36" ht="28.5" customHeight="1" x14ac:dyDescent="0.25">
      <c r="P22" s="24"/>
      <c r="Q22" s="24"/>
      <c r="R22" s="25"/>
      <c r="S22" s="24"/>
      <c r="T22" s="24"/>
      <c r="U22" s="24"/>
      <c r="V22" s="24"/>
      <c r="W22">
        <f>3.5*10^7/1800</f>
        <v>19444.444444444445</v>
      </c>
      <c r="Y22" s="28">
        <f>11000*838</f>
        <v>9218000</v>
      </c>
    </row>
    <row r="23" spans="10:36" ht="15" customHeight="1" x14ac:dyDescent="0.25">
      <c r="P23" s="24"/>
      <c r="Q23" s="24"/>
      <c r="R23" s="25"/>
      <c r="S23" s="24"/>
      <c r="T23" s="24"/>
      <c r="U23" s="24"/>
      <c r="V23" s="24"/>
      <c r="Y23" s="28">
        <v>614000</v>
      </c>
    </row>
    <row r="24" spans="10:36" ht="15" customHeight="1" x14ac:dyDescent="0.25">
      <c r="Q24" s="24"/>
      <c r="R24" s="24"/>
      <c r="S24" s="24"/>
      <c r="Y24" s="28">
        <f>Y23+Y22</f>
        <v>9832000</v>
      </c>
    </row>
    <row r="25" spans="10:36" ht="15" customHeight="1" x14ac:dyDescent="0.25"/>
    <row r="26" spans="10:36" ht="28.5" customHeight="1" x14ac:dyDescent="0.25"/>
    <row r="27" spans="10:36" ht="15" customHeight="1" x14ac:dyDescent="0.25"/>
    <row r="29" spans="10:36" ht="33" customHeight="1" x14ac:dyDescent="0.25"/>
  </sheetData>
  <mergeCells count="18">
    <mergeCell ref="E3:E5"/>
    <mergeCell ref="Z15:AA15"/>
    <mergeCell ref="A1:S1"/>
    <mergeCell ref="J15:K15"/>
    <mergeCell ref="A11:S11"/>
    <mergeCell ref="A10:S10"/>
    <mergeCell ref="AC2:AD2"/>
    <mergeCell ref="AC3:AD3"/>
    <mergeCell ref="X4:Z4"/>
    <mergeCell ref="AC4:AD4"/>
    <mergeCell ref="AC6:AD6"/>
    <mergeCell ref="AC7:AD7"/>
    <mergeCell ref="AC8:AD8"/>
    <mergeCell ref="AC9:AD9"/>
    <mergeCell ref="A6:E6"/>
    <mergeCell ref="A7:S7"/>
    <mergeCell ref="A9:S9"/>
    <mergeCell ref="A8:S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R33"/>
  <sheetViews>
    <sheetView topLeftCell="A10" workbookViewId="0">
      <selection activeCell="Q27" sqref="Q27"/>
    </sheetView>
  </sheetViews>
  <sheetFormatPr defaultRowHeight="15" x14ac:dyDescent="0.25"/>
  <cols>
    <col min="6" max="6" width="13.5703125" bestFit="1" customWidth="1"/>
    <col min="10" max="10" width="11.42578125" bestFit="1" customWidth="1"/>
    <col min="12" max="12" width="4" bestFit="1" customWidth="1"/>
    <col min="13" max="13" width="18.5703125" bestFit="1" customWidth="1"/>
    <col min="14" max="14" width="12.140625" bestFit="1" customWidth="1"/>
    <col min="15" max="15" width="14.28515625" bestFit="1" customWidth="1"/>
  </cols>
  <sheetData>
    <row r="6" spans="5:18" ht="15.75" thickBot="1" x14ac:dyDescent="0.3"/>
    <row r="7" spans="5:18" x14ac:dyDescent="0.25">
      <c r="E7" s="85" t="s">
        <v>54</v>
      </c>
      <c r="F7" s="86"/>
    </row>
    <row r="8" spans="5:18" x14ac:dyDescent="0.25">
      <c r="E8" s="49" t="s">
        <v>56</v>
      </c>
      <c r="F8" s="50" t="s">
        <v>59</v>
      </c>
      <c r="I8" s="55"/>
      <c r="J8" s="55"/>
    </row>
    <row r="9" spans="5:18" x14ac:dyDescent="0.25">
      <c r="E9" s="49" t="s">
        <v>53</v>
      </c>
      <c r="F9" s="50">
        <v>1530</v>
      </c>
      <c r="I9" s="55"/>
      <c r="J9" s="55"/>
    </row>
    <row r="10" spans="5:18" x14ac:dyDescent="0.25">
      <c r="E10" s="49" t="s">
        <v>57</v>
      </c>
      <c r="F10" s="50">
        <v>1530</v>
      </c>
      <c r="I10" s="55"/>
      <c r="J10" s="55"/>
    </row>
    <row r="11" spans="5:18" ht="15.75" thickBot="1" x14ac:dyDescent="0.3">
      <c r="E11" s="51" t="s">
        <v>58</v>
      </c>
      <c r="F11" s="52">
        <v>950</v>
      </c>
      <c r="I11" s="87"/>
      <c r="J11" s="87"/>
    </row>
    <row r="12" spans="5:18" ht="15.75" thickBot="1" x14ac:dyDescent="0.3">
      <c r="E12" s="48" t="s">
        <v>24</v>
      </c>
      <c r="F12" s="53">
        <f>SUM(F9:F11)</f>
        <v>4010</v>
      </c>
      <c r="M12" s="88" t="s">
        <v>73</v>
      </c>
      <c r="N12" s="89"/>
    </row>
    <row r="13" spans="5:18" x14ac:dyDescent="0.25">
      <c r="J13" t="s">
        <v>71</v>
      </c>
      <c r="K13">
        <v>1530</v>
      </c>
      <c r="M13" s="3" t="s">
        <v>53</v>
      </c>
      <c r="N13" s="3">
        <f>J14*K13</f>
        <v>994.5</v>
      </c>
      <c r="O13">
        <v>995</v>
      </c>
    </row>
    <row r="14" spans="5:18" x14ac:dyDescent="0.25">
      <c r="E14" s="84" t="s">
        <v>69</v>
      </c>
      <c r="F14" s="84"/>
      <c r="G14" s="84"/>
      <c r="J14" s="56">
        <v>0.65</v>
      </c>
      <c r="M14" s="3" t="s">
        <v>57</v>
      </c>
      <c r="N14" s="3">
        <v>994.5</v>
      </c>
      <c r="O14">
        <v>995</v>
      </c>
    </row>
    <row r="15" spans="5:18" x14ac:dyDescent="0.25">
      <c r="E15" s="54" t="s">
        <v>56</v>
      </c>
      <c r="F15" s="54" t="s">
        <v>55</v>
      </c>
      <c r="G15" s="54" t="s">
        <v>70</v>
      </c>
      <c r="I15" s="57" t="s">
        <v>72</v>
      </c>
      <c r="J15">
        <v>180</v>
      </c>
      <c r="M15" s="3" t="s">
        <v>58</v>
      </c>
      <c r="N15" s="3">
        <f>I16-(N14+N13)</f>
        <v>765</v>
      </c>
      <c r="O15">
        <v>764</v>
      </c>
    </row>
    <row r="16" spans="5:18" x14ac:dyDescent="0.25">
      <c r="E16" s="17" t="s">
        <v>61</v>
      </c>
      <c r="F16" s="17" t="s">
        <v>62</v>
      </c>
      <c r="G16" s="17">
        <v>1</v>
      </c>
      <c r="I16">
        <f>1530*1.8</f>
        <v>2754</v>
      </c>
      <c r="R16">
        <v>2754</v>
      </c>
    </row>
    <row r="17" spans="5:17" x14ac:dyDescent="0.25">
      <c r="E17" s="17" t="s">
        <v>61</v>
      </c>
      <c r="F17" s="17" t="s">
        <v>63</v>
      </c>
      <c r="G17" s="17">
        <v>1</v>
      </c>
      <c r="Q17">
        <f>R16/10.764</f>
        <v>255.85284280936457</v>
      </c>
    </row>
    <row r="18" spans="5:17" x14ac:dyDescent="0.25">
      <c r="E18" s="17" t="s">
        <v>61</v>
      </c>
      <c r="F18" s="17" t="s">
        <v>64</v>
      </c>
      <c r="G18" s="17">
        <v>3</v>
      </c>
    </row>
    <row r="19" spans="5:17" x14ac:dyDescent="0.25">
      <c r="E19" s="17" t="s">
        <v>61</v>
      </c>
      <c r="F19" s="17" t="s">
        <v>65</v>
      </c>
      <c r="G19" s="17">
        <v>2</v>
      </c>
      <c r="K19">
        <f>4010/1530</f>
        <v>2.6209150326797386</v>
      </c>
    </row>
    <row r="20" spans="5:17" x14ac:dyDescent="0.25">
      <c r="E20" s="17" t="s">
        <v>61</v>
      </c>
      <c r="F20" s="17" t="s">
        <v>66</v>
      </c>
      <c r="G20" s="17">
        <v>2</v>
      </c>
    </row>
    <row r="21" spans="5:17" x14ac:dyDescent="0.25">
      <c r="E21" s="17" t="s">
        <v>61</v>
      </c>
      <c r="F21" s="17" t="s">
        <v>67</v>
      </c>
      <c r="G21" s="17">
        <v>1</v>
      </c>
      <c r="L21">
        <f>2754/1530</f>
        <v>1.8</v>
      </c>
    </row>
    <row r="22" spans="5:17" x14ac:dyDescent="0.25">
      <c r="E22" s="17" t="s">
        <v>57</v>
      </c>
      <c r="F22" s="17" t="s">
        <v>62</v>
      </c>
      <c r="G22" s="17">
        <v>1</v>
      </c>
    </row>
    <row r="23" spans="5:17" x14ac:dyDescent="0.25">
      <c r="E23" s="17" t="s">
        <v>57</v>
      </c>
      <c r="F23" s="17" t="s">
        <v>63</v>
      </c>
      <c r="G23" s="17">
        <v>1</v>
      </c>
    </row>
    <row r="24" spans="5:17" x14ac:dyDescent="0.25">
      <c r="E24" s="17" t="s">
        <v>57</v>
      </c>
      <c r="F24" s="17" t="s">
        <v>64</v>
      </c>
      <c r="G24" s="17">
        <v>3</v>
      </c>
    </row>
    <row r="25" spans="5:17" ht="30" customHeight="1" x14ac:dyDescent="0.25">
      <c r="E25" s="17" t="s">
        <v>57</v>
      </c>
      <c r="F25" s="17" t="s">
        <v>65</v>
      </c>
      <c r="G25" s="17">
        <v>2</v>
      </c>
      <c r="M25" s="84" t="s">
        <v>74</v>
      </c>
      <c r="N25" s="84"/>
      <c r="O25" s="84"/>
    </row>
    <row r="26" spans="5:17" x14ac:dyDescent="0.25">
      <c r="E26" s="17" t="s">
        <v>57</v>
      </c>
      <c r="F26" s="17" t="s">
        <v>66</v>
      </c>
      <c r="G26" s="17">
        <v>2</v>
      </c>
      <c r="M26" s="54" t="s">
        <v>77</v>
      </c>
      <c r="N26" s="54" t="s">
        <v>75</v>
      </c>
      <c r="O26" s="54" t="s">
        <v>76</v>
      </c>
    </row>
    <row r="27" spans="5:17" x14ac:dyDescent="0.25">
      <c r="E27" s="17" t="s">
        <v>57</v>
      </c>
      <c r="F27" s="17" t="s">
        <v>67</v>
      </c>
      <c r="G27" s="17">
        <v>0</v>
      </c>
      <c r="M27" s="62">
        <v>14000</v>
      </c>
      <c r="N27" s="63">
        <v>255.85284280936457</v>
      </c>
      <c r="O27" s="62">
        <f>N27*M27</f>
        <v>3581939.7993311039</v>
      </c>
    </row>
    <row r="28" spans="5:17" x14ac:dyDescent="0.25">
      <c r="E28" s="17" t="s">
        <v>58</v>
      </c>
      <c r="F28" s="17" t="s">
        <v>68</v>
      </c>
      <c r="G28" s="17">
        <v>2</v>
      </c>
    </row>
    <row r="29" spans="5:17" x14ac:dyDescent="0.25">
      <c r="E29" s="17" t="s">
        <v>58</v>
      </c>
      <c r="F29" s="17" t="s">
        <v>63</v>
      </c>
      <c r="G29" s="17">
        <v>0</v>
      </c>
    </row>
    <row r="30" spans="5:17" x14ac:dyDescent="0.25">
      <c r="E30" s="17" t="s">
        <v>58</v>
      </c>
      <c r="F30" s="17" t="s">
        <v>64</v>
      </c>
      <c r="G30" s="17">
        <v>0</v>
      </c>
      <c r="O30" s="29">
        <f>O27+1635185</f>
        <v>5217124.7993311044</v>
      </c>
    </row>
    <row r="31" spans="5:17" x14ac:dyDescent="0.25">
      <c r="E31" s="17" t="s">
        <v>58</v>
      </c>
      <c r="F31" s="17" t="s">
        <v>65</v>
      </c>
      <c r="G31" s="17">
        <v>1</v>
      </c>
    </row>
    <row r="32" spans="5:17" x14ac:dyDescent="0.25">
      <c r="E32" s="17" t="s">
        <v>58</v>
      </c>
      <c r="F32" s="17" t="s">
        <v>66</v>
      </c>
      <c r="G32" s="17">
        <v>1</v>
      </c>
    </row>
    <row r="33" spans="5:7" x14ac:dyDescent="0.25">
      <c r="E33" s="17" t="s">
        <v>58</v>
      </c>
      <c r="F33" s="17" t="s">
        <v>67</v>
      </c>
      <c r="G33" s="17">
        <v>0</v>
      </c>
    </row>
  </sheetData>
  <mergeCells count="5">
    <mergeCell ref="M25:O25"/>
    <mergeCell ref="E7:F7"/>
    <mergeCell ref="I11:J11"/>
    <mergeCell ref="E14:G14"/>
    <mergeCell ref="M12:N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K3" sqref="K3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9" max="9" width="14.28515625" bestFit="1" customWidth="1"/>
    <col min="10" max="10" width="10" bestFit="1" customWidth="1"/>
    <col min="11" max="12" width="11.5703125" bestFit="1" customWidth="1"/>
  </cols>
  <sheetData>
    <row r="2" spans="1:12" ht="30" x14ac:dyDescent="0.25">
      <c r="A2" s="2" t="s">
        <v>39</v>
      </c>
      <c r="B2" s="2" t="s">
        <v>22</v>
      </c>
      <c r="C2" s="1" t="s">
        <v>40</v>
      </c>
      <c r="D2" s="1" t="s">
        <v>41</v>
      </c>
      <c r="E2" s="2" t="s">
        <v>42</v>
      </c>
      <c r="F2" s="2" t="s">
        <v>43</v>
      </c>
      <c r="G2" s="2" t="s">
        <v>44</v>
      </c>
      <c r="H2" s="2"/>
      <c r="I2" s="2" t="s">
        <v>45</v>
      </c>
      <c r="J2" s="2" t="s">
        <v>46</v>
      </c>
      <c r="K2" s="2" t="s">
        <v>47</v>
      </c>
    </row>
    <row r="3" spans="1:12" x14ac:dyDescent="0.25">
      <c r="A3" s="17">
        <v>1</v>
      </c>
      <c r="B3" s="3" t="s">
        <v>48</v>
      </c>
      <c r="C3" s="17">
        <v>128</v>
      </c>
      <c r="D3" s="17">
        <v>8</v>
      </c>
      <c r="E3" s="17">
        <v>8000</v>
      </c>
      <c r="F3" s="17">
        <v>25</v>
      </c>
      <c r="G3" s="33">
        <v>1</v>
      </c>
      <c r="H3" s="17">
        <v>10</v>
      </c>
      <c r="I3" s="30">
        <f>E3*C3</f>
        <v>1024000</v>
      </c>
      <c r="J3" s="32">
        <f>I3*(G3/F3)*H3</f>
        <v>409600</v>
      </c>
      <c r="K3" s="32">
        <f>I3-J3</f>
        <v>614400</v>
      </c>
      <c r="L3" s="29">
        <f>ROUND(K3,-5)</f>
        <v>600000</v>
      </c>
    </row>
    <row r="4" spans="1:12" x14ac:dyDescent="0.25">
      <c r="A4" s="17">
        <v>2</v>
      </c>
      <c r="B4" s="3" t="s">
        <v>49</v>
      </c>
      <c r="C4" s="17">
        <v>80</v>
      </c>
      <c r="D4" s="34">
        <v>10</v>
      </c>
      <c r="E4" s="17">
        <v>8000</v>
      </c>
      <c r="F4" s="17">
        <v>20</v>
      </c>
      <c r="G4" s="33">
        <v>1</v>
      </c>
      <c r="H4" s="17">
        <v>1</v>
      </c>
      <c r="I4" s="30">
        <f>E4*C4</f>
        <v>640000</v>
      </c>
      <c r="J4" s="32">
        <f>I4*(G4/F4)*H4</f>
        <v>32000</v>
      </c>
      <c r="K4" s="32">
        <f>I4-J4</f>
        <v>608000</v>
      </c>
      <c r="L4" s="29">
        <f>ROUND(K4,-5)</f>
        <v>600000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5" t="s">
        <v>24</v>
      </c>
      <c r="K5" s="32">
        <f>ROUND(SUM(K3:K4),-5)</f>
        <v>1200000</v>
      </c>
      <c r="L5" s="29">
        <f>SUM(L3:L4)</f>
        <v>1200000</v>
      </c>
    </row>
    <row r="6" spans="1:12" x14ac:dyDescent="0.25">
      <c r="K6" s="29"/>
    </row>
    <row r="9" spans="1:12" x14ac:dyDescent="0.25">
      <c r="D9">
        <f>80*3.28</f>
        <v>262.39999999999998</v>
      </c>
    </row>
    <row r="10" spans="1:12" x14ac:dyDescent="0.25">
      <c r="D10">
        <f>D9*D4</f>
        <v>2624</v>
      </c>
      <c r="E10">
        <v>50</v>
      </c>
      <c r="F10" s="28">
        <f>E10*D10</f>
        <v>131200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Boundary Wall Length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2025-02-13T14:00:03Z</dcterms:modified>
</cp:coreProperties>
</file>