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Land" sheetId="1" r:id="rId1"/>
    <sheet name="Building Sheet" sheetId="3" r:id="rId2"/>
    <sheet name="Boundary Wall" sheetId="5" r:id="rId3"/>
  </sheets>
  <calcPr calcId="152511"/>
</workbook>
</file>

<file path=xl/calcChain.xml><?xml version="1.0" encoding="utf-8"?>
<calcChain xmlns="http://schemas.openxmlformats.org/spreadsheetml/2006/main">
  <c r="G18" i="1" l="1"/>
  <c r="I20" i="3" l="1"/>
  <c r="I19" i="3"/>
  <c r="Q8" i="3"/>
  <c r="Q9" i="3"/>
  <c r="Q12" i="3"/>
  <c r="Q13" i="3"/>
  <c r="Q16" i="3"/>
  <c r="Q17" i="3"/>
  <c r="Q20" i="3"/>
  <c r="S20" i="3"/>
  <c r="U20" i="3" s="1"/>
  <c r="O20" i="3"/>
  <c r="R20" i="3"/>
  <c r="O19" i="3"/>
  <c r="L19" i="3"/>
  <c r="L20" i="3"/>
  <c r="G6" i="3"/>
  <c r="Q6" i="3" s="1"/>
  <c r="G7" i="3"/>
  <c r="Q7" i="3" s="1"/>
  <c r="G8" i="3"/>
  <c r="G9" i="3"/>
  <c r="G10" i="3"/>
  <c r="Q10" i="3" s="1"/>
  <c r="G11" i="3"/>
  <c r="Q11" i="3" s="1"/>
  <c r="G12" i="3"/>
  <c r="G13" i="3"/>
  <c r="G14" i="3"/>
  <c r="Q14" i="3" s="1"/>
  <c r="G15" i="3"/>
  <c r="Q15" i="3" s="1"/>
  <c r="G16" i="3"/>
  <c r="G17" i="3"/>
  <c r="G18" i="3"/>
  <c r="Q18" i="3" s="1"/>
  <c r="G19" i="3"/>
  <c r="Q19" i="3" s="1"/>
  <c r="G20" i="3"/>
  <c r="G5" i="3"/>
  <c r="G21" i="3" s="1"/>
  <c r="F21" i="3"/>
  <c r="R19" i="3" l="1"/>
  <c r="S19" i="3" s="1"/>
  <c r="U19" i="3" s="1"/>
  <c r="D5" i="1"/>
  <c r="D1" i="1" l="1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5" i="3"/>
  <c r="L6" i="3" l="1"/>
  <c r="O6" i="3"/>
  <c r="L7" i="3"/>
  <c r="O7" i="3"/>
  <c r="L8" i="3"/>
  <c r="O8" i="3"/>
  <c r="L9" i="3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R18" i="3" l="1"/>
  <c r="S18" i="3" s="1"/>
  <c r="U18" i="3" s="1"/>
  <c r="R15" i="3"/>
  <c r="S15" i="3" s="1"/>
  <c r="U15" i="3" s="1"/>
  <c r="R10" i="3"/>
  <c r="S10" i="3" s="1"/>
  <c r="U10" i="3" s="1"/>
  <c r="R7" i="3"/>
  <c r="S7" i="3" s="1"/>
  <c r="U7" i="3" s="1"/>
  <c r="R17" i="3"/>
  <c r="S17" i="3" s="1"/>
  <c r="U17" i="3" s="1"/>
  <c r="R8" i="3"/>
  <c r="S8" i="3" s="1"/>
  <c r="U8" i="3" s="1"/>
  <c r="R9" i="3"/>
  <c r="S9" i="3" s="1"/>
  <c r="U9" i="3" s="1"/>
  <c r="R11" i="3"/>
  <c r="S11" i="3" s="1"/>
  <c r="U11" i="3" s="1"/>
  <c r="R16" i="3"/>
  <c r="S16" i="3" s="1"/>
  <c r="U16" i="3" s="1"/>
  <c r="R12" i="3"/>
  <c r="S12" i="3" s="1"/>
  <c r="U12" i="3" s="1"/>
  <c r="R14" i="3"/>
  <c r="S14" i="3" s="1"/>
  <c r="U14" i="3" s="1"/>
  <c r="R6" i="3"/>
  <c r="R13" i="3"/>
  <c r="S13" i="3" s="1"/>
  <c r="U13" i="3" s="1"/>
  <c r="S6" i="3" l="1"/>
  <c r="J5" i="5"/>
  <c r="H5" i="5"/>
  <c r="E5" i="5"/>
  <c r="U6" i="3" l="1"/>
  <c r="K5" i="5"/>
  <c r="L5" i="5" s="1"/>
  <c r="N5" i="5" s="1"/>
  <c r="Q5" i="3" l="1"/>
  <c r="O5" i="3"/>
  <c r="L5" i="3"/>
  <c r="G14" i="1"/>
  <c r="Q21" i="3" l="1"/>
  <c r="K21" i="1" s="1"/>
  <c r="S28" i="3"/>
  <c r="R5" i="3"/>
  <c r="S5" i="3" s="1"/>
  <c r="S21" i="3" s="1"/>
  <c r="E15" i="1"/>
  <c r="D15" i="1"/>
  <c r="J4" i="1"/>
  <c r="K4" i="1" s="1"/>
  <c r="K5" i="1" s="1"/>
  <c r="W21" i="3" l="1"/>
  <c r="W22" i="3" s="1"/>
  <c r="U5" i="3"/>
  <c r="U21" i="3" s="1"/>
  <c r="K13" i="1"/>
  <c r="G15" i="1"/>
  <c r="G20" i="1" s="1"/>
  <c r="K14" i="1" l="1"/>
  <c r="K16" i="1" s="1"/>
  <c r="K18" i="1" l="1"/>
  <c r="K19" i="1"/>
</calcChain>
</file>

<file path=xl/sharedStrings.xml><?xml version="1.0" encoding="utf-8"?>
<sst xmlns="http://schemas.openxmlformats.org/spreadsheetml/2006/main" count="128" uniqueCount="85">
  <si>
    <t>Ria</t>
  </si>
  <si>
    <t>FMV</t>
  </si>
  <si>
    <t>Discription</t>
  </si>
  <si>
    <t>Total</t>
  </si>
  <si>
    <t>Sr No.</t>
  </si>
  <si>
    <t>Rate Range</t>
  </si>
  <si>
    <t>Discount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</si>
  <si>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</si>
  <si>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</si>
  <si>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</si>
  <si>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</si>
  <si>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</si>
  <si>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Super area Area in Sq.mtr.</t>
  </si>
  <si>
    <t xml:space="preserve"> Circle rate in Rs.</t>
  </si>
  <si>
    <t>CIRCLE RATE</t>
  </si>
  <si>
    <t>Roundoff</t>
  </si>
  <si>
    <t>Dis</t>
  </si>
  <si>
    <t>SR. No.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</si>
  <si>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</si>
  <si>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</si>
  <si>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sq.mt.)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</si>
  <si>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</si>
  <si>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</si>
  <si>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</si>
  <si>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</si>
  <si>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</si>
  <si>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</si>
  <si>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</si>
  <si>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</si>
  <si>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</si>
  <si>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</si>
  <si>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</si>
  <si>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</si>
  <si>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</si>
  <si>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
(INR)</t>
  </si>
  <si>
    <t>2. Construction year of the building is taken as per the details mentioned by the owner's representative.</t>
  </si>
  <si>
    <r>
      <t>4.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</si>
  <si>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Land</t>
  </si>
  <si>
    <t>Building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</si>
  <si>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</si>
  <si>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</si>
  <si>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</si>
  <si>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Depreciation
(INR) </t>
  </si>
  <si>
    <t>Depreciated Value
(INR)</t>
  </si>
  <si>
    <t>Circle rate per sq.yrd.</t>
  </si>
  <si>
    <r>
      <t xml:space="preserve">3. </t>
    </r>
    <r>
      <rPr>
        <b/>
        <i/>
        <sz val="10"/>
        <color theme="1"/>
        <rFont val="Calibri"/>
        <family val="2"/>
        <scheme val="minor"/>
      </rPr>
      <t>All the structure that has been taken as per site survey measurment and approved map.</t>
    </r>
  </si>
  <si>
    <t>Floor</t>
  </si>
  <si>
    <t>RCC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</si>
  <si>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</si>
  <si>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t>Boundary Wall and road</t>
  </si>
  <si>
    <t>Kanal</t>
  </si>
  <si>
    <t>Premium</t>
  </si>
  <si>
    <t xml:space="preserve">Basic rate </t>
  </si>
  <si>
    <t>Basement 2</t>
  </si>
  <si>
    <t>Basement 1</t>
  </si>
  <si>
    <t>Parking, Cafeteria and Reception</t>
  </si>
  <si>
    <t>First Floor</t>
  </si>
  <si>
    <t>Ground Floor</t>
  </si>
  <si>
    <t>Second Floor</t>
  </si>
  <si>
    <t>Working Space</t>
  </si>
  <si>
    <t>Third Floor</t>
  </si>
  <si>
    <t>Fourth Floor</t>
  </si>
  <si>
    <t>Fifth Floor</t>
  </si>
  <si>
    <t>Sixth Floor</t>
  </si>
  <si>
    <t>Seventh Floor</t>
  </si>
  <si>
    <t>Eight Floor</t>
  </si>
  <si>
    <t>Ninth Floor</t>
  </si>
  <si>
    <t>Tenth Floor</t>
  </si>
  <si>
    <t>Eleventh Floor</t>
  </si>
  <si>
    <t>Ground / Stilt Floor</t>
  </si>
  <si>
    <t>Guard Room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</si>
  <si>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floor,type of structure, age of the building etc. has been taken as per the Site Survey and documents.</t>
    </r>
  </si>
  <si>
    <t>sqmt.</t>
  </si>
  <si>
    <t>Institutional Land</t>
  </si>
  <si>
    <t>Rs. 1,00,000/- to Rs. 1,10,000/- per sqmt.</t>
  </si>
  <si>
    <t>VALUATION OF M/S UTILITY POWERTECH LTD.</t>
  </si>
  <si>
    <t xml:space="preserve">1. The subject property is situated at PLOT NO. B-16, SECTOR-153, NOIDA, DISTT. GAUTAM BUDH NAGAR, UTTAR PRADESH </t>
  </si>
  <si>
    <t>3. Basement and Ground floor building and structures belongs to M/S UTILITY POWERTECH LTD.</t>
  </si>
  <si>
    <t>Roof</t>
  </si>
  <si>
    <t>Parking Space</t>
  </si>
  <si>
    <t>Mumty Machine Room</t>
  </si>
  <si>
    <t>BUILDING VALUATION FOR M/S UTILITY POWERTECH LTD.</t>
  </si>
  <si>
    <t>Circle rate per sq.mtr.</t>
  </si>
  <si>
    <t>Construction</t>
  </si>
  <si>
    <t>Insurance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</si>
</sst>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  <numFmt numFmtId="167" formatCode="0.000"/>
    <numFmt numFmtId="168" formatCode="_ * #,##0.000_ ;_ * \-#,##0.000_ ;_ * &quot;-&quot;??_ ;_ @_ "/>
    <numFmt numFmtId="169" formatCode="0.0000"/>
    <numFmt numFmtId="170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43" fontId="0" fillId="0" borderId="0" xfId="0" applyNumberFormat="1"/>
    <xf numFmtId="0" fontId="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/>
    <xf numFmtId="166" fontId="2" fillId="0" borderId="1" xfId="0" applyNumberFormat="1" applyFont="1" applyBorder="1"/>
    <xf numFmtId="164" fontId="0" fillId="5" borderId="1" xfId="1" applyNumberFormat="1" applyFont="1" applyFill="1" applyBorder="1" applyAlignment="1">
      <alignment horizontal="centerContinuous"/>
    </xf>
    <xf numFmtId="0" fontId="2" fillId="5" borderId="1" xfId="0" applyFont="1" applyFill="1" applyBorder="1" applyAlignment="1">
      <alignment horizontal="centerContinuous"/>
    </xf>
    <xf numFmtId="0" fontId="0" fillId="5" borderId="1" xfId="0" applyFill="1" applyBorder="1" applyAlignment="1">
      <alignment horizontal="centerContinuous"/>
    </xf>
    <xf numFmtId="1" fontId="0" fillId="0" borderId="0" xfId="0" applyNumberFormat="1"/>
    <xf numFmtId="0" fontId="2" fillId="0" borderId="1" xfId="0" applyFont="1" applyBorder="1" applyAlignment="1">
      <alignment horizontal="center"/>
    </xf>
    <xf numFmtId="164" fontId="2" fillId="0" borderId="1" xfId="3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164" fontId="2" fillId="0" borderId="1" xfId="2" applyNumberFormat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4" fontId="2" fillId="0" borderId="0" xfId="1" applyNumberFormat="1" applyFont="1"/>
    <xf numFmtId="0" fontId="2" fillId="6" borderId="1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7" fillId="8" borderId="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5" applyNumberFormat="1" applyFont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9" fontId="9" fillId="3" borderId="1" xfId="4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164" fontId="0" fillId="0" borderId="1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/>
    <xf numFmtId="0" fontId="7" fillId="0" borderId="6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1" fontId="7" fillId="0" borderId="6" xfId="0" applyNumberFormat="1" applyFont="1" applyBorder="1" applyAlignment="1">
      <alignment vertical="center" wrapText="1"/>
    </xf>
    <xf numFmtId="1" fontId="7" fillId="0" borderId="5" xfId="0" applyNumberFormat="1" applyFont="1" applyBorder="1" applyAlignment="1">
      <alignment vertical="center" wrapText="1"/>
    </xf>
    <xf numFmtId="1" fontId="7" fillId="0" borderId="9" xfId="0" applyNumberFormat="1" applyFont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6" fontId="0" fillId="0" borderId="1" xfId="1" applyNumberFormat="1" applyFont="1" applyFill="1" applyBorder="1"/>
    <xf numFmtId="43" fontId="0" fillId="0" borderId="1" xfId="1" applyFont="1" applyBorder="1"/>
    <xf numFmtId="43" fontId="2" fillId="0" borderId="1" xfId="1" applyFont="1" applyBorder="1"/>
    <xf numFmtId="0" fontId="0" fillId="0" borderId="1" xfId="0" applyBorder="1" applyAlignment="1">
      <alignment horizontal="center"/>
    </xf>
    <xf numFmtId="164" fontId="2" fillId="0" borderId="0" xfId="0" applyNumberFormat="1" applyFont="1"/>
    <xf numFmtId="0" fontId="2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7" borderId="8" xfId="0" applyFont="1" applyFill="1" applyBorder="1" applyAlignment="1">
      <alignment horizontal="center" vertical="center" wrapText="1"/>
    </xf>
  </cellXfs>
  <cellStyles count="6">
    <cellStyle name="Comma" xfId="1" builtinId="3"/>
    <cellStyle name="Comma 3" xfId="3"/>
    <cellStyle name="Currency" xfId="5" builtinId="4"/>
    <cellStyle name="Normal" xfId="0" builtinId="0"/>
    <cellStyle name="Normal 2 2" xfId="2"/>
    <cellStyle name="Percent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zoomScale="85" zoomScaleNormal="85" workbookViewId="0">
      <selection activeCell="K21" sqref="K21"/>
    </sheetView>
  </sheetViews>
  <sheetFormatPr defaultRowHeight="15" x14ac:dyDescent="0.25"/>
  <cols>
    <col min="2" max="2" width="9.85546875" customWidth="1"/>
    <col min="3" max="3" width="19" bestFit="1" customWidth="1"/>
    <col min="4" max="4" width="17.85546875" customWidth="1"/>
    <col min="5" max="5" width="17.7109375" hidden="1" customWidth="1"/>
    <col min="6" max="6" width="22.42578125" customWidth="1"/>
    <col min="7" max="7" width="15.7109375" customWidth="1"/>
    <col min="8" max="8" width="10" bestFit="1" customWidth="1"/>
    <col min="9" max="9" width="15.28515625" bestFit="1" customWidth="1"/>
    <col min="10" max="10" width="22.5703125" bestFit="1" customWidth="1"/>
    <col min="11" max="11" width="18.85546875" customWidth="1"/>
    <col min="12" max="12" width="42.42578125" customWidth="1"/>
    <col min="13" max="13" width="17.28515625" customWidth="1"/>
    <col min="14" max="14" width="16.7109375" bestFit="1" customWidth="1"/>
    <col min="15" max="15" width="13.28515625" bestFit="1" customWidth="1"/>
    <col min="16" max="16" width="11.5703125" bestFit="1" customWidth="1"/>
    <col min="17" max="17" width="17.28515625" customWidth="1"/>
  </cols>
  <sheetData>
    <row r="1" spans="2:14" x14ac:dyDescent="0.25">
      <c r="D1" s="1">
        <f>D4*8</f>
        <v>12544</v>
      </c>
      <c r="E1" s="1" t="s">
        <v>50</v>
      </c>
    </row>
    <row r="2" spans="2:14" x14ac:dyDescent="0.25">
      <c r="B2" s="29" t="s">
        <v>75</v>
      </c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2:14" ht="30" x14ac:dyDescent="0.25">
      <c r="B3" s="13" t="s">
        <v>4</v>
      </c>
      <c r="C3" s="13" t="s">
        <v>2</v>
      </c>
      <c r="D3" s="28" t="s">
        <v>72</v>
      </c>
      <c r="E3" s="28" t="s">
        <v>12</v>
      </c>
      <c r="F3" s="28" t="s">
        <v>5</v>
      </c>
      <c r="G3" s="28" t="s">
        <v>52</v>
      </c>
      <c r="H3" s="13" t="s">
        <v>6</v>
      </c>
      <c r="I3" s="13" t="s">
        <v>51</v>
      </c>
      <c r="J3" s="13" t="s">
        <v>7</v>
      </c>
      <c r="K3" s="13" t="s">
        <v>1</v>
      </c>
      <c r="L3" s="13" t="s">
        <v>8</v>
      </c>
    </row>
    <row r="4" spans="2:14" ht="30" x14ac:dyDescent="0.25">
      <c r="B4" s="7">
        <v>1</v>
      </c>
      <c r="C4" s="14" t="s">
        <v>73</v>
      </c>
      <c r="D4" s="14">
        <v>1568</v>
      </c>
      <c r="E4" s="3"/>
      <c r="F4" s="12" t="s">
        <v>74</v>
      </c>
      <c r="G4" s="9">
        <v>100000</v>
      </c>
      <c r="H4" s="10">
        <v>0</v>
      </c>
      <c r="I4" s="10">
        <v>0.05</v>
      </c>
      <c r="J4" s="8">
        <f>G4*(1+I4)*(1-H4)</f>
        <v>105000</v>
      </c>
      <c r="K4" s="8">
        <f>J4*D4</f>
        <v>164640000</v>
      </c>
      <c r="L4" s="12"/>
    </row>
    <row r="5" spans="2:14" x14ac:dyDescent="0.25">
      <c r="B5" s="69" t="s">
        <v>3</v>
      </c>
      <c r="C5" s="70"/>
      <c r="D5" s="66">
        <f>SUM(D4:D4)</f>
        <v>1568</v>
      </c>
      <c r="E5" s="24"/>
      <c r="F5" s="25"/>
      <c r="G5" s="25"/>
      <c r="H5" s="25"/>
      <c r="I5" s="25"/>
      <c r="J5" s="25"/>
      <c r="K5" s="22">
        <f>SUM(K4:K4)</f>
        <v>164640000</v>
      </c>
      <c r="L5" s="11"/>
      <c r="N5" s="26"/>
    </row>
    <row r="6" spans="2:14" x14ac:dyDescent="0.25">
      <c r="B6" s="72" t="s">
        <v>9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14" x14ac:dyDescent="0.25">
      <c r="B7" s="75" t="s">
        <v>76</v>
      </c>
      <c r="C7" s="76"/>
      <c r="D7" s="76"/>
      <c r="E7" s="76"/>
      <c r="F7" s="76"/>
      <c r="G7" s="76"/>
      <c r="H7" s="76"/>
      <c r="I7" s="76"/>
      <c r="J7" s="76"/>
      <c r="K7" s="76"/>
      <c r="L7" s="77"/>
      <c r="N7" s="20"/>
    </row>
    <row r="8" spans="2:14" x14ac:dyDescent="0.25">
      <c r="B8" s="72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2:14" ht="15" customHeight="1" x14ac:dyDescent="0.25">
      <c r="B9" s="75" t="s">
        <v>77</v>
      </c>
      <c r="C9" s="76"/>
      <c r="D9" s="76"/>
      <c r="E9" s="76"/>
      <c r="F9" s="76"/>
      <c r="G9" s="76"/>
      <c r="H9" s="76"/>
      <c r="I9" s="76"/>
      <c r="J9" s="76"/>
      <c r="K9" s="76"/>
      <c r="L9" s="77"/>
    </row>
    <row r="10" spans="2:14" x14ac:dyDescent="0.25">
      <c r="B10" s="72" t="s">
        <v>11</v>
      </c>
      <c r="C10" s="73"/>
      <c r="D10" s="73"/>
      <c r="E10" s="73"/>
      <c r="F10" s="73"/>
      <c r="G10" s="73"/>
      <c r="H10" s="73"/>
      <c r="I10" s="73"/>
      <c r="J10" s="73"/>
      <c r="K10" s="73"/>
      <c r="L10" s="74"/>
    </row>
    <row r="12" spans="2:14" x14ac:dyDescent="0.25">
      <c r="B12" s="18" t="s">
        <v>14</v>
      </c>
      <c r="C12" s="19"/>
      <c r="D12" s="19"/>
      <c r="E12" s="19"/>
      <c r="F12" s="19"/>
      <c r="G12" s="17"/>
      <c r="M12" s="20"/>
    </row>
    <row r="13" spans="2:14" ht="30" x14ac:dyDescent="0.25">
      <c r="B13" s="5" t="s">
        <v>4</v>
      </c>
      <c r="C13" s="5" t="s">
        <v>2</v>
      </c>
      <c r="D13" s="6" t="s">
        <v>12</v>
      </c>
      <c r="E13" s="6" t="s">
        <v>44</v>
      </c>
      <c r="F13" s="6" t="s">
        <v>82</v>
      </c>
      <c r="G13" s="5" t="s">
        <v>13</v>
      </c>
      <c r="J13" s="27" t="s">
        <v>37</v>
      </c>
      <c r="K13" s="41">
        <f>Land!K5</f>
        <v>164640000</v>
      </c>
    </row>
    <row r="14" spans="2:14" x14ac:dyDescent="0.25">
      <c r="B14" s="7">
        <v>1</v>
      </c>
      <c r="C14" s="14" t="s">
        <v>73</v>
      </c>
      <c r="D14" s="67">
        <v>1568</v>
      </c>
      <c r="E14" s="3">
        <v>0</v>
      </c>
      <c r="F14" s="3">
        <v>28000</v>
      </c>
      <c r="G14" s="2">
        <f>D14*F14</f>
        <v>43904000</v>
      </c>
      <c r="J14" s="27" t="s">
        <v>38</v>
      </c>
      <c r="K14" s="41">
        <f>'Building Sheet'!U21</f>
        <v>115290930.0987584</v>
      </c>
    </row>
    <row r="15" spans="2:14" x14ac:dyDescent="0.25">
      <c r="B15" s="71" t="s">
        <v>3</v>
      </c>
      <c r="C15" s="71"/>
      <c r="D15" s="21">
        <f>SUM(D14:D14)</f>
        <v>1568</v>
      </c>
      <c r="E15" s="15">
        <f>SUM(E14:E14)</f>
        <v>0</v>
      </c>
      <c r="F15" s="16"/>
      <c r="G15" s="23">
        <f>SUM(G14:G14)</f>
        <v>43904000</v>
      </c>
      <c r="J15" s="27" t="s">
        <v>49</v>
      </c>
      <c r="K15" s="41">
        <v>800000</v>
      </c>
      <c r="L15" s="51"/>
    </row>
    <row r="16" spans="2:14" x14ac:dyDescent="0.25">
      <c r="J16" s="27" t="s">
        <v>3</v>
      </c>
      <c r="K16" s="41">
        <f>SUM(K13:K15)</f>
        <v>280730930.0987584</v>
      </c>
      <c r="L16" s="51"/>
    </row>
    <row r="17" spans="2:11" x14ac:dyDescent="0.25">
      <c r="J17" s="27" t="s">
        <v>15</v>
      </c>
      <c r="K17" s="41">
        <v>280000000</v>
      </c>
    </row>
    <row r="18" spans="2:11" x14ac:dyDescent="0.25">
      <c r="B18" s="64">
        <v>2</v>
      </c>
      <c r="C18" s="14" t="s">
        <v>83</v>
      </c>
      <c r="D18" s="1"/>
      <c r="E18" s="1"/>
      <c r="F18" s="1"/>
      <c r="G18" s="23">
        <f>(7460.85*15000)-((15000*7460.85*2*9)/(80*10))</f>
        <v>109394713.125</v>
      </c>
      <c r="J18" s="27" t="s">
        <v>0</v>
      </c>
      <c r="K18" s="42">
        <f>K17*0.85</f>
        <v>238000000</v>
      </c>
    </row>
    <row r="19" spans="2:11" x14ac:dyDescent="0.25">
      <c r="J19" s="27" t="s">
        <v>16</v>
      </c>
      <c r="K19" s="42">
        <f>K17*0.75</f>
        <v>210000000</v>
      </c>
    </row>
    <row r="20" spans="2:11" x14ac:dyDescent="0.25">
      <c r="G20" s="65">
        <f>SUM(G15+G18)</f>
        <v>153298713.125</v>
      </c>
    </row>
    <row r="21" spans="2:11" x14ac:dyDescent="0.25">
      <c r="J21" s="68" t="s">
        <v>84</v>
      </c>
      <c r="K21" s="52">
        <f>0.8*'Building Sheet'!Q21</f>
        <v>94859626.030624002</v>
      </c>
    </row>
  </sheetData>
  <mergeCells count="7">
    <mergeCell ref="B5:C5"/>
    <mergeCell ref="B15:C15"/>
    <mergeCell ref="B6:L6"/>
    <mergeCell ref="B7:L7"/>
    <mergeCell ref="B8:L8"/>
    <mergeCell ref="B9:L9"/>
    <mergeCell ref="B10:L10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8"/>
  <sheetViews>
    <sheetView zoomScale="85" zoomScaleNormal="85" workbookViewId="0">
      <selection activeCell="Z17" sqref="Z17"/>
    </sheetView>
  </sheetViews>
  <sheetFormatPr defaultRowHeight="15" x14ac:dyDescent="0.25"/>
  <cols>
    <col min="2" max="2" width="4.140625" bestFit="1" customWidth="1"/>
    <col min="3" max="3" width="30.5703125" bestFit="1" customWidth="1"/>
    <col min="4" max="4" width="18.140625" bestFit="1" customWidth="1"/>
    <col min="5" max="5" width="16.28515625" bestFit="1" customWidth="1"/>
    <col min="6" max="6" width="9" hidden="1" customWidth="1"/>
    <col min="7" max="7" width="11.5703125" bestFit="1" customWidth="1"/>
    <col min="8" max="8" width="9" hidden="1" customWidth="1"/>
    <col min="9" max="9" width="7.42578125" bestFit="1" customWidth="1"/>
    <col min="10" max="10" width="7.85546875" bestFit="1" customWidth="1"/>
    <col min="11" max="11" width="9.5703125" customWidth="1"/>
    <col min="12" max="12" width="10.42578125" hidden="1" customWidth="1"/>
    <col min="13" max="13" width="11" customWidth="1"/>
    <col min="14" max="14" width="7.7109375" hidden="1" customWidth="1"/>
    <col min="15" max="15" width="12.42578125" hidden="1" customWidth="1"/>
    <col min="16" max="16" width="10.85546875" bestFit="1" customWidth="1"/>
    <col min="17" max="17" width="14.28515625" customWidth="1"/>
    <col min="18" max="18" width="10.140625" hidden="1" customWidth="1"/>
    <col min="19" max="19" width="14.28515625" customWidth="1"/>
    <col min="20" max="20" width="6.85546875" hidden="1" customWidth="1"/>
    <col min="21" max="21" width="13.140625" bestFit="1" customWidth="1"/>
    <col min="23" max="23" width="15.28515625" bestFit="1" customWidth="1"/>
  </cols>
  <sheetData>
    <row r="3" spans="2:21" ht="15.6" customHeight="1" x14ac:dyDescent="0.25">
      <c r="B3" s="84" t="s">
        <v>81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/>
    </row>
    <row r="4" spans="2:21" ht="60" x14ac:dyDescent="0.25">
      <c r="B4" s="58" t="s">
        <v>17</v>
      </c>
      <c r="C4" s="32" t="s">
        <v>18</v>
      </c>
      <c r="D4" s="32" t="s">
        <v>46</v>
      </c>
      <c r="E4" s="32" t="s">
        <v>19</v>
      </c>
      <c r="F4" s="32" t="s">
        <v>20</v>
      </c>
      <c r="G4" s="32" t="s">
        <v>21</v>
      </c>
      <c r="H4" s="32" t="s">
        <v>48</v>
      </c>
      <c r="I4" s="32" t="s">
        <v>22</v>
      </c>
      <c r="J4" s="32" t="s">
        <v>23</v>
      </c>
      <c r="K4" s="32" t="s">
        <v>24</v>
      </c>
      <c r="L4" s="32" t="s">
        <v>25</v>
      </c>
      <c r="M4" s="32" t="s">
        <v>26</v>
      </c>
      <c r="N4" s="32" t="s">
        <v>27</v>
      </c>
      <c r="O4" s="32" t="s">
        <v>28</v>
      </c>
      <c r="P4" s="32" t="s">
        <v>29</v>
      </c>
      <c r="Q4" s="32" t="s">
        <v>30</v>
      </c>
      <c r="R4" s="32" t="s">
        <v>31</v>
      </c>
      <c r="S4" s="32" t="s">
        <v>32</v>
      </c>
      <c r="T4" s="32" t="s">
        <v>33</v>
      </c>
      <c r="U4" s="33" t="s">
        <v>34</v>
      </c>
    </row>
    <row r="5" spans="2:21" x14ac:dyDescent="0.25">
      <c r="B5" s="55">
        <v>1</v>
      </c>
      <c r="C5" s="54" t="s">
        <v>79</v>
      </c>
      <c r="D5" s="34" t="s">
        <v>53</v>
      </c>
      <c r="E5" s="14" t="s">
        <v>47</v>
      </c>
      <c r="F5" s="62">
        <v>1029.2</v>
      </c>
      <c r="G5" s="2">
        <f>F5*10.7639</f>
        <v>11078.20588</v>
      </c>
      <c r="H5" s="61">
        <v>4.5</v>
      </c>
      <c r="I5" s="50">
        <f>H5*3.28</f>
        <v>14.76</v>
      </c>
      <c r="J5" s="14">
        <v>2023</v>
      </c>
      <c r="K5" s="35">
        <v>2025</v>
      </c>
      <c r="L5" s="35">
        <f>K5-J5</f>
        <v>2</v>
      </c>
      <c r="M5" s="35">
        <v>65</v>
      </c>
      <c r="N5" s="36">
        <v>0.1</v>
      </c>
      <c r="O5" s="37">
        <f>(1-N5)/M5</f>
        <v>1.3846153846153847E-2</v>
      </c>
      <c r="P5" s="35">
        <v>1200</v>
      </c>
      <c r="Q5" s="38">
        <f>P5*G5</f>
        <v>13293847.056</v>
      </c>
      <c r="R5" s="39">
        <f>O5*L5</f>
        <v>2.7692307692307693E-2</v>
      </c>
      <c r="S5" s="40">
        <f>Q5*R5</f>
        <v>368137.30308923079</v>
      </c>
      <c r="T5" s="48">
        <v>0</v>
      </c>
      <c r="U5" s="38">
        <f>(Q5-S5)*(1-T5)</f>
        <v>12925709.752910769</v>
      </c>
    </row>
    <row r="6" spans="2:21" x14ac:dyDescent="0.25">
      <c r="B6" s="56">
        <v>2</v>
      </c>
      <c r="C6" s="54" t="s">
        <v>79</v>
      </c>
      <c r="D6" s="34" t="s">
        <v>54</v>
      </c>
      <c r="E6" s="14" t="s">
        <v>47</v>
      </c>
      <c r="F6" s="62">
        <v>1029.2</v>
      </c>
      <c r="G6" s="2">
        <f t="shared" ref="G6:G20" si="0">F6*10.7639</f>
        <v>11078.20588</v>
      </c>
      <c r="H6" s="61">
        <v>3.5</v>
      </c>
      <c r="I6" s="50">
        <f t="shared" ref="I6:I20" si="1">H6*3.28</f>
        <v>11.479999999999999</v>
      </c>
      <c r="J6" s="14">
        <v>2023</v>
      </c>
      <c r="K6" s="35">
        <v>2025</v>
      </c>
      <c r="L6" s="35">
        <f t="shared" ref="L6:L20" si="2">K6-J6</f>
        <v>2</v>
      </c>
      <c r="M6" s="35">
        <v>65</v>
      </c>
      <c r="N6" s="36">
        <v>0.1</v>
      </c>
      <c r="O6" s="37">
        <f t="shared" ref="O6:O20" si="3">(1-N6)/M6</f>
        <v>1.3846153846153847E-2</v>
      </c>
      <c r="P6" s="35">
        <v>1200</v>
      </c>
      <c r="Q6" s="38">
        <f t="shared" ref="Q6:Q20" si="4">P6*G6</f>
        <v>13293847.056</v>
      </c>
      <c r="R6" s="39">
        <f t="shared" ref="R6:R20" si="5">O6*L6</f>
        <v>2.7692307692307693E-2</v>
      </c>
      <c r="S6" s="40">
        <f t="shared" ref="S6:S20" si="6">Q6*R6</f>
        <v>368137.30308923079</v>
      </c>
      <c r="T6" s="48">
        <v>0</v>
      </c>
      <c r="U6" s="38">
        <f t="shared" ref="U6:U20" si="7">(Q6-S6)*(1-T6)</f>
        <v>12925709.752910769</v>
      </c>
    </row>
    <row r="7" spans="2:21" x14ac:dyDescent="0.25">
      <c r="B7" s="59">
        <v>3</v>
      </c>
      <c r="C7" s="54" t="s">
        <v>55</v>
      </c>
      <c r="D7" s="34" t="s">
        <v>69</v>
      </c>
      <c r="E7" s="14" t="s">
        <v>47</v>
      </c>
      <c r="F7" s="62">
        <v>474.25</v>
      </c>
      <c r="G7" s="2">
        <f t="shared" si="0"/>
        <v>5104.7795749999996</v>
      </c>
      <c r="H7" s="61">
        <v>2.5</v>
      </c>
      <c r="I7" s="50">
        <f t="shared" si="1"/>
        <v>8.1999999999999993</v>
      </c>
      <c r="J7" s="14">
        <v>2023</v>
      </c>
      <c r="K7" s="35">
        <v>2025</v>
      </c>
      <c r="L7" s="35">
        <f t="shared" si="2"/>
        <v>2</v>
      </c>
      <c r="M7" s="35">
        <v>65</v>
      </c>
      <c r="N7" s="36">
        <v>0.1</v>
      </c>
      <c r="O7" s="37">
        <f t="shared" si="3"/>
        <v>1.3846153846153847E-2</v>
      </c>
      <c r="P7" s="35">
        <v>1500</v>
      </c>
      <c r="Q7" s="38">
        <f t="shared" si="4"/>
        <v>7657169.3624999998</v>
      </c>
      <c r="R7" s="39">
        <f t="shared" si="5"/>
        <v>2.7692307692307693E-2</v>
      </c>
      <c r="S7" s="40">
        <f t="shared" si="6"/>
        <v>212044.69003846153</v>
      </c>
      <c r="T7" s="48">
        <v>0</v>
      </c>
      <c r="U7" s="38">
        <f t="shared" si="7"/>
        <v>7445124.6724615386</v>
      </c>
    </row>
    <row r="8" spans="2:21" ht="15" customHeight="1" x14ac:dyDescent="0.25">
      <c r="B8" s="55">
        <v>4</v>
      </c>
      <c r="C8" s="54" t="s">
        <v>59</v>
      </c>
      <c r="D8" s="34" t="s">
        <v>56</v>
      </c>
      <c r="E8" s="14" t="s">
        <v>47</v>
      </c>
      <c r="F8" s="62">
        <v>474.25</v>
      </c>
      <c r="G8" s="2">
        <f t="shared" si="0"/>
        <v>5104.7795749999996</v>
      </c>
      <c r="H8" s="61">
        <v>2.5</v>
      </c>
      <c r="I8" s="50">
        <f t="shared" si="1"/>
        <v>8.1999999999999993</v>
      </c>
      <c r="J8" s="14">
        <v>2023</v>
      </c>
      <c r="K8" s="35">
        <v>2025</v>
      </c>
      <c r="L8" s="35">
        <f t="shared" si="2"/>
        <v>2</v>
      </c>
      <c r="M8" s="35">
        <v>65</v>
      </c>
      <c r="N8" s="36">
        <v>0.1</v>
      </c>
      <c r="O8" s="37">
        <f t="shared" si="3"/>
        <v>1.3846153846153847E-2</v>
      </c>
      <c r="P8" s="35">
        <v>1800</v>
      </c>
      <c r="Q8" s="38">
        <f t="shared" si="4"/>
        <v>9188603.2349999994</v>
      </c>
      <c r="R8" s="39">
        <f t="shared" si="5"/>
        <v>2.7692307692307693E-2</v>
      </c>
      <c r="S8" s="40">
        <f t="shared" si="6"/>
        <v>254453.62804615384</v>
      </c>
      <c r="T8" s="48">
        <v>0</v>
      </c>
      <c r="U8" s="38">
        <f t="shared" si="7"/>
        <v>8934149.6069538463</v>
      </c>
    </row>
    <row r="9" spans="2:21" x14ac:dyDescent="0.25">
      <c r="B9" s="57">
        <v>5</v>
      </c>
      <c r="C9" s="54" t="s">
        <v>59</v>
      </c>
      <c r="D9" s="34" t="s">
        <v>58</v>
      </c>
      <c r="E9" s="14" t="s">
        <v>47</v>
      </c>
      <c r="F9" s="62">
        <v>474.25</v>
      </c>
      <c r="G9" s="2">
        <f t="shared" si="0"/>
        <v>5104.7795749999996</v>
      </c>
      <c r="H9" s="61">
        <v>2.5</v>
      </c>
      <c r="I9" s="50">
        <f t="shared" si="1"/>
        <v>8.1999999999999993</v>
      </c>
      <c r="J9" s="14">
        <v>2023</v>
      </c>
      <c r="K9" s="35">
        <v>2025</v>
      </c>
      <c r="L9" s="35">
        <f t="shared" si="2"/>
        <v>2</v>
      </c>
      <c r="M9" s="35">
        <v>65</v>
      </c>
      <c r="N9" s="36">
        <v>0.1</v>
      </c>
      <c r="O9" s="37">
        <f t="shared" si="3"/>
        <v>1.3846153846153847E-2</v>
      </c>
      <c r="P9" s="35">
        <v>1800</v>
      </c>
      <c r="Q9" s="38">
        <f t="shared" si="4"/>
        <v>9188603.2349999994</v>
      </c>
      <c r="R9" s="39">
        <f t="shared" si="5"/>
        <v>2.7692307692307693E-2</v>
      </c>
      <c r="S9" s="40">
        <f t="shared" si="6"/>
        <v>254453.62804615384</v>
      </c>
      <c r="T9" s="48">
        <v>0</v>
      </c>
      <c r="U9" s="38">
        <f t="shared" si="7"/>
        <v>8934149.6069538463</v>
      </c>
    </row>
    <row r="10" spans="2:21" x14ac:dyDescent="0.25">
      <c r="B10" s="56">
        <v>6</v>
      </c>
      <c r="C10" s="54" t="s">
        <v>59</v>
      </c>
      <c r="D10" s="49" t="s">
        <v>60</v>
      </c>
      <c r="E10" s="14" t="s">
        <v>47</v>
      </c>
      <c r="F10" s="62">
        <v>474.25</v>
      </c>
      <c r="G10" s="2">
        <f t="shared" si="0"/>
        <v>5104.7795749999996</v>
      </c>
      <c r="H10" s="61">
        <v>2.5</v>
      </c>
      <c r="I10" s="50">
        <f t="shared" si="1"/>
        <v>8.1999999999999993</v>
      </c>
      <c r="J10" s="14">
        <v>2023</v>
      </c>
      <c r="K10" s="35">
        <v>2025</v>
      </c>
      <c r="L10" s="35">
        <f t="shared" si="2"/>
        <v>2</v>
      </c>
      <c r="M10" s="35">
        <v>65</v>
      </c>
      <c r="N10" s="36">
        <v>0.1</v>
      </c>
      <c r="O10" s="37">
        <f t="shared" si="3"/>
        <v>1.3846153846153847E-2</v>
      </c>
      <c r="P10" s="35">
        <v>1800</v>
      </c>
      <c r="Q10" s="38">
        <f t="shared" si="4"/>
        <v>9188603.2349999994</v>
      </c>
      <c r="R10" s="39">
        <f t="shared" si="5"/>
        <v>2.7692307692307693E-2</v>
      </c>
      <c r="S10" s="40">
        <f t="shared" si="6"/>
        <v>254453.62804615384</v>
      </c>
      <c r="T10" s="48">
        <v>0</v>
      </c>
      <c r="U10" s="38">
        <f t="shared" si="7"/>
        <v>8934149.6069538463</v>
      </c>
    </row>
    <row r="11" spans="2:21" x14ac:dyDescent="0.25">
      <c r="B11" s="56">
        <v>7</v>
      </c>
      <c r="C11" s="54" t="s">
        <v>59</v>
      </c>
      <c r="D11" s="34" t="s">
        <v>61</v>
      </c>
      <c r="E11" s="14" t="s">
        <v>47</v>
      </c>
      <c r="F11" s="62">
        <v>474.25</v>
      </c>
      <c r="G11" s="2">
        <f t="shared" si="0"/>
        <v>5104.7795749999996</v>
      </c>
      <c r="H11" s="61">
        <v>2.5</v>
      </c>
      <c r="I11" s="50">
        <f t="shared" si="1"/>
        <v>8.1999999999999993</v>
      </c>
      <c r="J11" s="14">
        <v>2023</v>
      </c>
      <c r="K11" s="35">
        <v>2025</v>
      </c>
      <c r="L11" s="35">
        <f t="shared" si="2"/>
        <v>2</v>
      </c>
      <c r="M11" s="35">
        <v>65</v>
      </c>
      <c r="N11" s="36">
        <v>0.1</v>
      </c>
      <c r="O11" s="37">
        <f t="shared" si="3"/>
        <v>1.3846153846153847E-2</v>
      </c>
      <c r="P11" s="35">
        <v>1800</v>
      </c>
      <c r="Q11" s="38">
        <f t="shared" si="4"/>
        <v>9188603.2349999994</v>
      </c>
      <c r="R11" s="39">
        <f t="shared" si="5"/>
        <v>2.7692307692307693E-2</v>
      </c>
      <c r="S11" s="40">
        <f t="shared" si="6"/>
        <v>254453.62804615384</v>
      </c>
      <c r="T11" s="48">
        <v>0</v>
      </c>
      <c r="U11" s="38">
        <f t="shared" si="7"/>
        <v>8934149.6069538463</v>
      </c>
    </row>
    <row r="12" spans="2:21" x14ac:dyDescent="0.25">
      <c r="B12" s="56">
        <v>8</v>
      </c>
      <c r="C12" s="54" t="s">
        <v>59</v>
      </c>
      <c r="D12" s="34" t="s">
        <v>62</v>
      </c>
      <c r="E12" s="14" t="s">
        <v>47</v>
      </c>
      <c r="F12" s="62">
        <v>474.25</v>
      </c>
      <c r="G12" s="2">
        <f t="shared" si="0"/>
        <v>5104.7795749999996</v>
      </c>
      <c r="H12" s="61">
        <v>2.5</v>
      </c>
      <c r="I12" s="50">
        <f t="shared" si="1"/>
        <v>8.1999999999999993</v>
      </c>
      <c r="J12" s="14">
        <v>2023</v>
      </c>
      <c r="K12" s="35">
        <v>2025</v>
      </c>
      <c r="L12" s="35">
        <f t="shared" si="2"/>
        <v>2</v>
      </c>
      <c r="M12" s="35">
        <v>65</v>
      </c>
      <c r="N12" s="36">
        <v>0.1</v>
      </c>
      <c r="O12" s="37">
        <f t="shared" si="3"/>
        <v>1.3846153846153847E-2</v>
      </c>
      <c r="P12" s="35">
        <v>1800</v>
      </c>
      <c r="Q12" s="38">
        <f t="shared" si="4"/>
        <v>9188603.2349999994</v>
      </c>
      <c r="R12" s="39">
        <f t="shared" si="5"/>
        <v>2.7692307692307693E-2</v>
      </c>
      <c r="S12" s="40">
        <f t="shared" si="6"/>
        <v>254453.62804615384</v>
      </c>
      <c r="T12" s="48">
        <v>0</v>
      </c>
      <c r="U12" s="38">
        <f t="shared" si="7"/>
        <v>8934149.6069538463</v>
      </c>
    </row>
    <row r="13" spans="2:21" x14ac:dyDescent="0.25">
      <c r="B13" s="60">
        <v>9</v>
      </c>
      <c r="C13" s="54" t="s">
        <v>59</v>
      </c>
      <c r="D13" s="34" t="s">
        <v>63</v>
      </c>
      <c r="E13" s="14" t="s">
        <v>47</v>
      </c>
      <c r="F13" s="62">
        <v>474.25</v>
      </c>
      <c r="G13" s="2">
        <f t="shared" si="0"/>
        <v>5104.7795749999996</v>
      </c>
      <c r="H13" s="61">
        <v>3</v>
      </c>
      <c r="I13" s="50">
        <f t="shared" si="1"/>
        <v>9.84</v>
      </c>
      <c r="J13" s="14">
        <v>2023</v>
      </c>
      <c r="K13" s="35">
        <v>2025</v>
      </c>
      <c r="L13" s="35">
        <f t="shared" si="2"/>
        <v>2</v>
      </c>
      <c r="M13" s="35">
        <v>65</v>
      </c>
      <c r="N13" s="36">
        <v>0.1</v>
      </c>
      <c r="O13" s="37">
        <f t="shared" si="3"/>
        <v>1.3846153846153847E-2</v>
      </c>
      <c r="P13" s="35">
        <v>1400</v>
      </c>
      <c r="Q13" s="38">
        <f t="shared" si="4"/>
        <v>7146691.4049999993</v>
      </c>
      <c r="R13" s="39">
        <f t="shared" si="5"/>
        <v>2.7692307692307693E-2</v>
      </c>
      <c r="S13" s="40">
        <f t="shared" si="6"/>
        <v>197908.37736923076</v>
      </c>
      <c r="T13" s="48">
        <v>0</v>
      </c>
      <c r="U13" s="38">
        <f t="shared" si="7"/>
        <v>6948783.0276307687</v>
      </c>
    </row>
    <row r="14" spans="2:21" x14ac:dyDescent="0.25">
      <c r="B14" s="60">
        <v>10</v>
      </c>
      <c r="C14" s="54" t="s">
        <v>59</v>
      </c>
      <c r="D14" s="34" t="s">
        <v>64</v>
      </c>
      <c r="E14" s="14" t="s">
        <v>47</v>
      </c>
      <c r="F14" s="62">
        <v>474.25</v>
      </c>
      <c r="G14" s="2">
        <f t="shared" si="0"/>
        <v>5104.7795749999996</v>
      </c>
      <c r="H14" s="61">
        <v>3.7</v>
      </c>
      <c r="I14" s="50">
        <f t="shared" si="1"/>
        <v>12.135999999999999</v>
      </c>
      <c r="J14" s="14">
        <v>2023</v>
      </c>
      <c r="K14" s="35">
        <v>2025</v>
      </c>
      <c r="L14" s="35">
        <f t="shared" si="2"/>
        <v>2</v>
      </c>
      <c r="M14" s="35">
        <v>65</v>
      </c>
      <c r="N14" s="36">
        <v>0.1</v>
      </c>
      <c r="O14" s="37">
        <f t="shared" si="3"/>
        <v>1.3846153846153847E-2</v>
      </c>
      <c r="P14" s="35">
        <v>1400</v>
      </c>
      <c r="Q14" s="38">
        <f t="shared" si="4"/>
        <v>7146691.4049999993</v>
      </c>
      <c r="R14" s="39">
        <f t="shared" si="5"/>
        <v>2.7692307692307693E-2</v>
      </c>
      <c r="S14" s="40">
        <f t="shared" si="6"/>
        <v>197908.37736923076</v>
      </c>
      <c r="T14" s="48">
        <v>0</v>
      </c>
      <c r="U14" s="38">
        <f t="shared" si="7"/>
        <v>6948783.0276307687</v>
      </c>
    </row>
    <row r="15" spans="2:21" x14ac:dyDescent="0.25">
      <c r="B15" s="60">
        <v>11</v>
      </c>
      <c r="C15" s="54" t="s">
        <v>59</v>
      </c>
      <c r="D15" s="34" t="s">
        <v>65</v>
      </c>
      <c r="E15" s="14" t="s">
        <v>47</v>
      </c>
      <c r="F15" s="62">
        <v>474.25</v>
      </c>
      <c r="G15" s="2">
        <f t="shared" si="0"/>
        <v>5104.7795749999996</v>
      </c>
      <c r="H15" s="61">
        <v>3.7</v>
      </c>
      <c r="I15" s="50">
        <f t="shared" si="1"/>
        <v>12.135999999999999</v>
      </c>
      <c r="J15" s="14">
        <v>2023</v>
      </c>
      <c r="K15" s="35">
        <v>2025</v>
      </c>
      <c r="L15" s="35">
        <f t="shared" si="2"/>
        <v>2</v>
      </c>
      <c r="M15" s="35">
        <v>65</v>
      </c>
      <c r="N15" s="36">
        <v>0.1</v>
      </c>
      <c r="O15" s="37">
        <f t="shared" si="3"/>
        <v>1.3846153846153847E-2</v>
      </c>
      <c r="P15" s="35">
        <v>1400</v>
      </c>
      <c r="Q15" s="38">
        <f t="shared" si="4"/>
        <v>7146691.4049999993</v>
      </c>
      <c r="R15" s="39">
        <f t="shared" si="5"/>
        <v>2.7692307692307693E-2</v>
      </c>
      <c r="S15" s="40">
        <f t="shared" si="6"/>
        <v>197908.37736923076</v>
      </c>
      <c r="T15" s="48">
        <v>0</v>
      </c>
      <c r="U15" s="38">
        <f t="shared" si="7"/>
        <v>6948783.0276307687</v>
      </c>
    </row>
    <row r="16" spans="2:21" x14ac:dyDescent="0.25">
      <c r="B16" s="60">
        <v>12</v>
      </c>
      <c r="C16" s="54" t="s">
        <v>59</v>
      </c>
      <c r="D16" s="34" t="s">
        <v>66</v>
      </c>
      <c r="E16" s="14" t="s">
        <v>47</v>
      </c>
      <c r="F16" s="62">
        <v>412.505</v>
      </c>
      <c r="G16" s="2">
        <f t="shared" si="0"/>
        <v>4440.1625694999993</v>
      </c>
      <c r="H16" s="61">
        <v>3.7</v>
      </c>
      <c r="I16" s="50">
        <f t="shared" si="1"/>
        <v>12.135999999999999</v>
      </c>
      <c r="J16" s="14">
        <v>2023</v>
      </c>
      <c r="K16" s="35">
        <v>2025</v>
      </c>
      <c r="L16" s="35">
        <f t="shared" si="2"/>
        <v>2</v>
      </c>
      <c r="M16" s="35">
        <v>65</v>
      </c>
      <c r="N16" s="36">
        <v>0.1</v>
      </c>
      <c r="O16" s="37">
        <f t="shared" si="3"/>
        <v>1.3846153846153847E-2</v>
      </c>
      <c r="P16" s="35">
        <v>1400</v>
      </c>
      <c r="Q16" s="38">
        <f t="shared" si="4"/>
        <v>6216227.5972999986</v>
      </c>
      <c r="R16" s="39">
        <f t="shared" si="5"/>
        <v>2.7692307692307693E-2</v>
      </c>
      <c r="S16" s="40">
        <f t="shared" si="6"/>
        <v>172141.68730984611</v>
      </c>
      <c r="T16" s="48">
        <v>0</v>
      </c>
      <c r="U16" s="38">
        <f t="shared" si="7"/>
        <v>6044085.9099901523</v>
      </c>
    </row>
    <row r="17" spans="2:23" x14ac:dyDescent="0.25">
      <c r="B17" s="60">
        <v>13</v>
      </c>
      <c r="C17" s="54" t="s">
        <v>59</v>
      </c>
      <c r="D17" s="34" t="s">
        <v>67</v>
      </c>
      <c r="E17" s="14" t="s">
        <v>47</v>
      </c>
      <c r="F17" s="62">
        <v>327.084</v>
      </c>
      <c r="G17" s="2">
        <f t="shared" si="0"/>
        <v>3520.6994675999999</v>
      </c>
      <c r="H17" s="61">
        <v>3.7</v>
      </c>
      <c r="I17" s="50">
        <f t="shared" si="1"/>
        <v>12.135999999999999</v>
      </c>
      <c r="J17" s="14">
        <v>2023</v>
      </c>
      <c r="K17" s="35">
        <v>2025</v>
      </c>
      <c r="L17" s="35">
        <f t="shared" si="2"/>
        <v>2</v>
      </c>
      <c r="M17" s="35">
        <v>65</v>
      </c>
      <c r="N17" s="36">
        <v>0.1</v>
      </c>
      <c r="O17" s="37">
        <f t="shared" si="3"/>
        <v>1.3846153846153847E-2</v>
      </c>
      <c r="P17" s="35">
        <v>1400</v>
      </c>
      <c r="Q17" s="38">
        <f t="shared" si="4"/>
        <v>4928979.2546399999</v>
      </c>
      <c r="R17" s="39">
        <f t="shared" si="5"/>
        <v>2.7692307692307693E-2</v>
      </c>
      <c r="S17" s="40">
        <f t="shared" si="6"/>
        <v>136494.8101284923</v>
      </c>
      <c r="T17" s="48">
        <v>0</v>
      </c>
      <c r="U17" s="38">
        <f t="shared" si="7"/>
        <v>4792484.4445115076</v>
      </c>
    </row>
    <row r="18" spans="2:23" x14ac:dyDescent="0.25">
      <c r="B18" s="53">
        <v>14</v>
      </c>
      <c r="C18" s="54" t="s">
        <v>59</v>
      </c>
      <c r="D18" s="34" t="s">
        <v>68</v>
      </c>
      <c r="E18" s="14" t="s">
        <v>47</v>
      </c>
      <c r="F18" s="62">
        <v>327.084</v>
      </c>
      <c r="G18" s="2">
        <f t="shared" si="0"/>
        <v>3520.6994675999999</v>
      </c>
      <c r="H18" s="61">
        <v>3.7</v>
      </c>
      <c r="I18" s="50">
        <f t="shared" si="1"/>
        <v>12.135999999999999</v>
      </c>
      <c r="J18" s="14">
        <v>2023</v>
      </c>
      <c r="K18" s="35">
        <v>2025</v>
      </c>
      <c r="L18" s="35">
        <f t="shared" si="2"/>
        <v>2</v>
      </c>
      <c r="M18" s="35">
        <v>65</v>
      </c>
      <c r="N18" s="36">
        <v>0.1</v>
      </c>
      <c r="O18" s="37">
        <f t="shared" si="3"/>
        <v>1.3846153846153847E-2</v>
      </c>
      <c r="P18" s="35">
        <v>1400</v>
      </c>
      <c r="Q18" s="38">
        <f t="shared" si="4"/>
        <v>4928979.2546399999</v>
      </c>
      <c r="R18" s="39">
        <f t="shared" si="5"/>
        <v>2.7692307692307693E-2</v>
      </c>
      <c r="S18" s="40">
        <f t="shared" si="6"/>
        <v>136494.8101284923</v>
      </c>
      <c r="T18" s="48">
        <v>0</v>
      </c>
      <c r="U18" s="38">
        <f t="shared" si="7"/>
        <v>4792484.4445115076</v>
      </c>
    </row>
    <row r="19" spans="2:23" x14ac:dyDescent="0.25">
      <c r="B19" s="53">
        <v>15</v>
      </c>
      <c r="C19" s="34" t="s">
        <v>80</v>
      </c>
      <c r="D19" s="34" t="s">
        <v>78</v>
      </c>
      <c r="E19" s="14" t="s">
        <v>47</v>
      </c>
      <c r="F19" s="62">
        <v>64.959999999999994</v>
      </c>
      <c r="G19" s="2">
        <f t="shared" si="0"/>
        <v>699.22294399999987</v>
      </c>
      <c r="H19" s="61">
        <v>3</v>
      </c>
      <c r="I19" s="50">
        <f t="shared" si="1"/>
        <v>9.84</v>
      </c>
      <c r="J19" s="14">
        <v>2023</v>
      </c>
      <c r="K19" s="14">
        <v>2025</v>
      </c>
      <c r="L19" s="35">
        <f t="shared" si="2"/>
        <v>2</v>
      </c>
      <c r="M19" s="35">
        <v>65</v>
      </c>
      <c r="N19" s="36">
        <v>0.1</v>
      </c>
      <c r="O19" s="37">
        <f t="shared" si="3"/>
        <v>1.3846153846153847E-2</v>
      </c>
      <c r="P19" s="35">
        <v>1200</v>
      </c>
      <c r="Q19" s="38">
        <f t="shared" si="4"/>
        <v>839067.53279999981</v>
      </c>
      <c r="R19" s="39">
        <f t="shared" si="5"/>
        <v>2.7692307692307693E-2</v>
      </c>
      <c r="S19" s="40">
        <f t="shared" si="6"/>
        <v>23235.716292923073</v>
      </c>
      <c r="T19" s="48">
        <v>0</v>
      </c>
      <c r="U19" s="38">
        <f t="shared" si="7"/>
        <v>815831.81650707673</v>
      </c>
    </row>
    <row r="20" spans="2:23" x14ac:dyDescent="0.25">
      <c r="B20" s="53">
        <v>16</v>
      </c>
      <c r="C20" s="34" t="s">
        <v>70</v>
      </c>
      <c r="D20" s="34" t="s">
        <v>57</v>
      </c>
      <c r="E20" s="14" t="s">
        <v>47</v>
      </c>
      <c r="F20" s="62">
        <v>2.58</v>
      </c>
      <c r="G20" s="2">
        <f t="shared" si="0"/>
        <v>27.770862000000001</v>
      </c>
      <c r="H20" s="61">
        <v>3</v>
      </c>
      <c r="I20" s="50">
        <f t="shared" si="1"/>
        <v>9.84</v>
      </c>
      <c r="J20" s="14">
        <v>2023</v>
      </c>
      <c r="K20" s="14">
        <v>2025</v>
      </c>
      <c r="L20" s="35">
        <f t="shared" si="2"/>
        <v>2</v>
      </c>
      <c r="M20" s="35">
        <v>65</v>
      </c>
      <c r="N20" s="36">
        <v>0.1</v>
      </c>
      <c r="O20" s="37">
        <f t="shared" si="3"/>
        <v>1.3846153846153847E-2</v>
      </c>
      <c r="P20" s="35">
        <v>1200</v>
      </c>
      <c r="Q20" s="38">
        <f t="shared" si="4"/>
        <v>33325.034400000004</v>
      </c>
      <c r="R20" s="39">
        <f t="shared" si="5"/>
        <v>2.7692307692307693E-2</v>
      </c>
      <c r="S20" s="40">
        <f t="shared" si="6"/>
        <v>922.8471064615386</v>
      </c>
      <c r="T20" s="48">
        <v>0</v>
      </c>
      <c r="U20" s="38">
        <f t="shared" si="7"/>
        <v>32402.187293538467</v>
      </c>
    </row>
    <row r="21" spans="2:23" x14ac:dyDescent="0.25">
      <c r="B21" s="87" t="s">
        <v>3</v>
      </c>
      <c r="C21" s="87"/>
      <c r="D21" s="87"/>
      <c r="E21" s="87"/>
      <c r="F21" s="63">
        <f>SUM(F5:F20)</f>
        <v>7460.8629999999994</v>
      </c>
      <c r="G21" s="23">
        <f>SUM(G5:G20)</f>
        <v>80307.983245700001</v>
      </c>
      <c r="H21" s="2"/>
      <c r="I21" s="2"/>
      <c r="J21" s="14"/>
      <c r="K21" s="35"/>
      <c r="L21" s="35"/>
      <c r="M21" s="35"/>
      <c r="N21" s="36"/>
      <c r="O21" s="37"/>
      <c r="P21" s="35"/>
      <c r="Q21" s="23">
        <f>SUM(Q5:Q20)</f>
        <v>118574532.53828</v>
      </c>
      <c r="R21" s="39"/>
      <c r="S21" s="23">
        <f>SUM(S5:S20)</f>
        <v>3283602.4395215991</v>
      </c>
      <c r="T21" s="48"/>
      <c r="U21" s="23">
        <f>SUM(U5:U20)</f>
        <v>115290930.0987584</v>
      </c>
      <c r="W21" s="52">
        <f>Q21*0.8</f>
        <v>94859626.030624002</v>
      </c>
    </row>
    <row r="22" spans="2:23" x14ac:dyDescent="0.25">
      <c r="B22" s="81" t="s">
        <v>9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8"/>
      <c r="W22" s="52">
        <f>ROUND(W21,-7)</f>
        <v>90000000</v>
      </c>
    </row>
    <row r="23" spans="2:23" ht="27" customHeight="1" x14ac:dyDescent="0.25">
      <c r="B23" s="78" t="s">
        <v>71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0"/>
    </row>
    <row r="24" spans="2:23" x14ac:dyDescent="0.25">
      <c r="B24" s="89" t="s">
        <v>35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1"/>
    </row>
    <row r="25" spans="2:23" x14ac:dyDescent="0.25">
      <c r="B25" s="78" t="s">
        <v>45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0"/>
    </row>
    <row r="26" spans="2:23" x14ac:dyDescent="0.25">
      <c r="B26" s="81" t="s">
        <v>36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3"/>
    </row>
    <row r="28" spans="2:23" x14ac:dyDescent="0.25">
      <c r="S28" s="4">
        <f>Q13*0.8</f>
        <v>5717353.1239999998</v>
      </c>
    </row>
  </sheetData>
  <mergeCells count="7">
    <mergeCell ref="B25:U25"/>
    <mergeCell ref="B26:U26"/>
    <mergeCell ref="B3:U3"/>
    <mergeCell ref="B21:E21"/>
    <mergeCell ref="B22:U22"/>
    <mergeCell ref="B23:U23"/>
    <mergeCell ref="B24:U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"/>
  <sheetViews>
    <sheetView workbookViewId="0">
      <selection activeCell="N9" sqref="N9"/>
    </sheetView>
  </sheetViews>
  <sheetFormatPr defaultRowHeight="15" x14ac:dyDescent="0.25"/>
  <cols>
    <col min="2" max="2" width="11.85546875" customWidth="1"/>
    <col min="9" max="9" width="11.140625" customWidth="1"/>
    <col min="10" max="10" width="14" customWidth="1"/>
    <col min="11" max="11" width="11.5703125" bestFit="1" customWidth="1"/>
    <col min="12" max="12" width="14.28515625" bestFit="1" customWidth="1"/>
    <col min="14" max="14" width="16" customWidth="1"/>
  </cols>
  <sheetData>
    <row r="3" spans="2:14" ht="15.75" x14ac:dyDescent="0.25">
      <c r="B3" s="92" t="s">
        <v>39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ht="79.5" customHeight="1" x14ac:dyDescent="0.25">
      <c r="B4" s="32" t="s">
        <v>40</v>
      </c>
      <c r="C4" s="32" t="s">
        <v>23</v>
      </c>
      <c r="D4" s="32" t="s">
        <v>24</v>
      </c>
      <c r="E4" s="32" t="s">
        <v>25</v>
      </c>
      <c r="F4" s="32" t="s">
        <v>26</v>
      </c>
      <c r="G4" s="32" t="s">
        <v>27</v>
      </c>
      <c r="H4" s="32" t="s">
        <v>28</v>
      </c>
      <c r="I4" s="32" t="s">
        <v>41</v>
      </c>
      <c r="J4" s="32" t="s">
        <v>30</v>
      </c>
      <c r="K4" s="32" t="s">
        <v>42</v>
      </c>
      <c r="L4" s="32" t="s">
        <v>43</v>
      </c>
      <c r="M4" s="32" t="s">
        <v>33</v>
      </c>
      <c r="N4" s="32" t="s">
        <v>34</v>
      </c>
    </row>
    <row r="5" spans="2:14" x14ac:dyDescent="0.25">
      <c r="B5" s="43">
        <v>160</v>
      </c>
      <c r="C5" s="14">
        <v>2023</v>
      </c>
      <c r="D5" s="14">
        <v>2025</v>
      </c>
      <c r="E5" s="14">
        <f>D5-C5</f>
        <v>2</v>
      </c>
      <c r="F5" s="14">
        <v>65</v>
      </c>
      <c r="G5" s="44">
        <v>0.1</v>
      </c>
      <c r="H5" s="45">
        <f>(1-G5)/F5</f>
        <v>1.3846153846153847E-2</v>
      </c>
      <c r="I5" s="46">
        <v>4000</v>
      </c>
      <c r="J5" s="46">
        <f>I5*B5</f>
        <v>640000</v>
      </c>
      <c r="K5" s="46">
        <f>J5*H5*E5</f>
        <v>17723.076923076922</v>
      </c>
      <c r="L5" s="46">
        <f>MAX(J5-K5,0)</f>
        <v>622276.92307692312</v>
      </c>
      <c r="M5" s="47">
        <v>0</v>
      </c>
      <c r="N5" s="46">
        <f>IF(L5&gt;G5*J5,L5*(1-M5),J5*G5)</f>
        <v>622276.92307692312</v>
      </c>
    </row>
  </sheetData>
  <mergeCells count="1"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</vt:lpstr>
      <vt:lpstr>Building Sheet</vt:lpstr>
      <vt:lpstr>Boundary Wall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2025-02-26T10:58:24Z</dcterms:modified>
</cp:coreProperties>
</file>