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15" activeTab="1"/>
  </bookViews>
  <sheets>
    <sheet name="Land" sheetId="1" r:id="rId1"/>
    <sheet name="Building Sheet" sheetId="3" r:id="rId2"/>
    <sheet name="Boundary Wall" sheetId="5" r:id="rId3"/>
  </sheets>
  <calcPr calcId="152511"/>
</workbook>
</file>

<file path=xl/calcChain.xml><?xml version="1.0" encoding="utf-8"?>
<calcChain xmlns="http://schemas.openxmlformats.org/spreadsheetml/2006/main">
  <c r="G18" i="1" l="1"/>
  <c r="Q6" i="3" l="1"/>
  <c r="Q7" i="3"/>
  <c r="F8" i="3"/>
  <c r="G8" i="3" l="1"/>
  <c r="D5" i="1"/>
  <c r="D1" i="1" l="1"/>
  <c r="I6" i="3" l="1"/>
  <c r="I7" i="3"/>
  <c r="I5" i="3"/>
  <c r="L6" i="3" l="1"/>
  <c r="O6" i="3"/>
  <c r="L7" i="3"/>
  <c r="O7" i="3"/>
  <c r="R7" i="3" l="1"/>
  <c r="S7" i="3" s="1"/>
  <c r="U7" i="3" s="1"/>
  <c r="R6" i="3"/>
  <c r="S6" i="3" l="1"/>
  <c r="J5" i="5"/>
  <c r="H5" i="5"/>
  <c r="E5" i="5"/>
  <c r="U6" i="3" l="1"/>
  <c r="K5" i="5"/>
  <c r="L5" i="5" s="1"/>
  <c r="N5" i="5" s="1"/>
  <c r="K15" i="1" s="1"/>
  <c r="Q5" i="3" l="1"/>
  <c r="O5" i="3"/>
  <c r="L5" i="3"/>
  <c r="G14" i="1"/>
  <c r="Q8" i="3" l="1"/>
  <c r="R5" i="3"/>
  <c r="S5" i="3" s="1"/>
  <c r="S8" i="3" s="1"/>
  <c r="E15" i="1"/>
  <c r="D15" i="1"/>
  <c r="J4" i="1"/>
  <c r="K4" i="1" s="1"/>
  <c r="K5" i="1" s="1"/>
  <c r="W8" i="3" l="1"/>
  <c r="W9" i="3" s="1"/>
  <c r="K21" i="1"/>
  <c r="U5" i="3"/>
  <c r="U8" i="3" s="1"/>
  <c r="K13" i="1"/>
  <c r="G15" i="1"/>
  <c r="G20" i="1" s="1"/>
  <c r="K14" i="1" l="1"/>
  <c r="K16" i="1" s="1"/>
  <c r="K18" i="1" l="1"/>
  <c r="K19" i="1"/>
</calcChain>
</file>

<file path=xl/sharedStrings.xml><?xml version="1.0" encoding="utf-8"?>
<sst xmlns="http://schemas.openxmlformats.org/spreadsheetml/2006/main" count="89" uniqueCount="71">
  <si>
    <t>Ria</t>
  </si>
  <si>
    <t>FMV</t>
  </si>
  <si>
    <t>Discription</t>
  </si>
  <si>
    <t>Total</t>
  </si>
  <si>
    <t>Sr No.</t>
  </si>
  <si>
    <t>Rate Range</t>
  </si>
  <si>
    <t>Discount</t>
  </si>
  <si>
    <t>Rate Adopted</t>
  </si>
  <si>
    <t>Remark</t>
  </si>
  <si>
    <t>Remarks:</t>
  </si>
  <si>
    <t>2. Area details are mentioned above is taken from the documents provided to us by Client.</t>
  </si>
  <si>
    <t>4. The valuation is done by considering the Market Comparable Sales Method.</t>
  </si>
  <si>
    <t>Super area Area in Sq.mtr.</t>
  </si>
  <si>
    <t xml:space="preserve"> Circle rate in Rs.</t>
  </si>
  <si>
    <t>CIRCLE RATE</t>
  </si>
  <si>
    <t>Roundoff</t>
  </si>
  <si>
    <t>Dis</t>
  </si>
  <si>
    <t>SR. No.</t>
  </si>
  <si>
    <t>Particulars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</si>
  <si>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</si>
  <si>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sq.mt.)</t>
    </r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</si>
  <si>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</si>
  <si>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</si>
  <si>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</si>
  <si>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</si>
  <si>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</si>
  <si>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</si>
  <si>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</si>
  <si>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</si>
  <si>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</si>
  <si>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</si>
  <si>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 factor
 </t>
  </si>
  <si>
    <t>Depreciation amount
(INR)</t>
  </si>
  <si>
    <t>Discounting Factor</t>
  </si>
  <si>
    <t>Depreciated Replacement Market Value
(INR)</t>
  </si>
  <si>
    <t>2. Construction year of the building is taken as per the details mentioned by the owner's representative.</t>
  </si>
  <si>
    <r>
      <t>4.</t>
    </r>
    <r>
      <rPr>
        <b/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</si>
  <si>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Land</t>
  </si>
  <si>
    <t>Building</t>
  </si>
  <si>
    <t>Boundary wall valuation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</si>
  <si>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</si>
  <si>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</si>
  <si>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 xml:space="preserve">Depreciation
(INR) </t>
  </si>
  <si>
    <t>Depreciated Value
(INR)</t>
  </si>
  <si>
    <t>Circle rate per sq.yrd.</t>
  </si>
  <si>
    <r>
      <t xml:space="preserve">3. </t>
    </r>
    <r>
      <rPr>
        <b/>
        <i/>
        <sz val="10"/>
        <color theme="1"/>
        <rFont val="Calibri"/>
        <family val="2"/>
        <scheme val="minor"/>
      </rPr>
      <t>All the structure that has been taken as per site survey measurment and approved map.</t>
    </r>
  </si>
  <si>
    <t>Floor</t>
  </si>
  <si>
    <t>RCC</t>
  </si>
  <si>
    <r>
      <t xml:space="preserve">Height </t>
    </r>
    <r>
      <rPr>
        <b/>
        <i/>
        <sz val="10"/>
        <rFont val="Calibri"/>
        <family val="2"/>
        <scheme val="minor"/>
      </rPr>
      <t>(in mtr.)</t>
    </r>
  </si>
  <si>
    <t>Boundary Wall and road</t>
  </si>
  <si>
    <t>Kanal</t>
  </si>
  <si>
    <t>Premium</t>
  </si>
  <si>
    <t xml:space="preserve">Basic rate </t>
  </si>
  <si>
    <t>First Floor</t>
  </si>
  <si>
    <t>Ground Floor</t>
  </si>
  <si>
    <t>Second Floor</t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</si>
  <si>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pertaining to the building area statement such as area, floor,type of structure, age of the building etc. has been taken as per the Site Survey and documents.</t>
    </r>
  </si>
  <si>
    <t>sqmt.</t>
  </si>
  <si>
    <t>VALUATION OF M/S UTILITY POWERTECH LTD.</t>
  </si>
  <si>
    <t xml:space="preserve">1. The subject property is situated at PLOT NO. B-16, SECTOR-153, NOIDA, DISTT. GAUTAM BUDH NAGAR, UTTAR PRADESH </t>
  </si>
  <si>
    <t>3. Basement and Ground floor building and structures belongs to M/S UTILITY POWERTECH LTD.</t>
  </si>
  <si>
    <t>BUILDING VALUATION FOR M/S UTILITY POWERTECH LTD.</t>
  </si>
  <si>
    <t>Circle rate per sq.mtr.</t>
  </si>
  <si>
    <t>Construction</t>
  </si>
  <si>
    <t>Industrial Land</t>
  </si>
  <si>
    <t>Working Area and Cabins</t>
  </si>
  <si>
    <t>Conference Room and Working area</t>
  </si>
  <si>
    <t>Reception, Working area and Cabins</t>
  </si>
  <si>
    <t>Shed</t>
  </si>
  <si>
    <t>Insurance value</t>
  </si>
  <si>
    <t>Rs. 1,50,000/- to Rs. 2,00,000/- per sqmt.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</si>
</sst>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_ * #,##0.0_ ;_ * \-#,##0.0_ ;_ * &quot;-&quot;??_ ;_ @_ "/>
    <numFmt numFmtId="167" formatCode="0.000"/>
    <numFmt numFmtId="168" formatCode="_ * #,##0.000_ ;_ * \-#,##0.000_ ;_ * &quot;-&quot;??_ ;_ @_ "/>
    <numFmt numFmtId="169" formatCode="0.0000"/>
    <numFmt numFmtId="170" formatCode="_ &quot;₹&quot;\ * #,##0_ ;_ &quot;₹&quot;\ * \-#,##0_ ;_ &quot;₹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 vertical="center"/>
    </xf>
    <xf numFmtId="43" fontId="0" fillId="0" borderId="0" xfId="0" applyNumberFormat="1"/>
    <xf numFmtId="0" fontId="3" fillId="4" borderId="1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0" fontId="1" fillId="0" borderId="1" xfId="2" applyNumberForma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 wrapText="1"/>
    </xf>
    <xf numFmtId="164" fontId="0" fillId="0" borderId="1" xfId="3" applyNumberFormat="1" applyFont="1" applyBorder="1" applyAlignment="1">
      <alignment horizontal="center" vertical="center" wrapText="1"/>
    </xf>
    <xf numFmtId="0" fontId="3" fillId="4" borderId="5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/>
    <xf numFmtId="166" fontId="2" fillId="0" borderId="1" xfId="0" applyNumberFormat="1" applyFont="1" applyBorder="1"/>
    <xf numFmtId="164" fontId="0" fillId="5" borderId="1" xfId="1" applyNumberFormat="1" applyFont="1" applyFill="1" applyBorder="1" applyAlignment="1">
      <alignment horizontal="centerContinuous"/>
    </xf>
    <xf numFmtId="0" fontId="2" fillId="5" borderId="1" xfId="0" applyFont="1" applyFill="1" applyBorder="1" applyAlignment="1">
      <alignment horizontal="centerContinuous"/>
    </xf>
    <xf numFmtId="0" fontId="0" fillId="5" borderId="1" xfId="0" applyFill="1" applyBorder="1" applyAlignment="1">
      <alignment horizontal="centerContinuous"/>
    </xf>
    <xf numFmtId="1" fontId="0" fillId="0" borderId="0" xfId="0" applyNumberFormat="1"/>
    <xf numFmtId="0" fontId="2" fillId="0" borderId="1" xfId="0" applyFont="1" applyBorder="1" applyAlignment="1">
      <alignment horizontal="center"/>
    </xf>
    <xf numFmtId="164" fontId="2" fillId="0" borderId="1" xfId="3" applyNumberFormat="1" applyFont="1" applyBorder="1" applyAlignment="1">
      <alignment horizontal="center" vertical="center"/>
    </xf>
    <xf numFmtId="164" fontId="2" fillId="0" borderId="1" xfId="1" applyNumberFormat="1" applyFont="1" applyBorder="1"/>
    <xf numFmtId="164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164" fontId="2" fillId="0" borderId="0" xfId="1" applyNumberFormat="1" applyFont="1"/>
    <xf numFmtId="0" fontId="2" fillId="6" borderId="1" xfId="0" applyFont="1" applyFill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Continuous"/>
    </xf>
    <xf numFmtId="0" fontId="0" fillId="5" borderId="3" xfId="0" applyFill="1" applyBorder="1" applyAlignment="1">
      <alignment horizontal="centerContinuous"/>
    </xf>
    <xf numFmtId="0" fontId="0" fillId="5" borderId="4" xfId="0" applyFill="1" applyBorder="1" applyAlignment="1">
      <alignment horizontal="centerContinuous"/>
    </xf>
    <xf numFmtId="0" fontId="7" fillId="8" borderId="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170" fontId="0" fillId="0" borderId="1" xfId="5" applyNumberFormat="1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9" fontId="9" fillId="3" borderId="1" xfId="4" applyFont="1" applyFill="1" applyBorder="1" applyAlignment="1">
      <alignment horizontal="center" vertical="center" wrapText="1"/>
    </xf>
    <xf numFmtId="164" fontId="0" fillId="0" borderId="1" xfId="1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/>
    <xf numFmtId="0" fontId="0" fillId="3" borderId="1" xfId="0" applyFill="1" applyBorder="1" applyAlignment="1">
      <alignment vertical="center"/>
    </xf>
    <xf numFmtId="1" fontId="7" fillId="0" borderId="6" xfId="0" applyNumberFormat="1" applyFont="1" applyBorder="1" applyAlignment="1">
      <alignment vertical="center" wrapText="1"/>
    </xf>
    <xf numFmtId="1" fontId="7" fillId="0" borderId="5" xfId="0" applyNumberFormat="1" applyFont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vertical="center" wrapText="1"/>
    </xf>
    <xf numFmtId="166" fontId="0" fillId="0" borderId="1" xfId="1" applyNumberFormat="1" applyFont="1" applyFill="1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164" fontId="2" fillId="0" borderId="0" xfId="0" applyNumberFormat="1" applyFont="1"/>
    <xf numFmtId="0" fontId="2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 wrapText="1"/>
    </xf>
  </cellXfs>
  <cellStyles count="6">
    <cellStyle name="Comma" xfId="1" builtinId="3"/>
    <cellStyle name="Comma 3" xfId="3"/>
    <cellStyle name="Currency" xfId="5" builtinId="4"/>
    <cellStyle name="Normal" xfId="0" builtinId="0"/>
    <cellStyle name="Normal 2 2" xfId="2"/>
    <cellStyle name="Percent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zoomScale="85" zoomScaleNormal="85" workbookViewId="0">
      <selection activeCell="K18" sqref="K18"/>
    </sheetView>
  </sheetViews>
  <sheetFormatPr defaultRowHeight="15" x14ac:dyDescent="0.25"/>
  <cols>
    <col min="2" max="2" width="9.85546875" customWidth="1"/>
    <col min="3" max="3" width="19" bestFit="1" customWidth="1"/>
    <col min="4" max="4" width="17.85546875" customWidth="1"/>
    <col min="5" max="5" width="17.7109375" hidden="1" customWidth="1"/>
    <col min="6" max="6" width="22.42578125" customWidth="1"/>
    <col min="7" max="7" width="15.7109375" customWidth="1"/>
    <col min="8" max="8" width="10" bestFit="1" customWidth="1"/>
    <col min="9" max="9" width="15.28515625" bestFit="1" customWidth="1"/>
    <col min="10" max="10" width="22.5703125" bestFit="1" customWidth="1"/>
    <col min="11" max="11" width="18.85546875" customWidth="1"/>
    <col min="12" max="12" width="42.42578125" customWidth="1"/>
    <col min="13" max="13" width="17.28515625" customWidth="1"/>
    <col min="14" max="14" width="16.7109375" bestFit="1" customWidth="1"/>
    <col min="15" max="15" width="13.28515625" bestFit="1" customWidth="1"/>
    <col min="16" max="16" width="11.5703125" bestFit="1" customWidth="1"/>
    <col min="17" max="17" width="17.28515625" customWidth="1"/>
  </cols>
  <sheetData>
    <row r="1" spans="2:14" x14ac:dyDescent="0.25">
      <c r="D1" s="1">
        <f>D4*8</f>
        <v>6400</v>
      </c>
      <c r="E1" s="1" t="s">
        <v>50</v>
      </c>
    </row>
    <row r="2" spans="2:14" x14ac:dyDescent="0.25">
      <c r="B2" s="29" t="s">
        <v>58</v>
      </c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2:14" ht="30" x14ac:dyDescent="0.25">
      <c r="B3" s="13" t="s">
        <v>4</v>
      </c>
      <c r="C3" s="13" t="s">
        <v>2</v>
      </c>
      <c r="D3" s="28" t="s">
        <v>57</v>
      </c>
      <c r="E3" s="28" t="s">
        <v>12</v>
      </c>
      <c r="F3" s="28" t="s">
        <v>5</v>
      </c>
      <c r="G3" s="28" t="s">
        <v>52</v>
      </c>
      <c r="H3" s="13" t="s">
        <v>6</v>
      </c>
      <c r="I3" s="13" t="s">
        <v>51</v>
      </c>
      <c r="J3" s="13" t="s">
        <v>7</v>
      </c>
      <c r="K3" s="13" t="s">
        <v>1</v>
      </c>
      <c r="L3" s="13" t="s">
        <v>8</v>
      </c>
    </row>
    <row r="4" spans="2:14" ht="30" x14ac:dyDescent="0.25">
      <c r="B4" s="7">
        <v>1</v>
      </c>
      <c r="C4" s="14" t="s">
        <v>64</v>
      </c>
      <c r="D4" s="14">
        <v>800</v>
      </c>
      <c r="E4" s="3"/>
      <c r="F4" s="12" t="s">
        <v>70</v>
      </c>
      <c r="G4" s="9">
        <v>175000</v>
      </c>
      <c r="H4" s="10">
        <v>0</v>
      </c>
      <c r="I4" s="10">
        <v>0</v>
      </c>
      <c r="J4" s="8">
        <f>G4*(1+I4)*(1-H4)</f>
        <v>175000</v>
      </c>
      <c r="K4" s="8">
        <f>J4*D4</f>
        <v>140000000</v>
      </c>
      <c r="L4" s="12"/>
    </row>
    <row r="5" spans="2:14" x14ac:dyDescent="0.25">
      <c r="B5" s="65" t="s">
        <v>3</v>
      </c>
      <c r="C5" s="66"/>
      <c r="D5" s="62">
        <f>SUM(D4:D4)</f>
        <v>800</v>
      </c>
      <c r="E5" s="24"/>
      <c r="F5" s="25"/>
      <c r="G5" s="25"/>
      <c r="H5" s="25"/>
      <c r="I5" s="25"/>
      <c r="J5" s="25"/>
      <c r="K5" s="22">
        <f>SUM(K4:K4)</f>
        <v>140000000</v>
      </c>
      <c r="L5" s="11"/>
      <c r="N5" s="26"/>
    </row>
    <row r="6" spans="2:14" x14ac:dyDescent="0.25">
      <c r="B6" s="68" t="s">
        <v>9</v>
      </c>
      <c r="C6" s="69"/>
      <c r="D6" s="69"/>
      <c r="E6" s="69"/>
      <c r="F6" s="69"/>
      <c r="G6" s="69"/>
      <c r="H6" s="69"/>
      <c r="I6" s="69"/>
      <c r="J6" s="69"/>
      <c r="K6" s="69"/>
      <c r="L6" s="70"/>
    </row>
    <row r="7" spans="2:14" x14ac:dyDescent="0.25">
      <c r="B7" s="71" t="s">
        <v>59</v>
      </c>
      <c r="C7" s="72"/>
      <c r="D7" s="72"/>
      <c r="E7" s="72"/>
      <c r="F7" s="72"/>
      <c r="G7" s="72"/>
      <c r="H7" s="72"/>
      <c r="I7" s="72"/>
      <c r="J7" s="72"/>
      <c r="K7" s="72"/>
      <c r="L7" s="73"/>
      <c r="N7" s="20"/>
    </row>
    <row r="8" spans="2:14" x14ac:dyDescent="0.25">
      <c r="B8" s="68" t="s">
        <v>10</v>
      </c>
      <c r="C8" s="69"/>
      <c r="D8" s="69"/>
      <c r="E8" s="69"/>
      <c r="F8" s="69"/>
      <c r="G8" s="69"/>
      <c r="H8" s="69"/>
      <c r="I8" s="69"/>
      <c r="J8" s="69"/>
      <c r="K8" s="69"/>
      <c r="L8" s="70"/>
    </row>
    <row r="9" spans="2:14" ht="15" customHeight="1" x14ac:dyDescent="0.25">
      <c r="B9" s="71" t="s">
        <v>60</v>
      </c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2:14" x14ac:dyDescent="0.25">
      <c r="B10" s="68" t="s">
        <v>11</v>
      </c>
      <c r="C10" s="69"/>
      <c r="D10" s="69"/>
      <c r="E10" s="69"/>
      <c r="F10" s="69"/>
      <c r="G10" s="69"/>
      <c r="H10" s="69"/>
      <c r="I10" s="69"/>
      <c r="J10" s="69"/>
      <c r="K10" s="69"/>
      <c r="L10" s="70"/>
    </row>
    <row r="12" spans="2:14" x14ac:dyDescent="0.25">
      <c r="B12" s="18" t="s">
        <v>14</v>
      </c>
      <c r="C12" s="19"/>
      <c r="D12" s="19"/>
      <c r="E12" s="19"/>
      <c r="F12" s="19"/>
      <c r="G12" s="17"/>
      <c r="M12" s="20"/>
    </row>
    <row r="13" spans="2:14" ht="30" x14ac:dyDescent="0.25">
      <c r="B13" s="5" t="s">
        <v>4</v>
      </c>
      <c r="C13" s="5" t="s">
        <v>2</v>
      </c>
      <c r="D13" s="6" t="s">
        <v>57</v>
      </c>
      <c r="E13" s="6" t="s">
        <v>44</v>
      </c>
      <c r="F13" s="6" t="s">
        <v>62</v>
      </c>
      <c r="G13" s="5" t="s">
        <v>13</v>
      </c>
      <c r="J13" s="27" t="s">
        <v>37</v>
      </c>
      <c r="K13" s="41">
        <f>Land!K5</f>
        <v>140000000</v>
      </c>
    </row>
    <row r="14" spans="2:14" x14ac:dyDescent="0.25">
      <c r="B14" s="7">
        <v>1</v>
      </c>
      <c r="C14" s="14" t="s">
        <v>64</v>
      </c>
      <c r="D14" s="63">
        <v>800</v>
      </c>
      <c r="E14" s="3">
        <v>0</v>
      </c>
      <c r="F14" s="3">
        <v>34000</v>
      </c>
      <c r="G14" s="2">
        <f>D14*F14</f>
        <v>27200000</v>
      </c>
      <c r="J14" s="27" t="s">
        <v>38</v>
      </c>
      <c r="K14" s="41">
        <f>'Building Sheet'!U8</f>
        <v>10156060.599999998</v>
      </c>
    </row>
    <row r="15" spans="2:14" x14ac:dyDescent="0.25">
      <c r="B15" s="67" t="s">
        <v>3</v>
      </c>
      <c r="C15" s="67"/>
      <c r="D15" s="21">
        <f>SUM(D14:D14)</f>
        <v>800</v>
      </c>
      <c r="E15" s="15">
        <f>SUM(E14:E14)</f>
        <v>0</v>
      </c>
      <c r="F15" s="16"/>
      <c r="G15" s="23">
        <f>SUM(G14:G14)</f>
        <v>27200000</v>
      </c>
      <c r="J15" s="27" t="s">
        <v>49</v>
      </c>
      <c r="K15" s="41">
        <f>'Boundary Wall'!N5</f>
        <v>336000</v>
      </c>
      <c r="L15" s="50"/>
    </row>
    <row r="16" spans="2:14" x14ac:dyDescent="0.25">
      <c r="J16" s="27" t="s">
        <v>3</v>
      </c>
      <c r="K16" s="41">
        <f>SUM(K13:K15)</f>
        <v>150492060.59999999</v>
      </c>
      <c r="L16" s="50"/>
    </row>
    <row r="17" spans="2:11" x14ac:dyDescent="0.25">
      <c r="J17" s="27" t="s">
        <v>15</v>
      </c>
      <c r="K17" s="41">
        <v>150000000</v>
      </c>
    </row>
    <row r="18" spans="2:11" x14ac:dyDescent="0.25">
      <c r="B18" s="60">
        <v>2</v>
      </c>
      <c r="C18" s="14" t="s">
        <v>63</v>
      </c>
      <c r="D18" s="1"/>
      <c r="E18" s="1"/>
      <c r="F18" s="1"/>
      <c r="G18" s="23">
        <f>(975*15000)-((15000*975*20*9)/(80*10))</f>
        <v>11334375</v>
      </c>
      <c r="J18" s="27" t="s">
        <v>0</v>
      </c>
      <c r="K18" s="42">
        <f>K17*0.85</f>
        <v>127500000</v>
      </c>
    </row>
    <row r="19" spans="2:11" x14ac:dyDescent="0.25">
      <c r="J19" s="27" t="s">
        <v>16</v>
      </c>
      <c r="K19" s="42">
        <f>K17*0.75</f>
        <v>112500000</v>
      </c>
    </row>
    <row r="20" spans="2:11" x14ac:dyDescent="0.25">
      <c r="G20" s="61">
        <f>SUM(G15+G18)</f>
        <v>38534375</v>
      </c>
    </row>
    <row r="21" spans="2:11" x14ac:dyDescent="0.25">
      <c r="J21" s="64" t="s">
        <v>69</v>
      </c>
      <c r="K21" s="51">
        <f>0.8*'Building Sheet'!Q8</f>
        <v>11606926.4</v>
      </c>
    </row>
  </sheetData>
  <mergeCells count="7">
    <mergeCell ref="B5:C5"/>
    <mergeCell ref="B15:C15"/>
    <mergeCell ref="B6:L6"/>
    <mergeCell ref="B7:L7"/>
    <mergeCell ref="B8:L8"/>
    <mergeCell ref="B9:L9"/>
    <mergeCell ref="B10:L10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15"/>
  <sheetViews>
    <sheetView tabSelected="1" zoomScale="85" zoomScaleNormal="85" workbookViewId="0">
      <selection activeCell="P16" sqref="P16"/>
    </sheetView>
  </sheetViews>
  <sheetFormatPr defaultRowHeight="15" x14ac:dyDescent="0.25"/>
  <cols>
    <col min="2" max="2" width="4.140625" bestFit="1" customWidth="1"/>
    <col min="3" max="3" width="35.42578125" bestFit="1" customWidth="1"/>
    <col min="4" max="4" width="13.140625" bestFit="1" customWidth="1"/>
    <col min="5" max="5" width="14" customWidth="1"/>
    <col min="6" max="6" width="9" hidden="1" customWidth="1"/>
    <col min="7" max="7" width="8.42578125" customWidth="1"/>
    <col min="8" max="8" width="9" hidden="1" customWidth="1"/>
    <col min="9" max="9" width="7.42578125" bestFit="1" customWidth="1"/>
    <col min="10" max="10" width="7.85546875" bestFit="1" customWidth="1"/>
    <col min="11" max="11" width="9.5703125" hidden="1" customWidth="1"/>
    <col min="12" max="12" width="10.42578125" hidden="1" customWidth="1"/>
    <col min="13" max="13" width="11" hidden="1" customWidth="1"/>
    <col min="14" max="14" width="7.7109375" hidden="1" customWidth="1"/>
    <col min="15" max="15" width="12.42578125" hidden="1" customWidth="1"/>
    <col min="16" max="16" width="10" customWidth="1"/>
    <col min="17" max="17" width="14.28515625" hidden="1" customWidth="1"/>
    <col min="18" max="18" width="10.140625" hidden="1" customWidth="1"/>
    <col min="19" max="19" width="14.28515625" hidden="1" customWidth="1"/>
    <col min="20" max="20" width="6.85546875" hidden="1" customWidth="1"/>
    <col min="21" max="21" width="12.5703125" customWidth="1"/>
    <col min="23" max="23" width="15.28515625" bestFit="1" customWidth="1"/>
  </cols>
  <sheetData>
    <row r="3" spans="2:23" ht="15.6" customHeight="1" x14ac:dyDescent="0.25">
      <c r="B3" s="80" t="s">
        <v>61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2"/>
    </row>
    <row r="4" spans="2:23" ht="60" x14ac:dyDescent="0.25">
      <c r="B4" s="55" t="s">
        <v>17</v>
      </c>
      <c r="C4" s="32" t="s">
        <v>18</v>
      </c>
      <c r="D4" s="32" t="s">
        <v>46</v>
      </c>
      <c r="E4" s="32" t="s">
        <v>19</v>
      </c>
      <c r="F4" s="32" t="s">
        <v>20</v>
      </c>
      <c r="G4" s="32" t="s">
        <v>21</v>
      </c>
      <c r="H4" s="32" t="s">
        <v>48</v>
      </c>
      <c r="I4" s="32" t="s">
        <v>22</v>
      </c>
      <c r="J4" s="32" t="s">
        <v>23</v>
      </c>
      <c r="K4" s="32" t="s">
        <v>24</v>
      </c>
      <c r="L4" s="32" t="s">
        <v>25</v>
      </c>
      <c r="M4" s="32" t="s">
        <v>26</v>
      </c>
      <c r="N4" s="32" t="s">
        <v>27</v>
      </c>
      <c r="O4" s="32" t="s">
        <v>28</v>
      </c>
      <c r="P4" s="32" t="s">
        <v>29</v>
      </c>
      <c r="Q4" s="32" t="s">
        <v>30</v>
      </c>
      <c r="R4" s="32" t="s">
        <v>31</v>
      </c>
      <c r="S4" s="32" t="s">
        <v>32</v>
      </c>
      <c r="T4" s="32" t="s">
        <v>33</v>
      </c>
      <c r="U4" s="33" t="s">
        <v>34</v>
      </c>
    </row>
    <row r="5" spans="2:23" x14ac:dyDescent="0.25">
      <c r="B5" s="53">
        <v>1</v>
      </c>
      <c r="C5" s="52" t="s">
        <v>67</v>
      </c>
      <c r="D5" s="34" t="s">
        <v>54</v>
      </c>
      <c r="E5" s="14" t="s">
        <v>47</v>
      </c>
      <c r="F5" s="58">
        <v>336</v>
      </c>
      <c r="G5" s="2">
        <v>3616.67</v>
      </c>
      <c r="H5" s="57">
        <v>2.5</v>
      </c>
      <c r="I5" s="49">
        <f>H5*3.28</f>
        <v>8.1999999999999993</v>
      </c>
      <c r="J5" s="14">
        <v>2005</v>
      </c>
      <c r="K5" s="35">
        <v>2025</v>
      </c>
      <c r="L5" s="35">
        <f>K5-J5</f>
        <v>20</v>
      </c>
      <c r="M5" s="35">
        <v>60</v>
      </c>
      <c r="N5" s="36">
        <v>0.1</v>
      </c>
      <c r="O5" s="37">
        <f>(1-N5)/M5</f>
        <v>1.5000000000000001E-2</v>
      </c>
      <c r="P5" s="35">
        <v>1600</v>
      </c>
      <c r="Q5" s="38">
        <f>P5*G5</f>
        <v>5786672</v>
      </c>
      <c r="R5" s="39">
        <f>O5*L5</f>
        <v>0.30000000000000004</v>
      </c>
      <c r="S5" s="40">
        <f>Q5*R5</f>
        <v>1736001.6000000003</v>
      </c>
      <c r="T5" s="48">
        <v>0</v>
      </c>
      <c r="U5" s="38">
        <f>(Q5-S5)*(1-T5)</f>
        <v>4050670.3999999994</v>
      </c>
    </row>
    <row r="6" spans="2:23" x14ac:dyDescent="0.25">
      <c r="B6" s="54">
        <v>2</v>
      </c>
      <c r="C6" s="52" t="s">
        <v>65</v>
      </c>
      <c r="D6" s="34" t="s">
        <v>53</v>
      </c>
      <c r="E6" s="14" t="s">
        <v>47</v>
      </c>
      <c r="F6" s="58">
        <v>336</v>
      </c>
      <c r="G6" s="2">
        <v>3616.67</v>
      </c>
      <c r="H6" s="57">
        <v>2.2999999999999998</v>
      </c>
      <c r="I6" s="49">
        <f t="shared" ref="I6:I7" si="0">H6*3.28</f>
        <v>7.5439999999999987</v>
      </c>
      <c r="J6" s="14">
        <v>2005</v>
      </c>
      <c r="K6" s="35">
        <v>2025</v>
      </c>
      <c r="L6" s="35">
        <f t="shared" ref="L6:L7" si="1">K6-J6</f>
        <v>20</v>
      </c>
      <c r="M6" s="35">
        <v>60</v>
      </c>
      <c r="N6" s="36">
        <v>0.1</v>
      </c>
      <c r="O6" s="37">
        <f t="shared" ref="O6:O7" si="2">(1-N6)/M6</f>
        <v>1.5000000000000001E-2</v>
      </c>
      <c r="P6" s="35">
        <v>1600</v>
      </c>
      <c r="Q6" s="38">
        <f t="shared" ref="Q6:Q7" si="3">P6*G6</f>
        <v>5786672</v>
      </c>
      <c r="R6" s="39">
        <f t="shared" ref="R6:R7" si="4">O6*L6</f>
        <v>0.30000000000000004</v>
      </c>
      <c r="S6" s="40">
        <f t="shared" ref="S6:S7" si="5">Q6*R6</f>
        <v>1736001.6000000003</v>
      </c>
      <c r="T6" s="48">
        <v>0</v>
      </c>
      <c r="U6" s="38">
        <f t="shared" ref="U6:U7" si="6">(Q6-S6)*(1-T6)</f>
        <v>4050670.3999999994</v>
      </c>
    </row>
    <row r="7" spans="2:23" x14ac:dyDescent="0.25">
      <c r="B7" s="56">
        <v>3</v>
      </c>
      <c r="C7" s="52" t="s">
        <v>66</v>
      </c>
      <c r="D7" s="34" t="s">
        <v>55</v>
      </c>
      <c r="E7" s="14" t="s">
        <v>68</v>
      </c>
      <c r="F7" s="58">
        <v>303</v>
      </c>
      <c r="G7" s="2">
        <v>3261.46</v>
      </c>
      <c r="H7" s="57">
        <v>3</v>
      </c>
      <c r="I7" s="49">
        <f t="shared" si="0"/>
        <v>9.84</v>
      </c>
      <c r="J7" s="14">
        <v>2005</v>
      </c>
      <c r="K7" s="35">
        <v>2025</v>
      </c>
      <c r="L7" s="35">
        <f t="shared" si="1"/>
        <v>20</v>
      </c>
      <c r="M7" s="35">
        <v>60</v>
      </c>
      <c r="N7" s="36">
        <v>0.1</v>
      </c>
      <c r="O7" s="37">
        <f t="shared" si="2"/>
        <v>1.5000000000000001E-2</v>
      </c>
      <c r="P7" s="35">
        <v>900</v>
      </c>
      <c r="Q7" s="38">
        <f t="shared" si="3"/>
        <v>2935314</v>
      </c>
      <c r="R7" s="39">
        <f t="shared" si="4"/>
        <v>0.30000000000000004</v>
      </c>
      <c r="S7" s="40">
        <f t="shared" si="5"/>
        <v>880594.20000000019</v>
      </c>
      <c r="T7" s="48">
        <v>0</v>
      </c>
      <c r="U7" s="38">
        <f t="shared" si="6"/>
        <v>2054719.7999999998</v>
      </c>
    </row>
    <row r="8" spans="2:23" x14ac:dyDescent="0.25">
      <c r="B8" s="83" t="s">
        <v>3</v>
      </c>
      <c r="C8" s="83"/>
      <c r="D8" s="83"/>
      <c r="E8" s="83"/>
      <c r="F8" s="59">
        <f>SUM(F5:F7)</f>
        <v>975</v>
      </c>
      <c r="G8" s="23">
        <f>SUM(G5:G7)</f>
        <v>10494.8</v>
      </c>
      <c r="H8" s="2"/>
      <c r="I8" s="2"/>
      <c r="J8" s="14"/>
      <c r="K8" s="35"/>
      <c r="L8" s="35"/>
      <c r="M8" s="35"/>
      <c r="N8" s="36"/>
      <c r="O8" s="37"/>
      <c r="P8" s="35"/>
      <c r="Q8" s="23">
        <f>SUM(Q5:Q7)</f>
        <v>14508658</v>
      </c>
      <c r="R8" s="39"/>
      <c r="S8" s="23">
        <f>SUM(S5:S7)</f>
        <v>4352597.4000000004</v>
      </c>
      <c r="T8" s="48"/>
      <c r="U8" s="23">
        <f>SUM(U5:U7)</f>
        <v>10156060.599999998</v>
      </c>
      <c r="W8" s="51">
        <f>Q8*0.8</f>
        <v>11606926.4</v>
      </c>
    </row>
    <row r="9" spans="2:23" x14ac:dyDescent="0.25">
      <c r="B9" s="77" t="s">
        <v>9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4"/>
      <c r="W9" s="51">
        <f>ROUND(W8,-7)</f>
        <v>10000000</v>
      </c>
    </row>
    <row r="10" spans="2:23" ht="27" customHeight="1" x14ac:dyDescent="0.25">
      <c r="B10" s="74" t="s">
        <v>56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6"/>
    </row>
    <row r="11" spans="2:23" x14ac:dyDescent="0.25">
      <c r="B11" s="85" t="s">
        <v>35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/>
    </row>
    <row r="12" spans="2:23" x14ac:dyDescent="0.25">
      <c r="B12" s="74" t="s">
        <v>45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6"/>
    </row>
    <row r="13" spans="2:23" x14ac:dyDescent="0.25">
      <c r="B13" s="77" t="s">
        <v>36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9"/>
    </row>
    <row r="15" spans="2:23" x14ac:dyDescent="0.25">
      <c r="S15" s="4"/>
    </row>
  </sheetData>
  <mergeCells count="7">
    <mergeCell ref="B12:U12"/>
    <mergeCell ref="B13:U13"/>
    <mergeCell ref="B3:U3"/>
    <mergeCell ref="B8:E8"/>
    <mergeCell ref="B9:U9"/>
    <mergeCell ref="B10:U10"/>
    <mergeCell ref="B11:U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5"/>
  <sheetViews>
    <sheetView workbookViewId="0">
      <selection activeCell="K12" sqref="K12"/>
    </sheetView>
  </sheetViews>
  <sheetFormatPr defaultRowHeight="15" x14ac:dyDescent="0.25"/>
  <cols>
    <col min="2" max="2" width="11.85546875" customWidth="1"/>
    <col min="9" max="9" width="11.140625" customWidth="1"/>
    <col min="10" max="10" width="14" customWidth="1"/>
    <col min="11" max="11" width="11.5703125" bestFit="1" customWidth="1"/>
    <col min="12" max="12" width="14.28515625" bestFit="1" customWidth="1"/>
    <col min="14" max="14" width="16" customWidth="1"/>
  </cols>
  <sheetData>
    <row r="3" spans="2:14" ht="15.75" x14ac:dyDescent="0.25">
      <c r="B3" s="88" t="s">
        <v>39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2:14" ht="79.5" customHeight="1" x14ac:dyDescent="0.25">
      <c r="B4" s="32" t="s">
        <v>40</v>
      </c>
      <c r="C4" s="32" t="s">
        <v>23</v>
      </c>
      <c r="D4" s="32" t="s">
        <v>24</v>
      </c>
      <c r="E4" s="32" t="s">
        <v>25</v>
      </c>
      <c r="F4" s="32" t="s">
        <v>26</v>
      </c>
      <c r="G4" s="32" t="s">
        <v>27</v>
      </c>
      <c r="H4" s="32" t="s">
        <v>28</v>
      </c>
      <c r="I4" s="32" t="s">
        <v>41</v>
      </c>
      <c r="J4" s="32" t="s">
        <v>30</v>
      </c>
      <c r="K4" s="32" t="s">
        <v>42</v>
      </c>
      <c r="L4" s="32" t="s">
        <v>43</v>
      </c>
      <c r="M4" s="32" t="s">
        <v>33</v>
      </c>
      <c r="N4" s="32" t="s">
        <v>34</v>
      </c>
    </row>
    <row r="5" spans="2:14" x14ac:dyDescent="0.25">
      <c r="B5" s="43">
        <v>120</v>
      </c>
      <c r="C5" s="14">
        <v>2005</v>
      </c>
      <c r="D5" s="14">
        <v>2025</v>
      </c>
      <c r="E5" s="14">
        <f>D5-C5</f>
        <v>20</v>
      </c>
      <c r="F5" s="14">
        <v>60</v>
      </c>
      <c r="G5" s="44">
        <v>0.1</v>
      </c>
      <c r="H5" s="45">
        <f>(1-G5)/F5</f>
        <v>1.5000000000000001E-2</v>
      </c>
      <c r="I5" s="46">
        <v>4000</v>
      </c>
      <c r="J5" s="46">
        <f>I5*B5</f>
        <v>480000</v>
      </c>
      <c r="K5" s="46">
        <f>J5*H5*E5</f>
        <v>144000.00000000003</v>
      </c>
      <c r="L5" s="46">
        <f>MAX(J5-K5,0)</f>
        <v>336000</v>
      </c>
      <c r="M5" s="47">
        <v>0</v>
      </c>
      <c r="N5" s="46">
        <f>IF(L5&gt;G5*J5,L5*(1-M5),J5*G5)</f>
        <v>336000</v>
      </c>
    </row>
  </sheetData>
  <mergeCells count="1">
    <mergeCell ref="B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</vt:lpstr>
      <vt:lpstr>Building Sheet</vt:lpstr>
      <vt:lpstr>Boundary Wall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2025-02-26T13:07:00Z</dcterms:modified>
</cp:coreProperties>
</file>