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omments4.xml" ContentType="application/vnd.openxmlformats-officedocument.spreadsheetml.comments+xml"/>
  <Override PartName="/xl/drawings/drawing2.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429"/>
  <workbookPr filterPrivacy="1" defaultThemeVersion="124226"/>
  <xr:revisionPtr revIDLastSave="0" documentId="13_ncr:1_{28704CD9-9D86-4F34-BD45-783F2A49390A}" xr6:coauthVersionLast="47" xr6:coauthVersionMax="47" xr10:uidLastSave="{00000000-0000-0000-0000-000000000000}"/>
  <bookViews>
    <workbookView xWindow="-120" yWindow="-120" windowWidth="20730" windowHeight="11160" tabRatio="915" firstSheet="1" activeTab="6" xr2:uid="{00000000-000D-0000-FFFF-FFFF00000000}"/>
  </bookViews>
  <sheets>
    <sheet name="6 TPD CBG Cost sheet" sheetId="5" state="hidden" r:id="rId1"/>
    <sheet name="Sheet3" sheetId="24" r:id="rId2"/>
    <sheet name="TPC and MoF" sheetId="4" r:id="rId3"/>
    <sheet name="Sheet2" sheetId="20" state="hidden" r:id="rId4"/>
    <sheet name="Common Assumption" sheetId="1" r:id="rId5"/>
    <sheet name="Revenue &amp; Expense Modelling" sheetId="2" r:id="rId6"/>
    <sheet name="IS" sheetId="8" r:id="rId7"/>
    <sheet name="BS" sheetId="12" r:id="rId8"/>
    <sheet name="CFS" sheetId="13" r:id="rId9"/>
    <sheet name="Loan Schedule" sheetId="9" r:id="rId10"/>
    <sheet name="Depreciation Schedule" sheetId="10" r:id="rId11"/>
    <sheet name="Working Capital Assessment" sheetId="11" r:id="rId12"/>
    <sheet name="Tax Calculations" sheetId="23" r:id="rId13"/>
    <sheet name="DSCR" sheetId="15" r:id="rId14"/>
    <sheet name="NPV &amp; IRR, Payback Period" sheetId="16" r:id="rId15"/>
    <sheet name="Ratio and Break Even Analysis" sheetId="17" r:id="rId16"/>
    <sheet name="Sensitivity Analysis" sheetId="19" r:id="rId17"/>
    <sheet name="Sheet6" sheetId="27" r:id="rId18"/>
    <sheet name="Sheet1" sheetId="18" state="hidden" r:id="rId19"/>
  </sheets>
  <externalReferences>
    <externalReference r:id="rId20"/>
    <externalReference r:id="rId21"/>
    <externalReference r:id="rId22"/>
  </externalReferences>
  <definedNames>
    <definedName name="ColumnTitle1">#REF!</definedName>
    <definedName name="Completion_date" localSheetId="12">'[1]Common Assumption'!$E$11</definedName>
    <definedName name="Completion_date">'[2]Common Assumption'!$E$11</definedName>
    <definedName name="construction_period" localSheetId="12">'[1]Common Assumption'!$E$10</definedName>
    <definedName name="construction_period">'[2]Common Assumption'!$E$10</definedName>
    <definedName name="EndingBalance">-FV(InterestRate/12,PaymentNumber,-MonthlyPayment,LoanAmount)</definedName>
    <definedName name="HeaderRow">ROW(#REF!)</definedName>
    <definedName name="InterestAmt">-IPMT(InterestRate/12,PaymentNumber,NumberOfPayments,LoanAmount)</definedName>
    <definedName name="InterestRate">#REF!</definedName>
    <definedName name="LastCol">COUNTA(#REF!)</definedName>
    <definedName name="LastRow">MATCH(9.99E+307,#REF!)</definedName>
    <definedName name="LoanAmount">#REF!</definedName>
    <definedName name="LoanIsGood">IF(LoanAmount*InterestRate*LoanYears*LoanStartDate&gt;0,1,0)</definedName>
    <definedName name="LoanIsNotPaid">IF(PaymentNumber&lt;=NumberOfPayments,1,0)</definedName>
    <definedName name="LoanStartDate">#REF!</definedName>
    <definedName name="LoanValue">-FV(InterestRate/12,PaymentNumber-1,-MonthlyPayment,LoanAmount)</definedName>
    <definedName name="LoanYears">#REF!</definedName>
    <definedName name="MonthlyPayment">-PMT(InterestRate/12,NumberOfPayments,LoanAmount)</definedName>
    <definedName name="NumberOfPayments">#REF!</definedName>
    <definedName name="OLE_LINK1" localSheetId="0">'6 TPD CBG Cost sheet'!#REF!</definedName>
    <definedName name="PaymentDate">DATE(YEAR(LoanStartDate),MONTH(LoanStartDate)+PaymentNumber,DAY(LoanStartDate))</definedName>
    <definedName name="PaymentNumber">ROW()-HeaderRow</definedName>
    <definedName name="Principal">-PPMT(InterestRate/12,PaymentNumber,NumberOfPayments,LoanAmount)</definedName>
    <definedName name="_xlnm.Print_Area" localSheetId="0">'6 TPD CBG Cost sheet'!$B$1:$F$106</definedName>
    <definedName name="_xlnm.Print_Area" localSheetId="13">DSCR!$A$1:$T$74</definedName>
    <definedName name="_xlnm.Print_Area">'[3]Cal. of Int.'!$A$5:$F$78</definedName>
    <definedName name="PRINT_AREA_MI">'[3]Cal. of Int.'!$A$5:$F$78</definedName>
    <definedName name="PrintArea_SET">OFFSET(#REF!,,,LastRow,LastCol)</definedName>
    <definedName name="RowTitleRegion1..D6">#REF!</definedName>
    <definedName name="RowTitleRegion2..H6">#REF!</definedName>
    <definedName name="start_date" localSheetId="12">'[1]Common Assumption'!$E$9</definedName>
    <definedName name="start_date">'[2]Common Assumption'!$E$9</definedName>
    <definedName name="Total_Interest">#REF!</definedName>
    <definedName name="TotalLoanCost">#REF!</definedName>
  </definedNames>
  <calcPr calcId="191029" iterate="1"/>
</workbook>
</file>

<file path=xl/calcChain.xml><?xml version="1.0" encoding="utf-8"?>
<calcChain xmlns="http://schemas.openxmlformats.org/spreadsheetml/2006/main">
  <c r="I10" i="4" l="1"/>
  <c r="H16" i="4"/>
  <c r="F19" i="4"/>
  <c r="F18" i="4"/>
  <c r="F46" i="17"/>
  <c r="D34" i="4"/>
  <c r="F44" i="16"/>
  <c r="D61" i="16" s="1"/>
  <c r="F13" i="12"/>
  <c r="E13" i="12"/>
  <c r="F21" i="2"/>
  <c r="H15" i="4"/>
  <c r="G97" i="1" l="1"/>
  <c r="D95" i="1"/>
  <c r="F95" i="1"/>
  <c r="F93" i="1"/>
  <c r="F94" i="1"/>
  <c r="F96" i="1"/>
  <c r="F97" i="1"/>
  <c r="F92" i="1"/>
  <c r="C2" i="27"/>
  <c r="D51" i="1"/>
  <c r="O61" i="2"/>
  <c r="D135" i="1"/>
  <c r="F14" i="9" l="1"/>
  <c r="F32" i="8"/>
  <c r="F28" i="8"/>
  <c r="F24" i="8"/>
  <c r="F64" i="2"/>
  <c r="F61" i="2"/>
  <c r="G16" i="2"/>
  <c r="D25" i="4"/>
  <c r="O16" i="2"/>
  <c r="E14" i="9"/>
  <c r="E16" i="1"/>
  <c r="D14" i="9"/>
  <c r="D12" i="9"/>
  <c r="M42" i="8"/>
  <c r="N42" i="8"/>
  <c r="O42" i="8"/>
  <c r="F19" i="8"/>
  <c r="D18" i="11"/>
  <c r="G46" i="2"/>
  <c r="F46" i="2"/>
  <c r="F36" i="2"/>
  <c r="G36" i="2" s="1"/>
  <c r="C31" i="2"/>
  <c r="F26" i="2"/>
  <c r="G26" i="2" s="1"/>
  <c r="F17" i="2"/>
  <c r="D48" i="1"/>
  <c r="D49" i="1"/>
  <c r="D50" i="1"/>
  <c r="D47" i="1"/>
  <c r="D43" i="1"/>
  <c r="D42" i="1"/>
  <c r="O71" i="2"/>
  <c r="N16" i="2"/>
  <c r="N71" i="2" s="1"/>
  <c r="M16" i="2"/>
  <c r="M71" i="2" s="1"/>
  <c r="L16" i="2"/>
  <c r="L71" i="2" s="1"/>
  <c r="K16" i="2"/>
  <c r="K71" i="2" s="1"/>
  <c r="J16" i="2"/>
  <c r="J71" i="2" s="1"/>
  <c r="I16" i="2"/>
  <c r="I71" i="2" s="1"/>
  <c r="H16" i="2"/>
  <c r="H71" i="2" s="1"/>
  <c r="G71" i="2"/>
  <c r="F16" i="2"/>
  <c r="F71" i="2" s="1"/>
  <c r="D20" i="10"/>
  <c r="D8" i="10" l="1"/>
  <c r="D8" i="11" s="1"/>
  <c r="D8" i="23"/>
  <c r="D8" i="15" s="1"/>
  <c r="D8" i="16" s="1"/>
  <c r="D8" i="17" s="1"/>
  <c r="M16" i="13"/>
  <c r="N16" i="13"/>
  <c r="O16" i="13"/>
  <c r="O19" i="12"/>
  <c r="M17" i="23"/>
  <c r="N17" i="23"/>
  <c r="O17" i="23"/>
  <c r="D8" i="2"/>
  <c r="D8" i="8" s="1"/>
  <c r="D8" i="12" s="1"/>
  <c r="D8" i="13" s="1"/>
  <c r="K47" i="9"/>
  <c r="K48" i="9" s="1"/>
  <c r="M40" i="9"/>
  <c r="N13" i="24"/>
  <c r="D77" i="1"/>
  <c r="D71" i="1"/>
  <c r="E21" i="24"/>
  <c r="E18" i="24"/>
  <c r="E19" i="24" s="1"/>
  <c r="E19" i="13"/>
  <c r="D16" i="4"/>
  <c r="D13" i="12"/>
  <c r="D14" i="13" s="1"/>
  <c r="D86" i="1"/>
  <c r="D94" i="1"/>
  <c r="D96" i="1" s="1"/>
  <c r="D21" i="1"/>
  <c r="C22" i="9"/>
  <c r="C27" i="9" s="1"/>
  <c r="D13" i="9" s="1"/>
  <c r="D15" i="9" s="1"/>
  <c r="E12" i="9" s="1"/>
  <c r="D10" i="4"/>
  <c r="C68" i="2"/>
  <c r="B68" i="2"/>
  <c r="B16" i="8" s="1"/>
  <c r="B6" i="24"/>
  <c r="B7" i="24" s="1"/>
  <c r="C41" i="2"/>
  <c r="F41" i="16"/>
  <c r="G18" i="16"/>
  <c r="D14" i="16"/>
  <c r="E13" i="16"/>
  <c r="D13" i="16"/>
  <c r="C11" i="17"/>
  <c r="G10" i="17"/>
  <c r="H10" i="17" s="1"/>
  <c r="I10" i="17" s="1"/>
  <c r="J10" i="17" s="1"/>
  <c r="K10" i="17" s="1"/>
  <c r="L10" i="17" s="1"/>
  <c r="M10" i="17" s="1"/>
  <c r="N10" i="17" s="1"/>
  <c r="O10" i="17" s="1"/>
  <c r="D9" i="17"/>
  <c r="D11" i="17" s="1"/>
  <c r="C11" i="16"/>
  <c r="G10" i="16"/>
  <c r="H10" i="16" s="1"/>
  <c r="I10" i="16" s="1"/>
  <c r="J10" i="16" s="1"/>
  <c r="K10" i="16" s="1"/>
  <c r="L10" i="16" s="1"/>
  <c r="L41" i="16" s="1"/>
  <c r="D9" i="16"/>
  <c r="D11" i="16" s="1"/>
  <c r="C11" i="15"/>
  <c r="G10" i="15"/>
  <c r="H10" i="15" s="1"/>
  <c r="I10" i="15" s="1"/>
  <c r="J10" i="15" s="1"/>
  <c r="K10" i="15" s="1"/>
  <c r="L10" i="15" s="1"/>
  <c r="M10" i="15" s="1"/>
  <c r="N10" i="15" s="1"/>
  <c r="O10" i="15" s="1"/>
  <c r="D9" i="15"/>
  <c r="D11" i="15" s="1"/>
  <c r="D32" i="13"/>
  <c r="E17" i="13"/>
  <c r="E13" i="13"/>
  <c r="E33" i="10"/>
  <c r="E21" i="8" s="1"/>
  <c r="E18" i="13" s="1"/>
  <c r="D33" i="10"/>
  <c r="E43" i="12"/>
  <c r="D43" i="12"/>
  <c r="D28" i="13"/>
  <c r="D40" i="12" s="1"/>
  <c r="F38" i="23"/>
  <c r="F22" i="23"/>
  <c r="C11" i="23"/>
  <c r="G10" i="23"/>
  <c r="H10" i="23" s="1"/>
  <c r="I10" i="23" s="1"/>
  <c r="J10" i="23" s="1"/>
  <c r="K10" i="23" s="1"/>
  <c r="L10" i="23" s="1"/>
  <c r="M10" i="23" s="1"/>
  <c r="N10" i="23" s="1"/>
  <c r="O10" i="23" s="1"/>
  <c r="D9" i="23"/>
  <c r="D11" i="23" s="1"/>
  <c r="D13" i="13"/>
  <c r="E30" i="13"/>
  <c r="F30" i="13"/>
  <c r="G30" i="13"/>
  <c r="H30" i="13"/>
  <c r="D30" i="13"/>
  <c r="D17" i="13"/>
  <c r="C11" i="13"/>
  <c r="G10" i="13"/>
  <c r="H10" i="13" s="1"/>
  <c r="I10" i="13" s="1"/>
  <c r="J10" i="13" s="1"/>
  <c r="K10" i="13" s="1"/>
  <c r="L10" i="13" s="1"/>
  <c r="M10" i="13" s="1"/>
  <c r="N10" i="13" s="1"/>
  <c r="O10" i="13" s="1"/>
  <c r="D9" i="13"/>
  <c r="D11" i="13" s="1"/>
  <c r="D42" i="12"/>
  <c r="D21" i="8"/>
  <c r="D31" i="12" s="1"/>
  <c r="D19" i="12"/>
  <c r="G10" i="12"/>
  <c r="H10" i="12" s="1"/>
  <c r="I10" i="12" s="1"/>
  <c r="J10" i="12" s="1"/>
  <c r="K10" i="12" s="1"/>
  <c r="L10" i="12" s="1"/>
  <c r="M10" i="12" s="1"/>
  <c r="N10" i="12" s="1"/>
  <c r="O10" i="12" s="1"/>
  <c r="D9" i="12"/>
  <c r="D11" i="12" s="1"/>
  <c r="F33" i="8"/>
  <c r="G33" i="8" s="1"/>
  <c r="H33" i="8" s="1"/>
  <c r="I33" i="8" s="1"/>
  <c r="J33" i="8" s="1"/>
  <c r="K33" i="8" s="1"/>
  <c r="L33" i="8" s="1"/>
  <c r="M33" i="8" s="1"/>
  <c r="H85" i="2"/>
  <c r="C84" i="2"/>
  <c r="G10" i="8"/>
  <c r="H10" i="8" s="1"/>
  <c r="I10" i="8" s="1"/>
  <c r="J10" i="8" s="1"/>
  <c r="K10" i="8" s="1"/>
  <c r="L10" i="8" s="1"/>
  <c r="M10" i="8" s="1"/>
  <c r="N10" i="8" s="1"/>
  <c r="O10" i="8" s="1"/>
  <c r="D9" i="8"/>
  <c r="D11" i="8" s="1"/>
  <c r="G10" i="11"/>
  <c r="H10" i="11" s="1"/>
  <c r="I10" i="11" s="1"/>
  <c r="J10" i="11" s="1"/>
  <c r="K10" i="11" s="1"/>
  <c r="L10" i="11" s="1"/>
  <c r="M10" i="11" s="1"/>
  <c r="N10" i="11" s="1"/>
  <c r="O10" i="11" s="1"/>
  <c r="D9" i="11"/>
  <c r="D11" i="11" s="1"/>
  <c r="D16" i="10"/>
  <c r="D17" i="10"/>
  <c r="G10" i="10"/>
  <c r="H10" i="10" s="1"/>
  <c r="I10" i="10" s="1"/>
  <c r="J10" i="10" s="1"/>
  <c r="K10" i="10" s="1"/>
  <c r="L10" i="10" s="1"/>
  <c r="M10" i="10" s="1"/>
  <c r="N10" i="10" s="1"/>
  <c r="O10" i="10" s="1"/>
  <c r="D9" i="10"/>
  <c r="D11" i="10" s="1"/>
  <c r="C20" i="2"/>
  <c r="F58" i="2"/>
  <c r="G58" i="2" s="1"/>
  <c r="H58" i="2" s="1"/>
  <c r="I58" i="2" s="1"/>
  <c r="J58" i="2" s="1"/>
  <c r="K58" i="2" s="1"/>
  <c r="L58" i="2" s="1"/>
  <c r="M58" i="2" s="1"/>
  <c r="N58" i="2" s="1"/>
  <c r="O58" i="2" s="1"/>
  <c r="C11" i="2"/>
  <c r="G10" i="2"/>
  <c r="H10" i="2" s="1"/>
  <c r="I10" i="2" s="1"/>
  <c r="J10" i="2" s="1"/>
  <c r="K10" i="2" s="1"/>
  <c r="L10" i="2" s="1"/>
  <c r="M10" i="2" s="1"/>
  <c r="N10" i="2" s="1"/>
  <c r="O10" i="2" s="1"/>
  <c r="D9" i="2"/>
  <c r="D11" i="2" s="1"/>
  <c r="D9" i="9"/>
  <c r="D46" i="1"/>
  <c r="D45" i="1"/>
  <c r="D44" i="1"/>
  <c r="E13" i="1"/>
  <c r="E9" i="2" s="1"/>
  <c r="F9" i="2" s="1"/>
  <c r="E29" i="1"/>
  <c r="C11" i="9"/>
  <c r="B4" i="4"/>
  <c r="B2" i="4" s="1"/>
  <c r="N33" i="8" l="1"/>
  <c r="M19" i="13"/>
  <c r="M51" i="8"/>
  <c r="D45" i="9"/>
  <c r="D49" i="9"/>
  <c r="D53" i="9"/>
  <c r="D64" i="9"/>
  <c r="D60" i="9"/>
  <c r="D56" i="9"/>
  <c r="D77" i="9"/>
  <c r="D73" i="9"/>
  <c r="D69" i="9"/>
  <c r="D90" i="9"/>
  <c r="D86" i="9"/>
  <c r="D82" i="9"/>
  <c r="D103" i="9"/>
  <c r="D99" i="9"/>
  <c r="D95" i="9"/>
  <c r="D116" i="9"/>
  <c r="D112" i="9"/>
  <c r="D108" i="9"/>
  <c r="D129" i="9"/>
  <c r="D125" i="9"/>
  <c r="D121" i="9"/>
  <c r="D141" i="9"/>
  <c r="D137" i="9"/>
  <c r="D133" i="9"/>
  <c r="D154" i="9"/>
  <c r="D150" i="9"/>
  <c r="D40" i="9"/>
  <c r="F19" i="15" s="1"/>
  <c r="D48" i="9"/>
  <c r="D65" i="9"/>
  <c r="D57" i="9"/>
  <c r="D74" i="9"/>
  <c r="D117" i="9"/>
  <c r="D42" i="9"/>
  <c r="D46" i="9"/>
  <c r="D50" i="9"/>
  <c r="D55" i="9"/>
  <c r="D63" i="9"/>
  <c r="D59" i="9"/>
  <c r="D68" i="9"/>
  <c r="D76" i="9"/>
  <c r="D72" i="9"/>
  <c r="D81" i="9"/>
  <c r="D89" i="9"/>
  <c r="D85" i="9"/>
  <c r="D94" i="9"/>
  <c r="D102" i="9"/>
  <c r="D98" i="9"/>
  <c r="D107" i="9"/>
  <c r="D115" i="9"/>
  <c r="D111" i="9"/>
  <c r="D120" i="9"/>
  <c r="D128" i="9"/>
  <c r="D124" i="9"/>
  <c r="D144" i="9"/>
  <c r="D140" i="9"/>
  <c r="D136" i="9"/>
  <c r="D146" i="9"/>
  <c r="D153" i="9"/>
  <c r="D149" i="9"/>
  <c r="D44" i="9"/>
  <c r="D52" i="9"/>
  <c r="D61" i="9"/>
  <c r="D78" i="9"/>
  <c r="D70" i="9"/>
  <c r="D91" i="9"/>
  <c r="D87" i="9"/>
  <c r="D83" i="9"/>
  <c r="D104" i="9"/>
  <c r="D100" i="9"/>
  <c r="D96" i="9"/>
  <c r="D113" i="9"/>
  <c r="D109" i="9"/>
  <c r="D130" i="9"/>
  <c r="D126" i="9"/>
  <c r="D122" i="9"/>
  <c r="D142" i="9"/>
  <c r="D138" i="9"/>
  <c r="D134" i="9"/>
  <c r="D155" i="9"/>
  <c r="D151" i="9"/>
  <c r="D147" i="9"/>
  <c r="D43" i="9"/>
  <c r="D47" i="9"/>
  <c r="D51" i="9"/>
  <c r="D66" i="9"/>
  <c r="D62" i="9"/>
  <c r="D58" i="9"/>
  <c r="D79" i="9"/>
  <c r="D75" i="9"/>
  <c r="D71" i="9"/>
  <c r="D92" i="9"/>
  <c r="D88" i="9"/>
  <c r="D84" i="9"/>
  <c r="D105" i="9"/>
  <c r="D101" i="9"/>
  <c r="D97" i="9"/>
  <c r="D118" i="9"/>
  <c r="D114" i="9"/>
  <c r="D110" i="9"/>
  <c r="D131" i="9"/>
  <c r="D127" i="9"/>
  <c r="D123" i="9"/>
  <c r="D143" i="9"/>
  <c r="D139" i="9"/>
  <c r="D135" i="9"/>
  <c r="D152" i="9"/>
  <c r="D148" i="9"/>
  <c r="M10" i="16"/>
  <c r="N10" i="16" s="1"/>
  <c r="O10" i="16" s="1"/>
  <c r="O41" i="16" s="1"/>
  <c r="E11" i="17"/>
  <c r="E97" i="1"/>
  <c r="D97" i="1" s="1"/>
  <c r="F78" i="2" s="1"/>
  <c r="D68" i="16"/>
  <c r="M41" i="9"/>
  <c r="M42" i="9" s="1"/>
  <c r="E31" i="12"/>
  <c r="H46" i="2"/>
  <c r="E9" i="12"/>
  <c r="E9" i="15"/>
  <c r="E9" i="17"/>
  <c r="E9" i="8"/>
  <c r="E9" i="13"/>
  <c r="E9" i="23"/>
  <c r="E9" i="16"/>
  <c r="F9" i="16" s="1"/>
  <c r="E9" i="11"/>
  <c r="F9" i="11" s="1"/>
  <c r="G9" i="11" s="1"/>
  <c r="E11" i="16"/>
  <c r="K41" i="16"/>
  <c r="G41" i="16"/>
  <c r="J41" i="16"/>
  <c r="I41" i="16"/>
  <c r="H41" i="16"/>
  <c r="E11" i="15"/>
  <c r="E25" i="13"/>
  <c r="E11" i="23"/>
  <c r="E11" i="13"/>
  <c r="I85" i="2"/>
  <c r="J85" i="2" s="1"/>
  <c r="K85" i="2" s="1"/>
  <c r="L85" i="2" s="1"/>
  <c r="M85" i="2" s="1"/>
  <c r="N85" i="2" s="1"/>
  <c r="O85" i="2" s="1"/>
  <c r="D24" i="10"/>
  <c r="E9" i="10"/>
  <c r="E11" i="2"/>
  <c r="G9" i="2"/>
  <c r="F11" i="2"/>
  <c r="F18" i="2" s="1"/>
  <c r="F14" i="11" s="1"/>
  <c r="I14" i="9" l="1"/>
  <c r="G14" i="9"/>
  <c r="G19" i="15" s="1"/>
  <c r="H14" i="9"/>
  <c r="F9" i="17"/>
  <c r="F11" i="17" s="1"/>
  <c r="F9" i="23"/>
  <c r="F11" i="23" s="1"/>
  <c r="F9" i="15"/>
  <c r="G9" i="15" s="1"/>
  <c r="F9" i="10"/>
  <c r="G9" i="10" s="1"/>
  <c r="F9" i="13"/>
  <c r="G9" i="13" s="1"/>
  <c r="F9" i="12"/>
  <c r="G9" i="12" s="1"/>
  <c r="G9" i="8"/>
  <c r="H9" i="8" s="1"/>
  <c r="F9" i="8"/>
  <c r="F11" i="8" s="1"/>
  <c r="F79" i="2"/>
  <c r="F81" i="2" s="1"/>
  <c r="F18" i="8" s="1"/>
  <c r="F72" i="2"/>
  <c r="B50" i="16"/>
  <c r="B51" i="16" s="1"/>
  <c r="B52" i="16" s="1"/>
  <c r="B53" i="16" s="1"/>
  <c r="B54" i="16" s="1"/>
  <c r="B55" i="16" s="1"/>
  <c r="B56" i="16" s="1"/>
  <c r="B57" i="16" s="1"/>
  <c r="B58" i="16" s="1"/>
  <c r="B59" i="16" s="1"/>
  <c r="L14" i="9"/>
  <c r="N14" i="9"/>
  <c r="M14" i="9"/>
  <c r="O33" i="8"/>
  <c r="N19" i="13"/>
  <c r="N51" i="8"/>
  <c r="M41" i="16"/>
  <c r="N41" i="16"/>
  <c r="F11" i="11"/>
  <c r="G11" i="8"/>
  <c r="F11" i="15"/>
  <c r="F11" i="12"/>
  <c r="G9" i="23"/>
  <c r="H9" i="23" s="1"/>
  <c r="G9" i="17"/>
  <c r="H9" i="17" s="1"/>
  <c r="H11" i="8"/>
  <c r="I9" i="8"/>
  <c r="G11" i="11"/>
  <c r="H9" i="11"/>
  <c r="F11" i="10"/>
  <c r="H36" i="2"/>
  <c r="H9" i="2"/>
  <c r="G11" i="2"/>
  <c r="G11" i="10" l="1"/>
  <c r="H9" i="10"/>
  <c r="H9" i="15"/>
  <c r="G11" i="15"/>
  <c r="G11" i="12"/>
  <c r="H9" i="12"/>
  <c r="G11" i="13"/>
  <c r="H9" i="13"/>
  <c r="F11" i="13"/>
  <c r="G9" i="16"/>
  <c r="G11" i="16" s="1"/>
  <c r="F11" i="16"/>
  <c r="F27" i="16" s="1"/>
  <c r="G27" i="16" s="1"/>
  <c r="H27" i="16" s="1"/>
  <c r="I27" i="16" s="1"/>
  <c r="J27" i="16" s="1"/>
  <c r="K27" i="16" s="1"/>
  <c r="L27" i="16" s="1"/>
  <c r="M27" i="16" s="1"/>
  <c r="N27" i="16" s="1"/>
  <c r="O27" i="16" s="1"/>
  <c r="O51" i="8"/>
  <c r="O19" i="13"/>
  <c r="L19" i="12"/>
  <c r="M19" i="15"/>
  <c r="M25" i="13"/>
  <c r="M53" i="8" s="1"/>
  <c r="N19" i="15"/>
  <c r="M19" i="12"/>
  <c r="N25" i="13"/>
  <c r="N53" i="8" s="1"/>
  <c r="E19" i="12"/>
  <c r="I19" i="15"/>
  <c r="K14" i="9"/>
  <c r="K19" i="15" s="1"/>
  <c r="J14" i="9"/>
  <c r="J19" i="15" s="1"/>
  <c r="L19" i="15"/>
  <c r="H19" i="15"/>
  <c r="G11" i="23"/>
  <c r="G11" i="17"/>
  <c r="H11" i="17"/>
  <c r="I9" i="17"/>
  <c r="H11" i="15"/>
  <c r="I9" i="15"/>
  <c r="H11" i="23"/>
  <c r="I9" i="23"/>
  <c r="H11" i="13"/>
  <c r="I9" i="13"/>
  <c r="H11" i="12"/>
  <c r="I9" i="12"/>
  <c r="J9" i="8"/>
  <c r="I11" i="8"/>
  <c r="H11" i="11"/>
  <c r="I9" i="11"/>
  <c r="H11" i="10"/>
  <c r="I9" i="10"/>
  <c r="I46" i="2"/>
  <c r="I36" i="2"/>
  <c r="H11" i="2"/>
  <c r="I9" i="2"/>
  <c r="H9" i="16" l="1"/>
  <c r="I9" i="16" s="1"/>
  <c r="I11" i="16" s="1"/>
  <c r="H19" i="12"/>
  <c r="L25" i="13"/>
  <c r="I25" i="13"/>
  <c r="F25" i="13"/>
  <c r="J19" i="12"/>
  <c r="H25" i="13"/>
  <c r="K25" i="13"/>
  <c r="J25" i="13"/>
  <c r="G25" i="13"/>
  <c r="I19" i="12"/>
  <c r="F19" i="12"/>
  <c r="G19" i="12"/>
  <c r="K19" i="12"/>
  <c r="I11" i="17"/>
  <c r="J9" i="17"/>
  <c r="J9" i="15"/>
  <c r="I11" i="15"/>
  <c r="J9" i="23"/>
  <c r="I11" i="23"/>
  <c r="J9" i="13"/>
  <c r="I11" i="13"/>
  <c r="J9" i="12"/>
  <c r="I11" i="12"/>
  <c r="K9" i="8"/>
  <c r="J11" i="8"/>
  <c r="J9" i="11"/>
  <c r="I11" i="11"/>
  <c r="J9" i="10"/>
  <c r="I11" i="10"/>
  <c r="J46" i="2"/>
  <c r="J36" i="2"/>
  <c r="I11" i="2"/>
  <c r="J9" i="2"/>
  <c r="D75" i="16"/>
  <c r="D20" i="11"/>
  <c r="D21" i="11"/>
  <c r="D23" i="11"/>
  <c r="J9" i="16" l="1"/>
  <c r="J11" i="16" s="1"/>
  <c r="H11" i="16"/>
  <c r="K9" i="17"/>
  <c r="J11" i="17"/>
  <c r="K9" i="15"/>
  <c r="J11" i="15"/>
  <c r="K9" i="23"/>
  <c r="J11" i="23"/>
  <c r="K9" i="13"/>
  <c r="J11" i="13"/>
  <c r="K9" i="12"/>
  <c r="J11" i="12"/>
  <c r="K11" i="8"/>
  <c r="L9" i="8"/>
  <c r="M9" i="8" s="1"/>
  <c r="K9" i="11"/>
  <c r="J11" i="11"/>
  <c r="K9" i="10"/>
  <c r="J11" i="10"/>
  <c r="K46" i="2"/>
  <c r="K36" i="2"/>
  <c r="K9" i="2"/>
  <c r="J11" i="2"/>
  <c r="K9" i="16" l="1"/>
  <c r="L9" i="16" s="1"/>
  <c r="N9" i="8"/>
  <c r="M11" i="8"/>
  <c r="L9" i="17"/>
  <c r="K11" i="17"/>
  <c r="L9" i="15"/>
  <c r="K11" i="15"/>
  <c r="L9" i="23"/>
  <c r="M9" i="23" s="1"/>
  <c r="K11" i="23"/>
  <c r="L9" i="13"/>
  <c r="M9" i="13" s="1"/>
  <c r="K11" i="13"/>
  <c r="L9" i="12"/>
  <c r="K11" i="12"/>
  <c r="L11" i="8"/>
  <c r="K11" i="11"/>
  <c r="L9" i="11"/>
  <c r="M9" i="11" s="1"/>
  <c r="K11" i="10"/>
  <c r="L9" i="10"/>
  <c r="M9" i="10" s="1"/>
  <c r="L46" i="2"/>
  <c r="M46" i="2" s="1"/>
  <c r="L36" i="2"/>
  <c r="M36" i="2" s="1"/>
  <c r="L9" i="2"/>
  <c r="M9" i="2" s="1"/>
  <c r="K11" i="2"/>
  <c r="B49" i="10"/>
  <c r="B48" i="10"/>
  <c r="B46" i="10"/>
  <c r="B45" i="10"/>
  <c r="B40" i="10"/>
  <c r="B39" i="10"/>
  <c r="K11" i="16" l="1"/>
  <c r="N9" i="11"/>
  <c r="M11" i="11"/>
  <c r="O9" i="8"/>
  <c r="O11" i="8" s="1"/>
  <c r="N11" i="8"/>
  <c r="N9" i="2"/>
  <c r="M11" i="2"/>
  <c r="N9" i="23"/>
  <c r="M11" i="23"/>
  <c r="N9" i="10"/>
  <c r="M37" i="10"/>
  <c r="M24" i="10"/>
  <c r="M11" i="10"/>
  <c r="N9" i="13"/>
  <c r="M11" i="13"/>
  <c r="L11" i="15"/>
  <c r="M9" i="15"/>
  <c r="L11" i="17"/>
  <c r="M9" i="17"/>
  <c r="L11" i="12"/>
  <c r="M9" i="12"/>
  <c r="N46" i="2"/>
  <c r="N36" i="2"/>
  <c r="O36" i="2" s="1"/>
  <c r="M9" i="16"/>
  <c r="L11" i="16"/>
  <c r="L11" i="23"/>
  <c r="L11" i="13"/>
  <c r="L11" i="11"/>
  <c r="L11" i="10"/>
  <c r="L11" i="2"/>
  <c r="N9" i="15" l="1"/>
  <c r="M11" i="15"/>
  <c r="O9" i="23"/>
  <c r="O11" i="23" s="1"/>
  <c r="N11" i="23"/>
  <c r="M11" i="17"/>
  <c r="N9" i="17"/>
  <c r="O9" i="13"/>
  <c r="O11" i="13" s="1"/>
  <c r="N11" i="13"/>
  <c r="O9" i="10"/>
  <c r="N37" i="10"/>
  <c r="N24" i="10"/>
  <c r="N11" i="10"/>
  <c r="O9" i="2"/>
  <c r="O11" i="2" s="1"/>
  <c r="N11" i="2"/>
  <c r="O9" i="11"/>
  <c r="O11" i="11" s="1"/>
  <c r="N11" i="11"/>
  <c r="N9" i="12"/>
  <c r="M11" i="12"/>
  <c r="O46" i="2"/>
  <c r="N9" i="16"/>
  <c r="M11" i="16"/>
  <c r="D76" i="16"/>
  <c r="D77" i="16" s="1"/>
  <c r="D130" i="1"/>
  <c r="C13" i="23" s="1"/>
  <c r="B4" i="23"/>
  <c r="B2" i="23" s="1"/>
  <c r="F21" i="23"/>
  <c r="O37" i="10" l="1"/>
  <c r="O24" i="10"/>
  <c r="O11" i="10"/>
  <c r="O9" i="17"/>
  <c r="O11" i="17" s="1"/>
  <c r="N11" i="17"/>
  <c r="N11" i="15"/>
  <c r="O9" i="15"/>
  <c r="O11" i="15" s="1"/>
  <c r="O9" i="12"/>
  <c r="O11" i="12" s="1"/>
  <c r="N11" i="12"/>
  <c r="N11" i="16"/>
  <c r="O9" i="16"/>
  <c r="O11" i="16" s="1"/>
  <c r="C14" i="23"/>
  <c r="D11" i="9" l="1"/>
  <c r="D37" i="10"/>
  <c r="F72" i="20" l="1"/>
  <c r="H56" i="20"/>
  <c r="H55" i="20"/>
  <c r="F58" i="20" s="1"/>
  <c r="F60" i="20" s="1"/>
  <c r="H60" i="20" s="1"/>
  <c r="H62" i="20" l="1"/>
  <c r="H63" i="20" s="1"/>
  <c r="O11" i="20"/>
  <c r="O10" i="20"/>
  <c r="O12" i="20" s="1"/>
  <c r="L10" i="20"/>
  <c r="E38" i="12" l="1"/>
  <c r="F38" i="12" s="1"/>
  <c r="G38" i="12" s="1"/>
  <c r="H38" i="12" s="1"/>
  <c r="I38" i="12" s="1"/>
  <c r="J38" i="12" s="1"/>
  <c r="K38" i="12" s="1"/>
  <c r="L38" i="12" s="1"/>
  <c r="M38" i="12" s="1"/>
  <c r="N38" i="12" s="1"/>
  <c r="O38" i="12" s="1"/>
  <c r="D38" i="12"/>
  <c r="B4" i="19" l="1"/>
  <c r="B2" i="19" s="1"/>
  <c r="E42" i="12" l="1"/>
  <c r="F42" i="12" s="1"/>
  <c r="G42" i="12" s="1"/>
  <c r="C11" i="12" l="1"/>
  <c r="E11" i="12" s="1"/>
  <c r="C97" i="2"/>
  <c r="C11" i="11"/>
  <c r="E11" i="11" s="1"/>
  <c r="B19" i="10"/>
  <c r="C11" i="10"/>
  <c r="E11" i="10" s="1"/>
  <c r="C11" i="8"/>
  <c r="E11" i="8" s="1"/>
  <c r="B31" i="10" l="1"/>
  <c r="B29" i="12" s="1"/>
  <c r="G68" i="1" l="1"/>
  <c r="A9" i="4" l="1"/>
  <c r="A10" i="4" s="1"/>
  <c r="A11" i="4" s="1"/>
  <c r="A15" i="4" s="1"/>
  <c r="A17" i="4" s="1"/>
  <c r="A18" i="4" s="1"/>
  <c r="D226" i="18" l="1"/>
  <c r="D229" i="18" s="1"/>
  <c r="D222" i="18"/>
  <c r="E223" i="18" s="1"/>
  <c r="O12" i="18" l="1"/>
  <c r="M12" i="18"/>
  <c r="N12" i="18"/>
  <c r="P32" i="18"/>
  <c r="F43" i="18" l="1"/>
  <c r="C61" i="18"/>
  <c r="C9" i="18" l="1"/>
  <c r="C7" i="18" l="1"/>
  <c r="H26" i="2" l="1"/>
  <c r="F30" i="17"/>
  <c r="B4" i="17"/>
  <c r="B2" i="17" s="1"/>
  <c r="E76" i="11"/>
  <c r="E17" i="16" s="1"/>
  <c r="D76" i="11"/>
  <c r="D17" i="16" s="1"/>
  <c r="E15" i="16"/>
  <c r="E16" i="16" s="1"/>
  <c r="D15" i="16"/>
  <c r="D16" i="16" s="1"/>
  <c r="B4" i="16"/>
  <c r="B2" i="16" s="1"/>
  <c r="B4" i="15"/>
  <c r="B2" i="15" s="1"/>
  <c r="I26" i="2" l="1"/>
  <c r="J26" i="2" l="1"/>
  <c r="K26" i="2" l="1"/>
  <c r="L26" i="2" l="1"/>
  <c r="E37" i="12"/>
  <c r="D37" i="12"/>
  <c r="D27" i="13" s="1"/>
  <c r="M26" i="2" l="1"/>
  <c r="E27" i="13"/>
  <c r="K19" i="13"/>
  <c r="L19" i="13"/>
  <c r="D19" i="13"/>
  <c r="D18" i="13"/>
  <c r="D33" i="12"/>
  <c r="E33" i="12" s="1"/>
  <c r="E36" i="12"/>
  <c r="D36" i="12"/>
  <c r="D26" i="13" s="1"/>
  <c r="N26" i="2" l="1"/>
  <c r="O26" i="2" s="1"/>
  <c r="E26" i="13"/>
  <c r="E29" i="13"/>
  <c r="F33" i="12"/>
  <c r="G33" i="12" s="1"/>
  <c r="H33" i="12" s="1"/>
  <c r="I33" i="12" s="1"/>
  <c r="J33" i="12" s="1"/>
  <c r="K33" i="12" s="1"/>
  <c r="L33" i="12" s="1"/>
  <c r="M33" i="12" s="1"/>
  <c r="N33" i="12" l="1"/>
  <c r="M29" i="13"/>
  <c r="F29" i="13"/>
  <c r="O33" i="12" l="1"/>
  <c r="O29" i="13" s="1"/>
  <c r="N29" i="13"/>
  <c r="G29" i="13"/>
  <c r="H29" i="13" l="1"/>
  <c r="I29" i="13" l="1"/>
  <c r="J29" i="13" l="1"/>
  <c r="K29" i="13" l="1"/>
  <c r="L29" i="13" l="1"/>
  <c r="F16" i="13" l="1"/>
  <c r="G16" i="13"/>
  <c r="H16" i="13"/>
  <c r="I16" i="13"/>
  <c r="J16" i="13"/>
  <c r="K16" i="13"/>
  <c r="L16" i="13"/>
  <c r="B4" i="13" l="1"/>
  <c r="B2" i="13" s="1"/>
  <c r="B4" i="12"/>
  <c r="B2" i="12" s="1"/>
  <c r="K51" i="8" l="1"/>
  <c r="L51" i="8"/>
  <c r="F73" i="11"/>
  <c r="G73" i="11" s="1"/>
  <c r="H73" i="11" s="1"/>
  <c r="I73" i="11" s="1"/>
  <c r="J73" i="11" s="1"/>
  <c r="K73" i="11" s="1"/>
  <c r="L73" i="11" s="1"/>
  <c r="M73" i="11" s="1"/>
  <c r="N73" i="11" l="1"/>
  <c r="B60" i="11"/>
  <c r="F40" i="11"/>
  <c r="G40" i="11" s="1"/>
  <c r="H40" i="11" s="1"/>
  <c r="I40" i="11" s="1"/>
  <c r="J40" i="11" s="1"/>
  <c r="K40" i="11" s="1"/>
  <c r="L40" i="11" s="1"/>
  <c r="M40" i="11" s="1"/>
  <c r="N40" i="11" s="1"/>
  <c r="O40" i="11" s="1"/>
  <c r="F45" i="11"/>
  <c r="G45" i="11" s="1"/>
  <c r="H45" i="11" s="1"/>
  <c r="I45" i="11" s="1"/>
  <c r="J45" i="11" s="1"/>
  <c r="K45" i="11" s="1"/>
  <c r="L45" i="11" s="1"/>
  <c r="M45" i="11" s="1"/>
  <c r="N45" i="11" s="1"/>
  <c r="O45" i="11" s="1"/>
  <c r="F54" i="11"/>
  <c r="G54" i="11" s="1"/>
  <c r="H54" i="11" s="1"/>
  <c r="I54" i="11" s="1"/>
  <c r="J54" i="11" s="1"/>
  <c r="K54" i="11" s="1"/>
  <c r="L54" i="11" s="1"/>
  <c r="M54" i="11" s="1"/>
  <c r="N54" i="11" s="1"/>
  <c r="F56" i="11"/>
  <c r="G56" i="11" s="1"/>
  <c r="H56" i="11" s="1"/>
  <c r="I56" i="11" s="1"/>
  <c r="J56" i="11" s="1"/>
  <c r="K56" i="11" s="1"/>
  <c r="L56" i="11" s="1"/>
  <c r="M56" i="11" s="1"/>
  <c r="N56" i="11" s="1"/>
  <c r="O56" i="11" s="1"/>
  <c r="F52" i="11"/>
  <c r="G52" i="11" s="1"/>
  <c r="H52" i="11" s="1"/>
  <c r="I52" i="11" s="1"/>
  <c r="J52" i="11" s="1"/>
  <c r="K52" i="11" s="1"/>
  <c r="L52" i="11" s="1"/>
  <c r="M52" i="11" s="1"/>
  <c r="N52" i="11" s="1"/>
  <c r="O52" i="11" s="1"/>
  <c r="F61" i="11"/>
  <c r="G61" i="11" s="1"/>
  <c r="E17" i="11"/>
  <c r="E18" i="11"/>
  <c r="E19" i="11"/>
  <c r="E20" i="11"/>
  <c r="E21" i="11"/>
  <c r="E22" i="11"/>
  <c r="E23" i="11"/>
  <c r="F35" i="11"/>
  <c r="O54" i="11" l="1"/>
  <c r="O73" i="11"/>
  <c r="G35" i="11"/>
  <c r="H61" i="11"/>
  <c r="B4" i="11"/>
  <c r="B2" i="11" s="1"/>
  <c r="G26" i="10"/>
  <c r="H35" i="11" l="1"/>
  <c r="I35" i="11" s="1"/>
  <c r="J35" i="11" s="1"/>
  <c r="K35" i="11" s="1"/>
  <c r="L35" i="11" s="1"/>
  <c r="M35" i="11" s="1"/>
  <c r="N35" i="11" s="1"/>
  <c r="O35" i="11" s="1"/>
  <c r="H26" i="10"/>
  <c r="I26" i="10" s="1"/>
  <c r="J26" i="10" s="1"/>
  <c r="K26" i="10" s="1"/>
  <c r="L26" i="10" s="1"/>
  <c r="M26" i="10" s="1"/>
  <c r="N26" i="10" s="1"/>
  <c r="O26" i="10" s="1"/>
  <c r="I61" i="11"/>
  <c r="J61" i="11" l="1"/>
  <c r="K61" i="11" l="1"/>
  <c r="L61" i="11" l="1"/>
  <c r="M61" i="11" s="1"/>
  <c r="N61" i="11" s="1"/>
  <c r="O61" i="11" s="1"/>
  <c r="B32" i="10" l="1"/>
  <c r="B30" i="10"/>
  <c r="B28" i="10"/>
  <c r="B4" i="10" l="1"/>
  <c r="B2" i="10" s="1"/>
  <c r="C23" i="9" l="1"/>
  <c r="E27" i="9" s="1"/>
  <c r="D16" i="9" s="1"/>
  <c r="G10" i="9"/>
  <c r="H10" i="9" s="1"/>
  <c r="I10" i="9" s="1"/>
  <c r="J10" i="9" s="1"/>
  <c r="K10" i="9" s="1"/>
  <c r="L10" i="9" s="1"/>
  <c r="M10" i="9" s="1"/>
  <c r="N10" i="9" s="1"/>
  <c r="O10" i="9" s="1"/>
  <c r="B4" i="9"/>
  <c r="B2" i="9" s="1"/>
  <c r="B4" i="8"/>
  <c r="B2" i="8" s="1"/>
  <c r="C93" i="2"/>
  <c r="C89" i="2"/>
  <c r="F27" i="9" l="1"/>
  <c r="G27" i="9" s="1"/>
  <c r="C29" i="9" s="1"/>
  <c r="D25" i="13" l="1"/>
  <c r="G74" i="2"/>
  <c r="H74" i="2" s="1"/>
  <c r="I74" i="2" s="1"/>
  <c r="J74" i="2" s="1"/>
  <c r="K74" i="2" s="1"/>
  <c r="L74" i="2" s="1"/>
  <c r="M74" i="2" s="1"/>
  <c r="F73" i="2"/>
  <c r="C174" i="5"/>
  <c r="D174" i="5" s="1"/>
  <c r="D167" i="5"/>
  <c r="D168" i="5"/>
  <c r="F75" i="2" l="1"/>
  <c r="G73" i="2"/>
  <c r="N74" i="2"/>
  <c r="O74" i="2" s="1"/>
  <c r="F17" i="8"/>
  <c r="C177" i="5"/>
  <c r="D177" i="5" s="1"/>
  <c r="H73" i="2"/>
  <c r="I73" i="2" s="1"/>
  <c r="J73" i="2" s="1"/>
  <c r="K73" i="2" s="1"/>
  <c r="L73" i="2" s="1"/>
  <c r="M73" i="2" s="1"/>
  <c r="D143" i="5"/>
  <c r="D144" i="5" s="1"/>
  <c r="G125" i="5"/>
  <c r="C125" i="5"/>
  <c r="C127" i="5" s="1"/>
  <c r="H124" i="5"/>
  <c r="F124" i="5"/>
  <c r="I124" i="5" s="1"/>
  <c r="H123" i="5"/>
  <c r="F123" i="5"/>
  <c r="H122" i="5"/>
  <c r="H121" i="5"/>
  <c r="F121" i="5"/>
  <c r="H120" i="5"/>
  <c r="F120" i="5"/>
  <c r="H119" i="5"/>
  <c r="F119" i="5"/>
  <c r="H118" i="5"/>
  <c r="H117" i="5"/>
  <c r="H116" i="5"/>
  <c r="H115" i="5"/>
  <c r="H114" i="5"/>
  <c r="H113" i="5"/>
  <c r="F113" i="5"/>
  <c r="G100" i="5"/>
  <c r="H101" i="5" s="1"/>
  <c r="F85" i="5"/>
  <c r="F84" i="5"/>
  <c r="F83" i="5"/>
  <c r="F82" i="5"/>
  <c r="F81" i="5"/>
  <c r="F78" i="5"/>
  <c r="F77" i="5"/>
  <c r="F74" i="5"/>
  <c r="F73" i="5"/>
  <c r="F72" i="5"/>
  <c r="F71" i="5"/>
  <c r="F65" i="5"/>
  <c r="F64" i="5"/>
  <c r="F63" i="5"/>
  <c r="F62" i="5"/>
  <c r="F60" i="5"/>
  <c r="F59" i="5"/>
  <c r="F58" i="5"/>
  <c r="F57" i="5"/>
  <c r="F56" i="5"/>
  <c r="F55" i="5"/>
  <c r="F54" i="5"/>
  <c r="F53" i="5"/>
  <c r="F52" i="5"/>
  <c r="F49" i="5"/>
  <c r="F48" i="5"/>
  <c r="F47" i="5"/>
  <c r="F46" i="5"/>
  <c r="F45" i="5"/>
  <c r="F39" i="5"/>
  <c r="F38" i="5"/>
  <c r="F36" i="5"/>
  <c r="M21" i="5"/>
  <c r="F4" i="5"/>
  <c r="D166" i="5" s="1"/>
  <c r="C178" i="5" s="1"/>
  <c r="D178" i="5" s="1"/>
  <c r="N73" i="2" l="1"/>
  <c r="O73" i="2" s="1"/>
  <c r="I119" i="5"/>
  <c r="E29" i="9"/>
  <c r="M81" i="5"/>
  <c r="M42" i="5"/>
  <c r="I120" i="5"/>
  <c r="G82" i="5"/>
  <c r="G86" i="5"/>
  <c r="I121" i="5"/>
  <c r="I123" i="5"/>
  <c r="M71" i="5"/>
  <c r="F118" i="5"/>
  <c r="I118" i="5" s="1"/>
  <c r="H125" i="5"/>
  <c r="F115" i="5"/>
  <c r="I115" i="5" s="1"/>
  <c r="I113" i="5"/>
  <c r="D169" i="5"/>
  <c r="M45" i="5"/>
  <c r="N45" i="5" s="1"/>
  <c r="F88" i="5"/>
  <c r="F89" i="5" s="1"/>
  <c r="F116" i="5"/>
  <c r="I116" i="5" s="1"/>
  <c r="F114" i="5"/>
  <c r="I114" i="5" s="1"/>
  <c r="G89" i="5"/>
  <c r="F117" i="5"/>
  <c r="I117" i="5" s="1"/>
  <c r="M29" i="5"/>
  <c r="G88" i="5"/>
  <c r="F29" i="9" l="1"/>
  <c r="G29" i="9" s="1"/>
  <c r="G87" i="5"/>
  <c r="G102" i="5"/>
  <c r="H102" i="5" s="1"/>
  <c r="K102" i="5" s="1"/>
  <c r="L102" i="5" s="1"/>
  <c r="C176" i="5"/>
  <c r="D176" i="5" s="1"/>
  <c r="D19" i="10"/>
  <c r="C175" i="5"/>
  <c r="D175" i="5" s="1"/>
  <c r="D18" i="10"/>
  <c r="G95" i="5"/>
  <c r="F122" i="5"/>
  <c r="F102" i="5"/>
  <c r="C30" i="9" l="1"/>
  <c r="E30" i="9" s="1"/>
  <c r="D179" i="5"/>
  <c r="G106" i="5"/>
  <c r="G104" i="5"/>
  <c r="F127" i="5"/>
  <c r="I122" i="5"/>
  <c r="F125" i="5"/>
  <c r="I125" i="5" s="1"/>
  <c r="F30" i="9" l="1"/>
  <c r="G30" i="9" s="1"/>
  <c r="C31" i="9" s="1"/>
  <c r="E31" i="9" s="1"/>
  <c r="F31" i="9" s="1"/>
  <c r="G31" i="9" s="1"/>
  <c r="G17" i="2"/>
  <c r="G18" i="2" s="1"/>
  <c r="F13" i="11"/>
  <c r="F12" i="10"/>
  <c r="F15" i="2" l="1"/>
  <c r="H17" i="2"/>
  <c r="G13" i="11"/>
  <c r="G12" i="10"/>
  <c r="F56" i="2" l="1"/>
  <c r="F57" i="2" s="1"/>
  <c r="F59" i="2" s="1"/>
  <c r="F22" i="2"/>
  <c r="F23" i="2" s="1"/>
  <c r="F24" i="2" s="1"/>
  <c r="F41" i="2"/>
  <c r="F42" i="2" s="1"/>
  <c r="F43" i="2" s="1"/>
  <c r="F44" i="2" s="1"/>
  <c r="F45" i="2" s="1"/>
  <c r="F48" i="2" s="1"/>
  <c r="F31" i="2"/>
  <c r="F32" i="2" s="1"/>
  <c r="F33" i="2" s="1"/>
  <c r="D29" i="1"/>
  <c r="I17" i="2"/>
  <c r="H13" i="11"/>
  <c r="H12" i="10"/>
  <c r="F34" i="2" l="1"/>
  <c r="F35" i="2"/>
  <c r="F38" i="2" s="1"/>
  <c r="F25" i="2"/>
  <c r="F28" i="2" s="1"/>
  <c r="F50" i="2" s="1"/>
  <c r="G15" i="2"/>
  <c r="J17" i="2"/>
  <c r="I13" i="11"/>
  <c r="I12" i="10"/>
  <c r="G56" i="2" l="1"/>
  <c r="G57" i="2" s="1"/>
  <c r="G59" i="2" s="1"/>
  <c r="G21" i="2"/>
  <c r="G22" i="2" s="1"/>
  <c r="G23" i="2" s="1"/>
  <c r="G24" i="2" s="1"/>
  <c r="G31" i="2"/>
  <c r="G32" i="2" s="1"/>
  <c r="G33" i="2" s="1"/>
  <c r="F93" i="2"/>
  <c r="F13" i="8"/>
  <c r="F66" i="2"/>
  <c r="F15" i="8" s="1"/>
  <c r="F89" i="2"/>
  <c r="F101" i="2"/>
  <c r="G41" i="2"/>
  <c r="G42" i="2" s="1"/>
  <c r="G43" i="2" s="1"/>
  <c r="H15" i="2"/>
  <c r="K17" i="2"/>
  <c r="L17" i="2" s="1"/>
  <c r="M17" i="2" s="1"/>
  <c r="J13" i="11"/>
  <c r="J12" i="10"/>
  <c r="F26" i="11" l="1"/>
  <c r="F44" i="11" s="1"/>
  <c r="G34" i="2"/>
  <c r="G35" i="2"/>
  <c r="G38" i="2" s="1"/>
  <c r="H21" i="2"/>
  <c r="H22" i="2" s="1"/>
  <c r="H23" i="2" s="1"/>
  <c r="H24" i="2" s="1"/>
  <c r="H31" i="2"/>
  <c r="H32" i="2" s="1"/>
  <c r="H33" i="2" s="1"/>
  <c r="H56" i="2"/>
  <c r="H57" i="2" s="1"/>
  <c r="H59" i="2" s="1"/>
  <c r="G44" i="2"/>
  <c r="G45" i="2" s="1"/>
  <c r="G48" i="2" s="1"/>
  <c r="M12" i="10"/>
  <c r="N17" i="2"/>
  <c r="M13" i="11"/>
  <c r="M18" i="2"/>
  <c r="M72" i="2" s="1"/>
  <c r="H41" i="2"/>
  <c r="H42" i="2" s="1"/>
  <c r="H43" i="2" s="1"/>
  <c r="G25" i="2"/>
  <c r="G28" i="2" s="1"/>
  <c r="I15" i="2"/>
  <c r="K13" i="11"/>
  <c r="K12" i="10"/>
  <c r="G50" i="2" l="1"/>
  <c r="H34" i="2"/>
  <c r="H35" i="2"/>
  <c r="H38" i="2" s="1"/>
  <c r="I31" i="2"/>
  <c r="I32" i="2" s="1"/>
  <c r="I33" i="2" s="1"/>
  <c r="I34" i="2" s="1"/>
  <c r="I35" i="2" s="1"/>
  <c r="I38" i="2" s="1"/>
  <c r="I56" i="2"/>
  <c r="I57" i="2" s="1"/>
  <c r="I59" i="2" s="1"/>
  <c r="I21" i="2"/>
  <c r="I22" i="2" s="1"/>
  <c r="I23" i="2" s="1"/>
  <c r="I24" i="2" s="1"/>
  <c r="G61" i="2"/>
  <c r="H44" i="2"/>
  <c r="H45" i="2" s="1"/>
  <c r="H48" i="2" s="1"/>
  <c r="N13" i="11"/>
  <c r="N12" i="10"/>
  <c r="O17" i="2"/>
  <c r="N18" i="2"/>
  <c r="N72" i="2" s="1"/>
  <c r="M14" i="11"/>
  <c r="M13" i="10"/>
  <c r="M75" i="2"/>
  <c r="M17" i="8" s="1"/>
  <c r="M28" i="11" s="1"/>
  <c r="H25" i="2"/>
  <c r="H28" i="2" s="1"/>
  <c r="I41" i="2"/>
  <c r="I42" i="2" s="1"/>
  <c r="I43" i="2" s="1"/>
  <c r="J15" i="2"/>
  <c r="L13" i="11"/>
  <c r="L12" i="10"/>
  <c r="J21" i="2" l="1"/>
  <c r="J22" i="2" s="1"/>
  <c r="J23" i="2" s="1"/>
  <c r="J24" i="2" s="1"/>
  <c r="J31" i="2"/>
  <c r="J32" i="2" s="1"/>
  <c r="J33" i="2" s="1"/>
  <c r="J34" i="2" s="1"/>
  <c r="J35" i="2" s="1"/>
  <c r="J38" i="2" s="1"/>
  <c r="J56" i="2"/>
  <c r="J57" i="2" s="1"/>
  <c r="J59" i="2" s="1"/>
  <c r="H50" i="2"/>
  <c r="H61" i="2" s="1"/>
  <c r="I44" i="2"/>
  <c r="I45" i="2" s="1"/>
  <c r="I48" i="2" s="1"/>
  <c r="G13" i="8"/>
  <c r="G26" i="11" s="1"/>
  <c r="G44" i="11" s="1"/>
  <c r="G64" i="2"/>
  <c r="G66" i="2" s="1"/>
  <c r="G89" i="2"/>
  <c r="G101" i="2"/>
  <c r="O13" i="11"/>
  <c r="O12" i="10"/>
  <c r="O18" i="2"/>
  <c r="O72" i="2" s="1"/>
  <c r="M53" i="11"/>
  <c r="N13" i="10"/>
  <c r="N14" i="11"/>
  <c r="N75" i="2"/>
  <c r="N17" i="8" s="1"/>
  <c r="N28" i="11" s="1"/>
  <c r="F102" i="2"/>
  <c r="I25" i="2"/>
  <c r="I28" i="2" s="1"/>
  <c r="J41" i="2"/>
  <c r="J42" i="2" s="1"/>
  <c r="J43" i="2" s="1"/>
  <c r="K15" i="2"/>
  <c r="K31" i="2" l="1"/>
  <c r="K32" i="2" s="1"/>
  <c r="K33" i="2" s="1"/>
  <c r="K34" i="2" s="1"/>
  <c r="K35" i="2" s="1"/>
  <c r="K38" i="2" s="1"/>
  <c r="K56" i="2"/>
  <c r="K57" i="2" s="1"/>
  <c r="K59" i="2" s="1"/>
  <c r="K21" i="2"/>
  <c r="K22" i="2" s="1"/>
  <c r="K23" i="2" s="1"/>
  <c r="K24" i="2" s="1"/>
  <c r="I50" i="2"/>
  <c r="I61" i="2" s="1"/>
  <c r="I101" i="2" s="1"/>
  <c r="J44" i="2"/>
  <c r="J45" i="2" s="1"/>
  <c r="J48" i="2" s="1"/>
  <c r="H64" i="2"/>
  <c r="H66" i="2" s="1"/>
  <c r="H89" i="2"/>
  <c r="H101" i="2"/>
  <c r="N53" i="11"/>
  <c r="O14" i="11"/>
  <c r="O13" i="10"/>
  <c r="O75" i="2"/>
  <c r="O17" i="8" s="1"/>
  <c r="O28" i="11" s="1"/>
  <c r="O53" i="11" s="1"/>
  <c r="F13" i="17"/>
  <c r="J25" i="2"/>
  <c r="J28" i="2" s="1"/>
  <c r="K41" i="2"/>
  <c r="K42" i="2" s="1"/>
  <c r="K43" i="2" s="1"/>
  <c r="L15" i="2"/>
  <c r="I89" i="2" l="1"/>
  <c r="L21" i="2"/>
  <c r="L22" i="2" s="1"/>
  <c r="L23" i="2" s="1"/>
  <c r="L24" i="2" s="1"/>
  <c r="L31" i="2"/>
  <c r="L32" i="2" s="1"/>
  <c r="L33" i="2" s="1"/>
  <c r="L56" i="2"/>
  <c r="L57" i="2" s="1"/>
  <c r="L59" i="2" s="1"/>
  <c r="I64" i="2"/>
  <c r="I66" i="2" s="1"/>
  <c r="K44" i="2"/>
  <c r="K45" i="2" s="1"/>
  <c r="K48" i="2" s="1"/>
  <c r="J50" i="2"/>
  <c r="J61" i="2" s="1"/>
  <c r="M15" i="2"/>
  <c r="L41" i="2"/>
  <c r="L42" i="2" s="1"/>
  <c r="L43" i="2" s="1"/>
  <c r="K25" i="2"/>
  <c r="K28" i="2" s="1"/>
  <c r="L34" i="2" l="1"/>
  <c r="L35" i="2" s="1"/>
  <c r="L38" i="2" s="1"/>
  <c r="M31" i="2"/>
  <c r="M32" i="2" s="1"/>
  <c r="M33" i="2" s="1"/>
  <c r="M34" i="2" s="1"/>
  <c r="M35" i="2" s="1"/>
  <c r="M38" i="2" s="1"/>
  <c r="M56" i="2"/>
  <c r="M57" i="2" s="1"/>
  <c r="M59" i="2" s="1"/>
  <c r="M21" i="2"/>
  <c r="M22" i="2" s="1"/>
  <c r="M23" i="2" s="1"/>
  <c r="M24" i="2" s="1"/>
  <c r="K50" i="2"/>
  <c r="K61" i="2" s="1"/>
  <c r="J89" i="2"/>
  <c r="J101" i="2"/>
  <c r="J64" i="2"/>
  <c r="J66" i="2" s="1"/>
  <c r="L44" i="2"/>
  <c r="L45" i="2" s="1"/>
  <c r="L48" i="2" s="1"/>
  <c r="L25" i="2"/>
  <c r="L28" i="2" s="1"/>
  <c r="M41" i="2"/>
  <c r="M42" i="2" s="1"/>
  <c r="M43" i="2" s="1"/>
  <c r="N15" i="2"/>
  <c r="N31" i="2" l="1"/>
  <c r="N32" i="2" s="1"/>
  <c r="N33" i="2" s="1"/>
  <c r="N34" i="2" s="1"/>
  <c r="N35" i="2" s="1"/>
  <c r="N38" i="2" s="1"/>
  <c r="N21" i="2"/>
  <c r="N22" i="2" s="1"/>
  <c r="N23" i="2" s="1"/>
  <c r="N24" i="2" s="1"/>
  <c r="N56" i="2"/>
  <c r="N57" i="2" s="1"/>
  <c r="N59" i="2" s="1"/>
  <c r="M44" i="2"/>
  <c r="M45" i="2" s="1"/>
  <c r="M48" i="2" s="1"/>
  <c r="L50" i="2"/>
  <c r="L61" i="2" s="1"/>
  <c r="K64" i="2"/>
  <c r="K66" i="2" s="1"/>
  <c r="K89" i="2"/>
  <c r="K101" i="2"/>
  <c r="M25" i="2"/>
  <c r="M28" i="2" s="1"/>
  <c r="O15" i="2"/>
  <c r="N41" i="2"/>
  <c r="N42" i="2" s="1"/>
  <c r="N43" i="2" s="1"/>
  <c r="B4" i="2"/>
  <c r="B2" i="2" s="1"/>
  <c r="G80" i="2"/>
  <c r="G78" i="2" s="1"/>
  <c r="F12" i="11"/>
  <c r="G12" i="11" s="1"/>
  <c r="H12" i="11" s="1"/>
  <c r="I12" i="11" s="1"/>
  <c r="J12" i="11" s="1"/>
  <c r="K12" i="11" s="1"/>
  <c r="L12" i="11" s="1"/>
  <c r="M12" i="11" s="1"/>
  <c r="N12" i="11" s="1"/>
  <c r="O12" i="11" s="1"/>
  <c r="B2" i="1"/>
  <c r="O21" i="2" l="1"/>
  <c r="O22" i="2" s="1"/>
  <c r="O23" i="2" s="1"/>
  <c r="O24" i="2" s="1"/>
  <c r="O31" i="2"/>
  <c r="O32" i="2" s="1"/>
  <c r="O33" i="2" s="1"/>
  <c r="O34" i="2" s="1"/>
  <c r="O35" i="2" s="1"/>
  <c r="O38" i="2" s="1"/>
  <c r="O56" i="2"/>
  <c r="O57" i="2" s="1"/>
  <c r="O59" i="2" s="1"/>
  <c r="H78" i="2"/>
  <c r="G79" i="2"/>
  <c r="G81" i="2" s="1"/>
  <c r="G18" i="8" s="1"/>
  <c r="M50" i="2"/>
  <c r="M61" i="2" s="1"/>
  <c r="L64" i="2"/>
  <c r="L66" i="2" s="1"/>
  <c r="L89" i="2"/>
  <c r="L101" i="2"/>
  <c r="M101" i="2"/>
  <c r="M64" i="2"/>
  <c r="M66" i="2" s="1"/>
  <c r="M89" i="2"/>
  <c r="N44" i="2"/>
  <c r="N45" i="2"/>
  <c r="N48" i="2" s="1"/>
  <c r="M53" i="2"/>
  <c r="N25" i="2"/>
  <c r="N28" i="2" s="1"/>
  <c r="O41" i="2"/>
  <c r="O42" i="2" s="1"/>
  <c r="O43" i="2" s="1"/>
  <c r="E11" i="9"/>
  <c r="H80" i="2"/>
  <c r="I80" i="2" s="1"/>
  <c r="J80" i="2" s="1"/>
  <c r="K80" i="2" s="1"/>
  <c r="L80" i="2" s="1"/>
  <c r="M80" i="2" s="1"/>
  <c r="I78" i="2" l="1"/>
  <c r="H79" i="2"/>
  <c r="H81" i="2" s="1"/>
  <c r="H18" i="8" s="1"/>
  <c r="O44" i="2"/>
  <c r="O45" i="2" s="1"/>
  <c r="O48" i="2" s="1"/>
  <c r="N50" i="2"/>
  <c r="N61" i="2" s="1"/>
  <c r="M68" i="2"/>
  <c r="M16" i="8" s="1"/>
  <c r="O25" i="2"/>
  <c r="O28" i="2" s="1"/>
  <c r="N80" i="2"/>
  <c r="O80" i="2" s="1"/>
  <c r="M13" i="8"/>
  <c r="M26" i="11" s="1"/>
  <c r="M44" i="11" s="1"/>
  <c r="M102" i="2"/>
  <c r="M32" i="8" s="1"/>
  <c r="M15" i="8"/>
  <c r="M90" i="2"/>
  <c r="M29" i="11" s="1"/>
  <c r="M55" i="11" s="1"/>
  <c r="M93" i="2"/>
  <c r="M94" i="2" s="1"/>
  <c r="J78" i="2" l="1"/>
  <c r="I79" i="2"/>
  <c r="I81" i="2" s="1"/>
  <c r="I18" i="8" s="1"/>
  <c r="M27" i="11"/>
  <c r="M34" i="11" s="1"/>
  <c r="M36" i="11" s="1"/>
  <c r="O50" i="2"/>
  <c r="N89" i="2"/>
  <c r="N101" i="2"/>
  <c r="N102" i="2" s="1"/>
  <c r="N32" i="8" s="1"/>
  <c r="N64" i="2"/>
  <c r="N66" i="2" s="1"/>
  <c r="N15" i="8" s="1"/>
  <c r="N53" i="2"/>
  <c r="M13" i="17"/>
  <c r="M60" i="11"/>
  <c r="M62" i="11" s="1"/>
  <c r="M36" i="12" s="1"/>
  <c r="M59" i="8"/>
  <c r="N13" i="8"/>
  <c r="N26" i="11" s="1"/>
  <c r="N44" i="11" s="1"/>
  <c r="N93" i="2"/>
  <c r="N94" i="2" s="1"/>
  <c r="N90" i="2"/>
  <c r="N29" i="11" s="1"/>
  <c r="N55" i="11" s="1"/>
  <c r="E9" i="9"/>
  <c r="F9" i="9" s="1"/>
  <c r="E14" i="1"/>
  <c r="M39" i="11" l="1"/>
  <c r="M51" i="11"/>
  <c r="M57" i="11" s="1"/>
  <c r="M67" i="11" s="1"/>
  <c r="M41" i="11"/>
  <c r="M26" i="8" s="1"/>
  <c r="N24" i="8" s="1"/>
  <c r="O53" i="2"/>
  <c r="K78" i="2"/>
  <c r="J79" i="2"/>
  <c r="J81" i="2" s="1"/>
  <c r="J18" i="8" s="1"/>
  <c r="O68" i="2"/>
  <c r="O16" i="8" s="1"/>
  <c r="N68" i="2"/>
  <c r="N16" i="8" s="1"/>
  <c r="N27" i="11" s="1"/>
  <c r="O64" i="2"/>
  <c r="O66" i="2" s="1"/>
  <c r="O15" i="8" s="1"/>
  <c r="O89" i="2"/>
  <c r="O101" i="2"/>
  <c r="O102" i="2" s="1"/>
  <c r="O32" i="8" s="1"/>
  <c r="O13" i="8"/>
  <c r="O26" i="11" s="1"/>
  <c r="O44" i="11" s="1"/>
  <c r="O90" i="2"/>
  <c r="O29" i="11" s="1"/>
  <c r="O55" i="11" s="1"/>
  <c r="O93" i="2"/>
  <c r="O94" i="2" s="1"/>
  <c r="N13" i="17"/>
  <c r="N59" i="8"/>
  <c r="N70" i="8" s="1"/>
  <c r="N30" i="17" s="1"/>
  <c r="N60" i="11"/>
  <c r="N62" i="11" s="1"/>
  <c r="N36" i="12" s="1"/>
  <c r="N26" i="13" s="1"/>
  <c r="F37" i="10"/>
  <c r="E37" i="10"/>
  <c r="E24" i="10"/>
  <c r="F11" i="9"/>
  <c r="G9" i="9"/>
  <c r="M18" i="12" l="1"/>
  <c r="L78" i="2"/>
  <c r="K79" i="2"/>
  <c r="K81" i="2" s="1"/>
  <c r="K18" i="8" s="1"/>
  <c r="O27" i="11"/>
  <c r="O34" i="11" s="1"/>
  <c r="O36" i="11" s="1"/>
  <c r="N34" i="11"/>
  <c r="N36" i="11" s="1"/>
  <c r="N51" i="11"/>
  <c r="N57" i="11" s="1"/>
  <c r="N18" i="12" s="1"/>
  <c r="N20" i="13" s="1"/>
  <c r="N39" i="11"/>
  <c r="N41" i="11"/>
  <c r="O13" i="17"/>
  <c r="O60" i="11"/>
  <c r="O62" i="11" s="1"/>
  <c r="O36" i="12" s="1"/>
  <c r="O26" i="13" s="1"/>
  <c r="O59" i="8"/>
  <c r="O70" i="8" s="1"/>
  <c r="O30" i="17" s="1"/>
  <c r="F24" i="10"/>
  <c r="G37" i="10"/>
  <c r="G11" i="9"/>
  <c r="H9" i="9"/>
  <c r="O41" i="11" l="1"/>
  <c r="O26" i="8" s="1"/>
  <c r="O51" i="11"/>
  <c r="O57" i="11" s="1"/>
  <c r="O67" i="11" s="1"/>
  <c r="M78" i="2"/>
  <c r="L79" i="2"/>
  <c r="L81" i="2" s="1"/>
  <c r="L18" i="8" s="1"/>
  <c r="O39" i="11"/>
  <c r="N67" i="11"/>
  <c r="N26" i="8"/>
  <c r="O24" i="8" s="1"/>
  <c r="G24" i="10"/>
  <c r="H11" i="9"/>
  <c r="I9" i="9"/>
  <c r="O18" i="12" l="1"/>
  <c r="O20" i="13" s="1"/>
  <c r="N78" i="2"/>
  <c r="M79" i="2"/>
  <c r="M81" i="2" s="1"/>
  <c r="M18" i="8" s="1"/>
  <c r="H37" i="10"/>
  <c r="F60" i="11"/>
  <c r="H24" i="10"/>
  <c r="F13" i="10"/>
  <c r="I11" i="9"/>
  <c r="J9" i="9"/>
  <c r="O78" i="2" l="1"/>
  <c r="O79" i="2" s="1"/>
  <c r="O81" i="2" s="1"/>
  <c r="O18" i="8" s="1"/>
  <c r="N79" i="2"/>
  <c r="N81" i="2" s="1"/>
  <c r="N18" i="8" s="1"/>
  <c r="G72" i="2"/>
  <c r="G75" i="2" s="1"/>
  <c r="G17" i="8" s="1"/>
  <c r="J37" i="10"/>
  <c r="I37" i="10"/>
  <c r="I24" i="10"/>
  <c r="G13" i="10"/>
  <c r="G14" i="11"/>
  <c r="K9" i="9"/>
  <c r="J11" i="9"/>
  <c r="F28" i="11"/>
  <c r="F53" i="11" s="1"/>
  <c r="H18" i="2"/>
  <c r="H72" i="2" l="1"/>
  <c r="H75" i="2" s="1"/>
  <c r="H17" i="8" s="1"/>
  <c r="J24" i="10"/>
  <c r="K37" i="10"/>
  <c r="H13" i="10"/>
  <c r="H14" i="11"/>
  <c r="K11" i="9"/>
  <c r="L9" i="9"/>
  <c r="M9" i="9" s="1"/>
  <c r="G28" i="11"/>
  <c r="I18" i="2"/>
  <c r="I72" i="2" l="1"/>
  <c r="I75" i="2" s="1"/>
  <c r="I17" i="8" s="1"/>
  <c r="G102" i="2"/>
  <c r="G32" i="8" s="1"/>
  <c r="G13" i="17"/>
  <c r="N9" i="9"/>
  <c r="M11" i="9"/>
  <c r="K24" i="10"/>
  <c r="G90" i="2"/>
  <c r="G29" i="11" s="1"/>
  <c r="G93" i="2"/>
  <c r="G94" i="2" s="1"/>
  <c r="G53" i="11"/>
  <c r="L24" i="10"/>
  <c r="I13" i="10"/>
  <c r="I14" i="11"/>
  <c r="L11" i="9"/>
  <c r="H28" i="11"/>
  <c r="J18" i="2"/>
  <c r="J72" i="2" l="1"/>
  <c r="J75" i="2" s="1"/>
  <c r="J17" i="8" s="1"/>
  <c r="O9" i="9"/>
  <c r="O11" i="9" s="1"/>
  <c r="N11" i="9"/>
  <c r="G15" i="8"/>
  <c r="H102" i="2"/>
  <c r="H32" i="8" s="1"/>
  <c r="L37" i="10"/>
  <c r="F90" i="2"/>
  <c r="F94" i="2"/>
  <c r="F59" i="8"/>
  <c r="F62" i="11"/>
  <c r="F36" i="12" s="1"/>
  <c r="F26" i="13" s="1"/>
  <c r="H53" i="11"/>
  <c r="J13" i="10"/>
  <c r="J14" i="11"/>
  <c r="I28" i="11"/>
  <c r="I53" i="11" s="1"/>
  <c r="I102" i="2"/>
  <c r="I32" i="8" s="1"/>
  <c r="K18" i="2"/>
  <c r="K72" i="2" l="1"/>
  <c r="K75" i="2" s="1"/>
  <c r="K17" i="8" s="1"/>
  <c r="F29" i="11"/>
  <c r="F55" i="11" s="1"/>
  <c r="I13" i="8"/>
  <c r="H13" i="8"/>
  <c r="H93" i="2"/>
  <c r="H94" i="2" s="1"/>
  <c r="H90" i="2"/>
  <c r="H29" i="11" s="1"/>
  <c r="I93" i="2"/>
  <c r="I94" i="2" s="1"/>
  <c r="I90" i="2"/>
  <c r="I29" i="11" s="1"/>
  <c r="G59" i="8"/>
  <c r="G70" i="8" s="1"/>
  <c r="G60" i="11"/>
  <c r="G62" i="11" s="1"/>
  <c r="G36" i="12" s="1"/>
  <c r="G26" i="13" s="1"/>
  <c r="K13" i="10"/>
  <c r="K14" i="11"/>
  <c r="J28" i="11"/>
  <c r="J53" i="11" s="1"/>
  <c r="J102" i="2"/>
  <c r="J32" i="8" s="1"/>
  <c r="L18" i="2"/>
  <c r="L72" i="2" l="1"/>
  <c r="L75" i="2" s="1"/>
  <c r="L17" i="8" s="1"/>
  <c r="H13" i="17"/>
  <c r="H26" i="11"/>
  <c r="I13" i="17"/>
  <c r="I26" i="11"/>
  <c r="I44" i="11" s="1"/>
  <c r="I15" i="8"/>
  <c r="H15" i="8"/>
  <c r="J13" i="8"/>
  <c r="J90" i="2"/>
  <c r="J29" i="11" s="1"/>
  <c r="J93" i="2"/>
  <c r="J94" i="2" s="1"/>
  <c r="G30" i="17"/>
  <c r="H59" i="8"/>
  <c r="H70" i="8" s="1"/>
  <c r="L13" i="10"/>
  <c r="L14" i="11"/>
  <c r="K28" i="11"/>
  <c r="K53" i="11" s="1"/>
  <c r="K102" i="2"/>
  <c r="K32" i="8" s="1"/>
  <c r="H60" i="11" l="1"/>
  <c r="H62" i="11" s="1"/>
  <c r="H36" i="12" s="1"/>
  <c r="H26" i="13" s="1"/>
  <c r="H44" i="11"/>
  <c r="J13" i="17"/>
  <c r="J26" i="11"/>
  <c r="J44" i="11" s="1"/>
  <c r="H30" i="17"/>
  <c r="J15" i="8"/>
  <c r="K13" i="8"/>
  <c r="K90" i="2"/>
  <c r="K29" i="11" s="1"/>
  <c r="K93" i="2"/>
  <c r="K94" i="2" s="1"/>
  <c r="L28" i="11"/>
  <c r="L53" i="11" s="1"/>
  <c r="K13" i="17" l="1"/>
  <c r="K26" i="11"/>
  <c r="K44" i="11" s="1"/>
  <c r="K15" i="8"/>
  <c r="L102" i="2"/>
  <c r="L32" i="8" s="1"/>
  <c r="I59" i="8"/>
  <c r="I70" i="8" s="1"/>
  <c r="I60" i="11"/>
  <c r="I62" i="11" s="1"/>
  <c r="I36" i="12" s="1"/>
  <c r="I26" i="13" s="1"/>
  <c r="L13" i="8" l="1"/>
  <c r="L93" i="2"/>
  <c r="L94" i="2" s="1"/>
  <c r="L90" i="2"/>
  <c r="L29" i="11" s="1"/>
  <c r="I30" i="17"/>
  <c r="K59" i="8"/>
  <c r="K60" i="11"/>
  <c r="K62" i="11" s="1"/>
  <c r="K36" i="12" s="1"/>
  <c r="L13" i="17" l="1"/>
  <c r="L26" i="11"/>
  <c r="L15" i="8"/>
  <c r="L59" i="8"/>
  <c r="L60" i="11" l="1"/>
  <c r="L62" i="11" s="1"/>
  <c r="L36" i="12" s="1"/>
  <c r="L26" i="13" s="1"/>
  <c r="L44" i="11"/>
  <c r="L70" i="8"/>
  <c r="L30" i="17" s="1"/>
  <c r="M70" i="8"/>
  <c r="M30" i="17" s="1"/>
  <c r="J59" i="8"/>
  <c r="J60" i="11"/>
  <c r="J62" i="11" s="1"/>
  <c r="J36" i="12" s="1"/>
  <c r="M26" i="13" l="1"/>
  <c r="J26" i="13"/>
  <c r="K26" i="13"/>
  <c r="J70" i="8"/>
  <c r="K70" i="8"/>
  <c r="K30" i="17" s="1"/>
  <c r="F71" i="8" l="1"/>
  <c r="J30" i="17"/>
  <c r="F31" i="17" s="1"/>
  <c r="I19" i="13" l="1"/>
  <c r="F19" i="13"/>
  <c r="J19" i="13"/>
  <c r="H19" i="13"/>
  <c r="G51" i="8"/>
  <c r="F51" i="8"/>
  <c r="I51" i="8" l="1"/>
  <c r="H51" i="8"/>
  <c r="J51" i="8"/>
  <c r="H42" i="12"/>
  <c r="I42" i="12" s="1"/>
  <c r="J42" i="12" s="1"/>
  <c r="K42" i="12" s="1"/>
  <c r="L42" i="12" s="1"/>
  <c r="M42" i="12" s="1"/>
  <c r="N42" i="12" s="1"/>
  <c r="O42" i="12" s="1"/>
  <c r="G19" i="13"/>
  <c r="D16" i="13" l="1"/>
  <c r="D15" i="12" s="1"/>
  <c r="D17" i="9" l="1"/>
  <c r="D18" i="9" l="1"/>
  <c r="C32" i="9"/>
  <c r="E32" i="9" l="1"/>
  <c r="F32" i="9" l="1"/>
  <c r="G32" i="9" l="1"/>
  <c r="C33" i="9" s="1"/>
  <c r="E33" i="9" s="1"/>
  <c r="F33" i="9" l="1"/>
  <c r="G33" i="9" s="1"/>
  <c r="C34" i="9" s="1"/>
  <c r="E34" i="9" l="1"/>
  <c r="F34" i="9" l="1"/>
  <c r="G34" i="9" l="1"/>
  <c r="C35" i="9" s="1"/>
  <c r="E35" i="9" s="1"/>
  <c r="F35" i="9" l="1"/>
  <c r="F16" i="10" l="1"/>
  <c r="G35" i="9"/>
  <c r="C36" i="9" l="1"/>
  <c r="E36" i="9" s="1"/>
  <c r="D25" i="10"/>
  <c r="D38" i="10"/>
  <c r="E38" i="10" s="1"/>
  <c r="F38" i="10" s="1"/>
  <c r="F36" i="9" l="1"/>
  <c r="G36" i="9" s="1"/>
  <c r="C37" i="9" s="1"/>
  <c r="E37" i="9" s="1"/>
  <c r="G38" i="10"/>
  <c r="F40" i="10"/>
  <c r="E25" i="10"/>
  <c r="D26" i="12"/>
  <c r="F25" i="10" l="1"/>
  <c r="E26" i="12"/>
  <c r="H38" i="10"/>
  <c r="I38" i="10" s="1"/>
  <c r="J38" i="10" s="1"/>
  <c r="K38" i="10" s="1"/>
  <c r="L38" i="10" s="1"/>
  <c r="M38" i="10" s="1"/>
  <c r="G40" i="10"/>
  <c r="F37" i="9"/>
  <c r="G37" i="9" s="1"/>
  <c r="C38" i="9" s="1"/>
  <c r="E38" i="9" l="1"/>
  <c r="E16" i="9" s="1"/>
  <c r="E13" i="9"/>
  <c r="N38" i="10"/>
  <c r="M40" i="10"/>
  <c r="G25" i="10"/>
  <c r="F26" i="12"/>
  <c r="H40" i="10"/>
  <c r="F38" i="9"/>
  <c r="E15" i="9" l="1"/>
  <c r="F12" i="9" s="1"/>
  <c r="F15" i="9" s="1"/>
  <c r="G12" i="9" s="1"/>
  <c r="G15" i="9" s="1"/>
  <c r="E16" i="13"/>
  <c r="E17" i="9"/>
  <c r="D14" i="4" s="1"/>
  <c r="N40" i="10"/>
  <c r="O38" i="10"/>
  <c r="O40" i="10" s="1"/>
  <c r="H25" i="10"/>
  <c r="G26" i="12"/>
  <c r="I40" i="10"/>
  <c r="G38" i="9"/>
  <c r="C39" i="9" s="1"/>
  <c r="E15" i="12" l="1"/>
  <c r="F15" i="12" s="1"/>
  <c r="E18" i="9"/>
  <c r="E19" i="10"/>
  <c r="F19" i="10" s="1"/>
  <c r="E17" i="10"/>
  <c r="E18" i="10"/>
  <c r="F18" i="10" s="1"/>
  <c r="J40" i="10"/>
  <c r="I25" i="10"/>
  <c r="H26" i="12"/>
  <c r="E39" i="9"/>
  <c r="G84" i="2" l="1"/>
  <c r="G86" i="2" s="1"/>
  <c r="D29" i="10"/>
  <c r="E29" i="10" s="1"/>
  <c r="E28" i="12" s="1"/>
  <c r="F44" i="10"/>
  <c r="F45" i="10" s="1"/>
  <c r="F46" i="10" s="1"/>
  <c r="G44" i="10" s="1"/>
  <c r="E20" i="10"/>
  <c r="F17" i="10"/>
  <c r="F47" i="10"/>
  <c r="F48" i="10" s="1"/>
  <c r="F49" i="10" s="1"/>
  <c r="G47" i="10" s="1"/>
  <c r="G48" i="10" s="1"/>
  <c r="G49" i="10" s="1"/>
  <c r="H47" i="10" s="1"/>
  <c r="H48" i="10" s="1"/>
  <c r="H49" i="10" s="1"/>
  <c r="I47" i="10" s="1"/>
  <c r="I48" i="10" s="1"/>
  <c r="I49" i="10" s="1"/>
  <c r="J47" i="10" s="1"/>
  <c r="J48" i="10" s="1"/>
  <c r="J49" i="10" s="1"/>
  <c r="K47" i="10" s="1"/>
  <c r="K48" i="10" s="1"/>
  <c r="K49" i="10" s="1"/>
  <c r="L47" i="10" s="1"/>
  <c r="L48" i="10" s="1"/>
  <c r="L49" i="10" s="1"/>
  <c r="M47" i="10" s="1"/>
  <c r="E31" i="10"/>
  <c r="E29" i="12" s="1"/>
  <c r="D31" i="10"/>
  <c r="D29" i="12" s="1"/>
  <c r="F31" i="10"/>
  <c r="F39" i="9"/>
  <c r="G39" i="9" s="1"/>
  <c r="C40" i="9" s="1"/>
  <c r="E40" i="9" s="1"/>
  <c r="F16" i="9" s="1"/>
  <c r="K40" i="10"/>
  <c r="J25" i="10"/>
  <c r="I26" i="12"/>
  <c r="M48" i="10" l="1"/>
  <c r="M49" i="10" s="1"/>
  <c r="N47" i="10" s="1"/>
  <c r="N48" i="10" s="1"/>
  <c r="N49" i="10" s="1"/>
  <c r="O47" i="10" s="1"/>
  <c r="O48" i="10" s="1"/>
  <c r="O49" i="10" s="1"/>
  <c r="F32" i="10"/>
  <c r="G31" i="10"/>
  <c r="F29" i="12"/>
  <c r="G45" i="10"/>
  <c r="G46" i="10" s="1"/>
  <c r="H44" i="10" s="1"/>
  <c r="D41" i="10"/>
  <c r="E41" i="10" s="1"/>
  <c r="F41" i="10" s="1"/>
  <c r="D27" i="10"/>
  <c r="F20" i="10"/>
  <c r="F29" i="10"/>
  <c r="F52" i="2"/>
  <c r="G19" i="8"/>
  <c r="H84" i="2"/>
  <c r="F18" i="9"/>
  <c r="F37" i="8" s="1"/>
  <c r="F14" i="15" s="1"/>
  <c r="L40" i="10"/>
  <c r="K25" i="10"/>
  <c r="J26" i="12"/>
  <c r="F42" i="8" l="1"/>
  <c r="F53" i="2"/>
  <c r="G29" i="10"/>
  <c r="F28" i="12"/>
  <c r="F30" i="10"/>
  <c r="H31" i="10"/>
  <c r="G29" i="12"/>
  <c r="G32" i="10"/>
  <c r="H45" i="10"/>
  <c r="H46" i="10" s="1"/>
  <c r="I44" i="10" s="1"/>
  <c r="I84" i="2"/>
  <c r="H86" i="2"/>
  <c r="H19" i="8" s="1"/>
  <c r="F42" i="10"/>
  <c r="F51" i="10" s="1"/>
  <c r="F19" i="23" s="1"/>
  <c r="E27" i="10"/>
  <c r="D27" i="12"/>
  <c r="L25" i="10"/>
  <c r="M25" i="10" s="1"/>
  <c r="K26" i="12"/>
  <c r="F40" i="9"/>
  <c r="G40" i="9" s="1"/>
  <c r="C42" i="9" s="1"/>
  <c r="G55" i="11"/>
  <c r="F43" i="10" l="1"/>
  <c r="F50" i="10" s="1"/>
  <c r="I45" i="10"/>
  <c r="I46" i="10" s="1"/>
  <c r="I31" i="10"/>
  <c r="H29" i="12"/>
  <c r="H32" i="10"/>
  <c r="F27" i="10"/>
  <c r="E27" i="12"/>
  <c r="E30" i="12" s="1"/>
  <c r="J84" i="2"/>
  <c r="I86" i="2"/>
  <c r="I19" i="8" s="1"/>
  <c r="G30" i="10"/>
  <c r="H29" i="10"/>
  <c r="G28" i="12"/>
  <c r="F68" i="2"/>
  <c r="F16" i="8" s="1"/>
  <c r="F27" i="11" s="1"/>
  <c r="F39" i="11" s="1"/>
  <c r="F17" i="23"/>
  <c r="N25" i="10"/>
  <c r="M26" i="12"/>
  <c r="E42" i="9"/>
  <c r="L26" i="12"/>
  <c r="H12" i="9"/>
  <c r="H15" i="9" s="1"/>
  <c r="H55" i="11"/>
  <c r="F53" i="8"/>
  <c r="G41" i="10" l="1"/>
  <c r="K84" i="2"/>
  <c r="J86" i="2"/>
  <c r="J19" i="8" s="1"/>
  <c r="J44" i="10"/>
  <c r="J45" i="10" s="1"/>
  <c r="I29" i="10"/>
  <c r="H30" i="10"/>
  <c r="H28" i="12"/>
  <c r="F28" i="10"/>
  <c r="F33" i="10" s="1"/>
  <c r="F27" i="12"/>
  <c r="F30" i="12" s="1"/>
  <c r="G27" i="10"/>
  <c r="J31" i="10"/>
  <c r="I32" i="10"/>
  <c r="I29" i="12"/>
  <c r="G42" i="10"/>
  <c r="G51" i="10" s="1"/>
  <c r="G19" i="23" s="1"/>
  <c r="F41" i="11"/>
  <c r="F26" i="8" s="1"/>
  <c r="F34" i="11"/>
  <c r="F36" i="11" s="1"/>
  <c r="F14" i="17"/>
  <c r="F15" i="17" s="1"/>
  <c r="F18" i="17" s="1"/>
  <c r="O25" i="10"/>
  <c r="O26" i="12" s="1"/>
  <c r="N26" i="12"/>
  <c r="F42" i="9"/>
  <c r="I55" i="11"/>
  <c r="F17" i="15"/>
  <c r="J46" i="10" l="1"/>
  <c r="H27" i="10"/>
  <c r="G27" i="12"/>
  <c r="G30" i="12" s="1"/>
  <c r="G28" i="10"/>
  <c r="G33" i="10" s="1"/>
  <c r="F18" i="23"/>
  <c r="F21" i="8"/>
  <c r="J29" i="10"/>
  <c r="I28" i="12"/>
  <c r="I30" i="10"/>
  <c r="G43" i="10"/>
  <c r="K31" i="10"/>
  <c r="J29" i="12"/>
  <c r="J32" i="10"/>
  <c r="L84" i="2"/>
  <c r="K86" i="2"/>
  <c r="K19" i="8" s="1"/>
  <c r="F51" i="11"/>
  <c r="F57" i="11" s="1"/>
  <c r="G42" i="9"/>
  <c r="C43" i="9" s="1"/>
  <c r="E43" i="9" s="1"/>
  <c r="K44" i="10"/>
  <c r="K45" i="10" s="1"/>
  <c r="J55" i="11"/>
  <c r="F18" i="13" l="1"/>
  <c r="F31" i="12"/>
  <c r="F15" i="16"/>
  <c r="F50" i="8"/>
  <c r="H27" i="12"/>
  <c r="H30" i="12" s="1"/>
  <c r="I27" i="10"/>
  <c r="H28" i="10"/>
  <c r="H33" i="10" s="1"/>
  <c r="M84" i="2"/>
  <c r="L86" i="2"/>
  <c r="L19" i="8" s="1"/>
  <c r="H41" i="10"/>
  <c r="G50" i="10"/>
  <c r="K29" i="10"/>
  <c r="J28" i="12"/>
  <c r="J30" i="10"/>
  <c r="L31" i="10"/>
  <c r="K29" i="12"/>
  <c r="K32" i="10"/>
  <c r="G21" i="8"/>
  <c r="G18" i="23"/>
  <c r="F43" i="9"/>
  <c r="G43" i="9" s="1"/>
  <c r="C44" i="9" s="1"/>
  <c r="E44" i="9" s="1"/>
  <c r="F67" i="11"/>
  <c r="F18" i="12"/>
  <c r="K46" i="10"/>
  <c r="K55" i="11"/>
  <c r="G18" i="13" l="1"/>
  <c r="G50" i="8"/>
  <c r="G15" i="16"/>
  <c r="H42" i="10"/>
  <c r="H51" i="10" s="1"/>
  <c r="H19" i="23" s="1"/>
  <c r="H18" i="23"/>
  <c r="H21" i="8"/>
  <c r="M31" i="10"/>
  <c r="L32" i="10"/>
  <c r="L29" i="12"/>
  <c r="I27" i="12"/>
  <c r="I30" i="12" s="1"/>
  <c r="I24" i="13" s="1"/>
  <c r="I18" i="16" s="1"/>
  <c r="J27" i="10"/>
  <c r="I28" i="10"/>
  <c r="I33" i="10" s="1"/>
  <c r="G31" i="12"/>
  <c r="F32" i="12"/>
  <c r="L29" i="10"/>
  <c r="K28" i="12"/>
  <c r="K30" i="10"/>
  <c r="N84" i="2"/>
  <c r="M86" i="2"/>
  <c r="M19" i="8" s="1"/>
  <c r="M14" i="17" s="1"/>
  <c r="M15" i="17" s="1"/>
  <c r="M18" i="17" s="1"/>
  <c r="H24" i="13"/>
  <c r="H18" i="16" s="1"/>
  <c r="F20" i="13"/>
  <c r="F42" i="17"/>
  <c r="G24" i="8"/>
  <c r="L44" i="10"/>
  <c r="L45" i="10" s="1"/>
  <c r="L46" i="10" s="1"/>
  <c r="L55" i="11"/>
  <c r="F44" i="9"/>
  <c r="F36" i="13"/>
  <c r="G36" i="13" s="1"/>
  <c r="H36" i="13" s="1"/>
  <c r="I36" i="13" s="1"/>
  <c r="J36" i="13" s="1"/>
  <c r="K36" i="13" s="1"/>
  <c r="L36" i="13" s="1"/>
  <c r="M36" i="13" s="1"/>
  <c r="N36" i="13" s="1"/>
  <c r="O36" i="13" s="1"/>
  <c r="O84" i="2" l="1"/>
  <c r="O86" i="2" s="1"/>
  <c r="O19" i="8" s="1"/>
  <c r="O14" i="17" s="1"/>
  <c r="O15" i="17" s="1"/>
  <c r="O18" i="17" s="1"/>
  <c r="N86" i="2"/>
  <c r="N19" i="8" s="1"/>
  <c r="N14" i="17" s="1"/>
  <c r="N15" i="17" s="1"/>
  <c r="N18" i="17" s="1"/>
  <c r="J28" i="10"/>
  <c r="J33" i="10" s="1"/>
  <c r="K27" i="10"/>
  <c r="J27" i="12"/>
  <c r="J30" i="12" s="1"/>
  <c r="M32" i="10"/>
  <c r="M29" i="12"/>
  <c r="N31" i="10"/>
  <c r="F97" i="2"/>
  <c r="F98" i="2" s="1"/>
  <c r="F20" i="8" s="1"/>
  <c r="F34" i="12"/>
  <c r="H50" i="8"/>
  <c r="H15" i="16"/>
  <c r="H18" i="13"/>
  <c r="H31" i="12"/>
  <c r="G32" i="12"/>
  <c r="M29" i="10"/>
  <c r="L30" i="10"/>
  <c r="L28" i="12"/>
  <c r="I21" i="8"/>
  <c r="I18" i="23"/>
  <c r="H43" i="10"/>
  <c r="M44" i="10"/>
  <c r="M45" i="10" s="1"/>
  <c r="G44" i="9"/>
  <c r="C45" i="9" s="1"/>
  <c r="E45" i="9" s="1"/>
  <c r="N29" i="10" l="1"/>
  <c r="M30" i="10"/>
  <c r="M28" i="12"/>
  <c r="N29" i="12"/>
  <c r="N32" i="10"/>
  <c r="O31" i="10"/>
  <c r="L27" i="10"/>
  <c r="K28" i="10"/>
  <c r="K33" i="10" s="1"/>
  <c r="K27" i="12"/>
  <c r="K30" i="12" s="1"/>
  <c r="I18" i="13"/>
  <c r="I50" i="8"/>
  <c r="I15" i="16"/>
  <c r="G97" i="2"/>
  <c r="G98" i="2" s="1"/>
  <c r="G20" i="8" s="1"/>
  <c r="G16" i="17" s="1"/>
  <c r="G34" i="12"/>
  <c r="J21" i="8"/>
  <c r="J18" i="23"/>
  <c r="I31" i="12"/>
  <c r="H32" i="12"/>
  <c r="I41" i="10"/>
  <c r="I42" i="10" s="1"/>
  <c r="H50" i="10"/>
  <c r="F16" i="17"/>
  <c r="F22" i="8"/>
  <c r="J24" i="13"/>
  <c r="J18" i="16" s="1"/>
  <c r="M46" i="10"/>
  <c r="F45" i="9"/>
  <c r="G45" i="9" s="1"/>
  <c r="C46" i="9" s="1"/>
  <c r="F25" i="8" l="1"/>
  <c r="F27" i="8" s="1"/>
  <c r="F29" i="8" s="1"/>
  <c r="J18" i="13"/>
  <c r="J15" i="16"/>
  <c r="J50" i="8"/>
  <c r="M27" i="10"/>
  <c r="L27" i="12"/>
  <c r="L30" i="12" s="1"/>
  <c r="L24" i="13" s="1"/>
  <c r="L18" i="16" s="1"/>
  <c r="L28" i="10"/>
  <c r="L33" i="10" s="1"/>
  <c r="K21" i="8"/>
  <c r="K18" i="23"/>
  <c r="I43" i="10"/>
  <c r="I51" i="10"/>
  <c r="I19" i="23" s="1"/>
  <c r="H34" i="12"/>
  <c r="H97" i="2"/>
  <c r="H98" i="2" s="1"/>
  <c r="H20" i="8" s="1"/>
  <c r="H16" i="17" s="1"/>
  <c r="O32" i="10"/>
  <c r="O29" i="12"/>
  <c r="F17" i="17"/>
  <c r="F19" i="17"/>
  <c r="F20" i="17" s="1"/>
  <c r="I32" i="12"/>
  <c r="J31" i="12"/>
  <c r="K24" i="13"/>
  <c r="K18" i="16" s="1"/>
  <c r="N30" i="10"/>
  <c r="N28" i="12"/>
  <c r="O29" i="10"/>
  <c r="N44" i="10"/>
  <c r="N45" i="10" s="1"/>
  <c r="E46" i="9"/>
  <c r="M28" i="10" l="1"/>
  <c r="M33" i="10" s="1"/>
  <c r="N27" i="10"/>
  <c r="M27" i="12"/>
  <c r="M30" i="12" s="1"/>
  <c r="O30" i="10"/>
  <c r="O28" i="12"/>
  <c r="K18" i="13"/>
  <c r="K50" i="8"/>
  <c r="K15" i="16"/>
  <c r="K31" i="12"/>
  <c r="J32" i="12"/>
  <c r="L18" i="23"/>
  <c r="L21" i="8"/>
  <c r="I97" i="2"/>
  <c r="I98" i="2" s="1"/>
  <c r="I20" i="8" s="1"/>
  <c r="I16" i="17" s="1"/>
  <c r="I34" i="12"/>
  <c r="J41" i="10"/>
  <c r="J42" i="10" s="1"/>
  <c r="I50" i="10"/>
  <c r="N46" i="10"/>
  <c r="F46" i="9"/>
  <c r="G46" i="9" s="1"/>
  <c r="C47" i="9" s="1"/>
  <c r="J34" i="12" l="1"/>
  <c r="J97" i="2"/>
  <c r="J98" i="2" s="1"/>
  <c r="J20" i="8" s="1"/>
  <c r="J16" i="17" s="1"/>
  <c r="N27" i="12"/>
  <c r="N30" i="12" s="1"/>
  <c r="N28" i="10"/>
  <c r="N33" i="10" s="1"/>
  <c r="O27" i="10"/>
  <c r="L31" i="12"/>
  <c r="K32" i="12"/>
  <c r="M21" i="8"/>
  <c r="M18" i="23"/>
  <c r="L18" i="13"/>
  <c r="L50" i="8"/>
  <c r="L15" i="16"/>
  <c r="J43" i="10"/>
  <c r="J51" i="10"/>
  <c r="J19" i="23" s="1"/>
  <c r="M24" i="13"/>
  <c r="M18" i="16" s="1"/>
  <c r="O44" i="10"/>
  <c r="E47" i="9"/>
  <c r="F47" i="9" s="1"/>
  <c r="L32" i="12" l="1"/>
  <c r="M31" i="12"/>
  <c r="K41" i="10"/>
  <c r="K42" i="10" s="1"/>
  <c r="J50" i="10"/>
  <c r="M18" i="13"/>
  <c r="M50" i="8"/>
  <c r="M15" i="16"/>
  <c r="N21" i="8"/>
  <c r="N18" i="23"/>
  <c r="K34" i="12"/>
  <c r="K97" i="2"/>
  <c r="K98" i="2" s="1"/>
  <c r="K20" i="8" s="1"/>
  <c r="K16" i="17" s="1"/>
  <c r="N24" i="13"/>
  <c r="N18" i="16" s="1"/>
  <c r="O28" i="10"/>
  <c r="O33" i="10" s="1"/>
  <c r="O27" i="12"/>
  <c r="O30" i="12" s="1"/>
  <c r="O45" i="10"/>
  <c r="G47" i="9"/>
  <c r="C48" i="9" s="1"/>
  <c r="N15" i="16" l="1"/>
  <c r="N50" i="8"/>
  <c r="N18" i="13"/>
  <c r="O24" i="13"/>
  <c r="O18" i="16" s="1"/>
  <c r="K43" i="10"/>
  <c r="K51" i="10"/>
  <c r="K19" i="23" s="1"/>
  <c r="O21" i="8"/>
  <c r="O18" i="23"/>
  <c r="N31" i="12"/>
  <c r="M32" i="12"/>
  <c r="L34" i="12"/>
  <c r="L97" i="2"/>
  <c r="L98" i="2" s="1"/>
  <c r="L20" i="8" s="1"/>
  <c r="L16" i="17" s="1"/>
  <c r="O46" i="10"/>
  <c r="E48" i="9"/>
  <c r="F48" i="9" s="1"/>
  <c r="O50" i="8" l="1"/>
  <c r="O18" i="13"/>
  <c r="O15" i="16"/>
  <c r="M97" i="2"/>
  <c r="M98" i="2" s="1"/>
  <c r="M20" i="8" s="1"/>
  <c r="M34" i="12"/>
  <c r="O31" i="12"/>
  <c r="O32" i="12" s="1"/>
  <c r="N32" i="12"/>
  <c r="L41" i="10"/>
  <c r="K50" i="10"/>
  <c r="G48" i="9"/>
  <c r="C49" i="9" s="1"/>
  <c r="L42" i="10" l="1"/>
  <c r="L51" i="10" s="1"/>
  <c r="L19" i="23" s="1"/>
  <c r="N97" i="2"/>
  <c r="N98" i="2" s="1"/>
  <c r="N20" i="8" s="1"/>
  <c r="N34" i="12"/>
  <c r="M22" i="8"/>
  <c r="M16" i="17"/>
  <c r="O97" i="2"/>
  <c r="O98" i="2" s="1"/>
  <c r="O20" i="8" s="1"/>
  <c r="O34" i="12"/>
  <c r="E49" i="9"/>
  <c r="F49" i="9" s="1"/>
  <c r="L43" i="10" l="1"/>
  <c r="M41" i="10" s="1"/>
  <c r="O22" i="8"/>
  <c r="O25" i="8" s="1"/>
  <c r="O27" i="8" s="1"/>
  <c r="O16" i="17"/>
  <c r="N22" i="8"/>
  <c r="N25" i="8" s="1"/>
  <c r="N27" i="8" s="1"/>
  <c r="N16" i="17"/>
  <c r="M19" i="17"/>
  <c r="M20" i="17" s="1"/>
  <c r="M17" i="17"/>
  <c r="L50" i="10"/>
  <c r="G49" i="9"/>
  <c r="C50" i="9" s="1"/>
  <c r="M42" i="10" l="1"/>
  <c r="M51" i="10" s="1"/>
  <c r="M19" i="23" s="1"/>
  <c r="O19" i="17"/>
  <c r="O20" i="17" s="1"/>
  <c r="O17" i="17"/>
  <c r="N19" i="17"/>
  <c r="N20" i="17" s="1"/>
  <c r="N17" i="17"/>
  <c r="E50" i="9"/>
  <c r="F50" i="9" s="1"/>
  <c r="M43" i="10" l="1"/>
  <c r="G50" i="9"/>
  <c r="C51" i="9" s="1"/>
  <c r="N41" i="10" l="1"/>
  <c r="M50" i="10"/>
  <c r="E51" i="9"/>
  <c r="F51" i="9" s="1"/>
  <c r="N42" i="10" l="1"/>
  <c r="N51" i="10" s="1"/>
  <c r="N19" i="23" s="1"/>
  <c r="N43" i="10"/>
  <c r="G51" i="9"/>
  <c r="C52" i="9" s="1"/>
  <c r="O41" i="10" l="1"/>
  <c r="N50" i="10"/>
  <c r="E52" i="9"/>
  <c r="F52" i="9" s="1"/>
  <c r="O42" i="10" l="1"/>
  <c r="O51" i="10" s="1"/>
  <c r="O19" i="23" s="1"/>
  <c r="O43" i="10"/>
  <c r="O50" i="10" s="1"/>
  <c r="G52" i="9"/>
  <c r="C53" i="9" s="1"/>
  <c r="E53" i="9" l="1"/>
  <c r="G16" i="9" s="1"/>
  <c r="G52" i="2" s="1"/>
  <c r="G42" i="8" s="1"/>
  <c r="G53" i="2" l="1"/>
  <c r="G18" i="9"/>
  <c r="F53" i="9"/>
  <c r="G37" i="8" l="1"/>
  <c r="G17" i="15" s="1"/>
  <c r="G68" i="2"/>
  <c r="G16" i="8" s="1"/>
  <c r="G17" i="23"/>
  <c r="G53" i="9"/>
  <c r="C55" i="9" s="1"/>
  <c r="E55" i="9" s="1"/>
  <c r="I12" i="9"/>
  <c r="I15" i="9" s="1"/>
  <c r="G27" i="11" l="1"/>
  <c r="G34" i="11" s="1"/>
  <c r="G36" i="11" s="1"/>
  <c r="G22" i="8"/>
  <c r="G25" i="8" s="1"/>
  <c r="G14" i="17"/>
  <c r="G15" i="17" s="1"/>
  <c r="G18" i="17" s="1"/>
  <c r="G14" i="15"/>
  <c r="G53" i="8"/>
  <c r="F55" i="9"/>
  <c r="G19" i="17" l="1"/>
  <c r="G20" i="17" s="1"/>
  <c r="G17" i="17"/>
  <c r="G41" i="11"/>
  <c r="G39" i="11"/>
  <c r="G51" i="11"/>
  <c r="G57" i="11" s="1"/>
  <c r="G55" i="9"/>
  <c r="C56" i="9" s="1"/>
  <c r="E56" i="9" s="1"/>
  <c r="G26" i="8" l="1"/>
  <c r="G27" i="8" s="1"/>
  <c r="G67" i="11"/>
  <c r="G18" i="12"/>
  <c r="G20" i="13" s="1"/>
  <c r="F56" i="9"/>
  <c r="H24" i="8" l="1"/>
  <c r="G56" i="9"/>
  <c r="C57" i="9" s="1"/>
  <c r="E57" i="9" l="1"/>
  <c r="F57" i="9" l="1"/>
  <c r="G57" i="9" l="1"/>
  <c r="C58" i="9" s="1"/>
  <c r="E58" i="9" l="1"/>
  <c r="F58" i="9" l="1"/>
  <c r="G58" i="9" l="1"/>
  <c r="C59" i="9" s="1"/>
  <c r="E59" i="9" l="1"/>
  <c r="F59" i="9" s="1"/>
  <c r="G59" i="9" l="1"/>
  <c r="C60" i="9" s="1"/>
  <c r="E60" i="9" s="1"/>
  <c r="F60" i="9" s="1"/>
  <c r="G60" i="9" l="1"/>
  <c r="C61" i="9" s="1"/>
  <c r="E61" i="9" s="1"/>
  <c r="F61" i="9" s="1"/>
  <c r="G61" i="9" s="1"/>
  <c r="C62" i="9" s="1"/>
  <c r="E62" i="9" s="1"/>
  <c r="F62" i="9" s="1"/>
  <c r="G62" i="9" s="1"/>
  <c r="C63" i="9" s="1"/>
  <c r="E63" i="9" s="1"/>
  <c r="F63" i="9" s="1"/>
  <c r="G63" i="9" s="1"/>
  <c r="C64" i="9" s="1"/>
  <c r="E64" i="9" l="1"/>
  <c r="F64" i="9" l="1"/>
  <c r="G64" i="9" s="1"/>
  <c r="C65" i="9" s="1"/>
  <c r="E65" i="9" l="1"/>
  <c r="F65" i="9" l="1"/>
  <c r="G65" i="9" s="1"/>
  <c r="C66" i="9" s="1"/>
  <c r="E66" i="9" l="1"/>
  <c r="H16" i="9" s="1"/>
  <c r="H52" i="2" s="1"/>
  <c r="H42" i="8" s="1"/>
  <c r="H17" i="23" l="1"/>
  <c r="H18" i="9"/>
  <c r="F66" i="9"/>
  <c r="H37" i="8" l="1"/>
  <c r="H14" i="15" s="1"/>
  <c r="H53" i="2"/>
  <c r="G66" i="9"/>
  <c r="C68" i="9" s="1"/>
  <c r="E68" i="9" s="1"/>
  <c r="J12" i="9"/>
  <c r="J15" i="9" s="1"/>
  <c r="F68" i="9" l="1"/>
  <c r="H17" i="15"/>
  <c r="H68" i="2"/>
  <c r="H16" i="8" s="1"/>
  <c r="H53" i="8"/>
  <c r="G68" i="9"/>
  <c r="C69" i="9" s="1"/>
  <c r="E69" i="9" s="1"/>
  <c r="F69" i="9" s="1"/>
  <c r="G69" i="9" s="1"/>
  <c r="C70" i="9" s="1"/>
  <c r="H27" i="11" l="1"/>
  <c r="H34" i="11" s="1"/>
  <c r="H36" i="11" s="1"/>
  <c r="H22" i="8"/>
  <c r="H25" i="8" s="1"/>
  <c r="H14" i="17"/>
  <c r="H15" i="17" s="1"/>
  <c r="H17" i="17" s="1"/>
  <c r="G15" i="12"/>
  <c r="E70" i="9"/>
  <c r="F70" i="9" s="1"/>
  <c r="H18" i="17" l="1"/>
  <c r="H19" i="17"/>
  <c r="H20" i="17" s="1"/>
  <c r="H51" i="11"/>
  <c r="H57" i="11" s="1"/>
  <c r="H39" i="11"/>
  <c r="H41" i="11"/>
  <c r="G42" i="17"/>
  <c r="G70" i="9"/>
  <c r="C71" i="9" s="1"/>
  <c r="H18" i="12" l="1"/>
  <c r="H20" i="13" s="1"/>
  <c r="H67" i="11"/>
  <c r="H26" i="8"/>
  <c r="H27" i="8" s="1"/>
  <c r="E71" i="9"/>
  <c r="F71" i="9" l="1"/>
  <c r="G71" i="9" s="1"/>
  <c r="C72" i="9" s="1"/>
  <c r="I24" i="8"/>
  <c r="E72" i="9" l="1"/>
  <c r="F72" i="9" l="1"/>
  <c r="G72" i="9" s="1"/>
  <c r="C73" i="9" s="1"/>
  <c r="E73" i="9" l="1"/>
  <c r="F73" i="9" l="1"/>
  <c r="G73" i="9" s="1"/>
  <c r="C74" i="9" s="1"/>
  <c r="E74" i="9" l="1"/>
  <c r="F74" i="9" l="1"/>
  <c r="G74" i="9" s="1"/>
  <c r="C75" i="9" s="1"/>
  <c r="E75" i="9" l="1"/>
  <c r="F75" i="9" l="1"/>
  <c r="G75" i="9" s="1"/>
  <c r="C76" i="9" s="1"/>
  <c r="E76" i="9" l="1"/>
  <c r="F76" i="9" l="1"/>
  <c r="G76" i="9" s="1"/>
  <c r="C77" i="9" s="1"/>
  <c r="E77" i="9" l="1"/>
  <c r="F77" i="9" l="1"/>
  <c r="G77" i="9" s="1"/>
  <c r="C78" i="9" s="1"/>
  <c r="E78" i="9" l="1"/>
  <c r="F78" i="9" l="1"/>
  <c r="G78" i="9" s="1"/>
  <c r="C79" i="9" s="1"/>
  <c r="E79" i="9" l="1"/>
  <c r="I16" i="9" s="1"/>
  <c r="I52" i="2" s="1"/>
  <c r="I42" i="8" s="1"/>
  <c r="I53" i="2" l="1"/>
  <c r="I18" i="9"/>
  <c r="F79" i="9"/>
  <c r="I37" i="8" l="1"/>
  <c r="I14" i="15" s="1"/>
  <c r="I68" i="2"/>
  <c r="I16" i="8" s="1"/>
  <c r="I17" i="23"/>
  <c r="G79" i="9"/>
  <c r="C81" i="9" s="1"/>
  <c r="E81" i="9" s="1"/>
  <c r="K12" i="9"/>
  <c r="K15" i="9" s="1"/>
  <c r="I53" i="8"/>
  <c r="I17" i="15" l="1"/>
  <c r="I27" i="11"/>
  <c r="I34" i="11" s="1"/>
  <c r="I36" i="11" s="1"/>
  <c r="I22" i="8"/>
  <c r="I25" i="8" s="1"/>
  <c r="I14" i="17"/>
  <c r="I15" i="17" s="1"/>
  <c r="I17" i="17" s="1"/>
  <c r="H15" i="12"/>
  <c r="F81" i="9"/>
  <c r="G81" i="9" s="1"/>
  <c r="C82" i="9" s="1"/>
  <c r="I19" i="17" l="1"/>
  <c r="I20" i="17" s="1"/>
  <c r="I18" i="17"/>
  <c r="I39" i="11"/>
  <c r="I51" i="11"/>
  <c r="I57" i="11" s="1"/>
  <c r="I41" i="11"/>
  <c r="H42" i="17"/>
  <c r="E82" i="9"/>
  <c r="I26" i="8" l="1"/>
  <c r="I27" i="8" s="1"/>
  <c r="I18" i="12"/>
  <c r="I20" i="13" s="1"/>
  <c r="I67" i="11"/>
  <c r="F82" i="9"/>
  <c r="J24" i="8" l="1"/>
  <c r="G82" i="9"/>
  <c r="C83" i="9" s="1"/>
  <c r="E83" i="9" s="1"/>
  <c r="F83" i="9" l="1"/>
  <c r="G83" i="9" l="1"/>
  <c r="C84" i="9" s="1"/>
  <c r="E84" i="9" s="1"/>
  <c r="F84" i="9" s="1"/>
  <c r="G84" i="9" s="1"/>
  <c r="C85" i="9" s="1"/>
  <c r="E85" i="9" l="1"/>
  <c r="F85" i="9" l="1"/>
  <c r="G85" i="9" s="1"/>
  <c r="C86" i="9" s="1"/>
  <c r="E86" i="9" l="1"/>
  <c r="F86" i="9" l="1"/>
  <c r="G86" i="9" s="1"/>
  <c r="C87" i="9" s="1"/>
  <c r="E87" i="9" l="1"/>
  <c r="F87" i="9" l="1"/>
  <c r="G87" i="9" s="1"/>
  <c r="C88" i="9" s="1"/>
  <c r="E88" i="9" l="1"/>
  <c r="F88" i="9" l="1"/>
  <c r="G88" i="9" s="1"/>
  <c r="C89" i="9" s="1"/>
  <c r="E89" i="9" l="1"/>
  <c r="F89" i="9" l="1"/>
  <c r="G89" i="9" s="1"/>
  <c r="C90" i="9" s="1"/>
  <c r="E90" i="9" l="1"/>
  <c r="F90" i="9" l="1"/>
  <c r="G90" i="9" s="1"/>
  <c r="C91" i="9" s="1"/>
  <c r="E91" i="9" l="1"/>
  <c r="F91" i="9" l="1"/>
  <c r="G91" i="9" s="1"/>
  <c r="C92" i="9" s="1"/>
  <c r="E92" i="9" l="1"/>
  <c r="J16" i="9" s="1"/>
  <c r="J52" i="2" s="1"/>
  <c r="J42" i="8" s="1"/>
  <c r="F92" i="9" l="1"/>
  <c r="J17" i="23" l="1"/>
  <c r="J18" i="9"/>
  <c r="G92" i="9"/>
  <c r="C94" i="9" s="1"/>
  <c r="I15" i="12"/>
  <c r="J53" i="8"/>
  <c r="J37" i="8" l="1"/>
  <c r="J14" i="15" s="1"/>
  <c r="L12" i="9"/>
  <c r="L15" i="9" s="1"/>
  <c r="J53" i="2"/>
  <c r="I42" i="17"/>
  <c r="E94" i="9"/>
  <c r="F94" i="9" l="1"/>
  <c r="G94" i="9" s="1"/>
  <c r="C95" i="9" s="1"/>
  <c r="E95" i="9" s="1"/>
  <c r="J68" i="2"/>
  <c r="J16" i="8" s="1"/>
  <c r="J17" i="15"/>
  <c r="M12" i="9"/>
  <c r="J27" i="11" l="1"/>
  <c r="J34" i="11" s="1"/>
  <c r="J36" i="11" s="1"/>
  <c r="J22" i="8"/>
  <c r="J25" i="8" s="1"/>
  <c r="J14" i="17"/>
  <c r="J15" i="17" s="1"/>
  <c r="J17" i="17" s="1"/>
  <c r="M15" i="9"/>
  <c r="N12" i="9" s="1"/>
  <c r="N15" i="9" s="1"/>
  <c r="F95" i="9"/>
  <c r="J18" i="17" l="1"/>
  <c r="J19" i="17"/>
  <c r="J20" i="17" s="1"/>
  <c r="J51" i="11"/>
  <c r="J57" i="11" s="1"/>
  <c r="J41" i="11"/>
  <c r="J39" i="11"/>
  <c r="G95" i="9"/>
  <c r="C96" i="9" s="1"/>
  <c r="E96" i="9" s="1"/>
  <c r="J18" i="12" l="1"/>
  <c r="J20" i="13" s="1"/>
  <c r="J67" i="11"/>
  <c r="J26" i="8"/>
  <c r="J27" i="8" s="1"/>
  <c r="F96" i="9"/>
  <c r="K24" i="8" l="1"/>
  <c r="G96" i="9"/>
  <c r="C97" i="9" s="1"/>
  <c r="E97" i="9" l="1"/>
  <c r="F97" i="9" l="1"/>
  <c r="G97" i="9" l="1"/>
  <c r="C98" i="9" s="1"/>
  <c r="E98" i="9" l="1"/>
  <c r="F98" i="9" l="1"/>
  <c r="G98" i="9" l="1"/>
  <c r="C99" i="9" s="1"/>
  <c r="E99" i="9" l="1"/>
  <c r="F99" i="9" s="1"/>
  <c r="G99" i="9" l="1"/>
  <c r="C100" i="9" s="1"/>
  <c r="E100" i="9" s="1"/>
  <c r="F100" i="9" s="1"/>
  <c r="G100" i="9" s="1"/>
  <c r="C101" i="9" s="1"/>
  <c r="E101" i="9" s="1"/>
  <c r="F101" i="9" s="1"/>
  <c r="G101" i="9" s="1"/>
  <c r="C102" i="9" s="1"/>
  <c r="E102" i="9" s="1"/>
  <c r="F102" i="9" s="1"/>
  <c r="G102" i="9" s="1"/>
  <c r="C103" i="9" s="1"/>
  <c r="E103" i="9" s="1"/>
  <c r="F103" i="9" l="1"/>
  <c r="G103" i="9" s="1"/>
  <c r="C104" i="9" s="1"/>
  <c r="E104" i="9" l="1"/>
  <c r="F104" i="9" l="1"/>
  <c r="G104" i="9" s="1"/>
  <c r="C105" i="9" s="1"/>
  <c r="E105" i="9" l="1"/>
  <c r="K16" i="9" s="1"/>
  <c r="K52" i="2" s="1"/>
  <c r="K42" i="8" s="1"/>
  <c r="K53" i="2" l="1"/>
  <c r="K18" i="9"/>
  <c r="F105" i="9"/>
  <c r="K37" i="8" l="1"/>
  <c r="K14" i="15" s="1"/>
  <c r="K68" i="2"/>
  <c r="K16" i="8" s="1"/>
  <c r="K17" i="23"/>
  <c r="G105" i="9"/>
  <c r="C107" i="9" s="1"/>
  <c r="E107" i="9" s="1"/>
  <c r="K17" i="15" l="1"/>
  <c r="K27" i="11"/>
  <c r="K34" i="11" s="1"/>
  <c r="K36" i="11" s="1"/>
  <c r="K22" i="8"/>
  <c r="K25" i="8" s="1"/>
  <c r="K14" i="17"/>
  <c r="K15" i="17" s="1"/>
  <c r="K18" i="17" s="1"/>
  <c r="J15" i="12"/>
  <c r="K53" i="8"/>
  <c r="F107" i="9"/>
  <c r="K19" i="17" l="1"/>
  <c r="K20" i="17" s="1"/>
  <c r="K17" i="17"/>
  <c r="K51" i="11"/>
  <c r="K57" i="11" s="1"/>
  <c r="K39" i="11"/>
  <c r="K41" i="11"/>
  <c r="J42" i="17"/>
  <c r="G107" i="9"/>
  <c r="K18" i="12" l="1"/>
  <c r="K20" i="13" s="1"/>
  <c r="K67" i="11"/>
  <c r="K26" i="8"/>
  <c r="K27" i="8" s="1"/>
  <c r="C108" i="9"/>
  <c r="E108" i="9" s="1"/>
  <c r="L24" i="8" l="1"/>
  <c r="F108" i="9"/>
  <c r="G108" i="9" s="1"/>
  <c r="C109" i="9" l="1"/>
  <c r="E109" i="9" s="1"/>
  <c r="F109" i="9" l="1"/>
  <c r="G109" i="9" s="1"/>
  <c r="C110" i="9" l="1"/>
  <c r="E110" i="9" s="1"/>
  <c r="F110" i="9" l="1"/>
  <c r="G110" i="9" s="1"/>
  <c r="C111" i="9" l="1"/>
  <c r="E111" i="9" s="1"/>
  <c r="F111" i="9" s="1"/>
  <c r="G111" i="9" l="1"/>
  <c r="C112" i="9" l="1"/>
  <c r="E112" i="9" s="1"/>
  <c r="F112" i="9" s="1"/>
  <c r="G112" i="9" s="1"/>
  <c r="C113" i="9" s="1"/>
  <c r="E113" i="9" l="1"/>
  <c r="F113" i="9" l="1"/>
  <c r="G113" i="9" s="1"/>
  <c r="C114" i="9" s="1"/>
  <c r="E114" i="9" l="1"/>
  <c r="F114" i="9" l="1"/>
  <c r="G114" i="9" s="1"/>
  <c r="C115" i="9" s="1"/>
  <c r="E115" i="9" l="1"/>
  <c r="F115" i="9" l="1"/>
  <c r="G115" i="9" s="1"/>
  <c r="C116" i="9" s="1"/>
  <c r="E116" i="9" l="1"/>
  <c r="F116" i="9" l="1"/>
  <c r="G116" i="9" s="1"/>
  <c r="C117" i="9" s="1"/>
  <c r="E117" i="9" l="1"/>
  <c r="F117" i="9" l="1"/>
  <c r="G117" i="9" s="1"/>
  <c r="C118" i="9" s="1"/>
  <c r="E118" i="9" s="1"/>
  <c r="L16" i="9" s="1"/>
  <c r="L18" i="9" l="1"/>
  <c r="L37" i="8" s="1"/>
  <c r="L52" i="2"/>
  <c r="L42" i="8" s="1"/>
  <c r="F118" i="9"/>
  <c r="G118" i="9" l="1"/>
  <c r="E158" i="9"/>
  <c r="C120" i="9" l="1"/>
  <c r="E120" i="9" s="1"/>
  <c r="O12" i="9"/>
  <c r="L53" i="2"/>
  <c r="L68" i="2" s="1"/>
  <c r="L17" i="23"/>
  <c r="L14" i="15"/>
  <c r="K15" i="12"/>
  <c r="L53" i="8"/>
  <c r="F120" i="9" l="1"/>
  <c r="G120" i="9" s="1"/>
  <c r="C121" i="9" s="1"/>
  <c r="E121" i="9" s="1"/>
  <c r="F121" i="9" s="1"/>
  <c r="G121" i="9" s="1"/>
  <c r="C122" i="9" s="1"/>
  <c r="E122" i="9" s="1"/>
  <c r="F122" i="9" s="1"/>
  <c r="L15" i="12"/>
  <c r="K42" i="17"/>
  <c r="L16" i="8"/>
  <c r="L22" i="8" s="1"/>
  <c r="L25" i="8" s="1"/>
  <c r="L17" i="15"/>
  <c r="M15" i="12" l="1"/>
  <c r="L27" i="11"/>
  <c r="L34" i="11" s="1"/>
  <c r="L36" i="11" s="1"/>
  <c r="L14" i="17"/>
  <c r="L15" i="17" s="1"/>
  <c r="L19" i="17" s="1"/>
  <c r="L20" i="17" s="1"/>
  <c r="G122" i="9"/>
  <c r="C123" i="9" s="1"/>
  <c r="E123" i="9" s="1"/>
  <c r="F123" i="9" s="1"/>
  <c r="E40" i="12"/>
  <c r="E32" i="12"/>
  <c r="E34" i="12" s="1"/>
  <c r="F24" i="13"/>
  <c r="F18" i="16" s="1"/>
  <c r="M42" i="17" l="1"/>
  <c r="E14" i="13"/>
  <c r="L18" i="17"/>
  <c r="L17" i="17"/>
  <c r="L51" i="11"/>
  <c r="L57" i="11" s="1"/>
  <c r="L39" i="11"/>
  <c r="L41" i="11"/>
  <c r="G123" i="9"/>
  <c r="C124" i="9" s="1"/>
  <c r="E124" i="9" s="1"/>
  <c r="F124" i="9" s="1"/>
  <c r="D28" i="4"/>
  <c r="F20" i="12" s="1"/>
  <c r="D29" i="4"/>
  <c r="H72" i="11"/>
  <c r="G74" i="11"/>
  <c r="G38" i="8" s="1"/>
  <c r="L26" i="8" l="1"/>
  <c r="L27" i="8" s="1"/>
  <c r="G13" i="12"/>
  <c r="F14" i="13"/>
  <c r="L18" i="12"/>
  <c r="L67" i="11"/>
  <c r="G124" i="9"/>
  <c r="C125" i="9" s="1"/>
  <c r="E125" i="9" s="1"/>
  <c r="F125" i="9" s="1"/>
  <c r="I72" i="11"/>
  <c r="H74" i="11"/>
  <c r="H38" i="8" s="1"/>
  <c r="G20" i="12"/>
  <c r="F17" i="13"/>
  <c r="G18" i="15"/>
  <c r="M24" i="8" l="1"/>
  <c r="M25" i="8" s="1"/>
  <c r="M27" i="8" s="1"/>
  <c r="H13" i="12"/>
  <c r="G14" i="13"/>
  <c r="L42" i="17"/>
  <c r="M20" i="13"/>
  <c r="L20" i="13"/>
  <c r="G125" i="9"/>
  <c r="C126" i="9" s="1"/>
  <c r="E126" i="9" s="1"/>
  <c r="F126" i="9" s="1"/>
  <c r="G15" i="15"/>
  <c r="G20" i="15"/>
  <c r="H18" i="15"/>
  <c r="J72" i="11"/>
  <c r="I74" i="11"/>
  <c r="I38" i="8" s="1"/>
  <c r="H20" i="12"/>
  <c r="G17" i="13"/>
  <c r="I13" i="12" l="1"/>
  <c r="H14" i="13"/>
  <c r="G126" i="9"/>
  <c r="C127" i="9" s="1"/>
  <c r="E127" i="9" s="1"/>
  <c r="F127" i="9" s="1"/>
  <c r="J74" i="11"/>
  <c r="J38" i="8" s="1"/>
  <c r="K72" i="11"/>
  <c r="I20" i="12"/>
  <c r="H17" i="13"/>
  <c r="I18" i="15"/>
  <c r="H15" i="15"/>
  <c r="H20" i="15"/>
  <c r="J13" i="12" l="1"/>
  <c r="I14" i="13"/>
  <c r="G127" i="9"/>
  <c r="C128" i="9" s="1"/>
  <c r="E128" i="9" s="1"/>
  <c r="F128" i="9" s="1"/>
  <c r="J20" i="12"/>
  <c r="I17" i="13"/>
  <c r="I20" i="15"/>
  <c r="I15" i="15"/>
  <c r="K74" i="11"/>
  <c r="K38" i="8" s="1"/>
  <c r="L72" i="11"/>
  <c r="J18" i="15"/>
  <c r="L74" i="11" l="1"/>
  <c r="M72" i="11"/>
  <c r="K13" i="12"/>
  <c r="J14" i="13"/>
  <c r="G128" i="9"/>
  <c r="C129" i="9" s="1"/>
  <c r="E129" i="9" s="1"/>
  <c r="F129" i="9" s="1"/>
  <c r="J15" i="15"/>
  <c r="J20" i="15"/>
  <c r="K18" i="15"/>
  <c r="K20" i="12"/>
  <c r="L20" i="12" s="1"/>
  <c r="M20" i="12" s="1"/>
  <c r="J17" i="13"/>
  <c r="L18" i="15" l="1"/>
  <c r="L15" i="15" s="1"/>
  <c r="L38" i="8"/>
  <c r="N72" i="11"/>
  <c r="M74" i="11"/>
  <c r="M38" i="8" s="1"/>
  <c r="N20" i="12"/>
  <c r="M17" i="13"/>
  <c r="L13" i="12"/>
  <c r="K14" i="13"/>
  <c r="G129" i="9"/>
  <c r="C130" i="9" s="1"/>
  <c r="E130" i="9" s="1"/>
  <c r="F130" i="9" s="1"/>
  <c r="K15" i="15"/>
  <c r="K20" i="15"/>
  <c r="L17" i="13"/>
  <c r="K17" i="13"/>
  <c r="L20" i="15" l="1"/>
  <c r="M18" i="15"/>
  <c r="M15" i="15" s="1"/>
  <c r="O72" i="11"/>
  <c r="O74" i="11" s="1"/>
  <c r="O38" i="8" s="1"/>
  <c r="N74" i="11"/>
  <c r="N38" i="8" s="1"/>
  <c r="O20" i="12"/>
  <c r="O17" i="13" s="1"/>
  <c r="N17" i="13"/>
  <c r="M13" i="12"/>
  <c r="L14" i="13"/>
  <c r="G130" i="9"/>
  <c r="C131" i="9" s="1"/>
  <c r="E131" i="9" s="1"/>
  <c r="F131" i="9" l="1"/>
  <c r="G131" i="9" s="1"/>
  <c r="C133" i="9" s="1"/>
  <c r="E133" i="9" s="1"/>
  <c r="M16" i="9"/>
  <c r="M18" i="9" s="1"/>
  <c r="M37" i="8" s="1"/>
  <c r="N18" i="15"/>
  <c r="N15" i="15" s="1"/>
  <c r="O18" i="15"/>
  <c r="O15" i="15" s="1"/>
  <c r="M14" i="13"/>
  <c r="N13" i="12"/>
  <c r="N14" i="13" l="1"/>
  <c r="O13" i="12"/>
  <c r="O14" i="13" s="1"/>
  <c r="F133" i="9"/>
  <c r="G133" i="9" s="1"/>
  <c r="C134" i="9" s="1"/>
  <c r="E134" i="9" s="1"/>
  <c r="F134" i="9" s="1"/>
  <c r="M17" i="15" l="1"/>
  <c r="M20" i="15" s="1"/>
  <c r="M14" i="15"/>
  <c r="G134" i="9"/>
  <c r="C135" i="9" s="1"/>
  <c r="E135" i="9" s="1"/>
  <c r="F135" i="9" s="1"/>
  <c r="G135" i="9" l="1"/>
  <c r="C136" i="9" s="1"/>
  <c r="E136" i="9" s="1"/>
  <c r="F136" i="9" s="1"/>
  <c r="G136" i="9" l="1"/>
  <c r="C137" i="9" s="1"/>
  <c r="E137" i="9" s="1"/>
  <c r="F137" i="9" s="1"/>
  <c r="G137" i="9" l="1"/>
  <c r="C138" i="9" s="1"/>
  <c r="E138" i="9" s="1"/>
  <c r="F138" i="9" s="1"/>
  <c r="G138" i="9" l="1"/>
  <c r="C139" i="9" s="1"/>
  <c r="E139" i="9" s="1"/>
  <c r="F139" i="9" s="1"/>
  <c r="G139" i="9" l="1"/>
  <c r="C140" i="9" s="1"/>
  <c r="E140" i="9" s="1"/>
  <c r="F140" i="9" l="1"/>
  <c r="G140" i="9" s="1"/>
  <c r="C141" i="9" s="1"/>
  <c r="E141" i="9" s="1"/>
  <c r="F141" i="9" s="1"/>
  <c r="G141" i="9" l="1"/>
  <c r="C142" i="9" s="1"/>
  <c r="E142" i="9" s="1"/>
  <c r="F142" i="9" s="1"/>
  <c r="G142" i="9" s="1"/>
  <c r="C143" i="9" s="1"/>
  <c r="E143" i="9" s="1"/>
  <c r="F143" i="9" l="1"/>
  <c r="G143" i="9" s="1"/>
  <c r="C144" i="9" s="1"/>
  <c r="E144" i="9" s="1"/>
  <c r="N16" i="9" s="1"/>
  <c r="F144" i="9" l="1"/>
  <c r="G144" i="9" s="1"/>
  <c r="C146" i="9" s="1"/>
  <c r="E146" i="9" s="1"/>
  <c r="N18" i="9"/>
  <c r="N37" i="8" s="1"/>
  <c r="N17" i="15" l="1"/>
  <c r="N20" i="15" s="1"/>
  <c r="N14" i="15"/>
  <c r="F146" i="9"/>
  <c r="G146" i="9" s="1"/>
  <c r="C147" i="9" s="1"/>
  <c r="E147" i="9" s="1"/>
  <c r="F147" i="9" s="1"/>
  <c r="G147" i="9" s="1"/>
  <c r="C148" i="9" s="1"/>
  <c r="E148" i="9" s="1"/>
  <c r="F148" i="9" s="1"/>
  <c r="G148" i="9" l="1"/>
  <c r="C149" i="9" s="1"/>
  <c r="E149" i="9" s="1"/>
  <c r="F149" i="9" s="1"/>
  <c r="G149" i="9" s="1"/>
  <c r="C150" i="9" s="1"/>
  <c r="E150" i="9" s="1"/>
  <c r="F150" i="9" s="1"/>
  <c r="G150" i="9" s="1"/>
  <c r="C151" i="9" s="1"/>
  <c r="E151" i="9" s="1"/>
  <c r="F151" i="9" s="1"/>
  <c r="G151" i="9" l="1"/>
  <c r="C152" i="9" s="1"/>
  <c r="E152" i="9" s="1"/>
  <c r="F152" i="9" s="1"/>
  <c r="G152" i="9" s="1"/>
  <c r="C153" i="9" s="1"/>
  <c r="E153" i="9" s="1"/>
  <c r="F153" i="9" s="1"/>
  <c r="G153" i="9" s="1"/>
  <c r="C154" i="9" s="1"/>
  <c r="E154" i="9" s="1"/>
  <c r="F154" i="9" s="1"/>
  <c r="G154" i="9" l="1"/>
  <c r="C155" i="9" s="1"/>
  <c r="E155" i="9" s="1"/>
  <c r="F155" i="9" s="1"/>
  <c r="G155" i="9" s="1"/>
  <c r="C156" i="9" l="1"/>
  <c r="E156" i="9" s="1"/>
  <c r="D156" i="9"/>
  <c r="F156" i="9" l="1"/>
  <c r="G156" i="9" s="1"/>
  <c r="C157" i="9" s="1"/>
  <c r="D157" i="9" l="1"/>
  <c r="O14" i="9" s="1"/>
  <c r="O15" i="9" s="1"/>
  <c r="E157" i="9"/>
  <c r="O16" i="9" s="1"/>
  <c r="O18" i="9" l="1"/>
  <c r="O37" i="8" s="1"/>
  <c r="F157" i="9"/>
  <c r="G157" i="9" s="1"/>
  <c r="D158" i="9"/>
  <c r="O14" i="15" l="1"/>
  <c r="O17" i="15"/>
  <c r="O19" i="15"/>
  <c r="O25" i="13"/>
  <c r="O53" i="8" s="1"/>
  <c r="N19" i="12"/>
  <c r="N15" i="12" s="1"/>
  <c r="O20" i="15" l="1"/>
  <c r="O15" i="12"/>
  <c r="N42" i="17"/>
  <c r="O42" i="17" l="1"/>
  <c r="F43" i="17" s="1"/>
  <c r="F46" i="11"/>
  <c r="F30" i="8" l="1"/>
  <c r="F31" i="8" s="1"/>
  <c r="F34" i="8" s="1"/>
  <c r="F35" i="8" s="1"/>
  <c r="F60" i="8" s="1"/>
  <c r="F64" i="8" s="1"/>
  <c r="F48" i="11"/>
  <c r="F37" i="12" s="1"/>
  <c r="G28" i="8"/>
  <c r="G29" i="8" s="1"/>
  <c r="F66" i="11" l="1"/>
  <c r="F68" i="11" s="1"/>
  <c r="F61" i="8"/>
  <c r="F13" i="16"/>
  <c r="F27" i="13"/>
  <c r="F44" i="17" l="1"/>
  <c r="F76" i="11"/>
  <c r="F17" i="16" s="1"/>
  <c r="F70" i="11"/>
  <c r="F71" i="11" s="1"/>
  <c r="F72" i="11" s="1"/>
  <c r="F74" i="11" s="1"/>
  <c r="F66" i="8"/>
  <c r="F38" i="8" l="1"/>
  <c r="F18" i="15"/>
  <c r="F26" i="17"/>
  <c r="F24" i="17"/>
  <c r="F15" i="15" l="1"/>
  <c r="F20" i="15"/>
  <c r="P20" i="15" s="1"/>
  <c r="F40" i="17"/>
  <c r="G46" i="11"/>
  <c r="G30" i="8" s="1"/>
  <c r="H46" i="11"/>
  <c r="H30" i="8" s="1"/>
  <c r="I28" i="8" s="1"/>
  <c r="I29" i="8" s="1"/>
  <c r="I46" i="11"/>
  <c r="I30" i="8" s="1"/>
  <c r="J28" i="8" s="1"/>
  <c r="J29" i="8" s="1"/>
  <c r="J46" i="11"/>
  <c r="J30" i="8" s="1"/>
  <c r="K28" i="8" s="1"/>
  <c r="K29" i="8" s="1"/>
  <c r="K46" i="11"/>
  <c r="K30" i="8" s="1"/>
  <c r="L28" i="8" s="1"/>
  <c r="L29" i="8" s="1"/>
  <c r="L46" i="11"/>
  <c r="L30" i="8" s="1"/>
  <c r="M28" i="8" s="1"/>
  <c r="M29" i="8" s="1"/>
  <c r="M46" i="11"/>
  <c r="M30" i="8" s="1"/>
  <c r="N28" i="8" s="1"/>
  <c r="N29" i="8" s="1"/>
  <c r="N46" i="11"/>
  <c r="N30" i="8" s="1"/>
  <c r="O28" i="8" s="1"/>
  <c r="O29" i="8" s="1"/>
  <c r="O46" i="11"/>
  <c r="O30" i="8" s="1"/>
  <c r="H48" i="11"/>
  <c r="H37" i="12" s="1"/>
  <c r="L48" i="11" l="1"/>
  <c r="L37" i="12" s="1"/>
  <c r="L31" i="8"/>
  <c r="L34" i="8" s="1"/>
  <c r="L35" i="8" s="1"/>
  <c r="L13" i="16" s="1"/>
  <c r="J48" i="11"/>
  <c r="J37" i="12" s="1"/>
  <c r="I48" i="11"/>
  <c r="N31" i="8"/>
  <c r="N34" i="8" s="1"/>
  <c r="N35" i="8" s="1"/>
  <c r="N60" i="8" s="1"/>
  <c r="J31" i="8"/>
  <c r="J34" i="8" s="1"/>
  <c r="J35" i="8" s="1"/>
  <c r="J60" i="8" s="1"/>
  <c r="N48" i="11"/>
  <c r="N37" i="12" s="1"/>
  <c r="H66" i="11"/>
  <c r="M48" i="11"/>
  <c r="O31" i="8"/>
  <c r="O34" i="8" s="1"/>
  <c r="O35" i="8" s="1"/>
  <c r="K31" i="8"/>
  <c r="K34" i="8" s="1"/>
  <c r="K35" i="8" s="1"/>
  <c r="H28" i="8"/>
  <c r="H29" i="8" s="1"/>
  <c r="H31" i="8" s="1"/>
  <c r="H34" i="8" s="1"/>
  <c r="H35" i="8" s="1"/>
  <c r="G31" i="8"/>
  <c r="G34" i="8" s="1"/>
  <c r="G35" i="8" s="1"/>
  <c r="O48" i="11"/>
  <c r="K48" i="11"/>
  <c r="G48" i="11"/>
  <c r="M31" i="8"/>
  <c r="M34" i="8" s="1"/>
  <c r="M35" i="8" s="1"/>
  <c r="I31" i="8"/>
  <c r="I34" i="8" s="1"/>
  <c r="I35" i="8" s="1"/>
  <c r="L66" i="11" l="1"/>
  <c r="L44" i="17" s="1"/>
  <c r="L61" i="8"/>
  <c r="L66" i="8" s="1"/>
  <c r="L26" i="17" s="1"/>
  <c r="J66" i="11"/>
  <c r="J68" i="11" s="1"/>
  <c r="N13" i="16"/>
  <c r="L60" i="8"/>
  <c r="L40" i="17" s="1"/>
  <c r="N66" i="11"/>
  <c r="N68" i="11" s="1"/>
  <c r="N61" i="8"/>
  <c r="N66" i="8" s="1"/>
  <c r="N26" i="17" s="1"/>
  <c r="J13" i="16"/>
  <c r="J61" i="8"/>
  <c r="J66" i="8" s="1"/>
  <c r="J26" i="17" s="1"/>
  <c r="I37" i="12"/>
  <c r="I66" i="11"/>
  <c r="K13" i="16"/>
  <c r="K60" i="8"/>
  <c r="K61" i="8"/>
  <c r="I61" i="8"/>
  <c r="I60" i="8"/>
  <c r="I13" i="16"/>
  <c r="O37" i="12"/>
  <c r="O66" i="11"/>
  <c r="J64" i="8"/>
  <c r="J24" i="17" s="1"/>
  <c r="J40" i="17"/>
  <c r="N64" i="8"/>
  <c r="N24" i="17" s="1"/>
  <c r="N40" i="17"/>
  <c r="O13" i="16"/>
  <c r="O60" i="8"/>
  <c r="O61" i="8"/>
  <c r="H44" i="17"/>
  <c r="H68" i="11"/>
  <c r="H13" i="16"/>
  <c r="H61" i="8"/>
  <c r="H60" i="8"/>
  <c r="M61" i="8"/>
  <c r="M60" i="8"/>
  <c r="M13" i="16"/>
  <c r="J44" i="17"/>
  <c r="L68" i="11"/>
  <c r="K37" i="12"/>
  <c r="K66" i="11"/>
  <c r="M37" i="12"/>
  <c r="M66" i="11"/>
  <c r="G37" i="12"/>
  <c r="G66" i="11"/>
  <c r="G13" i="16"/>
  <c r="G60" i="8"/>
  <c r="G61" i="8"/>
  <c r="N44" i="17" l="1"/>
  <c r="L64" i="8"/>
  <c r="L24" i="17" s="1"/>
  <c r="I68" i="11"/>
  <c r="I70" i="11" s="1"/>
  <c r="I71" i="11" s="1"/>
  <c r="I44" i="17"/>
  <c r="I27" i="13"/>
  <c r="J27" i="13"/>
  <c r="G64" i="8"/>
  <c r="G40" i="17"/>
  <c r="L70" i="11"/>
  <c r="L71" i="11" s="1"/>
  <c r="O44" i="17"/>
  <c r="O68" i="11"/>
  <c r="G27" i="13"/>
  <c r="H27" i="13"/>
  <c r="O66" i="8"/>
  <c r="O26" i="17" s="1"/>
  <c r="O27" i="13"/>
  <c r="G44" i="17"/>
  <c r="G68" i="11"/>
  <c r="I66" i="8"/>
  <c r="I26" i="17" s="1"/>
  <c r="N70" i="11"/>
  <c r="N71" i="11" s="1"/>
  <c r="K44" i="17"/>
  <c r="K68" i="11"/>
  <c r="K66" i="8"/>
  <c r="K26" i="17" s="1"/>
  <c r="H66" i="8"/>
  <c r="H26" i="17" s="1"/>
  <c r="G66" i="8"/>
  <c r="M44" i="17"/>
  <c r="M68" i="11"/>
  <c r="N76" i="11" s="1"/>
  <c r="N17" i="16" s="1"/>
  <c r="M64" i="8"/>
  <c r="M24" i="17" s="1"/>
  <c r="M40" i="17"/>
  <c r="M27" i="13"/>
  <c r="N27" i="13"/>
  <c r="K27" i="13"/>
  <c r="L27" i="13"/>
  <c r="J70" i="11"/>
  <c r="J71" i="11" s="1"/>
  <c r="M66" i="8"/>
  <c r="M26" i="17" s="1"/>
  <c r="H40" i="17"/>
  <c r="H64" i="8"/>
  <c r="H24" i="17" s="1"/>
  <c r="H70" i="11"/>
  <c r="H71" i="11" s="1"/>
  <c r="I76" i="11"/>
  <c r="I17" i="16" s="1"/>
  <c r="O64" i="8"/>
  <c r="O24" i="17" s="1"/>
  <c r="O40" i="17"/>
  <c r="I64" i="8"/>
  <c r="I24" i="17" s="1"/>
  <c r="I40" i="17"/>
  <c r="K64" i="8"/>
  <c r="K24" i="17" s="1"/>
  <c r="K40" i="17"/>
  <c r="J76" i="11" l="1"/>
  <c r="J17" i="16" s="1"/>
  <c r="H76" i="11"/>
  <c r="H17" i="16" s="1"/>
  <c r="G70" i="11"/>
  <c r="G71" i="11" s="1"/>
  <c r="O76" i="11"/>
  <c r="O17" i="16" s="1"/>
  <c r="O70" i="11"/>
  <c r="O71" i="11" s="1"/>
  <c r="G76" i="11"/>
  <c r="G17" i="16" s="1"/>
  <c r="D12" i="4"/>
  <c r="F67" i="8"/>
  <c r="G26" i="17"/>
  <c r="F27" i="17" s="1"/>
  <c r="F45" i="17"/>
  <c r="F41" i="17"/>
  <c r="K70" i="11"/>
  <c r="K71" i="11" s="1"/>
  <c r="K76" i="11"/>
  <c r="K17" i="16" s="1"/>
  <c r="M70" i="11"/>
  <c r="M71" i="11" s="1"/>
  <c r="M76" i="11"/>
  <c r="M17" i="16" s="1"/>
  <c r="L76" i="11"/>
  <c r="L17" i="16" s="1"/>
  <c r="F65" i="8"/>
  <c r="G24" i="17"/>
  <c r="F25" i="17" s="1"/>
  <c r="D15" i="4" l="1"/>
  <c r="D17" i="4" l="1"/>
  <c r="D18" i="4" s="1"/>
  <c r="E18" i="4" s="1"/>
  <c r="F10" i="4" l="1"/>
  <c r="D24" i="4"/>
  <c r="D16" i="12" s="1"/>
  <c r="D23" i="12" s="1"/>
  <c r="D28" i="12" s="1"/>
  <c r="D30" i="12" s="1"/>
  <c r="E24" i="13" l="1"/>
  <c r="E31" i="13" s="1"/>
  <c r="D24" i="13"/>
  <c r="F16" i="12"/>
  <c r="D26" i="4"/>
  <c r="D31" i="4" s="1"/>
  <c r="D15" i="13"/>
  <c r="D21" i="13" s="1"/>
  <c r="D69" i="16"/>
  <c r="D70" i="16" s="1"/>
  <c r="D72" i="16" s="1"/>
  <c r="E16" i="12"/>
  <c r="D73" i="16" l="1"/>
  <c r="E26" i="4"/>
  <c r="E15" i="13"/>
  <c r="E21" i="13" s="1"/>
  <c r="E23" i="12"/>
  <c r="F39" i="8"/>
  <c r="F40" i="8" s="1"/>
  <c r="F41" i="8" s="1"/>
  <c r="G16" i="12"/>
  <c r="F48" i="17"/>
  <c r="F15" i="13"/>
  <c r="D32" i="12"/>
  <c r="D34" i="12" s="1"/>
  <c r="D81" i="16" l="1"/>
  <c r="D22" i="16" s="1"/>
  <c r="D24" i="16" s="1"/>
  <c r="G48" i="17"/>
  <c r="G39" i="8"/>
  <c r="G40" i="8" s="1"/>
  <c r="G41" i="8" s="1"/>
  <c r="H16" i="12"/>
  <c r="G15" i="13"/>
  <c r="F43" i="8"/>
  <c r="F16" i="23"/>
  <c r="F20" i="23" s="1"/>
  <c r="D31" i="13"/>
  <c r="D33" i="13" s="1"/>
  <c r="D34" i="13" s="1"/>
  <c r="D18" i="16"/>
  <c r="D19" i="16" s="1"/>
  <c r="D32" i="16" s="1"/>
  <c r="E33" i="13"/>
  <c r="E18" i="16"/>
  <c r="E19" i="16" s="1"/>
  <c r="E32" i="16" s="1"/>
  <c r="J28" i="16" l="1"/>
  <c r="E28" i="16"/>
  <c r="F28" i="16"/>
  <c r="L28" i="16"/>
  <c r="D28" i="16"/>
  <c r="G28" i="16"/>
  <c r="N28" i="16"/>
  <c r="H28" i="16"/>
  <c r="O28" i="16"/>
  <c r="M28" i="16"/>
  <c r="I28" i="16"/>
  <c r="K28" i="16"/>
  <c r="H15" i="13"/>
  <c r="H39" i="8"/>
  <c r="H40" i="8" s="1"/>
  <c r="H41" i="8" s="1"/>
  <c r="I16" i="12"/>
  <c r="H48" i="17"/>
  <c r="F24" i="23"/>
  <c r="F23" i="23"/>
  <c r="F27" i="23" s="1"/>
  <c r="F32" i="23" s="1"/>
  <c r="F25" i="23"/>
  <c r="G22" i="23" s="1"/>
  <c r="G43" i="8"/>
  <c r="G16" i="23"/>
  <c r="G20" i="23" s="1"/>
  <c r="D29" i="16"/>
  <c r="D33" i="16" s="1"/>
  <c r="E29" i="16"/>
  <c r="E33" i="16" s="1"/>
  <c r="D38" i="13"/>
  <c r="D39" i="12" s="1"/>
  <c r="D41" i="12" s="1"/>
  <c r="D44" i="12" s="1"/>
  <c r="D46" i="12" s="1"/>
  <c r="E32" i="13"/>
  <c r="E34" i="13" s="1"/>
  <c r="I15" i="13" l="1"/>
  <c r="I48" i="17"/>
  <c r="I39" i="8"/>
  <c r="I40" i="8" s="1"/>
  <c r="I41" i="8" s="1"/>
  <c r="J16" i="12"/>
  <c r="H43" i="8"/>
  <c r="H16" i="23"/>
  <c r="H20" i="23" s="1"/>
  <c r="G21" i="23"/>
  <c r="F31" i="23"/>
  <c r="F32" i="13"/>
  <c r="E38" i="13"/>
  <c r="E39" i="12" s="1"/>
  <c r="I43" i="8" l="1"/>
  <c r="I16" i="23"/>
  <c r="I20" i="23" s="1"/>
  <c r="G24" i="23"/>
  <c r="G25" i="23"/>
  <c r="H22" i="23" s="1"/>
  <c r="G23" i="23"/>
  <c r="G27" i="23" s="1"/>
  <c r="G32" i="23" s="1"/>
  <c r="F39" i="23"/>
  <c r="F34" i="23"/>
  <c r="J39" i="8"/>
  <c r="J40" i="8" s="1"/>
  <c r="J41" i="8" s="1"/>
  <c r="J48" i="17"/>
  <c r="K16" i="12"/>
  <c r="J15" i="13"/>
  <c r="F35" i="23"/>
  <c r="F40" i="23" s="1"/>
  <c r="E41" i="12"/>
  <c r="E44" i="12" s="1"/>
  <c r="E46" i="12" s="1"/>
  <c r="F36" i="23" l="1"/>
  <c r="F44" i="8" s="1"/>
  <c r="F45" i="8" s="1"/>
  <c r="F62" i="8" s="1"/>
  <c r="F68" i="8" s="1"/>
  <c r="H21" i="23"/>
  <c r="G31" i="23"/>
  <c r="K39" i="8"/>
  <c r="K40" i="8" s="1"/>
  <c r="K41" i="8" s="1"/>
  <c r="K48" i="17"/>
  <c r="K15" i="13"/>
  <c r="L16" i="12"/>
  <c r="F41" i="23"/>
  <c r="J43" i="8"/>
  <c r="J16" i="23"/>
  <c r="J20" i="23" s="1"/>
  <c r="F49" i="8" l="1"/>
  <c r="F52" i="8" s="1"/>
  <c r="F42" i="16" s="1"/>
  <c r="F14" i="12"/>
  <c r="F36" i="17" s="1"/>
  <c r="F34" i="17"/>
  <c r="F13" i="13"/>
  <c r="F21" i="13" s="1"/>
  <c r="F14" i="16"/>
  <c r="F16" i="16" s="1"/>
  <c r="F19" i="16" s="1"/>
  <c r="M16" i="12"/>
  <c r="L48" i="17"/>
  <c r="L39" i="8"/>
  <c r="L40" i="8" s="1"/>
  <c r="L41" i="8" s="1"/>
  <c r="L15" i="13"/>
  <c r="G34" i="23"/>
  <c r="G39" i="23"/>
  <c r="G35" i="23"/>
  <c r="G40" i="23" s="1"/>
  <c r="F43" i="12"/>
  <c r="F28" i="13"/>
  <c r="F31" i="13" s="1"/>
  <c r="G38" i="23"/>
  <c r="H24" i="23"/>
  <c r="H25" i="23"/>
  <c r="I22" i="23" s="1"/>
  <c r="H23" i="23"/>
  <c r="H27" i="23" s="1"/>
  <c r="H32" i="23" s="1"/>
  <c r="K43" i="8"/>
  <c r="K16" i="23"/>
  <c r="K20" i="23" s="1"/>
  <c r="F13" i="15"/>
  <c r="F16" i="15" s="1"/>
  <c r="F21" i="15" s="1"/>
  <c r="F54" i="8"/>
  <c r="F55" i="8" s="1"/>
  <c r="F28" i="17"/>
  <c r="F32" i="17" l="1"/>
  <c r="F23" i="12"/>
  <c r="F33" i="13"/>
  <c r="F34" i="13" s="1"/>
  <c r="F38" i="13" s="1"/>
  <c r="F39" i="12" s="1"/>
  <c r="F41" i="12" s="1"/>
  <c r="F44" i="12" s="1"/>
  <c r="F32" i="16"/>
  <c r="F29" i="16"/>
  <c r="F33" i="16" s="1"/>
  <c r="L16" i="23"/>
  <c r="L20" i="23" s="1"/>
  <c r="L43" i="8"/>
  <c r="H31" i="23"/>
  <c r="I21" i="23"/>
  <c r="G41" i="23"/>
  <c r="G36" i="23"/>
  <c r="G44" i="8" s="1"/>
  <c r="M39" i="8"/>
  <c r="M40" i="8" s="1"/>
  <c r="M41" i="8" s="1"/>
  <c r="N16" i="12"/>
  <c r="M15" i="13"/>
  <c r="M48" i="17"/>
  <c r="F38" i="17"/>
  <c r="F43" i="16"/>
  <c r="F46" i="12" l="1"/>
  <c r="G32" i="13"/>
  <c r="M43" i="8"/>
  <c r="M16" i="23"/>
  <c r="M20" i="23" s="1"/>
  <c r="H34" i="23"/>
  <c r="H39" i="23"/>
  <c r="I23" i="23"/>
  <c r="I27" i="23" s="1"/>
  <c r="I32" i="23" s="1"/>
  <c r="I25" i="23"/>
  <c r="J22" i="23" s="1"/>
  <c r="I24" i="23"/>
  <c r="G14" i="16"/>
  <c r="G16" i="16" s="1"/>
  <c r="G19" i="16" s="1"/>
  <c r="G45" i="8"/>
  <c r="N48" i="17"/>
  <c r="O16" i="12"/>
  <c r="N15" i="13"/>
  <c r="N39" i="8"/>
  <c r="N40" i="8" s="1"/>
  <c r="N41" i="8" s="1"/>
  <c r="H35" i="23"/>
  <c r="H40" i="23" s="1"/>
  <c r="H38" i="23"/>
  <c r="G43" i="12"/>
  <c r="G28" i="13"/>
  <c r="G31" i="13" s="1"/>
  <c r="H41" i="23" l="1"/>
  <c r="O48" i="17"/>
  <c r="F49" i="17" s="1"/>
  <c r="O15" i="13"/>
  <c r="O39" i="8"/>
  <c r="O40" i="8" s="1"/>
  <c r="O41" i="8" s="1"/>
  <c r="I31" i="23"/>
  <c r="J21" i="23"/>
  <c r="H36" i="23"/>
  <c r="H44" i="8" s="1"/>
  <c r="G32" i="16"/>
  <c r="G29" i="16"/>
  <c r="G33" i="16" s="1"/>
  <c r="N16" i="23"/>
  <c r="N20" i="23" s="1"/>
  <c r="N43" i="8"/>
  <c r="G14" i="12"/>
  <c r="G36" i="17" s="1"/>
  <c r="G13" i="13"/>
  <c r="G21" i="13" s="1"/>
  <c r="G33" i="13" s="1"/>
  <c r="G34" i="13" s="1"/>
  <c r="G34" i="17"/>
  <c r="G62" i="8"/>
  <c r="G68" i="8" s="1"/>
  <c r="G28" i="17" s="1"/>
  <c r="G49" i="8"/>
  <c r="G52" i="8" s="1"/>
  <c r="O43" i="8" l="1"/>
  <c r="O16" i="23"/>
  <c r="O20" i="23" s="1"/>
  <c r="H45" i="8"/>
  <c r="H14" i="16"/>
  <c r="H16" i="16" s="1"/>
  <c r="H19" i="16" s="1"/>
  <c r="G32" i="17"/>
  <c r="G23" i="12"/>
  <c r="G46" i="17"/>
  <c r="J25" i="23"/>
  <c r="K22" i="23" s="1"/>
  <c r="J23" i="23"/>
  <c r="J27" i="23" s="1"/>
  <c r="J32" i="23" s="1"/>
  <c r="J24" i="23"/>
  <c r="G42" i="16"/>
  <c r="G43" i="16" s="1"/>
  <c r="G54" i="8"/>
  <c r="G55" i="8" s="1"/>
  <c r="G13" i="15"/>
  <c r="G16" i="15" s="1"/>
  <c r="G21" i="15" s="1"/>
  <c r="G38" i="13"/>
  <c r="G39" i="12" s="1"/>
  <c r="G41" i="12" s="1"/>
  <c r="G44" i="12" s="1"/>
  <c r="G46" i="12" s="1"/>
  <c r="H32" i="13"/>
  <c r="I35" i="23"/>
  <c r="I40" i="23" s="1"/>
  <c r="I39" i="23"/>
  <c r="I34" i="23"/>
  <c r="H43" i="12"/>
  <c r="I38" i="23"/>
  <c r="H28" i="13"/>
  <c r="H31" i="13" s="1"/>
  <c r="I36" i="23" l="1"/>
  <c r="I44" i="8" s="1"/>
  <c r="I45" i="8" s="1"/>
  <c r="I41" i="23"/>
  <c r="I28" i="13" s="1"/>
  <c r="I31" i="13" s="1"/>
  <c r="G38" i="17"/>
  <c r="J31" i="23"/>
  <c r="K21" i="23"/>
  <c r="H62" i="8"/>
  <c r="H68" i="8" s="1"/>
  <c r="H28" i="17" s="1"/>
  <c r="H49" i="8"/>
  <c r="H52" i="8" s="1"/>
  <c r="H34" i="17"/>
  <c r="H13" i="13"/>
  <c r="H21" i="13" s="1"/>
  <c r="H33" i="13" s="1"/>
  <c r="H34" i="13" s="1"/>
  <c r="H14" i="12"/>
  <c r="H32" i="16"/>
  <c r="H29" i="16"/>
  <c r="H33" i="16" s="1"/>
  <c r="I43" i="12"/>
  <c r="J38" i="23" l="1"/>
  <c r="J35" i="23"/>
  <c r="J40" i="23" s="1"/>
  <c r="I14" i="16"/>
  <c r="I16" i="16" s="1"/>
  <c r="I19" i="16" s="1"/>
  <c r="I32" i="16" s="1"/>
  <c r="H38" i="13"/>
  <c r="H39" i="12" s="1"/>
  <c r="H41" i="12" s="1"/>
  <c r="H44" i="12" s="1"/>
  <c r="I32" i="13"/>
  <c r="H36" i="17"/>
  <c r="H23" i="12"/>
  <c r="H46" i="17"/>
  <c r="H32" i="17"/>
  <c r="H42" i="16"/>
  <c r="H43" i="16" s="1"/>
  <c r="H54" i="8"/>
  <c r="H55" i="8" s="1"/>
  <c r="H13" i="15"/>
  <c r="H16" i="15" s="1"/>
  <c r="H21" i="15" s="1"/>
  <c r="J34" i="23"/>
  <c r="J39" i="23"/>
  <c r="J41" i="23" s="1"/>
  <c r="I14" i="12"/>
  <c r="I36" i="17" s="1"/>
  <c r="I34" i="17"/>
  <c r="I13" i="13"/>
  <c r="I21" i="13" s="1"/>
  <c r="I33" i="13" s="1"/>
  <c r="I62" i="8"/>
  <c r="I68" i="8" s="1"/>
  <c r="I28" i="17" s="1"/>
  <c r="I49" i="8"/>
  <c r="I52" i="8" s="1"/>
  <c r="K25" i="23"/>
  <c r="L22" i="23" s="1"/>
  <c r="K24" i="23"/>
  <c r="K23" i="23"/>
  <c r="K27" i="23" s="1"/>
  <c r="K32" i="23" s="1"/>
  <c r="J36" i="23" l="1"/>
  <c r="J44" i="8" s="1"/>
  <c r="J14" i="16" s="1"/>
  <c r="J16" i="16" s="1"/>
  <c r="J19" i="16" s="1"/>
  <c r="I29" i="16"/>
  <c r="I33" i="16" s="1"/>
  <c r="H38" i="17"/>
  <c r="J28" i="13"/>
  <c r="J31" i="13" s="1"/>
  <c r="J43" i="12"/>
  <c r="K38" i="23"/>
  <c r="I46" i="17"/>
  <c r="I32" i="17"/>
  <c r="I23" i="12"/>
  <c r="L21" i="23"/>
  <c r="K31" i="23"/>
  <c r="K35" i="23" s="1"/>
  <c r="K40" i="23" s="1"/>
  <c r="I34" i="13"/>
  <c r="I54" i="8"/>
  <c r="I55" i="8" s="1"/>
  <c r="I42" i="16"/>
  <c r="I43" i="16" s="1"/>
  <c r="I13" i="15"/>
  <c r="I16" i="15" s="1"/>
  <c r="I21" i="15" s="1"/>
  <c r="I38" i="17" s="1"/>
  <c r="H46" i="12"/>
  <c r="J45" i="8" l="1"/>
  <c r="J14" i="12" s="1"/>
  <c r="J32" i="17" s="1"/>
  <c r="I38" i="13"/>
  <c r="I39" i="12" s="1"/>
  <c r="I41" i="12" s="1"/>
  <c r="I44" i="12" s="1"/>
  <c r="I46" i="12" s="1"/>
  <c r="J32" i="13"/>
  <c r="J29" i="16"/>
  <c r="J33" i="16" s="1"/>
  <c r="J32" i="16"/>
  <c r="J36" i="17"/>
  <c r="K34" i="23"/>
  <c r="K36" i="23" s="1"/>
  <c r="K44" i="8" s="1"/>
  <c r="K39" i="23"/>
  <c r="K41" i="23" s="1"/>
  <c r="J62" i="8"/>
  <c r="J68" i="8" s="1"/>
  <c r="J28" i="17" s="1"/>
  <c r="J49" i="8"/>
  <c r="J52" i="8" s="1"/>
  <c r="L25" i="23"/>
  <c r="M22" i="23" s="1"/>
  <c r="L24" i="23"/>
  <c r="L23" i="23"/>
  <c r="L27" i="23" s="1"/>
  <c r="L32" i="23" s="1"/>
  <c r="J13" i="13" l="1"/>
  <c r="J21" i="13" s="1"/>
  <c r="J33" i="13" s="1"/>
  <c r="J34" i="13" s="1"/>
  <c r="J46" i="17"/>
  <c r="J34" i="17"/>
  <c r="J23" i="12"/>
  <c r="J54" i="8"/>
  <c r="J55" i="8" s="1"/>
  <c r="J13" i="15"/>
  <c r="J16" i="15" s="1"/>
  <c r="J21" i="15" s="1"/>
  <c r="J38" i="17" s="1"/>
  <c r="J42" i="16"/>
  <c r="J43" i="16" s="1"/>
  <c r="L38" i="23"/>
  <c r="K43" i="12"/>
  <c r="K28" i="13"/>
  <c r="K31" i="13" s="1"/>
  <c r="M21" i="23"/>
  <c r="L31" i="23"/>
  <c r="L35" i="23" s="1"/>
  <c r="L40" i="23" s="1"/>
  <c r="K14" i="16"/>
  <c r="K16" i="16" s="1"/>
  <c r="K19" i="16" s="1"/>
  <c r="K45" i="8"/>
  <c r="K32" i="16" l="1"/>
  <c r="K29" i="16"/>
  <c r="K33" i="16" s="1"/>
  <c r="K62" i="8"/>
  <c r="K68" i="8" s="1"/>
  <c r="K28" i="17" s="1"/>
  <c r="K49" i="8"/>
  <c r="K52" i="8" s="1"/>
  <c r="K14" i="12"/>
  <c r="K34" i="17"/>
  <c r="K13" i="13"/>
  <c r="K21" i="13" s="1"/>
  <c r="K33" i="13" s="1"/>
  <c r="L39" i="23"/>
  <c r="L41" i="23" s="1"/>
  <c r="L34" i="23"/>
  <c r="L36" i="23" s="1"/>
  <c r="L44" i="8" s="1"/>
  <c r="J38" i="13"/>
  <c r="J39" i="12" s="1"/>
  <c r="J41" i="12" s="1"/>
  <c r="J44" i="12" s="1"/>
  <c r="J46" i="12" s="1"/>
  <c r="K32" i="13"/>
  <c r="M23" i="23"/>
  <c r="M27" i="23" s="1"/>
  <c r="M32" i="23" s="1"/>
  <c r="M25" i="23"/>
  <c r="N22" i="23" s="1"/>
  <c r="M24" i="23"/>
  <c r="K34" i="13" l="1"/>
  <c r="L32" i="13" s="1"/>
  <c r="L43" i="12"/>
  <c r="M38" i="23"/>
  <c r="L28" i="13"/>
  <c r="L31" i="13" s="1"/>
  <c r="K38" i="13"/>
  <c r="K39" i="12" s="1"/>
  <c r="K41" i="12" s="1"/>
  <c r="K44" i="12" s="1"/>
  <c r="N21" i="23"/>
  <c r="M31" i="23"/>
  <c r="L45" i="8"/>
  <c r="L14" i="16"/>
  <c r="L16" i="16" s="1"/>
  <c r="L19" i="16" s="1"/>
  <c r="K36" i="17"/>
  <c r="K23" i="12"/>
  <c r="K46" i="17"/>
  <c r="K32" i="17"/>
  <c r="K13" i="15"/>
  <c r="K16" i="15" s="1"/>
  <c r="K21" i="15" s="1"/>
  <c r="K38" i="17" s="1"/>
  <c r="K42" i="16"/>
  <c r="K54" i="8"/>
  <c r="K55" i="8" s="1"/>
  <c r="K46" i="12" l="1"/>
  <c r="M39" i="23"/>
  <c r="M34" i="23"/>
  <c r="K43" i="16"/>
  <c r="F45" i="16"/>
  <c r="L14" i="12"/>
  <c r="L36" i="17" s="1"/>
  <c r="L62" i="8"/>
  <c r="L68" i="8" s="1"/>
  <c r="L28" i="17" s="1"/>
  <c r="L49" i="8"/>
  <c r="L52" i="8" s="1"/>
  <c r="L34" i="17"/>
  <c r="L13" i="13"/>
  <c r="L21" i="13" s="1"/>
  <c r="L33" i="13" s="1"/>
  <c r="L34" i="13" s="1"/>
  <c r="M35" i="23"/>
  <c r="M40" i="23" s="1"/>
  <c r="N24" i="23"/>
  <c r="N25" i="23"/>
  <c r="O22" i="23" s="1"/>
  <c r="N23" i="23"/>
  <c r="N27" i="23" s="1"/>
  <c r="N32" i="23" s="1"/>
  <c r="L32" i="16"/>
  <c r="L29" i="16"/>
  <c r="L33" i="16" s="1"/>
  <c r="M41" i="23" l="1"/>
  <c r="M28" i="13" s="1"/>
  <c r="M31" i="13" s="1"/>
  <c r="L38" i="13"/>
  <c r="L39" i="12" s="1"/>
  <c r="L41" i="12" s="1"/>
  <c r="L44" i="12" s="1"/>
  <c r="M32" i="13"/>
  <c r="M36" i="23"/>
  <c r="M44" i="8" s="1"/>
  <c r="L13" i="15"/>
  <c r="L16" i="15" s="1"/>
  <c r="L21" i="15" s="1"/>
  <c r="L38" i="17" s="1"/>
  <c r="L42" i="16"/>
  <c r="L43" i="16" s="1"/>
  <c r="L54" i="8"/>
  <c r="L55" i="8" s="1"/>
  <c r="L23" i="12"/>
  <c r="L46" i="17"/>
  <c r="L32" i="17"/>
  <c r="N31" i="23"/>
  <c r="O21" i="23"/>
  <c r="M43" i="12" l="1"/>
  <c r="N38" i="23"/>
  <c r="L46" i="12"/>
  <c r="O24" i="23"/>
  <c r="O25" i="23"/>
  <c r="O23" i="23"/>
  <c r="O27" i="23" s="1"/>
  <c r="O32" i="23" s="1"/>
  <c r="N39" i="23"/>
  <c r="N34" i="23"/>
  <c r="N35" i="23"/>
  <c r="N40" i="23" s="1"/>
  <c r="M14" i="16"/>
  <c r="M16" i="16" s="1"/>
  <c r="M19" i="16" s="1"/>
  <c r="M45" i="8"/>
  <c r="N41" i="23" l="1"/>
  <c r="N28" i="13" s="1"/>
  <c r="N31" i="13" s="1"/>
  <c r="M32" i="16"/>
  <c r="M29" i="16"/>
  <c r="M33" i="16" s="1"/>
  <c r="M62" i="8"/>
  <c r="M68" i="8" s="1"/>
  <c r="M28" i="17" s="1"/>
  <c r="M34" i="17"/>
  <c r="M13" i="13"/>
  <c r="M21" i="13" s="1"/>
  <c r="M33" i="13" s="1"/>
  <c r="M34" i="13" s="1"/>
  <c r="M49" i="8"/>
  <c r="M52" i="8" s="1"/>
  <c r="M14" i="12"/>
  <c r="N36" i="23"/>
  <c r="N44" i="8" s="1"/>
  <c r="O31" i="23"/>
  <c r="O35" i="23" s="1"/>
  <c r="O40" i="23" s="1"/>
  <c r="N43" i="12" l="1"/>
  <c r="O38" i="23"/>
  <c r="N45" i="8"/>
  <c r="N14" i="16"/>
  <c r="N16" i="16" s="1"/>
  <c r="N19" i="16" s="1"/>
  <c r="M36" i="17"/>
  <c r="M32" i="17"/>
  <c r="M23" i="12"/>
  <c r="M46" i="17"/>
  <c r="M42" i="16"/>
  <c r="M43" i="16" s="1"/>
  <c r="M13" i="15"/>
  <c r="M16" i="15" s="1"/>
  <c r="M21" i="15" s="1"/>
  <c r="M38" i="17" s="1"/>
  <c r="M54" i="8"/>
  <c r="M55" i="8" s="1"/>
  <c r="O39" i="23"/>
  <c r="O34" i="23"/>
  <c r="O36" i="23" s="1"/>
  <c r="O44" i="8" s="1"/>
  <c r="N32" i="13"/>
  <c r="M38" i="13"/>
  <c r="M39" i="12" s="1"/>
  <c r="M41" i="12" s="1"/>
  <c r="M44" i="12" s="1"/>
  <c r="O41" i="23" l="1"/>
  <c r="O28" i="13" s="1"/>
  <c r="O31" i="13" s="1"/>
  <c r="N32" i="16"/>
  <c r="N29" i="16"/>
  <c r="N33" i="16" s="1"/>
  <c r="M46" i="12"/>
  <c r="N14" i="12"/>
  <c r="N36" i="17" s="1"/>
  <c r="N62" i="8"/>
  <c r="N68" i="8" s="1"/>
  <c r="N34" i="17"/>
  <c r="N13" i="13"/>
  <c r="N21" i="13" s="1"/>
  <c r="N33" i="13" s="1"/>
  <c r="N34" i="13" s="1"/>
  <c r="N49" i="8"/>
  <c r="N52" i="8" s="1"/>
  <c r="O45" i="8"/>
  <c r="O14" i="16"/>
  <c r="O16" i="16" s="1"/>
  <c r="O19" i="16" s="1"/>
  <c r="O43" i="12" l="1"/>
  <c r="O62" i="8"/>
  <c r="O68" i="8" s="1"/>
  <c r="O28" i="17" s="1"/>
  <c r="O49" i="8"/>
  <c r="O52" i="8" s="1"/>
  <c r="O34" i="17"/>
  <c r="F35" i="17" s="1"/>
  <c r="O13" i="13"/>
  <c r="O21" i="13" s="1"/>
  <c r="O33" i="13" s="1"/>
  <c r="N42" i="16"/>
  <c r="N13" i="15"/>
  <c r="N16" i="15" s="1"/>
  <c r="N54" i="8"/>
  <c r="N55" i="8" s="1"/>
  <c r="N28" i="17"/>
  <c r="F69" i="8"/>
  <c r="N38" i="13"/>
  <c r="N39" i="12" s="1"/>
  <c r="N41" i="12" s="1"/>
  <c r="N44" i="12" s="1"/>
  <c r="O32" i="13"/>
  <c r="N46" i="17"/>
  <c r="N23" i="12"/>
  <c r="N32" i="17"/>
  <c r="O14" i="12"/>
  <c r="O30" i="16"/>
  <c r="O31" i="16" s="1"/>
  <c r="O29" i="16"/>
  <c r="O32" i="16" l="1"/>
  <c r="D37" i="16" s="1"/>
  <c r="N46" i="12"/>
  <c r="O23" i="12"/>
  <c r="O32" i="17"/>
  <c r="F33" i="17" s="1"/>
  <c r="O46" i="17"/>
  <c r="F47" i="17" s="1"/>
  <c r="O33" i="16"/>
  <c r="N43" i="16"/>
  <c r="O54" i="8"/>
  <c r="O55" i="8" s="1"/>
  <c r="O13" i="15"/>
  <c r="O16" i="15" s="1"/>
  <c r="O21" i="15" s="1"/>
  <c r="O42" i="16"/>
  <c r="D50" i="16" s="1" a="1"/>
  <c r="O34" i="13"/>
  <c r="O38" i="13" s="1"/>
  <c r="O39" i="12" s="1"/>
  <c r="O41" i="12" s="1"/>
  <c r="O44" i="12" s="1"/>
  <c r="D35" i="16"/>
  <c r="N21" i="15"/>
  <c r="N38" i="17" s="1"/>
  <c r="O36" i="17"/>
  <c r="F37" i="17" s="1"/>
  <c r="F29" i="17"/>
  <c r="F23" i="15" l="1"/>
  <c r="P16" i="15"/>
  <c r="F22" i="15" s="1"/>
  <c r="O38" i="17"/>
  <c r="F39" i="17" s="1"/>
  <c r="D51" i="16"/>
  <c r="D59" i="16"/>
  <c r="D58" i="16"/>
  <c r="D55" i="16"/>
  <c r="D52" i="16"/>
  <c r="D53" i="16"/>
  <c r="D54" i="16"/>
  <c r="D56" i="16"/>
  <c r="D57" i="16"/>
  <c r="D50" i="16"/>
  <c r="O43" i="16"/>
  <c r="O46" i="12"/>
  <c r="D60" i="16" l="1"/>
  <c r="E50" i="16"/>
  <c r="E51" i="16" s="1"/>
  <c r="E52" i="16" s="1"/>
  <c r="E53" i="16" s="1"/>
  <c r="E54" i="16" l="1"/>
  <c r="E55" i="16" l="1"/>
  <c r="E56" i="16" s="1"/>
  <c r="E57" i="16" s="1"/>
  <c r="E58" i="16" s="1"/>
  <c r="E59" i="16" s="1"/>
  <c r="D62"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10" authorId="0" shapeId="0" xr:uid="{00000000-0006-0000-0200-000001000000}">
      <text>
        <r>
          <rPr>
            <b/>
            <sz val="9"/>
            <color indexed="81"/>
            <rFont val="Tahoma"/>
            <family val="2"/>
          </rPr>
          <t>Author:</t>
        </r>
        <r>
          <rPr>
            <sz val="9"/>
            <color indexed="81"/>
            <rFont val="Tahoma"/>
            <family val="2"/>
          </rPr>
          <t xml:space="preserve">
USD/INR dated 12/02/2025</t>
        </r>
      </text>
    </comment>
    <comment ref="D25" authorId="0" shapeId="0" xr:uid="{00000000-0006-0000-0200-000002000000}">
      <text>
        <r>
          <rPr>
            <b/>
            <sz val="9"/>
            <color indexed="81"/>
            <rFont val="Tahoma"/>
            <family val="2"/>
          </rPr>
          <t>Author:</t>
        </r>
        <r>
          <rPr>
            <sz val="9"/>
            <color indexed="81"/>
            <rFont val="Tahoma"/>
            <family val="2"/>
          </rPr>
          <t xml:space="preserve">
Additional machinery cost 0.82 crores loan amount is 0.82*75%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54" authorId="0" shapeId="0" xr:uid="{00000000-0006-0000-0400-000001000000}">
      <text>
        <r>
          <rPr>
            <b/>
            <sz val="9"/>
            <color indexed="81"/>
            <rFont val="Tahoma"/>
            <family val="2"/>
          </rPr>
          <t xml:space="preserve">From the sample of invoices provided by client of similar industry
</t>
        </r>
      </text>
    </comment>
    <comment ref="D59" authorId="0" shapeId="0" xr:uid="{00000000-0006-0000-0400-000002000000}">
      <text>
        <r>
          <rPr>
            <b/>
            <sz val="9"/>
            <color indexed="81"/>
            <rFont val="Tahoma"/>
            <family val="2"/>
          </rPr>
          <t>Author:</t>
        </r>
        <r>
          <rPr>
            <sz val="9"/>
            <color indexed="81"/>
            <rFont val="Tahoma"/>
            <family val="2"/>
          </rPr>
          <t xml:space="preserve">
As per the information provided by the client but total amount has been charged from client
</t>
        </r>
      </text>
    </comment>
    <comment ref="D63" authorId="0" shapeId="0" xr:uid="{00000000-0006-0000-0400-000003000000}">
      <text>
        <r>
          <rPr>
            <b/>
            <sz val="9"/>
            <color indexed="81"/>
            <rFont val="Tahoma"/>
            <family val="2"/>
          </rPr>
          <t>Author:</t>
        </r>
        <r>
          <rPr>
            <sz val="9"/>
            <color indexed="81"/>
            <rFont val="Tahoma"/>
            <family val="2"/>
          </rPr>
          <t xml:space="preserve">
Rajsthan Investment Promotion Scheme
</t>
        </r>
      </text>
    </comment>
    <comment ref="D67" authorId="0" shapeId="0" xr:uid="{00000000-0006-0000-0400-000004000000}">
      <text>
        <r>
          <rPr>
            <b/>
            <sz val="9"/>
            <color indexed="81"/>
            <rFont val="Tahoma"/>
            <family val="2"/>
          </rPr>
          <t>Author:</t>
        </r>
        <r>
          <rPr>
            <sz val="9"/>
            <color indexed="81"/>
            <rFont val="Tahoma"/>
            <family val="2"/>
          </rPr>
          <t xml:space="preserve">
As per the similar company invoices ptrovided by client
</t>
        </r>
      </text>
    </comment>
    <comment ref="D69" authorId="0" shapeId="0" xr:uid="{00000000-0006-0000-0400-000005000000}">
      <text>
        <r>
          <rPr>
            <b/>
            <sz val="9"/>
            <color indexed="81"/>
            <rFont val="Tahoma"/>
            <family val="2"/>
          </rPr>
          <t>Author:</t>
        </r>
        <r>
          <rPr>
            <sz val="9"/>
            <color indexed="81"/>
            <rFont val="Tahoma"/>
            <family val="2"/>
          </rPr>
          <t xml:space="preserve">
As per the invoices provided by clienyt of similar comoany
</t>
        </r>
      </text>
    </comment>
    <comment ref="D85" authorId="0" shapeId="0" xr:uid="{00000000-0006-0000-0400-000006000000}">
      <text>
        <r>
          <rPr>
            <b/>
            <sz val="9"/>
            <color indexed="81"/>
            <rFont val="Tahoma"/>
            <family val="2"/>
          </rPr>
          <t>Author:</t>
        </r>
        <r>
          <rPr>
            <sz val="9"/>
            <color indexed="81"/>
            <rFont val="Tahoma"/>
            <family val="2"/>
          </rPr>
          <t xml:space="preserve">
As client has provided the electricity bill of existing plant of 5000 MTPA capacity</t>
        </r>
      </text>
    </comment>
    <comment ref="D86" authorId="0" shapeId="0" xr:uid="{00000000-0006-0000-0400-000007000000}">
      <text>
        <r>
          <rPr>
            <b/>
            <sz val="9"/>
            <color indexed="81"/>
            <rFont val="Tahoma"/>
            <family val="2"/>
          </rPr>
          <t>Author:</t>
        </r>
        <r>
          <rPr>
            <sz val="9"/>
            <color indexed="81"/>
            <rFont val="Tahoma"/>
            <family val="2"/>
          </rPr>
          <t xml:space="preserve">
AS per tarrif of Rajsthan
 govt.
As per RIPS Policy exemption from payment of 100% of electricity duty for 7 years 
Further as per Rajsthan Govt rate of electricity duty for commercial is 40 paise per unit</t>
        </r>
      </text>
    </comment>
    <comment ref="D87" authorId="0" shapeId="0" xr:uid="{00000000-0006-0000-0400-000008000000}">
      <text>
        <r>
          <rPr>
            <b/>
            <sz val="9"/>
            <color indexed="81"/>
            <rFont val="Tahoma"/>
            <family val="2"/>
          </rPr>
          <t>Author:</t>
        </r>
        <r>
          <rPr>
            <sz val="9"/>
            <color indexed="81"/>
            <rFont val="Tahoma"/>
            <family val="2"/>
          </rPr>
          <t xml:space="preserve">
https://economictimes.indiatimes.com/news/economy/indicators/rbi-monetary-policy-live-rbi-leaves-inflation-projection-for-fy25-unchanged-at-4-5/articleshow/109052915.cms</t>
        </r>
      </text>
    </comment>
    <comment ref="D94" authorId="0" shapeId="0" xr:uid="{00000000-0006-0000-0400-000009000000}">
      <text>
        <r>
          <rPr>
            <b/>
            <sz val="9"/>
            <color indexed="81"/>
            <rFont val="Tahoma"/>
            <family val="2"/>
          </rPr>
          <t>Author:</t>
        </r>
        <r>
          <rPr>
            <sz val="9"/>
            <color indexed="81"/>
            <rFont val="Tahoma"/>
            <family val="2"/>
          </rPr>
          <t xml:space="preserve">
As per RIPS Policy 50% of employer's contribution to EPF ESI for 7 years</t>
        </r>
      </text>
    </comment>
    <comment ref="D95" authorId="0" shapeId="0" xr:uid="{00000000-0006-0000-0400-00000A000000}">
      <text>
        <r>
          <rPr>
            <b/>
            <sz val="9"/>
            <color indexed="81"/>
            <rFont val="Tahoma"/>
            <family val="2"/>
          </rPr>
          <t>Author:</t>
        </r>
        <r>
          <rPr>
            <sz val="9"/>
            <color indexed="81"/>
            <rFont val="Tahoma"/>
            <family val="2"/>
          </rPr>
          <t xml:space="preserve">
As per the information provided by client of existing comoany of 5000 MTPA</t>
        </r>
      </text>
    </comment>
    <comment ref="D122" authorId="0" shapeId="0" xr:uid="{00000000-0006-0000-0400-00000B000000}">
      <text>
        <r>
          <rPr>
            <b/>
            <sz val="9"/>
            <color indexed="81"/>
            <rFont val="Tahoma"/>
            <family val="2"/>
          </rPr>
          <t>Author:</t>
        </r>
        <r>
          <rPr>
            <sz val="9"/>
            <color indexed="81"/>
            <rFont val="Tahoma"/>
            <family val="2"/>
          </rPr>
          <t xml:space="preserve">
Sensitivity at 2% higher finance cost</t>
        </r>
      </text>
    </comment>
    <comment ref="D123" authorId="0" shapeId="0" xr:uid="{00000000-0006-0000-0400-00000C000000}">
      <text>
        <r>
          <rPr>
            <b/>
            <sz val="9"/>
            <color indexed="81"/>
            <rFont val="Tahoma"/>
            <family val="2"/>
          </rPr>
          <t>Author:</t>
        </r>
        <r>
          <rPr>
            <sz val="9"/>
            <color indexed="81"/>
            <rFont val="Tahoma"/>
            <family val="2"/>
          </rPr>
          <t xml:space="preserve">
Sensitivity at 2% higher finance cost</t>
        </r>
      </text>
    </comment>
    <comment ref="D124" authorId="0" shapeId="0" xr:uid="{00000000-0006-0000-0400-00000D000000}">
      <text>
        <r>
          <rPr>
            <b/>
            <sz val="9"/>
            <color indexed="81"/>
            <rFont val="Tahoma"/>
            <family val="2"/>
          </rPr>
          <t>Author:</t>
        </r>
        <r>
          <rPr>
            <sz val="9"/>
            <color indexed="81"/>
            <rFont val="Tahoma"/>
            <family val="2"/>
          </rPr>
          <t xml:space="preserve">
Sensitivity at 2% higher finance cost</t>
        </r>
      </text>
    </comment>
    <comment ref="D130" authorId="0" shapeId="0" xr:uid="{00000000-0006-0000-0400-00000E000000}">
      <text>
        <r>
          <rPr>
            <b/>
            <sz val="9"/>
            <color indexed="81"/>
            <rFont val="Tahoma"/>
            <family val="2"/>
          </rPr>
          <t>Author:</t>
        </r>
        <r>
          <rPr>
            <sz val="9"/>
            <color indexed="81"/>
            <rFont val="Tahoma"/>
            <family val="2"/>
          </rPr>
          <t xml:space="preserve">
https://scripbox.com/tax/section-80jja-income-tax-act/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C101" authorId="0" shapeId="0" xr:uid="{00000000-0006-0000-0500-000001000000}">
      <text>
        <r>
          <rPr>
            <b/>
            <sz val="9"/>
            <color indexed="81"/>
            <rFont val="Tahoma"/>
            <family val="2"/>
          </rPr>
          <t>Author:</t>
        </r>
        <r>
          <rPr>
            <sz val="9"/>
            <color indexed="81"/>
            <rFont val="Tahoma"/>
            <family val="2"/>
          </rPr>
          <t xml:space="preserve">
As per CMA data provided by client average of latest 3 years has considered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G15" authorId="0" shapeId="0" xr:uid="{00000000-0006-0000-0A00-000001000000}">
      <text>
        <r>
          <rPr>
            <b/>
            <sz val="9"/>
            <color indexed="81"/>
            <rFont val="Tahoma"/>
            <family val="2"/>
          </rPr>
          <t>Author:</t>
        </r>
        <r>
          <rPr>
            <sz val="9"/>
            <color indexed="81"/>
            <rFont val="Tahoma"/>
            <family val="2"/>
          </rPr>
          <t xml:space="preserve">
https://taxadda.com/depreciation-rates-as-per-companies-act-2013/</t>
        </r>
      </text>
    </comment>
    <comment ref="H15" authorId="0" shapeId="0" xr:uid="{00000000-0006-0000-0A00-000002000000}">
      <text>
        <r>
          <rPr>
            <b/>
            <sz val="9"/>
            <color indexed="81"/>
            <rFont val="Tahoma"/>
            <family val="2"/>
          </rPr>
          <t>Author:</t>
        </r>
        <r>
          <rPr>
            <sz val="9"/>
            <color indexed="81"/>
            <rFont val="Tahoma"/>
            <family val="2"/>
          </rPr>
          <t xml:space="preserve">
https://taxadda.com/deferred-tax-asset-deferred-tax-liability-dta-dtl/</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22" authorId="0" shapeId="0" xr:uid="{00000000-0006-0000-0E00-000001000000}">
      <text>
        <r>
          <rPr>
            <b/>
            <i/>
            <sz val="9"/>
            <color indexed="81"/>
            <rFont val="Tahoma"/>
            <family val="2"/>
          </rPr>
          <t>Author:</t>
        </r>
        <r>
          <rPr>
            <i/>
            <sz val="9"/>
            <color indexed="81"/>
            <rFont val="Tahoma"/>
            <family val="2"/>
          </rPr>
          <t xml:space="preserve">
https://kunaldesai.blog/nifty-50-cagr-last-20-years/
Nifty fifty 20-year CAGR is cosidered as Required rate of return from the project</t>
        </r>
      </text>
    </comment>
    <comment ref="D79" authorId="0" shapeId="0" xr:uid="{00000000-0006-0000-0E00-000002000000}">
      <text>
        <r>
          <rPr>
            <b/>
            <sz val="9"/>
            <color indexed="81"/>
            <rFont val="Tahoma"/>
            <family val="2"/>
          </rPr>
          <t>Author:</t>
        </r>
        <r>
          <rPr>
            <sz val="9"/>
            <color indexed="81"/>
            <rFont val="Tahoma"/>
            <family val="2"/>
          </rPr>
          <t xml:space="preserve">
Nifty 50 5 year CAGR as on 13/feb/2025
</t>
        </r>
      </text>
    </comment>
  </commentList>
</comments>
</file>

<file path=xl/sharedStrings.xml><?xml version="1.0" encoding="utf-8"?>
<sst xmlns="http://schemas.openxmlformats.org/spreadsheetml/2006/main" count="1374" uniqueCount="892">
  <si>
    <t>(Common Assumption)</t>
  </si>
  <si>
    <t>General Assumptions</t>
  </si>
  <si>
    <t>Particular</t>
  </si>
  <si>
    <t>Input</t>
  </si>
  <si>
    <t>Date of Assessment</t>
  </si>
  <si>
    <t>Assessment_Date</t>
  </si>
  <si>
    <t>start_date</t>
  </si>
  <si>
    <t>Completion Date</t>
  </si>
  <si>
    <t>Completion_date</t>
  </si>
  <si>
    <t>SCOD</t>
  </si>
  <si>
    <t>commerical</t>
  </si>
  <si>
    <t>Total Analysis Period</t>
  </si>
  <si>
    <t>Projection</t>
  </si>
  <si>
    <t>Model End Date</t>
  </si>
  <si>
    <t>end_date</t>
  </si>
  <si>
    <t>Operating  Assumptions</t>
  </si>
  <si>
    <t>Value</t>
  </si>
  <si>
    <t>Unit</t>
  </si>
  <si>
    <t>No. of daily Operation Hours</t>
  </si>
  <si>
    <t>hours</t>
  </si>
  <si>
    <t>No. of days per Annum</t>
  </si>
  <si>
    <t xml:space="preserve">No. of Working days Per Annum </t>
  </si>
  <si>
    <t>Selling Price</t>
  </si>
  <si>
    <t>Escalation on Selling Price</t>
  </si>
  <si>
    <t>Escalation on RM Cost</t>
  </si>
  <si>
    <t>Process cost, material and consumables</t>
  </si>
  <si>
    <t>Salary &amp; Wages</t>
  </si>
  <si>
    <t>Maintenance on Plant (% of Gross Block)</t>
  </si>
  <si>
    <t>Civil</t>
  </si>
  <si>
    <t>Plant and Administrative Overhead Expenses</t>
  </si>
  <si>
    <t>Other Manufacturing Expenses</t>
  </si>
  <si>
    <t>Escalation on Salaries &amp; Wages</t>
  </si>
  <si>
    <t>WC Holding Periods Distillery</t>
  </si>
  <si>
    <t>Raw Materials</t>
  </si>
  <si>
    <t>WIP</t>
  </si>
  <si>
    <t>Finished Goods</t>
  </si>
  <si>
    <t>Loan Schedule</t>
  </si>
  <si>
    <t xml:space="preserve">Interest on WC </t>
  </si>
  <si>
    <t xml:space="preserve">Interest on TL </t>
  </si>
  <si>
    <t>Door to Door Tenure</t>
  </si>
  <si>
    <t>Moratorium before after SCOD</t>
  </si>
  <si>
    <t>Moratorium period after SCOD</t>
  </si>
  <si>
    <t>(Revenue &amp; Expense Modelling)</t>
  </si>
  <si>
    <t>Operational Years</t>
  </si>
  <si>
    <t>Year Ending (INR Crore)</t>
  </si>
  <si>
    <t>FY</t>
  </si>
  <si>
    <t>Year Counter</t>
  </si>
  <si>
    <t>Months Counter</t>
  </si>
  <si>
    <t>Total Output</t>
  </si>
  <si>
    <t>Revenue Modelling</t>
  </si>
  <si>
    <t>No. of working days (projected)</t>
  </si>
  <si>
    <t>Escalation in Selling price</t>
  </si>
  <si>
    <t>%</t>
  </si>
  <si>
    <t>INR/KG</t>
  </si>
  <si>
    <t>Expense Modelling</t>
  </si>
  <si>
    <t>Raw Material Cost</t>
  </si>
  <si>
    <t>Raw Material Requirement</t>
  </si>
  <si>
    <t>Total Raw Material Cost</t>
  </si>
  <si>
    <t>Total Project Cost</t>
  </si>
  <si>
    <t>Amount INR Crore</t>
  </si>
  <si>
    <t>Sub Total</t>
  </si>
  <si>
    <t>Means of Finance</t>
  </si>
  <si>
    <t>Land Cost</t>
  </si>
  <si>
    <t>Building &amp; Civil Works</t>
  </si>
  <si>
    <t>Plant &amp; Machinery</t>
  </si>
  <si>
    <t>Vehicles</t>
  </si>
  <si>
    <t>Office equipment</t>
  </si>
  <si>
    <t>Associated Additional Cost</t>
  </si>
  <si>
    <t>Grand Total (TPC)</t>
  </si>
  <si>
    <t>Net Revenue</t>
  </si>
  <si>
    <t xml:space="preserve">Estimated Cost of 14500 CuM Biogas Plant (6 TPD CBG) </t>
  </si>
  <si>
    <t>Sr No</t>
  </si>
  <si>
    <t>Particulars of unit required</t>
  </si>
  <si>
    <t>Unit Price</t>
  </si>
  <si>
    <t>Rate</t>
  </si>
  <si>
    <t>Amount</t>
  </si>
  <si>
    <t>1)</t>
  </si>
  <si>
    <t>Pre-Operational Expenses (Before Loan Disbursal)</t>
  </si>
  <si>
    <t>i)</t>
  </si>
  <si>
    <t>Formation of New Company, Obtaining MSME Registration and Registration with concerned authorities and cost of website Development and Logo Designing</t>
  </si>
  <si>
    <t>INR</t>
  </si>
  <si>
    <t>L/S</t>
  </si>
  <si>
    <t>ii)</t>
  </si>
  <si>
    <t>ROC Fee for Paid-up Capital and Company Share Demat Charges on NSDL</t>
  </si>
  <si>
    <t>iii)</t>
  </si>
  <si>
    <t>CA Fee + Transport Cost</t>
  </si>
  <si>
    <t>iv)</t>
  </si>
  <si>
    <t>Expenses for NOC's (PESO + Pollution + Ground Water + Local Panchayat)</t>
  </si>
  <si>
    <t>v)</t>
  </si>
  <si>
    <t>Project Report Charges - Tech Consultant</t>
  </si>
  <si>
    <t>vi)</t>
  </si>
  <si>
    <t>Documentation for Project Approval from IOCL / GAIL and State Nodal Agency</t>
  </si>
  <si>
    <t>vii)</t>
  </si>
  <si>
    <t>Bank Guarantee for IOCL / GAIL for signing of CBG Sale Agreement for 15 Yrs.</t>
  </si>
  <si>
    <t>viii)</t>
  </si>
  <si>
    <t xml:space="preserve">Property Valuation + Legal &amp; Insurance Expenses </t>
  </si>
  <si>
    <t>2)</t>
  </si>
  <si>
    <t>Project Finance</t>
  </si>
  <si>
    <t>Loan Application Fee</t>
  </si>
  <si>
    <t xml:space="preserve">Loan Processing Fee @ 0.75% on loan amount (apox 29 Cr) </t>
  </si>
  <si>
    <t xml:space="preserve">Third Party Agency Charges + Legal Charges </t>
  </si>
  <si>
    <t>Electricity Connection for Project Construction</t>
  </si>
  <si>
    <t xml:space="preserve">Project Finance + Stamp Papers + Project Insurance </t>
  </si>
  <si>
    <t>3)</t>
  </si>
  <si>
    <t xml:space="preserve">CIVIL WORKS - Site Development </t>
  </si>
  <si>
    <t xml:space="preserve">i) </t>
  </si>
  <si>
    <t xml:space="preserve">Soil Testing + Back Filling + Boundary Wall Fencing + Main Gate + Security &amp; Weighbridge Room </t>
  </si>
  <si>
    <t>Road + Development of Green Area</t>
  </si>
  <si>
    <t>Office Block + Labor Room + Toilet Block + Kitchen  (2000 Sq Ft)</t>
  </si>
  <si>
    <t>Shade for Gas Purification (12 X 36 Meters)</t>
  </si>
  <si>
    <t xml:space="preserve">Shade for Fertilizer Zone (6 X 10 Meters) </t>
  </si>
  <si>
    <t>CCTV + Street Lights</t>
  </si>
  <si>
    <t>3A)</t>
  </si>
  <si>
    <t>CIVIL WORKS -  Feed Preparation Pits + Slurry Pit + Digesters</t>
  </si>
  <si>
    <t>Soil Cutting for Mixing Pits (03 Nos &amp; Slurry Pit (8 Mtrs X 4 Mtrs)</t>
  </si>
  <si>
    <t>Soil Cutting for Digesters (02 Nos) - 30 Mtrs X 10 Mtrs</t>
  </si>
  <si>
    <t>Pilling &amp; PCC Const of Mixing Pits (03 Nos + 01 Slurry Pit (8 Mtrs X 4 Mtrs)</t>
  </si>
  <si>
    <t>Pilling &amp; RCC of Digesters (02 No) - 30 Mtrs X 10 Mtrs</t>
  </si>
  <si>
    <t>Digester monitoring ladder &amp; crow’s nest</t>
  </si>
  <si>
    <t xml:space="preserve">Center Pillars for Digesters (02 No) </t>
  </si>
  <si>
    <t>Epoxy &amp; Insulation on Digester</t>
  </si>
  <si>
    <t>Pilling &amp; Foundation of Purification Shades (12 X 30 Meters) - 3900 Sq Ft</t>
  </si>
  <si>
    <t>ix)</t>
  </si>
  <si>
    <t xml:space="preserve">Fertilizer Zone Shades (6 X 10 Meters) </t>
  </si>
  <si>
    <t>x)</t>
  </si>
  <si>
    <t>Piling &amp; Foundation of Weighbridge (250 mm) - 4.5 x 16 Mtr</t>
  </si>
  <si>
    <t>xi)</t>
  </si>
  <si>
    <t xml:space="preserve">DG Foundation &amp; Panel + Store Room (600 Ft) </t>
  </si>
  <si>
    <t>xii)</t>
  </si>
  <si>
    <t>Feed Preparation Area &amp; Ramp</t>
  </si>
  <si>
    <t>xiii)</t>
  </si>
  <si>
    <t xml:space="preserve">Construction of Water Treatment Area &amp; Water Storage </t>
  </si>
  <si>
    <t>xiv)</t>
  </si>
  <si>
    <t>Parking Area</t>
  </si>
  <si>
    <t>4)</t>
  </si>
  <si>
    <t>Mechanical Equipments</t>
  </si>
  <si>
    <t xml:space="preserve">Mixers of 11 Kva for Mixing Pits &amp; Slurry Pit (04 Nos) with Accessories </t>
  </si>
  <si>
    <t xml:space="preserve">Submersible Pumps of 7.5 KVA for transferring the Slurry with Accessories </t>
  </si>
  <si>
    <t>Installation of Pumps &amp; Mixers in Mixing &amp; Slurry Pits</t>
  </si>
  <si>
    <t xml:space="preserve">iv) </t>
  </si>
  <si>
    <t xml:space="preserve">vi) </t>
  </si>
  <si>
    <t>Heating System</t>
  </si>
  <si>
    <t xml:space="preserve">Double Membrane Raw Gas holder of 3300 CuM (Fabric - EU Origin) including all accessories and safety valve and observation window </t>
  </si>
  <si>
    <t>VPSA Biogas Purification Plant (Sonitech-100 Cum/ hr) + H2S Desulphurization Tower (Filled with Catalyst) + Chiller + Automatic Control Panel with PLC + CO2 Gas Dryer</t>
  </si>
  <si>
    <t xml:space="preserve">PSA Absorber Towers - Filled with Molecular Sieves (P140 + 4A + Booster Chemical) - Made in France </t>
  </si>
  <si>
    <t xml:space="preserve">Biogas burner / Flare                         </t>
  </si>
  <si>
    <t>Condensate and Sediment trap (VS-5) for removing the Moisture</t>
  </si>
  <si>
    <t>Online Biogas Analyzer for (Ch4, H2S + Co2 + Moisture)</t>
  </si>
  <si>
    <t xml:space="preserve">Over / Under Gas Pressure Relief Valve ((Hydraulic - OUPV) </t>
  </si>
  <si>
    <t>Biogas Compressor (JYOTECH) of capacity 650 Nm3/hr with discharge pressure 250 Kg/cm2g for bottling of CNG into Cascades</t>
  </si>
  <si>
    <t xml:space="preserve">CNG Cylinder Cascade (4500 WL of 75 Cylinders) with Tubing Sandvik, Parker / Swagelok / Jindal Fittings </t>
  </si>
  <si>
    <t>Cascades Safety Valves, Tubing SS 316 connecting System with 4 Nos of Output for Cascades filling, Pressure Gauge, Safety Valves, Seal Excel Ratnamani / Sandvik</t>
  </si>
  <si>
    <t>L/s</t>
  </si>
  <si>
    <t>LCV Post with Mass Flow Meter, GIC Gauge Manifold with QRC &amp; Connected 5 Meters Hose, QRC and Vent Line</t>
  </si>
  <si>
    <t>Solid Liquid Separators with Platform</t>
  </si>
  <si>
    <t>xv)</t>
  </si>
  <si>
    <t>Conversion of Liquid Fertilizers into Sloid Bio Fertilizer</t>
  </si>
  <si>
    <t>xvi)</t>
  </si>
  <si>
    <t>WTP / ETP &amp; Rain Water Harvesting System</t>
  </si>
  <si>
    <t>xvii)</t>
  </si>
  <si>
    <t>Conveyor Belt for Solid Liquid Separators &amp; Packing</t>
  </si>
  <si>
    <t>xviii)</t>
  </si>
  <si>
    <t xml:space="preserve">Bio Coal - Pallets Machine (2.5 ton / hr) </t>
  </si>
  <si>
    <t>xvix)</t>
  </si>
  <si>
    <t>Lab setup for monitoring of digestion process stability.</t>
  </si>
  <si>
    <t>5)</t>
  </si>
  <si>
    <t xml:space="preserve">Electrical, Instrumentation, PLC, data collection  </t>
  </si>
  <si>
    <t>Grid OLTC Transformer 100 KWA with Cables</t>
  </si>
  <si>
    <t>Electrical Panels</t>
  </si>
  <si>
    <t>CT-PT, GO-DO Set, Lighting Arrestors, Servo, Earthing, ACB Panel with Power Factor (400 KVAR ADFC with 1600 AMP ACB), VCB and Cable for HT &amp; LT</t>
  </si>
  <si>
    <t xml:space="preserve">SCADA - Schneider /  Honeywell Process Solutions with Control Panel with Switches </t>
  </si>
  <si>
    <t>Cables &amp; Fittings</t>
  </si>
  <si>
    <t>Genset (Diesel) - 350 KVA</t>
  </si>
  <si>
    <t>Fire Fighting System</t>
  </si>
  <si>
    <t>Lighting &amp; UPS</t>
  </si>
  <si>
    <t>6)</t>
  </si>
  <si>
    <t xml:space="preserve">Off-site Facilities </t>
  </si>
  <si>
    <t>Tractor Mounted Pay loaders, Trollies &amp; Others</t>
  </si>
  <si>
    <t>Tankers (3 Nos &amp; 02 Trolies)</t>
  </si>
  <si>
    <t>Napier Grass Cutter Machine (10 TPH)</t>
  </si>
  <si>
    <t xml:space="preserve">Project Vehicles / Mahindra </t>
  </si>
  <si>
    <t>Weighbridge - 80 Ton</t>
  </si>
  <si>
    <t>Computer &amp; Furniture etc</t>
  </si>
  <si>
    <t xml:space="preserve">Sub-Total </t>
  </si>
  <si>
    <t>7)</t>
  </si>
  <si>
    <t>EPC Contractor Charges @ 5%</t>
  </si>
  <si>
    <t>8)</t>
  </si>
  <si>
    <t xml:space="preserve">Cost of 5 Acres of Agriculture Land </t>
  </si>
  <si>
    <t>Expenses for Land Use conversion (CLU)</t>
  </si>
  <si>
    <t>Bank Guarantee for availing the 100% Stamp Duty</t>
  </si>
  <si>
    <t>Transport Cost</t>
  </si>
  <si>
    <t>Electricity Connection Charges</t>
  </si>
  <si>
    <t xml:space="preserve">Contingencies </t>
  </si>
  <si>
    <t>Working Capital</t>
  </si>
  <si>
    <t>Margin for Working capital &amp; Advance for Raw Material</t>
  </si>
  <si>
    <t>IDC on term loan</t>
  </si>
  <si>
    <t>Adjustable GST</t>
  </si>
  <si>
    <t>PROJECT COST IN INR</t>
  </si>
  <si>
    <r>
      <t xml:space="preserve">Govt Subsidies on Plant - </t>
    </r>
    <r>
      <rPr>
        <sz val="8.5"/>
        <color theme="1"/>
        <rFont val="Arial"/>
        <family val="2"/>
      </rPr>
      <t>Rs. 80 Lac / Ton from GOI + 75 Lac/ Ton from UPNEDA + Carbon Credit @ Rs. 30 Lac / Yr</t>
    </r>
  </si>
  <si>
    <t>*Proposed Collateral of 3.0 Cr for IREDA @ 10% of Loan amount (Bank need min 40% Collateral Security)</t>
  </si>
  <si>
    <t>*Proposed BG Limit against Collateral of 1.35 Cr for UPNEDA @ 3% of Project Cost</t>
  </si>
  <si>
    <t>Land</t>
  </si>
  <si>
    <t>Pre OP Exp</t>
  </si>
  <si>
    <t>Mach</t>
  </si>
  <si>
    <t>Elec</t>
  </si>
  <si>
    <t>Veh</t>
  </si>
  <si>
    <t>Furni</t>
  </si>
  <si>
    <t>IDC</t>
  </si>
  <si>
    <t>Contgn.</t>
  </si>
  <si>
    <t>EPC</t>
  </si>
  <si>
    <t>Other site</t>
  </si>
  <si>
    <t>Land cost</t>
  </si>
  <si>
    <t>Electricals</t>
  </si>
  <si>
    <t>Pre-Operatives</t>
  </si>
  <si>
    <t>Interest During Construction</t>
  </si>
  <si>
    <t>Contingencies at 2% of Civil works, P&amp;M, Electricals</t>
  </si>
  <si>
    <t>Project Management Charges</t>
  </si>
  <si>
    <t>pre operative</t>
  </si>
  <si>
    <t>cr</t>
  </si>
  <si>
    <t>epc contractor charges</t>
  </si>
  <si>
    <t>1+2</t>
  </si>
  <si>
    <t>lakh</t>
  </si>
  <si>
    <t>electricity connection</t>
  </si>
  <si>
    <t>transportation</t>
  </si>
  <si>
    <t>GST Calculation</t>
  </si>
  <si>
    <t>Total</t>
  </si>
  <si>
    <t>part of contingent liability in TPC</t>
  </si>
  <si>
    <t>INR/KWh</t>
  </si>
  <si>
    <t>Electricity tarrif</t>
  </si>
  <si>
    <t>Power &amp; Utilities</t>
  </si>
  <si>
    <t>Escalation in Cost</t>
  </si>
  <si>
    <t>Annual Consumption of Power (Kwh)</t>
  </si>
  <si>
    <t>Tarrif (INR/Kwh)</t>
  </si>
  <si>
    <t>Electricity expenses</t>
  </si>
  <si>
    <t>Salary &amp; Wages Per Annum</t>
  </si>
  <si>
    <t>Projected Salary</t>
  </si>
  <si>
    <t xml:space="preserve">Salary &amp; Wages </t>
  </si>
  <si>
    <t>Escalation on Power Cost</t>
  </si>
  <si>
    <t xml:space="preserve">Power consumption </t>
  </si>
  <si>
    <t>Power Consumption per day</t>
  </si>
  <si>
    <t>INR/annum</t>
  </si>
  <si>
    <t>Days</t>
  </si>
  <si>
    <t>Yearly</t>
  </si>
  <si>
    <t>of Revenue</t>
  </si>
  <si>
    <t>% of Gross Block</t>
  </si>
  <si>
    <t>Escalation rate</t>
  </si>
  <si>
    <t xml:space="preserve">Overhead expenses </t>
  </si>
  <si>
    <t>Other manufacturing Expenses</t>
  </si>
  <si>
    <t>Other Manufacturing expenses</t>
  </si>
  <si>
    <t>(Profit &amp; Loss Account)</t>
  </si>
  <si>
    <t>Revenue</t>
  </si>
  <si>
    <t>Cost of Sales</t>
  </si>
  <si>
    <t>Raw Material</t>
  </si>
  <si>
    <t>Power &amp; Fuel</t>
  </si>
  <si>
    <t>Repair &amp; Maintenance</t>
  </si>
  <si>
    <t>Depreciation</t>
  </si>
  <si>
    <t>Cost of production</t>
  </si>
  <si>
    <t>Add: Opening Stock in Process</t>
  </si>
  <si>
    <t>Sub-Total</t>
  </si>
  <si>
    <t>Less: Closing Stock in Process</t>
  </si>
  <si>
    <t>Add: Opening Stocks of Finished Goods</t>
  </si>
  <si>
    <t>Less: Closing stocks of Finished Goods</t>
  </si>
  <si>
    <t>Total Cost of Sales</t>
  </si>
  <si>
    <t>Selling, General &amp; administration Expenses</t>
  </si>
  <si>
    <t>Preliminary Expenses written off</t>
  </si>
  <si>
    <t>EBIT</t>
  </si>
  <si>
    <t>Interest expenses</t>
  </si>
  <si>
    <t>Interest on term loan</t>
  </si>
  <si>
    <t>Interest on working capital</t>
  </si>
  <si>
    <t>Total Interest Expenses</t>
  </si>
  <si>
    <t>Profit after Taxes (PAT)</t>
  </si>
  <si>
    <t>(Loan Schedule)</t>
  </si>
  <si>
    <t>Opening Bal</t>
  </si>
  <si>
    <t>Disbursement</t>
  </si>
  <si>
    <t>Repayment</t>
  </si>
  <si>
    <t>Closing Principal o/s</t>
  </si>
  <si>
    <t>Interest</t>
  </si>
  <si>
    <t>TL Interest</t>
  </si>
  <si>
    <t>Loan Amount</t>
  </si>
  <si>
    <t>Interest Rate</t>
  </si>
  <si>
    <t>Op. Bal</t>
  </si>
  <si>
    <t>Cl. Bal</t>
  </si>
  <si>
    <t>Assumption</t>
  </si>
  <si>
    <t xml:space="preserve">Disbursement % </t>
  </si>
  <si>
    <t xml:space="preserve">Repayment % </t>
  </si>
  <si>
    <t>2024-25</t>
  </si>
  <si>
    <t>Apr</t>
  </si>
  <si>
    <t>May</t>
  </si>
  <si>
    <t>June</t>
  </si>
  <si>
    <t>July</t>
  </si>
  <si>
    <t>Aug</t>
  </si>
  <si>
    <t>Sept</t>
  </si>
  <si>
    <t>Oct</t>
  </si>
  <si>
    <t>Nov</t>
  </si>
  <si>
    <t>Dec</t>
  </si>
  <si>
    <t>Jan</t>
  </si>
  <si>
    <t>Feb</t>
  </si>
  <si>
    <t>Mar</t>
  </si>
  <si>
    <t>2025-26</t>
  </si>
  <si>
    <t>C.O.D</t>
  </si>
  <si>
    <t>2026-27</t>
  </si>
  <si>
    <t>2027-28</t>
  </si>
  <si>
    <t>2028-29</t>
  </si>
  <si>
    <t>2029-30</t>
  </si>
  <si>
    <t>2030-31</t>
  </si>
  <si>
    <t>2031-32</t>
  </si>
  <si>
    <t>(Depreciation Schedule)</t>
  </si>
  <si>
    <t>No. of days per annum</t>
  </si>
  <si>
    <t>Particulars (INR Crore)</t>
  </si>
  <si>
    <t xml:space="preserve">Amt </t>
  </si>
  <si>
    <t>Total CoP</t>
  </si>
  <si>
    <t>SLM Rate</t>
  </si>
  <si>
    <t>WDV rate</t>
  </si>
  <si>
    <t>Depreciation Schedule as per Company's Act, 2013 (INR Crore)</t>
  </si>
  <si>
    <t>SLM Depreciation - Land</t>
  </si>
  <si>
    <t xml:space="preserve">Total SLM Depreciation </t>
  </si>
  <si>
    <t>Life
Years</t>
  </si>
  <si>
    <t>(Working Capital Assessment)</t>
  </si>
  <si>
    <t>No. of operating days per annum</t>
  </si>
  <si>
    <t>No. of  days per annum</t>
  </si>
  <si>
    <t>WC Holding Periods Assumption</t>
  </si>
  <si>
    <t xml:space="preserve">Sales </t>
  </si>
  <si>
    <t xml:space="preserve">Power </t>
  </si>
  <si>
    <t xml:space="preserve">Overheads </t>
  </si>
  <si>
    <t>Inventory</t>
  </si>
  <si>
    <t>Power</t>
  </si>
  <si>
    <t>Overheads</t>
  </si>
  <si>
    <t>Percentage</t>
  </si>
  <si>
    <t>Years</t>
  </si>
  <si>
    <t>months</t>
  </si>
  <si>
    <t>Trade Paybles</t>
  </si>
  <si>
    <t>(days)</t>
  </si>
  <si>
    <t>Trade Payable</t>
  </si>
  <si>
    <t>Trade Recievable</t>
  </si>
  <si>
    <t>Total Trade Payables</t>
  </si>
  <si>
    <t>Trade Recievables</t>
  </si>
  <si>
    <t>Raw Material + Consumables</t>
  </si>
  <si>
    <t>Finished Good</t>
  </si>
  <si>
    <t>Finsished Goods</t>
  </si>
  <si>
    <t>Total Expenses</t>
  </si>
  <si>
    <t>Total Trade Recievables</t>
  </si>
  <si>
    <t>Current Assets</t>
  </si>
  <si>
    <t>Current Liabilities</t>
  </si>
  <si>
    <t>Working Capital Margin @25%</t>
  </si>
  <si>
    <t>Working Capital gap</t>
  </si>
  <si>
    <t>Intrest on CC loan</t>
  </si>
  <si>
    <t>Taxation</t>
  </si>
  <si>
    <t>Surcharge</t>
  </si>
  <si>
    <t>Cess</t>
  </si>
  <si>
    <t>Applicable Tax Rate (%)</t>
  </si>
  <si>
    <t>CC Limit</t>
  </si>
  <si>
    <t>Cash Accrual</t>
  </si>
  <si>
    <t>PAT</t>
  </si>
  <si>
    <t>Add: Dep &amp; Am</t>
  </si>
  <si>
    <t xml:space="preserve">Repayment Obligations </t>
  </si>
  <si>
    <t>Net cash accrual</t>
  </si>
  <si>
    <t xml:space="preserve">Cumulative Internal Accruals  </t>
  </si>
  <si>
    <t>Margins of the Company</t>
  </si>
  <si>
    <t>EBITDA</t>
  </si>
  <si>
    <t>EBITDA Margin %</t>
  </si>
  <si>
    <t>EBIT Margin %</t>
  </si>
  <si>
    <t>PAT Margin %</t>
  </si>
  <si>
    <t>Revenue growth rate Y-o-Y (%)</t>
  </si>
  <si>
    <t>(Proforma Balance Sheet)</t>
  </si>
  <si>
    <t>(Cash Flow Statement)</t>
  </si>
  <si>
    <t xml:space="preserve">LIABILITIES </t>
  </si>
  <si>
    <t>Equity</t>
  </si>
  <si>
    <t>Reserve &amp; Surplus</t>
  </si>
  <si>
    <t>Secured Loan</t>
  </si>
  <si>
    <t xml:space="preserve">Term liabilities payable within one year </t>
  </si>
  <si>
    <t>Other Current Liabilities</t>
  </si>
  <si>
    <t xml:space="preserve">TOTAL </t>
  </si>
  <si>
    <t>Total Gross Block</t>
  </si>
  <si>
    <t>CURRENT ASSETS</t>
  </si>
  <si>
    <t>Trade Receivables</t>
  </si>
  <si>
    <t>Inventories</t>
  </si>
  <si>
    <t>Other Current Assets</t>
  </si>
  <si>
    <t>Other Non Current Assets</t>
  </si>
  <si>
    <t>Net Block</t>
  </si>
  <si>
    <t>Cash &amp; Cash Equivalent</t>
  </si>
  <si>
    <t>Building &amp; Civil works</t>
  </si>
  <si>
    <t xml:space="preserve">A. SOURCE OF FUND </t>
  </si>
  <si>
    <t xml:space="preserve">Net Profit </t>
  </si>
  <si>
    <t>Increase in TL</t>
  </si>
  <si>
    <t>Increase in CC Limit</t>
  </si>
  <si>
    <t xml:space="preserve">Depreciation </t>
  </si>
  <si>
    <t>Prelm Exps w/off</t>
  </si>
  <si>
    <t>Trade paybles</t>
  </si>
  <si>
    <t xml:space="preserve">B. APPLICATION OF FUNDS </t>
  </si>
  <si>
    <t xml:space="preserve">Capital Expenses </t>
  </si>
  <si>
    <t xml:space="preserve">Decrease in Term Loan </t>
  </si>
  <si>
    <t>Trade Receivable</t>
  </si>
  <si>
    <t xml:space="preserve">Inventory </t>
  </si>
  <si>
    <t>Opening Balance</t>
  </si>
  <si>
    <t>Net Surplus/ Deficit</t>
  </si>
  <si>
    <t xml:space="preserve">Cumulative Balance </t>
  </si>
  <si>
    <t>Total Current Assets</t>
  </si>
  <si>
    <t>Assets</t>
  </si>
  <si>
    <t>Total Non-Current Assets</t>
  </si>
  <si>
    <t>Difference</t>
  </si>
  <si>
    <t>Prelm Expenses</t>
  </si>
  <si>
    <t xml:space="preserve">Corporate Tax Rate </t>
  </si>
  <si>
    <t>(DSCR)</t>
  </si>
  <si>
    <t>Cash accrual</t>
  </si>
  <si>
    <t>Subtotal</t>
  </si>
  <si>
    <t>Loan Repayent</t>
  </si>
  <si>
    <t>DSCR</t>
  </si>
  <si>
    <t>Average DSCR</t>
  </si>
  <si>
    <t>Maximum DSCR</t>
  </si>
  <si>
    <t>Less: Taxes</t>
  </si>
  <si>
    <t>Add: Depreciation &amp; Amortisation</t>
  </si>
  <si>
    <t>NOPAT</t>
  </si>
  <si>
    <t>Increase/(Decrease) in working capital</t>
  </si>
  <si>
    <t>Capex</t>
  </si>
  <si>
    <t>Free Cash Flow to Firm (FCFF)</t>
  </si>
  <si>
    <t>WCC</t>
  </si>
  <si>
    <t>Required rate of return</t>
  </si>
  <si>
    <t>Project Risk premium</t>
  </si>
  <si>
    <t>Discount rate</t>
  </si>
  <si>
    <t>Expected growth rate(Terminal)</t>
  </si>
  <si>
    <t>Discount Period</t>
  </si>
  <si>
    <t>Discount Factor</t>
  </si>
  <si>
    <t>PV of FCFF</t>
  </si>
  <si>
    <t>Terminal Value of the project</t>
  </si>
  <si>
    <t>PV of Terminal Value</t>
  </si>
  <si>
    <t>PV of FCF+ PV of Terminal Value</t>
  </si>
  <si>
    <t>NPV</t>
  </si>
  <si>
    <t>IRR</t>
  </si>
  <si>
    <t>Payback Perid</t>
  </si>
  <si>
    <t>No. Of Years</t>
  </si>
  <si>
    <t>Accumulated Cash Accrual</t>
  </si>
  <si>
    <t>TPC</t>
  </si>
  <si>
    <t>Payback Period</t>
  </si>
  <si>
    <t>(Ratio and Break Even Analysis)</t>
  </si>
  <si>
    <t>Sales</t>
  </si>
  <si>
    <t>Variable Expenses</t>
  </si>
  <si>
    <t>Contribution</t>
  </si>
  <si>
    <t>Fixed Expenses</t>
  </si>
  <si>
    <t>Profit / PBT</t>
  </si>
  <si>
    <t>PV RATIO (Contr / Sales)</t>
  </si>
  <si>
    <t>BEP  Sales (Fix Exps / Contr * Sales)</t>
  </si>
  <si>
    <t>BEP% (BEP Sales / sales)</t>
  </si>
  <si>
    <t>Ratio Analysis:</t>
  </si>
  <si>
    <t>Average</t>
  </si>
  <si>
    <t>Return on Capital employed (%)</t>
  </si>
  <si>
    <t>Return on Investment (%)</t>
  </si>
  <si>
    <t>Return on Net Worth</t>
  </si>
  <si>
    <t>ISCR</t>
  </si>
  <si>
    <t>Fixed Asset Coverage Ratio</t>
  </si>
  <si>
    <t>Current Ratio</t>
  </si>
  <si>
    <t>TOL/TNW</t>
  </si>
  <si>
    <t>Debt to Equity Ratio</t>
  </si>
  <si>
    <t>M/S SUPERIOR AGRO VENTURES PVT LTD E/2479, AMBA VIHAR, SAHARANPUR BYPASS ROAD, GANGOH, NAKUR, SAHARANPUR 247341 UP</t>
  </si>
  <si>
    <t>Khata No, 208, 42, Khasra No 161/1, 160, Vill- Reda Harsana, Tehsil - Un, Dist- Shamli - 247778 (UP),Reda Harsana, SHAMLI, Taluka: UN, District: SHAMLI, State: Uttar Pradesh, Pin : 247778.</t>
  </si>
  <si>
    <t>Mrs. Jaivil Rana and Mrs. Mini Panwar</t>
  </si>
  <si>
    <t>procurement and quality control, Documentation for Grain Export from India to EU / Gulf Countries.</t>
  </si>
  <si>
    <t>Taxation and corporate consultancy,</t>
  </si>
  <si>
    <t xml:space="preserve"> Italian Sequential Gas Mixing System and Thermophiles Therminibe Technology (NIBE, India)</t>
  </si>
  <si>
    <t>the mixing by gas bubbling from the bottom</t>
  </si>
  <si>
    <t>Mapro - Sequential Gas Mixing System with Technology (Italian) - 55 HP</t>
  </si>
  <si>
    <t>Gas Mixing System - Peso approved flame proof 1000 RPM Motor, Cyclone Separator for removal of oil from the gas, Compressor mounted Indian Instrumentation &amp; gauges, Suction Filter, Sound Reducing Canopy, Control Panel with soft Starter, HDP &amp; SS Pipes, Valves, PLC Panel for Operation of the pneumatic valves, Control Panel for air compressor, blower etc., Gravel filter 1100 NM3/hr. with other accessories &amp; Installations</t>
  </si>
  <si>
    <t>*****Technology changes to gas mixture</t>
  </si>
  <si>
    <t>Checking &amp; Correction in DESIGN ENGINEERING, Supervision of CIVIL Work, ERECTION, COMMISSIONING &amp; TESTING as per proposal</t>
  </si>
  <si>
    <t>STAR PROJECTS RENEWABLE RESOURCCES PRIVATE LIMITED</t>
  </si>
  <si>
    <t>M/s Superior Agro Ventures Private Limited</t>
  </si>
  <si>
    <t>Non-government company</t>
  </si>
  <si>
    <t>The objects to be persued by the company on its incorporation was</t>
  </si>
  <si>
    <t>F. No.</t>
  </si>
  <si>
    <t>NAME OF</t>
  </si>
  <si>
    <t>SHAREHOLDERS</t>
  </si>
  <si>
    <t>FATHER'S</t>
  </si>
  <si>
    <t>NAME</t>
  </si>
  <si>
    <t>ADDRESS</t>
  </si>
  <si>
    <t>TYPE OF</t>
  </si>
  <si>
    <t>SHARES</t>
  </si>
  <si>
    <t>NO. OF</t>
  </si>
  <si>
    <t>AMOUNT PER</t>
  </si>
  <si>
    <t>SHARE</t>
  </si>
  <si>
    <t>Jaivil Rana</t>
  </si>
  <si>
    <t>Magan Pal Singh</t>
  </si>
  <si>
    <t>506, Tower-1, Arcadia Hillocks, Mussoorie Diversion Road, Kutthal Gaon, Dehradun, Uttarakhand-248009</t>
  </si>
  <si>
    <t>EQUIRTY</t>
  </si>
  <si>
    <t>Mini Panwar</t>
  </si>
  <si>
    <t>Ramesh Tomar</t>
  </si>
  <si>
    <t>Plot No. 16, Upper Ground Floor, Block-B1, Nangal Dewat, Vasant Kunj, Delhi-110070</t>
  </si>
  <si>
    <t>TOTAL</t>
  </si>
  <si>
    <t>Mrs. Jaivil Ranais an Agriculturist</t>
  </si>
  <si>
    <t>Post Graduation</t>
  </si>
  <si>
    <t>Euro Motors Pvt. Ltd. New Delhi – (2005 – 2009)</t>
  </si>
  <si>
    <t>Miracle Adventures and Hospitality Pvt. Ltd., New Delhi (2010 - 2016)</t>
  </si>
  <si>
    <t>Financial Year</t>
  </si>
  <si>
    <t>land at  Khata No, 208, 42, 226 Khasra No. 161/1, 160, 157 Village- Reda Harsana, Tehsil - Un, District- Shamli 247778</t>
  </si>
  <si>
    <t>5.048 Acre (2.043 Hectare)</t>
  </si>
  <si>
    <t>Gogar sugar mill, Sugar Mill Rd, Gaagor, Shamali Shamla, Uttar Pradesh 247778</t>
  </si>
  <si>
    <t>Wave sugar mill bidvi birwi saharanpur, Sugar Mill Rd, Gaagor, Lawa Daudpur, Uttar Pradesh 247778</t>
  </si>
  <si>
    <t>Karnal Cooperative Sugar Mill, Meerut Rd, Suraj Nagar, Karan Vihar, Karnal, Haryana 132001</t>
  </si>
  <si>
    <t>Indira Gandhi International Airport</t>
  </si>
  <si>
    <t>29°36'11.6"N 77°12'41.3"E</t>
  </si>
  <si>
    <t xml:space="preserve">30M x 60M will be required for PURIFICATION PLANT COMPRESSOR ROOM CBG FILLING UNIT </t>
  </si>
  <si>
    <t>Training and Plant Manual</t>
  </si>
  <si>
    <t>Application Number: SHML1123NIN0034</t>
  </si>
  <si>
    <t>The Proposed Well</t>
  </si>
  <si>
    <t>Connected Load (Kwh)</t>
  </si>
  <si>
    <t>Units</t>
  </si>
  <si>
    <t>No of hours of operation</t>
  </si>
  <si>
    <t>Feed Pre-Treatment Unit</t>
  </si>
  <si>
    <t>Submersible Pumps for Feeding</t>
  </si>
  <si>
    <t>Compressors for Balloon &amp; Pneumatic valves</t>
  </si>
  <si>
    <t>Feeding system</t>
  </si>
  <si>
    <t>Liquid Gas Mix system</t>
  </si>
  <si>
    <t xml:space="preserve">Solid Liquid Separators </t>
  </si>
  <si>
    <t>Pressure boosting system</t>
  </si>
  <si>
    <t>H2S scrubber</t>
  </si>
  <si>
    <t>CO2 removal &amp; purification system</t>
  </si>
  <si>
    <t>Compressors</t>
  </si>
  <si>
    <t>Instrumentation and biogas piping and electric panels</t>
  </si>
  <si>
    <t>Organic fertiliser plant</t>
  </si>
  <si>
    <t>Miscellaneous</t>
  </si>
  <si>
    <t>Awareness of Bio Fertilizer in Farmers and Marketing of Organic Fertilizer</t>
  </si>
  <si>
    <t>Sequential Gas Mixing System</t>
  </si>
  <si>
    <t>Sequential Gas Mixing System with Technology (Italian)</t>
  </si>
  <si>
    <t>company needs to obtain Change of land use (CLU) on this agricultural land, to use the land for commercial/industrial purpose by setting up the proposed Bio-CNG plant. Thus the total cost of the land would be INR ~4.34 Crore including INR 10 lakhs CLU and other charges.</t>
  </si>
  <si>
    <t xml:space="preserve">the estimated cost of the Building &amp; Civil works is ~INR 781.31 lakhs excluding 18% applicable GST. Cost of the Building &amp; Civil works has been considered on the basis of shared quotations provided to us by the client.
It is to be noted here that the cost vetting of the proposed project is out of scope of this report. However, as a TEV consultant, the estimated Building &amp; Civil works cost has been verified independently by us, which we found reasonable &amp; in the permissible range also the cost may change as per specifications &amp; material brand
</t>
  </si>
  <si>
    <t xml:space="preserve">as per shared invited quotations provided by the client, the estimated cost for plant &amp; machinery will be ~INR 15.24 crores excluding 12% applicable GST. The estimated cost of the Plant &amp; Machinery has been provided to us by the client. It is to be noted here that the cost vetting of the proposed project cost is out of scope of this report. 
However, as a TEV consultant, the cost of major plant &amp; machinery has been verified by us independently, which we found reasonable &amp; in the permissible range although the cost may change as per specifications &amp; brand.
</t>
  </si>
  <si>
    <t>the cost of miscellaneous fixed asset is estimated as INR 2.67 Crore excluding applicable GST. The estimated cost of the miscellaneous fixed asset has been provided to us by the client based on the invited quotation.</t>
  </si>
  <si>
    <t>U15490PB2022PTC056613</t>
  </si>
  <si>
    <t>https://localbodydata.com/gram-panchayat-harsana-81675</t>
  </si>
  <si>
    <t>Uttar Pradesh Fire and Emergency Services, Government Of Uttar Pradesh</t>
  </si>
  <si>
    <t>Ground water department (Namami Gange &amp; Rural Water supply department), Ministry of Jal Shakti, Government of Uttara Pradesh on 13th November 2023 (Application Number: SHML1123NIN0034)</t>
  </si>
  <si>
    <t>Ministry of Commerce &amp; Industry Government of India</t>
  </si>
  <si>
    <t>A/G/HO/UP/05/623 &amp;A/G/HO/UP/06/602 (G124605)</t>
  </si>
  <si>
    <t>No Objection Certificate (NOC) for ground water abstraction</t>
  </si>
  <si>
    <t>(Application Number: SHML1123NIN0034)</t>
  </si>
  <si>
    <t>Validity Period :21/10/2023 To 20/10/2028</t>
  </si>
  <si>
    <t>Ref No. - 193603/UPPCB/Circle3(UPPCBHO)/CTE/SHAMLI/2023</t>
  </si>
  <si>
    <t>FCFF+TV</t>
  </si>
  <si>
    <t>1 Napier Grass / Agriculture Residue Between 80 - 100</t>
  </si>
  <si>
    <t>2 Sugarcane Pressmud Between 40 - 50</t>
  </si>
  <si>
    <t>Superior Food Grains (P) Ltd., (Rana Group) Sugar Mill, Village - Gogar, Tehsil – Un, Uttar Pradesh 247778</t>
  </si>
  <si>
    <t>Bajaj Hindusthan Sugar Ltd., Vill. Thanabhawan, Shamli, UP</t>
  </si>
  <si>
    <t>Long Term Raw Material supply with M/s. Anagram Development and Farmer Producer Company Limited (FPO)</t>
  </si>
  <si>
    <t>U01403UP2015PTC073940</t>
  </si>
  <si>
    <t>Anagram Development &amp; Farmer Producer Company Limited is a Private incorporated on 19 October 2015</t>
  </si>
  <si>
    <t>It is classified as Non-govt company and is registered at Registrar of Companies, Kanpur.</t>
  </si>
  <si>
    <t>Agricultural and animal husbandry service activities, except veterinary activities.</t>
  </si>
  <si>
    <t>Napier Grass is an ideal substrate for biogas Production. Napier grass and cattle slurry-based biogas production application that could be applied more cost-effectively more sustainable production biogas.</t>
  </si>
  <si>
    <t>Sugar Cane Pressmud is available from Nov. to May</t>
  </si>
  <si>
    <t>Pressmud is considered as backup Raw material source</t>
  </si>
  <si>
    <t>and Napier Grass will be used as major feed stock.</t>
  </si>
  <si>
    <t>Studies have shown that Napier Grass has a high methane yield due to higher cellulose and crude protein, making it an efficient source of Bio-CNG with the potential for significant energy output.</t>
  </si>
  <si>
    <t>With an energy output-to-input ratio of approximately 25:1, it emerges as one of the most promising energy crop</t>
  </si>
  <si>
    <t>Napier grass, also known as elephant grass, is a productive and versatile forage grass native to Africa and southeast Asia.</t>
  </si>
  <si>
    <t xml:space="preserve">This fast-growing perennial grass can reach a height of 10-15 feet and can be harvested 5-6 times annually. </t>
  </si>
  <si>
    <t xml:space="preserve">In India, the reported annual production yield of Napier grass ranges from 150-200 tonnes per acre per year, which is significantly higher (25-35 tonnes per hectare) compared to other energy grasses like miscanthus and switchgrass. </t>
  </si>
  <si>
    <t>120-150</t>
  </si>
  <si>
    <t>Parameters, % Fresh, % Dry Matter, %</t>
  </si>
  <si>
    <t>Crude Protein, % 1.21 8.12</t>
  </si>
  <si>
    <t>Crude Fiber, % 5.37 36.02</t>
  </si>
  <si>
    <t>Crude Fat, % 10.12 67.87</t>
  </si>
  <si>
    <t>Moisture, % 85.09 -</t>
  </si>
  <si>
    <t>Ash, % 1.01 6.77</t>
  </si>
  <si>
    <t>Neutral Detergent Fiber, % 10.2 68.41</t>
  </si>
  <si>
    <t>Chemical Analysis of Super Napier grass</t>
  </si>
  <si>
    <t xml:space="preserve">Parameters, % </t>
  </si>
  <si>
    <t xml:space="preserve">Fresh, % </t>
  </si>
  <si>
    <t>Dry Matter, %</t>
  </si>
  <si>
    <t xml:space="preserve">Crude Protein, % </t>
  </si>
  <si>
    <t>Crude Fiber, %</t>
  </si>
  <si>
    <t>Crude Fat, %</t>
  </si>
  <si>
    <t xml:space="preserve">Moisture, % </t>
  </si>
  <si>
    <t>-</t>
  </si>
  <si>
    <t xml:space="preserve">Ash, % </t>
  </si>
  <si>
    <t xml:space="preserve">Neutral Detergent Fiber, % </t>
  </si>
  <si>
    <t>S. No.</t>
  </si>
  <si>
    <t>Solid loading (%)</t>
  </si>
  <si>
    <t>HRT (days)</t>
  </si>
  <si>
    <t>Inoculum (%)</t>
  </si>
  <si>
    <t xml:space="preserve">Bio methane production (L/kg VS) </t>
  </si>
  <si>
    <t>Bio methane Potential of Napier Grass</t>
  </si>
  <si>
    <t>Sequential Gas Mixing (SGM) ensures anaerobic digesters are mixed continuously to without thermal layering and accumulation of volatile fatty acid (VFA) pockets</t>
  </si>
  <si>
    <t>Mapro International S.p.A</t>
  </si>
  <si>
    <t>a three-dimensional CFD (Computational Fluid Dynamics) model</t>
  </si>
  <si>
    <t>CFD analysis comparison</t>
  </si>
  <si>
    <t>Professor Viccione of Salerno University applied a three-dimensional CFD (Computational Fluid Dynamics) model in order to verify the mixing efficiency of a gas mixing system in comparison with mechanical mixing systems on a WWTP. The study showed that the gas injection system gives better results than mechanical mixing systems both in terms of maximum sludge speed (3 m/s versus 1 m/s), kinetic energy (0.24 m2/s2 versus 0.001 m2/s2) and dead zones (5% versus 50%) with the same energy consumption, equal to 140 kWh for both systems. In particular, as can be easily seen from the following figures, the system mixed by means of gas recirculation, made it possible to reach linear speeds between 1 and 2 m/s while in the case of mixing with mixers, values &gt; 0.5 m/s were not reached.
In terms of kinetic energy density, it is noted that in the case of mixing with gas lances, turbulent kinetic energies between 0.05 and 0.2 m2/s2 were observed while in the case of mixing with mechanical mixers, values &lt;0.05 m2/s2 were observed (Bergamo et al., 2020). Concerning the distribution of dead zones (see the following figure), the effectiveness of the mixing system with gas lances is
observed with even greater evidence, clearly superior to that obtained with mechanical mixing systems.</t>
  </si>
  <si>
    <t>Anaerobic digester technology has thus seen several innovations in the last few years which assists project developers to implement a scalable, viable bio-CNG plant with improved process efficiency at a lesser cost.</t>
  </si>
  <si>
    <t>While several conventional anaerobic digester technologies exist – Continuous stirred tank reactor (CSTR), KVIC models and more, recent innovations in technologies such as plug and play digester models ensure improved efficiency and automation of the process compared to conventional technologies</t>
  </si>
  <si>
    <t>https://www.v3cars.com/haryana/cng-price-in-yamunanagar</t>
  </si>
  <si>
    <t>Company has already signed a LOI with Indian Oil Corporation Ltd on 3rd November 2023. (Ref No. - Indian Oil/SATAT/01/3589). However purchase agreement between IOCL &amp; company is in the process</t>
  </si>
  <si>
    <t>As informed by the client, company has planned to sell its Bio CNG at two Retail Outlets of IOCL at Panipat and Yamuna Nagar in Haryana. The current retail selling price of CNG at OMC outlets in Panipat and Yamuna Nagar is around INR 80.40 per kg on 28th May 2024. (https://www.v3cars.com/haryana/cng-price-in-yamunanagar), however the procurement price of Bio-CNG at Indian Oil as per the SATAT Scheme falls under the slab of INR 62.86 per kg without GST.</t>
  </si>
  <si>
    <t>2. As per the sale deed executed on 6th March 2024, promoters of the Company has purchased a 5.048 Acre (2.043 Hectare) agricultural land at  Khata No, 208, 42, 226 Khasra No. 161/1, 160, 157 Village- Reda Harsana, Tehsil - Un, District- Shamli U.P 247778 in INR 4.24 Crore. Total cost of the land would be INR ~4.34 Crore including INR 10 lakhs for Change of land use (CLU) and other charges.</t>
  </si>
  <si>
    <t>3. Estimated cost of the Building &amp; Civil works is ~INR 7.81 Cr. excluding 18% applicable GST, which has been considered on the basis of invited quotations provided to us by the client. As a TEV consultant, the estimated Building &amp; Civil works cost has been verified independently by us, which we found reasonable &amp; in the permissible range also the cost may change as per specifications &amp; material brand</t>
  </si>
  <si>
    <t>4. As per invited quotations provided by the client, estimated cost for plant &amp; machinery will be ~INR 15.24 crores excluding 12% applicable GST. As a TEV consultant, the cost of major plant &amp; machinery has been verified by us independently, which we found reasonable &amp; in the permissible range although the cost may change as per specifications &amp; brand.</t>
  </si>
  <si>
    <t>5. The cost of miscellaneous fixed asset such as Electricity Infrastructure (Electrical, Instrumentation, PLC, and data collection), Vehicles and Office equipment is estimated as INR 2.67 Crore excluding applicable GST. The estimated cost of the miscellaneous fixed asset has been provided to us by the client based on the invited quotation.</t>
  </si>
  <si>
    <t>6. As per the data/information provided by the client, applicable Interest during Construction (IDC) is 11.50%. As per the proposed Loan repayment schedule, company is required to pay INR 2.66 Crore as IDC from September 2024 to September 2025 (13 months).</t>
  </si>
  <si>
    <t>7. Preliminary &amp; Pre-Operative Expenses has been considered based on the estimate of company’s resources involvement as INR 3.50 Crore (without GST) including EPC contractor fees, electricity connection &amp; transportation charges. However, Company did not provide us any invoices/bills against these tentative costs considered. We recommend that the bank/financial institutions advice the company to submit actual cost based on the final quotations/invoices/bills. This will help validate the assertion of different costs considered by the client.</t>
  </si>
  <si>
    <t>8. Contingency cost of INR 1.73 Crore (~4% of TPC) has been considered based on general assumption and professional experience.</t>
  </si>
  <si>
    <t>9. As per the data/information provided by the client, associated additional cost of INR 4.21 Crore is including the GST of INR 4 Crore need to be paid on building, plant &amp; machinery and other components to commission the proposed plant and INR ~22 lakhs Bank Guarantee for availing the 100% Stamp Duty.</t>
  </si>
  <si>
    <t>https://cdn.cseindia.org/attachments/0.11235300_1687759489_cse---overview-and-current-status-of--cbg-in-india.pdf</t>
  </si>
  <si>
    <t xml:space="preserve">
As sugar mill owners have now recognised its potential for revenue generation. This realisation has resulted in a substantial increase in press mud prices over the last two years, rising from INR 100 per tonne to INR 500-600 per tonne including transportation. Thus, the sugarcane press mud generated by the sugar mill can made available to the project @ INR 600/ Ton. We have considered the inflation adjusted cost as INR 650 per ton initially during the forecasted period.  
Ref:(https://www.downtoearth.org.in/news/renewable-energy/sugarcane-byproduct-pressmud-can-be-a-sweet-spot-for-india-s-compressed-biogas-sector-93022#:~:text=This%20realisation%20has%20resulted%20in,as%20fuel%20in%20brick%20kilns).
</t>
  </si>
  <si>
    <t xml:space="preserve">As per the data/information provided by the client, company has made a long term raw material supply agreement with M/s. Anagram Development and Farmer Producer Company Limited (FPO) on 22nd March 2024. According to the terms &amp; conditions stated in the agreement, M/s. Anagram Development and Farmer Producer Company Limited (FPO) will supply 90-100 ton per day Napier grass  and 40-50 ton per day Sugarcane press mud to M/s Superior Agro Ventures Private Limited as per the specifications and in the manner as mutually agreed between the parties. However, Sugarcane press mud supply is depending on the availability. In case of non-availability of press mud supplier will be free to supply ~120-130 ton per day Napier grass through their registered farmers.  
</t>
  </si>
  <si>
    <t>10. The project is proposed to be funded through a term loan of INR 30.00 crores and promoter’s margin of INR 12.65 crores. Further, as per the working capital assessment, the working capital will require as INR 2.21 Crore, which will be funded through WC loan of INR 1.50 Cr. and promoter’s margin of INR 50 lakhs (~25% of required WC).</t>
  </si>
  <si>
    <t>ISO 9001 certified</t>
  </si>
  <si>
    <t>and setting up 6 TPD Bio CNG Plant in Saharanpur district under the name of Sevozone Energies and Fertilizers Pvt. Ltd.</t>
  </si>
  <si>
    <t>Advisor &amp;amp; Execution of Biogas Plants, Transformation with new technologies, interaction with Farmers, Cooperatives, SHG and FPO with a knack for uncovering unique
opportunities in both the market place and within the organization.</t>
  </si>
  <si>
    <t xml:space="preserve">Government of Uttar Pradesh is providing the subsidy of INR 75 lac / Ton under the provision of UP Bio Energy Policy 2022 and Benefit up to INR 2.0 Cr from Agriculture Infrastructure Fund (AIF) – Circular dated 27th Oct. 2020. Market Development Assistance (MDA) for Promotion of Organic Fertilizers @ Rs. 1500 / Ton to CBG Plants
</t>
  </si>
  <si>
    <t>The EPC Contractor undertakes to supply 15500 CuM Compressed Bio Gas &amp; Bio-Fertilizer &amp; Biomass Pellets Plant.</t>
  </si>
  <si>
    <t>CBG or Compressed Bio Gas consist of mainly methane (more than 90%) and other gasses like carbon dioxide (less than 4%), etc. CBG is produced by anaerobic digestion of biomass and waste sources like agricultural residue, cattle dung, sugarcane press mud, municipal solid waste, sewage treatment plant waste, etc. This Biogas can be purified to remove hydrogen sulphide (H2S), carbon dioxide (CO2), water vapor and when this purified biogas (methane content more than 90%) is compressed to maximum 250 bar and filled up in cascades (group of high pressure cyllinderical vessels) it is called Compressed Bio Gas or CBG.</t>
  </si>
  <si>
    <t>CBG has properties almost similar to CNG and hence a vehicle running on CNG can straightway be filled with CBG without any modification in the vehicle. Ministry of Road Transport and Highways, Government of India, vide Gazette Notification no. 395 dated 16.6.2015 has permitted usage of CBG for motor vehicles as an alternate of CNG. BIS has issued IS 16087 2016 standards on CBG which is similar to BIS specifications IS 15958:2012 for CNG.</t>
  </si>
  <si>
    <t xml:space="preserve">The rates are adopted from CPWD schedule of rates of 2021. Cost verification of some structure is not done due to unavailability of quantity of same
</t>
  </si>
  <si>
    <t>The Cost verification of Plant &amp; Machinery of Compressed Bio-gas plant is done by the Benchmark cost of similar kind of Industry.</t>
  </si>
  <si>
    <t xml:space="preserve">
As a TEV consultant, we have conducted a general assessment based on the updated details provided by the client to determine the construction cost for building &amp; civil works. There is a difference in cost assessed by us primarily due to the limited information available of the Bill of Quantity (BOQ) and estimate, the assessment is done based on updated details provided by the client’s representative and few particulars were not assessed due to unavailability of details/quantity of it. Financial Institution is suggested to advise the company to provide updated cost estimation along with actual Bill of Quantity (BOQ) to validate the cost as per EPC contract.
</t>
  </si>
  <si>
    <t xml:space="preserve">e. </t>
  </si>
  <si>
    <t>Piping &amp; Valves</t>
  </si>
  <si>
    <t>Building &amp; Civil Works including land development &amp; Boundary Wall</t>
  </si>
  <si>
    <t>Insurance Expenses</t>
  </si>
  <si>
    <t>of Net Block</t>
  </si>
  <si>
    <t>Insurance expenses</t>
  </si>
  <si>
    <t>Insurance Expenses @ 1% of net block</t>
  </si>
  <si>
    <t>Lease rent</t>
  </si>
  <si>
    <t xml:space="preserve">PRELIMINARY EXPENSES </t>
  </si>
  <si>
    <t>Unsecured loan</t>
  </si>
  <si>
    <t>Contingencies at ~1.0% of Total Hard Cost</t>
  </si>
  <si>
    <t>Capacity Untilization in first year</t>
  </si>
  <si>
    <t>Capacity Utilzation</t>
  </si>
  <si>
    <t>Interest on Unsecured loan</t>
  </si>
  <si>
    <t>DSRA</t>
  </si>
  <si>
    <t>Sensitivity Analysis</t>
  </si>
  <si>
    <t>If Sales is dereased by 5%</t>
  </si>
  <si>
    <t>If sales is decreased by 10%</t>
  </si>
  <si>
    <t>If raw material price is increased by 10%</t>
  </si>
  <si>
    <t>If raw material price is increased by 5%</t>
  </si>
  <si>
    <t>As a base case</t>
  </si>
  <si>
    <t>Ref No. - 185240/UPPCB/Meerut(UPPCBRO)/CTE/BAGHPAT/2023 Dated:- 07/12/2023</t>
  </si>
  <si>
    <t xml:space="preserve">
</t>
  </si>
  <si>
    <t xml:space="preserve">
</t>
  </si>
  <si>
    <t xml:space="preserve">Khasra No, 434/2, 433, 436/2, 434/1, 440/2, Vill - Sultanpur Hatan Bangar, Pargana- Kotana, Teh-Baghpat, Dist-Baghpat, State: Uttar Pradesh, Pin : 250611 </t>
  </si>
  <si>
    <t>DSRA As per Bank</t>
  </si>
  <si>
    <t>Closing cash &amp; cash equivalent</t>
  </si>
  <si>
    <t>M/S. ACCONEY BIOAGRO PVT. LTD.</t>
  </si>
  <si>
    <t>Khasra No, 434/2, 433, 436/2, 434/1, 440/2, Vill - Sultanpur Hatan Bangar, Pargana- Kotana, Teh-Baghpat, Dist.-Baghpat, State: Uttar Pradesh, Pin : 250619</t>
  </si>
  <si>
    <t>M/s. ACCONEY BIOAGRO PVT LTD, Shop No. 8, Jat Inter College, Baraut, Baghpat, Uttar Pradesh, 250611</t>
  </si>
  <si>
    <t xml:space="preserve"> 
CIN: U15400UP2021PTC156643</t>
  </si>
  <si>
    <t>Compressed Biogas (CBG) is emerging as a sustainable and eco-friendly alternative to conventional fossil fuels. This executive summary outlines the key aspects of a proposed CBG plant in India, aiming to leverage organic waste to produce renewable energy and contribute to the country’s green energy goals.</t>
  </si>
  <si>
    <t>Acconey Bioagro Private Limited</t>
  </si>
  <si>
    <t>Acconey Bioagro Private Limited is a Private incorporated on 08 December 2021. It is classified as Non-government company and is registered at Registrar of Companies, ROC Kanpur. Its authorized share capital is Rs. 4,300,000 and its paid up capital is Rs. 4,300,000. It is inolved in Manufacture of other food products. Acconey Bioagro Private Limited's Annual General Meeting (AGM) was last held on N/A and as per records from Ministry of Corporate Affairs (MCA), its balance sheet was last filed on 31 March 2023. Directors of Acconey Bioagro Private Limited are Vinay Chaudhary and Suraj Chaudhary. Acconey Bioagro Private Limited's Corporate Identification Number is (CIN) U15400UP2021PTC156643 and its registration number is 156643.Its Email address is acconeybioagropvtltd@gmail.com and its registered address is Shop No. 8 Jat Inter College , Baraut, Uttar Pradesh, India - 250611. Current status of Acconey Bioagro Private Limited is - Active.</t>
  </si>
  <si>
    <t>Shop No. 8 Jat Inter College , Baraut, Uttar Pradesh, India - 250611</t>
  </si>
  <si>
    <t xml:space="preserve"> 
Shop No. 8, Jat Inter College Baraut, Baghpat Uttar Pradesh India-250611
</t>
  </si>
  <si>
    <t xml:space="preserve">Khasra No.-84A/84B V.P.O Sultanpur Hatana Near Jiwana toll Tehsil Baraut, Distt. Baghpat, PIN- 250623 </t>
  </si>
  <si>
    <t>at Khasra No, 434/2, 433, 436/2, 434/1, 440/2, Vill - Sultanpur Hatan Bangar, Pargana- Kotana, Teh-Baghpat, Dist.-Baghpat, State: Uttar Pradesh, Pin : 250619</t>
  </si>
  <si>
    <t>CLU on the land has been obtained 24th &amp; 28th August 2024 from Sub District Magistrate Baghpat,</t>
  </si>
  <si>
    <t>Natfrenz Technologies Pvt. Ltd.</t>
  </si>
  <si>
    <t>and Wholesale Trader of an exclusive range of Biogas Plant,</t>
  </si>
  <si>
    <t>provide infrastructural facilities to undertake all domestic, industrial and commercial projects related to Renewal Energy. Our company renders consultancy services for the preparation of projects, takes up feasibilities studies, site visits and carries our project implementation and awareness program on waste management. One stop solution for all waste to energy projects</t>
  </si>
  <si>
    <t>INLET FLOW 400M³/HR, OUT LET FLOW 240M³/HR</t>
  </si>
  <si>
    <t>300 Nm3/hr @ 0.5 Barg Suction Pressure</t>
  </si>
  <si>
    <t>1. Baghpat sugar mill -13 km from location nayagaon, Fjdjfj, Baghpat, Uttar Pradesh 250609
2. Malapkur sugar mill ( Modi sugars ) ;15 km 
3. Ramala sugar mill - 22km from location</t>
  </si>
  <si>
    <t xml:space="preserve">Acconey Bioagro Private Limited's scope of work will consist of All civil work &amp; foundation, Unloading, positioning and installation of Equipment at their proper place with due care, Total interconnecting water piping &amp; insulation work, outside the base frame of supplied Equipment. Total interconnecting power cabling and other related electrical work, outside the base frames of supplied equipment. Any other material / work which is not included within our scope and may be required for proper commissioning and operation of the system shall be charged extra at mutually agreed rates.
</t>
  </si>
  <si>
    <t xml:space="preserve">Natfrenz Technologies Pvt Ltd. is a widely acknowledged company for offering technologically advanced equipment. We are ISO 9001:2015 certified organization , OUR HEAD OFFICE IN NILOTHI EXTN NEW DEHI having our manufacturing unit IN NIZAMPUR ROAD BAHADURGARH &amp; SALES AND SERVICING OFFICE IN AHMEDABAD GUJARAT. We are registered with MSME in MICRO category under Govt. of India. Our products are designed and manufactured by well experienced professionals having 15 years’ experience in Design, Installation and commissioning of industrial process equipment like VPSA based Biogas Purification System, VPSA based Oxygen Gas Plant, Bio-gas Dryer, Compressed Air Dryer (Refrigerated/Heatless/HOC/ Heated.), Chillers, Heat Exchanger, Cooling Tower, PSA Nitrogen Generator, Medical Grade PSA Oxygen Generator, Air Receiver Tanks, Pressure Vessels, Gas, Air &amp; liquid Storage Tanks, SO2 Generators, Chemical Reactor Vessels, CO2 Recovery units, ETP &amp; STP, Water treatments equipment, Water filters &amp; softners and Pneumatic conyaving Systems
</t>
  </si>
  <si>
    <t>Natfrenz Technologies Pvt. Ltd. Established in the year of 2018, NatFrenz Technologies is the leading Service Provider and Wholesale Trader of an exclusive range of Biogas Plant, Our company has sufficient skilled and Engineering Professional those provide infrastructural facilities to undertake all domestic, industrial and commercial projects related to Renewal Energy. Our company renders consultancy services for the preparation of projects, takes up feasibilities studies, site visits and carries our project implementation and awareness program on waste management. One stop solution for all waste to energy projects.</t>
  </si>
  <si>
    <t>Virender Kumar Sharma is based on Haryana, his father was in Indian Army and due to that he has visited most of India’s Places, His
Professional Education Completed from Kurukshetra University at 2009 from Engineering background, since that he has started grooming
himself to establish a company which can help farmers by Educating them about using Organic Farming so that we can also help Environment
and increase Farmers Wealth.</t>
  </si>
  <si>
    <t>The cow dung required would be around 63Ton/day and Press Mud 33 Ton/day. On an annual basis (operating for 350 days) the total maximum dung requirement would be about 22050 ton and Biomass Waste 11550 Ton. The dung and Biomass will be arranged from the nearby areas within approx. 10 KM radius. The alternate option is paddy straw, which is widely available in area. ACCONEY BIOAGRO PVT. LTD. has already make a plan to do the agreement with the vendors.</t>
  </si>
  <si>
    <t>Construction of the M/s ACCONEY BIOAGRO PVT. LTD. Project is scheduled to begin by September, 2024 after getting the clearance from the relevant departments. It will take approximately 10 months to start commercial production from the date of loan sanction.</t>
  </si>
  <si>
    <t xml:space="preserve">FOLLOWING IS THE LIST OF GAUSHALAS/POULTRY CONTACTED IN THE AREA.
  PARTAPUR Gaushala No. of Cows- 2934
  Gopal Gaushala No. of Cows -2428
  Sree Krishna Gausala No. of Cows -1627
  Kamdhenu Gaushala No. of Cows -2088
  Govind Gaudham Gaushala Samiti No. of Cows -1351
  Krishna Gaushala No. of Cows -1202
POULTRY LITTER MANAGEMENT
1. Name- BHUPENDER SINGH POULTRY FARM
No. of Chickens – 1 to 1.25akhs
2. Name- SONIA POULTRY TRADERS
No. of Chickens – 1.25- 1.5 lakhs
3. Name– ASHIYAN POULTRY FARMING
No. of Chickens – 1 to 1.25 lakhs
</t>
  </si>
  <si>
    <t>CuM</t>
  </si>
  <si>
    <t>Nos</t>
  </si>
  <si>
    <t>Size in CuM (Capacity)</t>
  </si>
  <si>
    <t xml:space="preserve">Proposed Digester </t>
  </si>
  <si>
    <t>Raw Bio Gas per day per digester</t>
  </si>
  <si>
    <t>After Purification Content of CH4</t>
  </si>
  <si>
    <t>Density of CH4</t>
  </si>
  <si>
    <t>/KG per CU.M</t>
  </si>
  <si>
    <t>CBG</t>
  </si>
  <si>
    <t>Leakage</t>
  </si>
  <si>
    <t>Net Production of Bio CBG KGPD</t>
  </si>
  <si>
    <t>Leakage @1.82%</t>
  </si>
  <si>
    <t>Shareholder's Equity &amp; Liabilities</t>
  </si>
  <si>
    <t>CFA/SUBSIDY</t>
  </si>
  <si>
    <t>Operating Capacity</t>
  </si>
  <si>
    <t>(Tax Calculation)</t>
  </si>
  <si>
    <t>MAT Rate</t>
  </si>
  <si>
    <t>Normal Tax rate</t>
  </si>
  <si>
    <t>Profit before taxes</t>
  </si>
  <si>
    <t>Add: Exceptional items</t>
  </si>
  <si>
    <t>Add: Dep.as per Co Act</t>
  </si>
  <si>
    <t>Less: Dep. as per IT Act</t>
  </si>
  <si>
    <t>Adjusted PBT</t>
  </si>
  <si>
    <t>Losses B/F</t>
  </si>
  <si>
    <t>Unabsorbed Depreciation B/F</t>
  </si>
  <si>
    <t>Taxable Profits</t>
  </si>
  <si>
    <t>Losses C/F</t>
  </si>
  <si>
    <t>Unabsorbed Depreciation C/F</t>
  </si>
  <si>
    <t>Tax Liability as per normal provisions</t>
  </si>
  <si>
    <t>Tax Rate Business Income</t>
  </si>
  <si>
    <t>MAT Liability on book profits</t>
  </si>
  <si>
    <t>Tax Liability higher of two</t>
  </si>
  <si>
    <t>Less: Mat Credit set off</t>
  </si>
  <si>
    <t>Tax paid</t>
  </si>
  <si>
    <t>Opening</t>
  </si>
  <si>
    <t>Additions</t>
  </si>
  <si>
    <t>Utilized</t>
  </si>
  <si>
    <t>Cumulative MAT Credit</t>
  </si>
  <si>
    <t>MAT</t>
  </si>
  <si>
    <t>years</t>
  </si>
  <si>
    <t>After 5 Year</t>
  </si>
  <si>
    <t>Profit before taxes (PBT)</t>
  </si>
  <si>
    <t>Depreciation Schedule as per Income Tax Act (INR Crore)</t>
  </si>
  <si>
    <t>Total WDV</t>
  </si>
  <si>
    <t xml:space="preserve">Total WDV Depreciation </t>
  </si>
  <si>
    <t>Applicable Tax</t>
  </si>
  <si>
    <t>Provision for taxes</t>
  </si>
  <si>
    <t>MAT Credit Entitlement</t>
  </si>
  <si>
    <t xml:space="preserve">Debt </t>
  </si>
  <si>
    <t>Wd</t>
  </si>
  <si>
    <t>Total Capital</t>
  </si>
  <si>
    <t>WACC</t>
  </si>
  <si>
    <t>We</t>
  </si>
  <si>
    <t>Cost of Debt (Kd)</t>
  </si>
  <si>
    <t>Tax rate</t>
  </si>
  <si>
    <t>Post tax Cost of debt</t>
  </si>
  <si>
    <t>Cost of Equity (Ke)</t>
  </si>
  <si>
    <t>PBT</t>
  </si>
  <si>
    <t>20,000 M.T of glass Toughening pa. set up by SSRM Glasses Private Limited</t>
  </si>
  <si>
    <t>Installment</t>
  </si>
  <si>
    <t>principal</t>
  </si>
  <si>
    <t>Principal repayment start</t>
  </si>
  <si>
    <t>Loan End date</t>
  </si>
  <si>
    <t>No of months</t>
  </si>
  <si>
    <t>Total Principal</t>
  </si>
  <si>
    <t>Principal repaid Pm</t>
  </si>
  <si>
    <t>Total Installment</t>
  </si>
  <si>
    <t>Office Equipment &amp; Accessories</t>
  </si>
  <si>
    <t>Capacity Untilization in second year</t>
  </si>
  <si>
    <t>Capacity Untilization in third year</t>
  </si>
  <si>
    <t>Capacity Untilization in fourth year</t>
  </si>
  <si>
    <t>Capacity Untilization in fifth year</t>
  </si>
  <si>
    <t>8 MM ST 136 Toughened Glass</t>
  </si>
  <si>
    <t>INR/SQM without GST</t>
  </si>
  <si>
    <t>Float Glass 8 MM Clear flat toughened polish grinding</t>
  </si>
  <si>
    <t xml:space="preserve">Float Glass 12 MM </t>
  </si>
  <si>
    <t>8 MM  reflective glass</t>
  </si>
  <si>
    <t>Clear Glass</t>
  </si>
  <si>
    <t>5 MM Clear Glass 240*3660</t>
  </si>
  <si>
    <t>12 MM clear Glass 2660*3660</t>
  </si>
  <si>
    <t>10 MM Clear Glass 2440*3660</t>
  </si>
  <si>
    <t>13% discount has been given in invoice</t>
  </si>
  <si>
    <t>IG Sealant JS 988S+Part B Catalyst</t>
  </si>
  <si>
    <t>IG Sealant JS 988S+Part A Fresin</t>
  </si>
  <si>
    <t xml:space="preserve">Natergy Molecular Seive 0.5-0.9 MM </t>
  </si>
  <si>
    <t>5% discount has given in invoice</t>
  </si>
  <si>
    <t>JS 900 IG Primary Butyl Sealant</t>
  </si>
  <si>
    <t>Profil Alumunium Spacer 11.5 MM</t>
  </si>
  <si>
    <t>INR/KGS without GST</t>
  </si>
  <si>
    <t>INR/MTR without GST</t>
  </si>
  <si>
    <t>Staff Welfare Expense</t>
  </si>
  <si>
    <t>Wastage</t>
  </si>
  <si>
    <t>reflective</t>
  </si>
  <si>
    <t>clear</t>
  </si>
  <si>
    <t>5,8,10,12</t>
  </si>
  <si>
    <t>dgu</t>
  </si>
  <si>
    <t>First year</t>
  </si>
  <si>
    <t>Second Year</t>
  </si>
  <si>
    <t>Third Year</t>
  </si>
  <si>
    <t>Fourth Year</t>
  </si>
  <si>
    <t>Fifth Year</t>
  </si>
  <si>
    <t>Sixth Year &amp; Onwards</t>
  </si>
  <si>
    <t>Wastage Selling Price</t>
  </si>
  <si>
    <t>Contribution to PF</t>
  </si>
  <si>
    <t>Total expense of salary of proposed plant on 100% capacity</t>
  </si>
  <si>
    <t>Operation &amp; Maintainance Expense</t>
  </si>
  <si>
    <t>1st year</t>
  </si>
  <si>
    <t>Under Warranty</t>
  </si>
  <si>
    <t>2 year Onwards</t>
  </si>
  <si>
    <t>cod 12th september</t>
  </si>
  <si>
    <t>Repayment start</t>
  </si>
  <si>
    <t>Intalled Capacity (MTPA)</t>
  </si>
  <si>
    <t>Revenue from Glass</t>
  </si>
  <si>
    <t>Toughened Glass</t>
  </si>
  <si>
    <t>DGU Glass</t>
  </si>
  <si>
    <t>Tinted &amp; reflective glass</t>
  </si>
  <si>
    <t>Beveled Glass</t>
  </si>
  <si>
    <t>Laminated Glass</t>
  </si>
  <si>
    <t>Reflected Glass</t>
  </si>
  <si>
    <t>Can be laminated &amp; Toughned Glass is also known as insulated glass</t>
  </si>
  <si>
    <t>Selling Price of Toughned Glass (INR/SQM)</t>
  </si>
  <si>
    <t>Revenue from Toughened Glass</t>
  </si>
  <si>
    <t>Revenue from Insulated Glass</t>
  </si>
  <si>
    <t>Selling Price of Insulated Glass (INR/SQM)</t>
  </si>
  <si>
    <t>Selling Price of FloatGlass (INR/SQM)</t>
  </si>
  <si>
    <t>5 mm Insulated Glass or DGU Glass</t>
  </si>
  <si>
    <t>Supply of 8 mmToughened Glass</t>
  </si>
  <si>
    <t>Supply of Insulated 5mm Glass</t>
  </si>
  <si>
    <t>Total Production Per annum (MTA)</t>
  </si>
  <si>
    <t>Total Revenue from Glasses</t>
  </si>
  <si>
    <t>Revenue from glass Crush</t>
  </si>
  <si>
    <t>Selling Price per KG</t>
  </si>
  <si>
    <t>Crush Glass (MTPA)</t>
  </si>
  <si>
    <t>Crush Glass (KG)</t>
  </si>
  <si>
    <t>Revenue from Crushed glass</t>
  </si>
  <si>
    <t>Other Raw Material</t>
  </si>
  <si>
    <t>Share of Toughened Glass (SQM)</t>
  </si>
  <si>
    <t>Net Quantity of Toughened Glass (SQM)</t>
  </si>
  <si>
    <t>Share of Toughned Glass (Kg)</t>
  </si>
  <si>
    <t>Share of Insulated Glass (KG)</t>
  </si>
  <si>
    <t>Share of Insulated Glass (SQM)</t>
  </si>
  <si>
    <t>Net Insulated Glass (SQM)</t>
  </si>
  <si>
    <t>Total Production Per annum (MT)</t>
  </si>
  <si>
    <t>Share ofFloat Glass (KG)</t>
  </si>
  <si>
    <t>Share of Float Glass (SQM)</t>
  </si>
  <si>
    <t>Net Float Glass (SQM)</t>
  </si>
  <si>
    <t>Wastage (SQM)</t>
  </si>
  <si>
    <t>Average cost of Raw Material as per CMA</t>
  </si>
  <si>
    <t>Electricity consumption per day</t>
  </si>
  <si>
    <t>Total Repair and Maintenance expenses</t>
  </si>
  <si>
    <t>Term Loan</t>
  </si>
  <si>
    <t>INR Crores</t>
  </si>
  <si>
    <t>Depriciation on Building &amp; Civil Work</t>
  </si>
  <si>
    <t>WDV of building &amp; Civil Work</t>
  </si>
  <si>
    <t>Esclation Rate</t>
  </si>
  <si>
    <t>Selling, General &amp; Administation Expenses</t>
  </si>
  <si>
    <t>Selling, General &amp; Administation Expenses @ 6.28% of revenue</t>
  </si>
  <si>
    <t>Preliminary Expenses</t>
  </si>
  <si>
    <t>Working Capital Margin</t>
  </si>
  <si>
    <t xml:space="preserve">CC Limit </t>
  </si>
  <si>
    <t>2nd Year Onwards- 12 months Operational Year</t>
  </si>
  <si>
    <t>Unsecured Loan</t>
  </si>
  <si>
    <t>U/S 115JB</t>
  </si>
  <si>
    <t>upto 10CR</t>
  </si>
  <si>
    <t>M.T. PA</t>
  </si>
  <si>
    <t>M.T PA</t>
  </si>
  <si>
    <t>Supply of 12 mm Float Glass</t>
  </si>
  <si>
    <t>Consumption of Power (Tentative)*</t>
  </si>
  <si>
    <t>More than 10 Cr-12%</t>
  </si>
  <si>
    <t>Considerstion</t>
  </si>
  <si>
    <t>Stamp duty</t>
  </si>
  <si>
    <t>Interst</t>
  </si>
  <si>
    <t>Interest Subvention (From RIPS)</t>
  </si>
  <si>
    <t>Extraordinary income</t>
  </si>
  <si>
    <t>If intrest rate increased by 2%</t>
  </si>
  <si>
    <t>of revenue</t>
  </si>
  <si>
    <t>Other Manufacturing Expenses % of revenue</t>
  </si>
  <si>
    <t>Overhead expenses as  % of revenue</t>
  </si>
  <si>
    <t>Packaging Material</t>
  </si>
  <si>
    <t>Raw Material &amp; Packing Material</t>
  </si>
  <si>
    <t>Raw Materials &amp; Packing Material</t>
  </si>
  <si>
    <t>Raw Material &amp; Packaging Material</t>
  </si>
  <si>
    <t>2.5 to 3 cr cr raw matrial purchae</t>
  </si>
  <si>
    <t>estimate 10 lakh</t>
  </si>
  <si>
    <t>30 days</t>
  </si>
  <si>
    <t>3.33% stock process</t>
  </si>
  <si>
    <t>FG 1 day</t>
  </si>
  <si>
    <t>trade days</t>
  </si>
  <si>
    <t>3 days</t>
  </si>
  <si>
    <t>cash discount</t>
  </si>
  <si>
    <t>receivable</t>
  </si>
  <si>
    <t>90 days</t>
  </si>
  <si>
    <t>120 days</t>
  </si>
  <si>
    <t>Working cycle</t>
  </si>
  <si>
    <t>Capacity of Plant</t>
  </si>
  <si>
    <t xml:space="preserve">No of Shifts </t>
  </si>
  <si>
    <t>Per day</t>
  </si>
  <si>
    <t>Promoter's Capital</t>
  </si>
  <si>
    <t>Increase in Unsecured Loan</t>
  </si>
  <si>
    <t>Increase in Equity / Share Capital</t>
  </si>
  <si>
    <t>Sq mtr</t>
  </si>
  <si>
    <t>Sq Feet per day</t>
  </si>
  <si>
    <t>Sunrise glass</t>
  </si>
  <si>
    <t>Interest on CC Loan</t>
  </si>
  <si>
    <t>Return on Sale</t>
  </si>
  <si>
    <t>2032-33</t>
  </si>
  <si>
    <t>2033-34</t>
  </si>
  <si>
    <t>2034-35</t>
  </si>
  <si>
    <t>Moratoium period 12 months from march 25 to feb 26</t>
  </si>
  <si>
    <t>Pre-operation period</t>
  </si>
  <si>
    <t>Start of implementation period</t>
  </si>
  <si>
    <t>Implementation period</t>
  </si>
  <si>
    <t>Promoter's capital from 01.04.2025</t>
  </si>
  <si>
    <t>tol/tnw</t>
  </si>
  <si>
    <t>de ratio</t>
  </si>
  <si>
    <t xml:space="preserve">Capacity Untilization in sixth year </t>
  </si>
  <si>
    <t xml:space="preserve">Capacity Untilization in seventh year </t>
  </si>
  <si>
    <t xml:space="preserve">Capacity Untilization in eighth year </t>
  </si>
  <si>
    <t>Capacity Untilization in ninth year</t>
  </si>
  <si>
    <t>Capacity Untilization in ninth year &amp; onwards</t>
  </si>
  <si>
    <t>Implementation end</t>
  </si>
  <si>
    <t>Implementation period start</t>
  </si>
  <si>
    <t>Pre- operation interest</t>
  </si>
  <si>
    <t>Capacity Untilization in tenth year</t>
  </si>
  <si>
    <t>Interest During Pre-operation period</t>
  </si>
  <si>
    <t>MT Per day</t>
  </si>
  <si>
    <t>Cost per MT</t>
  </si>
  <si>
    <t xml:space="preserve">31 st march 2026 </t>
  </si>
  <si>
    <t>2 crore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</si>
</sst>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 #,##0.00_ ;_ * \-#,##0.00_ ;_ * &quot;-&quot;??_ ;_ @_ "/>
    <numFmt numFmtId="164" formatCode="0\ &quot;Months&quot;"/>
    <numFmt numFmtId="165" formatCode="0\ &quot;Years&quot;"/>
    <numFmt numFmtId="166" formatCode="[$-409]d\-mmm\-yy;@"/>
    <numFmt numFmtId="167" formatCode="0.000%"/>
    <numFmt numFmtId="168" formatCode="_(* #,##0.00_);_(* \(#,##0.00\);_(* &quot;-&quot;??_);_(@_)"/>
    <numFmt numFmtId="169" formatCode="#,##0.0"/>
    <numFmt numFmtId="170" formatCode="#,##0.0000"/>
    <numFmt numFmtId="171" formatCode="_ * #,##0_ ;_ * \-#,##0_ ;_ * &quot;-&quot;??_ ;_ @_ "/>
    <numFmt numFmtId="172" formatCode="&quot;INR&quot;\ 0.00\ &quot;Crore&quot;"/>
    <numFmt numFmtId="173" formatCode="0.00\ &quot;years&quot;"/>
    <numFmt numFmtId="174" formatCode="0.000"/>
    <numFmt numFmtId="175" formatCode="[$-409]mmm/yy;@"/>
    <numFmt numFmtId="176" formatCode="&quot;INR&quot;\ 0\ &quot;Crore&quot;"/>
    <numFmt numFmtId="177" formatCode="_(* #,##0.0_);_(* \(#,##0.0\);_(* &quot;-&quot;??_);_(@_)"/>
    <numFmt numFmtId="178" formatCode="0.0"/>
    <numFmt numFmtId="179" formatCode="_ * #,##0.000000_ ;_ * \-#,##0.000000_ ;_ * &quot;-&quot;??_ ;_ @_ "/>
    <numFmt numFmtId="180" formatCode="0.00000"/>
  </numFmts>
  <fonts count="51">
    <font>
      <sz val="11"/>
      <color theme="1"/>
      <name val="Calibri"/>
      <family val="2"/>
      <scheme val="minor"/>
    </font>
    <font>
      <sz val="11"/>
      <color theme="1"/>
      <name val="Calibri"/>
      <family val="2"/>
      <scheme val="minor"/>
    </font>
    <font>
      <b/>
      <sz val="9"/>
      <color indexed="81"/>
      <name val="Tahoma"/>
      <family val="2"/>
    </font>
    <font>
      <sz val="9"/>
      <color indexed="81"/>
      <name val="Tahoma"/>
      <family val="2"/>
    </font>
    <font>
      <sz val="9"/>
      <color theme="1"/>
      <name val="Gill Sans MT"/>
      <family val="2"/>
    </font>
    <font>
      <sz val="10"/>
      <name val="Arial"/>
      <family val="2"/>
    </font>
    <font>
      <b/>
      <sz val="12"/>
      <color theme="1"/>
      <name val="Arial"/>
      <family val="2"/>
    </font>
    <font>
      <sz val="10"/>
      <color theme="1"/>
      <name val="Arial"/>
      <family val="2"/>
    </font>
    <font>
      <b/>
      <sz val="10"/>
      <color theme="1"/>
      <name val="Arial"/>
      <family val="2"/>
    </font>
    <font>
      <b/>
      <sz val="10"/>
      <color theme="0"/>
      <name val="Arial"/>
      <family val="2"/>
    </font>
    <font>
      <b/>
      <sz val="8.5"/>
      <color theme="1"/>
      <name val="Arial"/>
      <family val="2"/>
    </font>
    <font>
      <sz val="8.5"/>
      <color theme="1"/>
      <name val="Arial"/>
      <family val="2"/>
    </font>
    <font>
      <b/>
      <sz val="10"/>
      <name val="Arial"/>
      <family val="2"/>
    </font>
    <font>
      <b/>
      <sz val="10"/>
      <color rgb="FFC00000"/>
      <name val="Arial"/>
      <family val="2"/>
    </font>
    <font>
      <b/>
      <u/>
      <sz val="10"/>
      <color theme="1"/>
      <name val="Arial"/>
      <family val="2"/>
    </font>
    <font>
      <i/>
      <sz val="9"/>
      <color indexed="81"/>
      <name val="Tahoma"/>
      <family val="2"/>
    </font>
    <font>
      <b/>
      <i/>
      <sz val="9"/>
      <color indexed="81"/>
      <name val="Tahoma"/>
      <family val="2"/>
    </font>
    <font>
      <b/>
      <sz val="10"/>
      <color rgb="FFFF0000"/>
      <name val="Arial"/>
      <family val="2"/>
    </font>
    <font>
      <u/>
      <sz val="11"/>
      <color theme="10"/>
      <name val="Calibri"/>
      <family val="2"/>
      <scheme val="minor"/>
    </font>
    <font>
      <sz val="12"/>
      <color rgb="FF595959"/>
      <name val="Open_sansregular"/>
    </font>
    <font>
      <sz val="10"/>
      <color rgb="FF002060"/>
      <name val="Bookman Old Style"/>
      <family val="1"/>
    </font>
    <font>
      <b/>
      <sz val="11"/>
      <color theme="0"/>
      <name val="Calibri"/>
      <family val="2"/>
      <scheme val="minor"/>
    </font>
    <font>
      <b/>
      <sz val="11"/>
      <color theme="1"/>
      <name val="Calibri"/>
      <family val="2"/>
      <scheme val="minor"/>
    </font>
    <font>
      <sz val="11"/>
      <color theme="0"/>
      <name val="Calibri"/>
      <family val="2"/>
      <scheme val="minor"/>
    </font>
    <font>
      <sz val="12"/>
      <color theme="1"/>
      <name val="Calibri"/>
      <family val="2"/>
      <scheme val="minor"/>
    </font>
    <font>
      <b/>
      <sz val="11"/>
      <name val="Calibri"/>
      <family val="2"/>
      <scheme val="minor"/>
    </font>
    <font>
      <b/>
      <sz val="11"/>
      <color rgb="FFC00000"/>
      <name val="Calibri"/>
      <family val="2"/>
      <scheme val="minor"/>
    </font>
    <font>
      <b/>
      <sz val="14"/>
      <color rgb="FFC00000"/>
      <name val="Calibri"/>
      <family val="2"/>
      <scheme val="minor"/>
    </font>
    <font>
      <sz val="11"/>
      <name val="Calibri"/>
      <family val="2"/>
      <scheme val="minor"/>
    </font>
    <font>
      <b/>
      <sz val="12"/>
      <color theme="0"/>
      <name val="Calibri"/>
      <family val="2"/>
      <scheme val="minor"/>
    </font>
    <font>
      <sz val="12"/>
      <color theme="0"/>
      <name val="Calibri"/>
      <family val="2"/>
      <scheme val="minor"/>
    </font>
    <font>
      <b/>
      <i/>
      <sz val="11"/>
      <color theme="1"/>
      <name val="Calibri"/>
      <family val="2"/>
      <scheme val="minor"/>
    </font>
    <font>
      <i/>
      <sz val="11"/>
      <color theme="1"/>
      <name val="Calibri"/>
      <family val="2"/>
      <scheme val="minor"/>
    </font>
    <font>
      <b/>
      <u/>
      <sz val="11"/>
      <color theme="1"/>
      <name val="Calibri"/>
      <family val="2"/>
      <scheme val="minor"/>
    </font>
    <font>
      <b/>
      <sz val="11"/>
      <color theme="0"/>
      <name val="Calibri"/>
      <family val="2"/>
    </font>
    <font>
      <b/>
      <i/>
      <sz val="10"/>
      <color theme="1"/>
      <name val="Calibri"/>
      <family val="2"/>
    </font>
    <font>
      <b/>
      <u/>
      <sz val="11"/>
      <color theme="1"/>
      <name val="Calibri"/>
      <family val="2"/>
    </font>
    <font>
      <sz val="11"/>
      <color theme="1"/>
      <name val="Calibri"/>
      <family val="2"/>
    </font>
    <font>
      <sz val="14"/>
      <color theme="1"/>
      <name val="Calibri"/>
      <family val="2"/>
      <scheme val="minor"/>
    </font>
    <font>
      <u/>
      <sz val="11"/>
      <color theme="1"/>
      <name val="Calibri"/>
      <family val="2"/>
      <scheme val="minor"/>
    </font>
    <font>
      <b/>
      <u/>
      <sz val="11"/>
      <color theme="0"/>
      <name val="Calibri"/>
      <family val="2"/>
      <scheme val="minor"/>
    </font>
    <font>
      <b/>
      <sz val="11"/>
      <color rgb="FFC00000"/>
      <name val="Calibri"/>
      <family val="2"/>
    </font>
    <font>
      <sz val="11"/>
      <color theme="0"/>
      <name val="Calibri"/>
      <family val="2"/>
    </font>
    <font>
      <b/>
      <sz val="11"/>
      <color theme="1"/>
      <name val="Calibri"/>
      <family val="2"/>
    </font>
    <font>
      <b/>
      <sz val="14"/>
      <color rgb="FFC00000"/>
      <name val="Calibri"/>
      <family val="2"/>
    </font>
    <font>
      <b/>
      <sz val="12"/>
      <color theme="0"/>
      <name val="Calibri"/>
      <family val="2"/>
    </font>
    <font>
      <i/>
      <sz val="10"/>
      <color theme="1"/>
      <name val="Calibri"/>
      <family val="2"/>
    </font>
    <font>
      <b/>
      <sz val="11"/>
      <color rgb="FF0070C0"/>
      <name val="Calibri"/>
      <family val="2"/>
      <scheme val="minor"/>
    </font>
    <font>
      <sz val="11"/>
      <color rgb="FF0070C0"/>
      <name val="Calibri"/>
      <family val="2"/>
    </font>
    <font>
      <b/>
      <sz val="11"/>
      <color rgb="FF0070C0"/>
      <name val="Calibri"/>
      <family val="2"/>
    </font>
    <font>
      <i/>
      <sz val="10"/>
      <color rgb="FFC00000"/>
      <name val="Calibri"/>
      <family val="2"/>
    </font>
  </fonts>
  <fills count="24">
    <fill>
      <patternFill patternType="none"/>
    </fill>
    <fill>
      <patternFill patternType="gray125"/>
    </fill>
    <fill>
      <patternFill patternType="solid">
        <fgColor rgb="FF002060"/>
        <bgColor indexed="64"/>
      </patternFill>
    </fill>
    <fill>
      <patternFill patternType="solid">
        <fgColor theme="6" tint="0.39997558519241921"/>
        <bgColor indexed="64"/>
      </patternFill>
    </fill>
    <fill>
      <patternFill patternType="solid">
        <fgColor rgb="FFFFFF00"/>
        <bgColor indexed="64"/>
      </patternFill>
    </fill>
    <fill>
      <patternFill patternType="solid">
        <fgColor theme="0"/>
        <bgColor indexed="64"/>
      </patternFill>
    </fill>
    <fill>
      <patternFill patternType="solid">
        <fgColor rgb="FFFF0000"/>
        <bgColor indexed="64"/>
      </patternFill>
    </fill>
    <fill>
      <patternFill patternType="solid">
        <fgColor theme="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rgb="FFFDE9D9"/>
        <bgColor indexed="64"/>
      </patternFill>
    </fill>
    <fill>
      <patternFill patternType="solid">
        <fgColor theme="9"/>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rgb="FFFFD966"/>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6"/>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rgb="FFFFC000"/>
        <bgColor indexed="64"/>
      </patternFill>
    </fill>
    <fill>
      <patternFill patternType="solid">
        <fgColor theme="7" tint="0.79998168889431442"/>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bottom style="thin">
        <color indexed="64"/>
      </bottom>
      <diagonal/>
    </border>
  </borders>
  <cellStyleXfs count="12">
    <xf numFmtId="0" fontId="0" fillId="0" borderId="0"/>
    <xf numFmtId="43" fontId="1" fillId="0" borderId="0" applyFont="0" applyFill="0" applyBorder="0" applyAlignment="0" applyProtection="0"/>
    <xf numFmtId="9" fontId="1" fillId="0" borderId="0" applyFont="0" applyFill="0" applyBorder="0" applyAlignment="0" applyProtection="0"/>
    <xf numFmtId="0" fontId="4" fillId="0" borderId="0"/>
    <xf numFmtId="9" fontId="4" fillId="0" borderId="0" applyFont="0" applyFill="0" applyBorder="0" applyAlignment="0" applyProtection="0"/>
    <xf numFmtId="4" fontId="5" fillId="0" borderId="0"/>
    <xf numFmtId="168"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8" fillId="0" borderId="0" applyNumberFormat="0" applyFill="0" applyBorder="0" applyAlignment="0" applyProtection="0"/>
    <xf numFmtId="0" fontId="5" fillId="0" borderId="0"/>
    <xf numFmtId="43" fontId="5" fillId="0" borderId="0" applyFont="0" applyFill="0" applyBorder="0" applyAlignment="0" applyProtection="0"/>
  </cellStyleXfs>
  <cellXfs count="366">
    <xf numFmtId="0" fontId="0" fillId="0" borderId="0" xfId="0"/>
    <xf numFmtId="4" fontId="7" fillId="5" borderId="0" xfId="5" applyFont="1" applyFill="1" applyAlignment="1">
      <alignment vertical="center"/>
    </xf>
    <xf numFmtId="4" fontId="8" fillId="5" borderId="1" xfId="5" applyFont="1" applyFill="1" applyBorder="1" applyAlignment="1">
      <alignment horizontal="center" vertical="center" wrapText="1"/>
    </xf>
    <xf numFmtId="4" fontId="8" fillId="5" borderId="1" xfId="5" applyFont="1" applyFill="1" applyBorder="1" applyAlignment="1">
      <alignment horizontal="center" vertical="center"/>
    </xf>
    <xf numFmtId="4" fontId="8" fillId="5" borderId="12" xfId="5" applyFont="1" applyFill="1" applyBorder="1" applyAlignment="1">
      <alignment horizontal="center" vertical="center"/>
    </xf>
    <xf numFmtId="4" fontId="7" fillId="5" borderId="1" xfId="5" applyFont="1" applyFill="1" applyBorder="1" applyAlignment="1">
      <alignment horizontal="center" vertical="center"/>
    </xf>
    <xf numFmtId="168" fontId="7" fillId="5" borderId="1" xfId="6" applyFont="1" applyFill="1" applyBorder="1" applyAlignment="1">
      <alignment vertical="center"/>
    </xf>
    <xf numFmtId="4" fontId="7" fillId="5" borderId="11" xfId="5" applyFont="1" applyFill="1" applyBorder="1" applyAlignment="1">
      <alignment horizontal="center" vertical="center"/>
    </xf>
    <xf numFmtId="4" fontId="7" fillId="5" borderId="10" xfId="5" applyFont="1" applyFill="1" applyBorder="1" applyAlignment="1">
      <alignment horizontal="left" vertical="center" wrapText="1"/>
    </xf>
    <xf numFmtId="4" fontId="7" fillId="5" borderId="10" xfId="5" applyFont="1" applyFill="1" applyBorder="1" applyAlignment="1">
      <alignment horizontal="center" vertical="center"/>
    </xf>
    <xf numFmtId="168" fontId="7" fillId="5" borderId="12" xfId="6" applyFont="1" applyFill="1" applyBorder="1" applyAlignment="1">
      <alignment vertical="center"/>
    </xf>
    <xf numFmtId="4" fontId="8" fillId="5" borderId="11" xfId="5" applyFont="1" applyFill="1" applyBorder="1" applyAlignment="1">
      <alignment horizontal="center" vertical="center"/>
    </xf>
    <xf numFmtId="4" fontId="7" fillId="5" borderId="1" xfId="5" applyFont="1" applyFill="1" applyBorder="1" applyAlignment="1">
      <alignment vertical="center"/>
    </xf>
    <xf numFmtId="4" fontId="8" fillId="5" borderId="10" xfId="5" applyFont="1" applyFill="1" applyBorder="1" applyAlignment="1">
      <alignment horizontal="center" vertical="center"/>
    </xf>
    <xf numFmtId="4" fontId="7" fillId="5" borderId="12" xfId="5" applyFont="1" applyFill="1" applyBorder="1" applyAlignment="1">
      <alignment vertical="center"/>
    </xf>
    <xf numFmtId="4" fontId="7" fillId="5" borderId="1" xfId="5" applyFont="1" applyFill="1" applyBorder="1" applyAlignment="1">
      <alignment horizontal="left" vertical="center"/>
    </xf>
    <xf numFmtId="4" fontId="7" fillId="5" borderId="12" xfId="5" applyFont="1" applyFill="1" applyBorder="1" applyAlignment="1">
      <alignment horizontal="center" vertical="center"/>
    </xf>
    <xf numFmtId="4" fontId="7" fillId="5" borderId="10" xfId="5" applyFont="1" applyFill="1" applyBorder="1" applyAlignment="1">
      <alignment horizontal="left" vertical="center"/>
    </xf>
    <xf numFmtId="4" fontId="7" fillId="5" borderId="10" xfId="5" applyFont="1" applyFill="1" applyBorder="1" applyAlignment="1">
      <alignment vertical="center"/>
    </xf>
    <xf numFmtId="4" fontId="9" fillId="2" borderId="0" xfId="5" applyFont="1" applyFill="1" applyAlignment="1">
      <alignment vertical="center"/>
    </xf>
    <xf numFmtId="168" fontId="8" fillId="5" borderId="12" xfId="6" applyFont="1" applyFill="1" applyBorder="1" applyAlignment="1">
      <alignment vertical="center"/>
    </xf>
    <xf numFmtId="4" fontId="7" fillId="4" borderId="0" xfId="5" applyFont="1" applyFill="1" applyAlignment="1">
      <alignment vertical="center"/>
    </xf>
    <xf numFmtId="4" fontId="8" fillId="5" borderId="10" xfId="5" applyFont="1" applyFill="1" applyBorder="1" applyAlignment="1">
      <alignment horizontal="left" vertical="center"/>
    </xf>
    <xf numFmtId="168" fontId="8" fillId="5" borderId="1" xfId="6" applyFont="1" applyFill="1" applyBorder="1" applyAlignment="1">
      <alignment vertical="center"/>
    </xf>
    <xf numFmtId="4" fontId="8" fillId="5" borderId="13" xfId="5" applyFont="1" applyFill="1" applyBorder="1" applyAlignment="1">
      <alignment horizontal="center" vertical="center"/>
    </xf>
    <xf numFmtId="4" fontId="10" fillId="5" borderId="11" xfId="5" applyFont="1" applyFill="1" applyBorder="1" applyAlignment="1">
      <alignment vertical="center"/>
    </xf>
    <xf numFmtId="4" fontId="11" fillId="5" borderId="10" xfId="5" applyFont="1" applyFill="1" applyBorder="1" applyAlignment="1">
      <alignment vertical="center"/>
    </xf>
    <xf numFmtId="4" fontId="11" fillId="5" borderId="10" xfId="5" applyFont="1" applyFill="1" applyBorder="1" applyAlignment="1">
      <alignment horizontal="center" vertical="center"/>
    </xf>
    <xf numFmtId="4" fontId="11" fillId="5" borderId="12" xfId="5" applyFont="1" applyFill="1" applyBorder="1" applyAlignment="1">
      <alignment vertical="center"/>
    </xf>
    <xf numFmtId="4" fontId="11" fillId="5" borderId="11" xfId="5" applyFont="1" applyFill="1" applyBorder="1" applyAlignment="1">
      <alignment vertical="center"/>
    </xf>
    <xf numFmtId="4" fontId="10" fillId="5" borderId="10" xfId="5" applyFont="1" applyFill="1" applyBorder="1" applyAlignment="1">
      <alignment vertical="center"/>
    </xf>
    <xf numFmtId="4" fontId="8" fillId="5" borderId="0" xfId="5" applyFont="1" applyFill="1" applyAlignment="1">
      <alignment horizontal="center" vertical="center"/>
    </xf>
    <xf numFmtId="4" fontId="7" fillId="5" borderId="0" xfId="5" applyFont="1" applyFill="1" applyAlignment="1">
      <alignment horizontal="center" vertical="center"/>
    </xf>
    <xf numFmtId="3" fontId="7" fillId="5" borderId="0" xfId="5" applyNumberFormat="1" applyFont="1" applyFill="1" applyAlignment="1">
      <alignment vertical="center"/>
    </xf>
    <xf numFmtId="43" fontId="7" fillId="5" borderId="0" xfId="1" applyFont="1" applyFill="1" applyAlignment="1">
      <alignment horizontal="center" vertical="center"/>
    </xf>
    <xf numFmtId="0" fontId="12" fillId="0" borderId="1" xfId="0" applyFont="1" applyBorder="1"/>
    <xf numFmtId="2" fontId="12" fillId="0" borderId="1" xfId="0" applyNumberFormat="1" applyFont="1" applyBorder="1" applyAlignment="1">
      <alignment horizontal="center" vertical="center"/>
    </xf>
    <xf numFmtId="0" fontId="12" fillId="0" borderId="2" xfId="0" applyFont="1" applyBorder="1"/>
    <xf numFmtId="0" fontId="12" fillId="0" borderId="3" xfId="0" applyFont="1" applyBorder="1" applyAlignment="1">
      <alignment horizontal="center" vertical="center"/>
    </xf>
    <xf numFmtId="0" fontId="12" fillId="0" borderId="3" xfId="0" applyFont="1" applyBorder="1"/>
    <xf numFmtId="4" fontId="7" fillId="5" borderId="3" xfId="5" applyFont="1" applyFill="1" applyBorder="1" applyAlignment="1">
      <alignment vertical="center"/>
    </xf>
    <xf numFmtId="4" fontId="7" fillId="5" borderId="4" xfId="5" applyFont="1" applyFill="1" applyBorder="1" applyAlignment="1">
      <alignment vertical="center"/>
    </xf>
    <xf numFmtId="0" fontId="12" fillId="0" borderId="5" xfId="0" applyFont="1" applyBorder="1"/>
    <xf numFmtId="4" fontId="7" fillId="5" borderId="6" xfId="5" applyFont="1" applyFill="1" applyBorder="1" applyAlignment="1">
      <alignment vertical="center"/>
    </xf>
    <xf numFmtId="0" fontId="12" fillId="0" borderId="7" xfId="0" applyFont="1" applyBorder="1"/>
    <xf numFmtId="2" fontId="13" fillId="4" borderId="8" xfId="0" applyNumberFormat="1" applyFont="1" applyFill="1" applyBorder="1" applyAlignment="1">
      <alignment horizontal="center"/>
    </xf>
    <xf numFmtId="0" fontId="12" fillId="0" borderId="8" xfId="0" applyFont="1" applyBorder="1"/>
    <xf numFmtId="4" fontId="7" fillId="5" borderId="8" xfId="5" applyFont="1" applyFill="1" applyBorder="1" applyAlignment="1">
      <alignment vertical="center"/>
    </xf>
    <xf numFmtId="4" fontId="7" fillId="5" borderId="9" xfId="5" applyFont="1" applyFill="1" applyBorder="1" applyAlignment="1">
      <alignment vertical="center"/>
    </xf>
    <xf numFmtId="4" fontId="14" fillId="5" borderId="2" xfId="5" applyFont="1" applyFill="1" applyBorder="1" applyAlignment="1">
      <alignment vertical="center"/>
    </xf>
    <xf numFmtId="4" fontId="7" fillId="5" borderId="4" xfId="5" applyFont="1" applyFill="1" applyBorder="1" applyAlignment="1">
      <alignment horizontal="center" vertical="center"/>
    </xf>
    <xf numFmtId="4" fontId="7" fillId="5" borderId="5" xfId="5" applyFont="1" applyFill="1" applyBorder="1" applyAlignment="1">
      <alignment vertical="center"/>
    </xf>
    <xf numFmtId="4" fontId="7" fillId="5" borderId="6" xfId="5" applyFont="1" applyFill="1" applyBorder="1" applyAlignment="1">
      <alignment horizontal="center" vertical="center"/>
    </xf>
    <xf numFmtId="9" fontId="7" fillId="5" borderId="5" xfId="2" applyFont="1" applyFill="1" applyBorder="1" applyAlignment="1">
      <alignment vertical="center"/>
    </xf>
    <xf numFmtId="170" fontId="7" fillId="5" borderId="6" xfId="5" applyNumberFormat="1" applyFont="1" applyFill="1" applyBorder="1" applyAlignment="1">
      <alignment horizontal="center" vertical="center"/>
    </xf>
    <xf numFmtId="4" fontId="7" fillId="5" borderId="7" xfId="5" applyFont="1" applyFill="1" applyBorder="1" applyAlignment="1">
      <alignment vertical="center"/>
    </xf>
    <xf numFmtId="169" fontId="7" fillId="5" borderId="9" xfId="5" applyNumberFormat="1" applyFont="1" applyFill="1" applyBorder="1" applyAlignment="1">
      <alignment horizontal="center" vertical="center"/>
    </xf>
    <xf numFmtId="4" fontId="7" fillId="3" borderId="1" xfId="5" applyFont="1" applyFill="1" applyBorder="1" applyAlignment="1">
      <alignment horizontal="center" vertical="center"/>
    </xf>
    <xf numFmtId="4" fontId="7" fillId="3" borderId="1" xfId="5" applyFont="1" applyFill="1" applyBorder="1" applyAlignment="1">
      <alignment horizontal="left" vertical="center"/>
    </xf>
    <xf numFmtId="168" fontId="7" fillId="3" borderId="1" xfId="6" applyFont="1" applyFill="1" applyBorder="1" applyAlignment="1">
      <alignment vertical="center"/>
    </xf>
    <xf numFmtId="4" fontId="7" fillId="3" borderId="1" xfId="5" applyFont="1" applyFill="1" applyBorder="1"/>
    <xf numFmtId="2" fontId="7" fillId="3" borderId="1" xfId="5" applyNumberFormat="1" applyFont="1" applyFill="1" applyBorder="1" applyAlignment="1">
      <alignment horizontal="center" vertical="center"/>
    </xf>
    <xf numFmtId="169" fontId="7" fillId="3" borderId="1" xfId="5" applyNumberFormat="1" applyFont="1" applyFill="1" applyBorder="1" applyAlignment="1">
      <alignment vertical="center"/>
    </xf>
    <xf numFmtId="9" fontId="7" fillId="3" borderId="1" xfId="7" applyFont="1" applyFill="1" applyBorder="1" applyAlignment="1">
      <alignment horizontal="center" vertical="center"/>
    </xf>
    <xf numFmtId="4" fontId="7" fillId="3" borderId="1" xfId="5" applyFont="1" applyFill="1" applyBorder="1" applyAlignment="1">
      <alignment horizontal="left" vertical="center" wrapText="1"/>
    </xf>
    <xf numFmtId="4" fontId="7" fillId="3" borderId="1" xfId="5" applyFont="1" applyFill="1" applyBorder="1" applyAlignment="1">
      <alignment vertical="center"/>
    </xf>
    <xf numFmtId="4" fontId="7" fillId="3" borderId="1" xfId="5" applyFont="1" applyFill="1" applyBorder="1" applyAlignment="1">
      <alignment vertical="center" wrapText="1"/>
    </xf>
    <xf numFmtId="4" fontId="7" fillId="3" borderId="1" xfId="5" applyFont="1" applyFill="1" applyBorder="1" applyAlignment="1">
      <alignment wrapText="1"/>
    </xf>
    <xf numFmtId="4" fontId="8" fillId="6" borderId="1" xfId="5" applyFont="1" applyFill="1" applyBorder="1" applyAlignment="1">
      <alignment horizontal="center" vertical="center"/>
    </xf>
    <xf numFmtId="4" fontId="8" fillId="6" borderId="1" xfId="5" applyFont="1" applyFill="1" applyBorder="1"/>
    <xf numFmtId="9" fontId="8" fillId="6" borderId="1" xfId="7" applyFont="1" applyFill="1" applyBorder="1" applyAlignment="1">
      <alignment horizontal="center" vertical="center"/>
    </xf>
    <xf numFmtId="4" fontId="8" fillId="6" borderId="0" xfId="5" applyFont="1" applyFill="1" applyAlignment="1">
      <alignment vertical="center"/>
    </xf>
    <xf numFmtId="174" fontId="0" fillId="0" borderId="0" xfId="0" applyNumberFormat="1"/>
    <xf numFmtId="4" fontId="7" fillId="7" borderId="1" xfId="5" applyFont="1" applyFill="1" applyBorder="1" applyAlignment="1">
      <alignment horizontal="center" vertical="center"/>
    </xf>
    <xf numFmtId="4" fontId="7" fillId="7" borderId="1" xfId="5" applyFont="1" applyFill="1" applyBorder="1" applyAlignment="1">
      <alignment horizontal="left" vertical="center" wrapText="1"/>
    </xf>
    <xf numFmtId="0" fontId="0" fillId="0" borderId="0" xfId="0" applyAlignment="1">
      <alignment wrapText="1"/>
    </xf>
    <xf numFmtId="4" fontId="17" fillId="4" borderId="0" xfId="5" applyFont="1" applyFill="1" applyAlignment="1">
      <alignment horizontal="center" vertical="center"/>
    </xf>
    <xf numFmtId="0" fontId="18" fillId="0" borderId="0" xfId="9"/>
    <xf numFmtId="0" fontId="0" fillId="0" borderId="0" xfId="0" applyAlignment="1">
      <alignment horizontal="center"/>
    </xf>
    <xf numFmtId="0" fontId="0" fillId="0" borderId="0" xfId="0" applyAlignment="1">
      <alignment horizontal="left" vertical="center"/>
    </xf>
    <xf numFmtId="4" fontId="8" fillId="6" borderId="1" xfId="5" applyFont="1" applyFill="1" applyBorder="1" applyAlignment="1">
      <alignment vertical="center"/>
    </xf>
    <xf numFmtId="177" fontId="8" fillId="5" borderId="14" xfId="6" applyNumberFormat="1" applyFont="1" applyFill="1" applyBorder="1" applyAlignment="1">
      <alignment vertical="center"/>
    </xf>
    <xf numFmtId="171" fontId="0" fillId="0" borderId="0" xfId="1" applyNumberFormat="1" applyFont="1"/>
    <xf numFmtId="10" fontId="0" fillId="0" borderId="0" xfId="0" applyNumberFormat="1"/>
    <xf numFmtId="171" fontId="0" fillId="0" borderId="0" xfId="0" applyNumberFormat="1"/>
    <xf numFmtId="0" fontId="19" fillId="0" borderId="0" xfId="0" applyFont="1" applyAlignment="1">
      <alignment horizontal="center"/>
    </xf>
    <xf numFmtId="0" fontId="0" fillId="0" borderId="0" xfId="0" applyAlignment="1">
      <alignment horizontal="center" wrapText="1"/>
    </xf>
    <xf numFmtId="9" fontId="0" fillId="0" borderId="0" xfId="2" applyFont="1" applyAlignment="1">
      <alignment horizontal="center"/>
    </xf>
    <xf numFmtId="10" fontId="0" fillId="0" borderId="0" xfId="0" applyNumberFormat="1" applyAlignment="1">
      <alignment horizontal="center"/>
    </xf>
    <xf numFmtId="2" fontId="0" fillId="0" borderId="0" xfId="0" applyNumberFormat="1" applyAlignment="1">
      <alignment horizontal="center"/>
    </xf>
    <xf numFmtId="10" fontId="0" fillId="0" borderId="0" xfId="2" applyNumberFormat="1" applyFont="1" applyAlignment="1">
      <alignment horizontal="center"/>
    </xf>
    <xf numFmtId="0" fontId="20" fillId="10" borderId="15" xfId="0" applyFont="1" applyFill="1" applyBorder="1" applyAlignment="1">
      <alignment horizontal="center" vertical="center" wrapText="1"/>
    </xf>
    <xf numFmtId="0" fontId="20" fillId="10" borderId="16" xfId="0" applyFont="1" applyFill="1" applyBorder="1" applyAlignment="1">
      <alignment horizontal="center" vertical="center" wrapText="1"/>
    </xf>
    <xf numFmtId="0" fontId="22" fillId="0" borderId="0" xfId="0" applyFont="1" applyAlignment="1">
      <alignment horizontal="left" vertical="center"/>
    </xf>
    <xf numFmtId="0" fontId="0" fillId="0" borderId="0" xfId="0" applyAlignment="1">
      <alignment vertical="center"/>
    </xf>
    <xf numFmtId="0" fontId="22" fillId="0" borderId="0" xfId="0" applyFont="1" applyAlignment="1">
      <alignment vertical="center"/>
    </xf>
    <xf numFmtId="0" fontId="22" fillId="0" borderId="0" xfId="0" applyFont="1" applyAlignment="1">
      <alignment horizontal="center" vertical="center"/>
    </xf>
    <xf numFmtId="15" fontId="0" fillId="0" borderId="0" xfId="0" applyNumberFormat="1" applyAlignment="1">
      <alignment horizontal="center" vertical="center"/>
    </xf>
    <xf numFmtId="164" fontId="0" fillId="0" borderId="0" xfId="1" applyNumberFormat="1" applyFont="1" applyFill="1" applyBorder="1" applyAlignment="1">
      <alignment horizontal="center" vertical="center"/>
    </xf>
    <xf numFmtId="0" fontId="0" fillId="0" borderId="0" xfId="0" applyAlignment="1">
      <alignment vertical="center" wrapText="1"/>
    </xf>
    <xf numFmtId="0" fontId="0" fillId="0" borderId="0" xfId="0" applyAlignment="1">
      <alignment horizontal="center" vertical="center"/>
    </xf>
    <xf numFmtId="9" fontId="0" fillId="0" borderId="0" xfId="0" applyNumberFormat="1" applyAlignment="1">
      <alignment horizontal="center" vertical="center"/>
    </xf>
    <xf numFmtId="1" fontId="0" fillId="0" borderId="0" xfId="0" applyNumberFormat="1" applyAlignment="1">
      <alignment horizontal="center" vertical="center"/>
    </xf>
    <xf numFmtId="10" fontId="0" fillId="0" borderId="0" xfId="0" applyNumberFormat="1" applyAlignment="1">
      <alignment horizontal="center" vertical="center"/>
    </xf>
    <xf numFmtId="2" fontId="0" fillId="0" borderId="0" xfId="0" applyNumberFormat="1" applyAlignment="1">
      <alignment horizontal="center" vertical="center"/>
    </xf>
    <xf numFmtId="4" fontId="0" fillId="0" borderId="0" xfId="0" applyNumberFormat="1" applyAlignment="1">
      <alignment horizontal="center" vertical="center"/>
    </xf>
    <xf numFmtId="9" fontId="0" fillId="0" borderId="0" xfId="2" applyFont="1" applyFill="1" applyBorder="1" applyAlignment="1">
      <alignment horizontal="center" vertical="center"/>
    </xf>
    <xf numFmtId="3" fontId="0" fillId="0" borderId="0" xfId="0" applyNumberFormat="1" applyAlignment="1">
      <alignment horizontal="center" vertical="center"/>
    </xf>
    <xf numFmtId="2" fontId="0" fillId="0" borderId="0" xfId="0" applyNumberFormat="1" applyAlignment="1">
      <alignment vertical="center"/>
    </xf>
    <xf numFmtId="10" fontId="0" fillId="0" borderId="0" xfId="2" applyNumberFormat="1" applyFont="1" applyFill="1" applyBorder="1" applyAlignment="1">
      <alignment vertical="center"/>
    </xf>
    <xf numFmtId="10" fontId="0" fillId="0" borderId="0" xfId="2" applyNumberFormat="1" applyFont="1" applyFill="1" applyBorder="1" applyAlignment="1">
      <alignment horizontal="center" vertical="center"/>
    </xf>
    <xf numFmtId="0" fontId="0" fillId="0" borderId="0" xfId="3" applyFont="1" applyAlignment="1">
      <alignment horizontal="left" vertical="center"/>
    </xf>
    <xf numFmtId="0" fontId="0" fillId="0" borderId="0" xfId="0" applyAlignment="1">
      <alignment horizontal="left" vertical="center" wrapText="1"/>
    </xf>
    <xf numFmtId="10" fontId="22" fillId="0" borderId="0" xfId="0" applyNumberFormat="1" applyFont="1" applyAlignment="1">
      <alignment horizontal="center" vertical="center"/>
    </xf>
    <xf numFmtId="0" fontId="27" fillId="13" borderId="0" xfId="0" applyFont="1" applyFill="1" applyAlignment="1">
      <alignment horizontal="left" vertical="center"/>
    </xf>
    <xf numFmtId="0" fontId="21" fillId="2" borderId="0" xfId="0" applyFont="1" applyFill="1" applyAlignment="1">
      <alignment horizontal="left" vertical="center"/>
    </xf>
    <xf numFmtId="0" fontId="29" fillId="2" borderId="0" xfId="0" applyFont="1" applyFill="1" applyAlignment="1">
      <alignment horizontal="left" vertical="center"/>
    </xf>
    <xf numFmtId="0" fontId="30" fillId="2" borderId="0" xfId="0" applyFont="1" applyFill="1" applyAlignment="1">
      <alignment horizontal="left" vertical="center"/>
    </xf>
    <xf numFmtId="0" fontId="22" fillId="9" borderId="0" xfId="0" applyFont="1" applyFill="1" applyAlignment="1">
      <alignment vertical="center"/>
    </xf>
    <xf numFmtId="0" fontId="22" fillId="9" borderId="0" xfId="0" applyFont="1" applyFill="1" applyAlignment="1">
      <alignment horizontal="left" vertical="center"/>
    </xf>
    <xf numFmtId="0" fontId="22" fillId="9" borderId="0" xfId="0" applyFont="1" applyFill="1" applyAlignment="1">
      <alignment horizontal="center" vertical="center"/>
    </xf>
    <xf numFmtId="0" fontId="22" fillId="0" borderId="10" xfId="0" applyFont="1" applyBorder="1" applyAlignment="1">
      <alignment vertical="center"/>
    </xf>
    <xf numFmtId="0" fontId="22" fillId="9" borderId="10" xfId="0" applyFont="1" applyFill="1" applyBorder="1" applyAlignment="1">
      <alignment horizontal="left" vertical="center"/>
    </xf>
    <xf numFmtId="1" fontId="22" fillId="9" borderId="10" xfId="0" applyNumberFormat="1" applyFont="1" applyFill="1" applyBorder="1" applyAlignment="1">
      <alignment horizontal="center" vertical="center"/>
    </xf>
    <xf numFmtId="0" fontId="22" fillId="9" borderId="10" xfId="0" applyFont="1" applyFill="1" applyBorder="1" applyAlignment="1">
      <alignment horizontal="center" vertical="center"/>
    </xf>
    <xf numFmtId="14" fontId="0" fillId="0" borderId="0" xfId="0" applyNumberFormat="1" applyAlignment="1">
      <alignment vertical="center"/>
    </xf>
    <xf numFmtId="0" fontId="32" fillId="0" borderId="0" xfId="0" applyFont="1" applyAlignment="1">
      <alignment vertical="center"/>
    </xf>
    <xf numFmtId="0" fontId="33" fillId="0" borderId="0" xfId="0" applyFont="1" applyAlignment="1">
      <alignment vertical="center"/>
    </xf>
    <xf numFmtId="2" fontId="22" fillId="0" borderId="0" xfId="0" applyNumberFormat="1" applyFont="1" applyAlignment="1">
      <alignment horizontal="center" vertical="center"/>
    </xf>
    <xf numFmtId="0" fontId="22" fillId="14" borderId="0" xfId="0" applyFont="1" applyFill="1" applyAlignment="1">
      <alignment vertical="center"/>
    </xf>
    <xf numFmtId="0" fontId="22" fillId="13" borderId="0" xfId="0" applyFont="1" applyFill="1" applyAlignment="1">
      <alignment vertical="center"/>
    </xf>
    <xf numFmtId="0" fontId="22" fillId="12" borderId="0" xfId="0" applyFont="1" applyFill="1" applyAlignment="1">
      <alignment vertical="center"/>
    </xf>
    <xf numFmtId="0" fontId="27" fillId="13" borderId="0" xfId="0" applyFont="1" applyFill="1" applyAlignment="1">
      <alignment vertical="center"/>
    </xf>
    <xf numFmtId="0" fontId="27" fillId="13" borderId="0" xfId="0" applyFont="1" applyFill="1" applyAlignment="1">
      <alignment horizontal="center" vertical="center"/>
    </xf>
    <xf numFmtId="0" fontId="22" fillId="15" borderId="0" xfId="0" applyFont="1" applyFill="1" applyAlignment="1">
      <alignment vertical="center"/>
    </xf>
    <xf numFmtId="0" fontId="21" fillId="2" borderId="0" xfId="0" applyFont="1" applyFill="1" applyAlignment="1">
      <alignment vertical="center"/>
    </xf>
    <xf numFmtId="0" fontId="23" fillId="2" borderId="0" xfId="0" applyFont="1" applyFill="1" applyAlignment="1">
      <alignment horizontal="center" vertical="center"/>
    </xf>
    <xf numFmtId="0" fontId="29" fillId="2" borderId="0" xfId="0" applyFont="1" applyFill="1" applyAlignment="1">
      <alignment vertical="center"/>
    </xf>
    <xf numFmtId="0" fontId="30" fillId="2" borderId="0" xfId="0" applyFont="1" applyFill="1" applyAlignment="1">
      <alignment horizontal="center" vertical="center"/>
    </xf>
    <xf numFmtId="0" fontId="34" fillId="2" borderId="0" xfId="0" applyFont="1" applyFill="1" applyAlignment="1">
      <alignment vertical="center"/>
    </xf>
    <xf numFmtId="0" fontId="34" fillId="2" borderId="0" xfId="0" applyFont="1" applyFill="1" applyAlignment="1">
      <alignment horizontal="center" vertical="center"/>
    </xf>
    <xf numFmtId="0" fontId="35" fillId="9" borderId="0" xfId="0" applyFont="1" applyFill="1" applyAlignment="1">
      <alignment vertical="center"/>
    </xf>
    <xf numFmtId="0" fontId="35" fillId="9" borderId="0" xfId="0" applyFont="1" applyFill="1" applyAlignment="1">
      <alignment horizontal="center" vertical="center"/>
    </xf>
    <xf numFmtId="0" fontId="36" fillId="9" borderId="0" xfId="0" applyFont="1" applyFill="1" applyAlignment="1">
      <alignment vertical="center"/>
    </xf>
    <xf numFmtId="0" fontId="37" fillId="9" borderId="0" xfId="0" applyFont="1" applyFill="1" applyAlignment="1">
      <alignment vertical="center"/>
    </xf>
    <xf numFmtId="2" fontId="37" fillId="9" borderId="0" xfId="0" applyNumberFormat="1" applyFont="1" applyFill="1" applyAlignment="1">
      <alignment horizontal="center" vertical="center"/>
    </xf>
    <xf numFmtId="2" fontId="22" fillId="9" borderId="0" xfId="0" applyNumberFormat="1" applyFont="1" applyFill="1" applyAlignment="1">
      <alignment horizontal="center" vertical="center"/>
    </xf>
    <xf numFmtId="2" fontId="21" fillId="2" borderId="0" xfId="0" applyNumberFormat="1" applyFont="1" applyFill="1" applyAlignment="1">
      <alignment horizontal="center" vertical="center"/>
    </xf>
    <xf numFmtId="0" fontId="33" fillId="9" borderId="0" xfId="0" applyFont="1" applyFill="1" applyAlignment="1">
      <alignment vertical="center"/>
    </xf>
    <xf numFmtId="0" fontId="0" fillId="9" borderId="0" xfId="0" applyFill="1" applyAlignment="1">
      <alignment vertical="center"/>
    </xf>
    <xf numFmtId="0" fontId="22" fillId="18" borderId="0" xfId="0" applyFont="1" applyFill="1" applyAlignment="1">
      <alignment vertical="center"/>
    </xf>
    <xf numFmtId="2" fontId="22" fillId="18" borderId="0" xfId="0" applyNumberFormat="1" applyFont="1" applyFill="1" applyAlignment="1">
      <alignment horizontal="center" vertical="center"/>
    </xf>
    <xf numFmtId="2" fontId="22" fillId="15" borderId="0" xfId="0" applyNumberFormat="1" applyFont="1" applyFill="1" applyAlignment="1">
      <alignment horizontal="center" vertical="center"/>
    </xf>
    <xf numFmtId="0" fontId="0" fillId="14" borderId="0" xfId="0" applyFill="1" applyAlignment="1">
      <alignment vertical="center"/>
    </xf>
    <xf numFmtId="0" fontId="1" fillId="0" borderId="0" xfId="3" applyFont="1" applyAlignment="1">
      <alignment vertical="center"/>
    </xf>
    <xf numFmtId="0" fontId="1" fillId="0" borderId="0" xfId="3" applyFont="1" applyAlignment="1">
      <alignment horizontal="left" vertical="center"/>
    </xf>
    <xf numFmtId="0" fontId="22" fillId="0" borderId="0" xfId="3" applyFont="1" applyAlignment="1">
      <alignment horizontal="left" vertical="center"/>
    </xf>
    <xf numFmtId="0" fontId="1" fillId="0" borderId="0" xfId="3" applyFont="1" applyAlignment="1">
      <alignment horizontal="center" vertical="center"/>
    </xf>
    <xf numFmtId="2" fontId="1" fillId="0" borderId="0" xfId="3" applyNumberFormat="1" applyFont="1" applyAlignment="1">
      <alignment horizontal="center" vertical="center"/>
    </xf>
    <xf numFmtId="2" fontId="1" fillId="0" borderId="0" xfId="3" applyNumberFormat="1" applyFont="1" applyAlignment="1">
      <alignment vertical="center"/>
    </xf>
    <xf numFmtId="9" fontId="1" fillId="0" borderId="0" xfId="2" applyFont="1" applyFill="1" applyBorder="1" applyAlignment="1">
      <alignment vertical="center"/>
    </xf>
    <xf numFmtId="10" fontId="1" fillId="0" borderId="0" xfId="2" applyNumberFormat="1" applyFont="1" applyFill="1" applyBorder="1" applyAlignment="1">
      <alignment vertical="center"/>
    </xf>
    <xf numFmtId="4" fontId="1" fillId="0" borderId="0" xfId="3" applyNumberFormat="1" applyFont="1" applyAlignment="1">
      <alignment horizontal="center" vertical="center"/>
    </xf>
    <xf numFmtId="2" fontId="22" fillId="0" borderId="0" xfId="3" applyNumberFormat="1" applyFont="1" applyAlignment="1">
      <alignment horizontal="center" vertical="center"/>
    </xf>
    <xf numFmtId="2" fontId="1" fillId="0" borderId="0" xfId="2" applyNumberFormat="1" applyFont="1" applyFill="1" applyBorder="1" applyAlignment="1">
      <alignment vertical="center"/>
    </xf>
    <xf numFmtId="167" fontId="1" fillId="0" borderId="0" xfId="2" applyNumberFormat="1" applyFont="1" applyFill="1" applyBorder="1" applyAlignment="1">
      <alignment vertical="center"/>
    </xf>
    <xf numFmtId="0" fontId="1" fillId="0" borderId="0" xfId="3" applyFont="1" applyAlignment="1">
      <alignment vertical="center" wrapText="1"/>
    </xf>
    <xf numFmtId="9" fontId="31" fillId="0" borderId="0" xfId="3" applyNumberFormat="1" applyFont="1" applyAlignment="1">
      <alignment vertical="center"/>
    </xf>
    <xf numFmtId="9" fontId="1" fillId="0" borderId="0" xfId="3" applyNumberFormat="1" applyFont="1" applyAlignment="1">
      <alignment horizontal="center" vertical="center"/>
    </xf>
    <xf numFmtId="2" fontId="32" fillId="0" borderId="0" xfId="3" applyNumberFormat="1" applyFont="1" applyAlignment="1">
      <alignment vertical="center"/>
    </xf>
    <xf numFmtId="0" fontId="27" fillId="13" borderId="0" xfId="3" applyFont="1" applyFill="1" applyAlignment="1">
      <alignment horizontal="left" vertical="center"/>
    </xf>
    <xf numFmtId="0" fontId="21"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pplyAlignment="1">
      <alignment horizontal="left" vertical="center"/>
    </xf>
    <xf numFmtId="0" fontId="22" fillId="9" borderId="0" xfId="3" applyFont="1" applyFill="1" applyAlignment="1">
      <alignment vertical="center"/>
    </xf>
    <xf numFmtId="0" fontId="22" fillId="9" borderId="0" xfId="3" applyFont="1" applyFill="1" applyAlignment="1">
      <alignment horizontal="left" vertical="center"/>
    </xf>
    <xf numFmtId="0" fontId="22" fillId="9" borderId="0" xfId="3" applyFont="1" applyFill="1" applyAlignment="1">
      <alignment horizontal="center" vertical="center"/>
    </xf>
    <xf numFmtId="2" fontId="21" fillId="2" borderId="0" xfId="3" applyNumberFormat="1" applyFont="1" applyFill="1" applyAlignment="1">
      <alignment horizontal="center" vertical="center"/>
    </xf>
    <xf numFmtId="0" fontId="21" fillId="2" borderId="0" xfId="3" applyFont="1" applyFill="1" applyAlignment="1">
      <alignment vertical="center"/>
    </xf>
    <xf numFmtId="9" fontId="0" fillId="0" borderId="0" xfId="0" applyNumberFormat="1" applyAlignment="1">
      <alignment vertical="center"/>
    </xf>
    <xf numFmtId="10" fontId="0" fillId="0" borderId="0" xfId="4" applyNumberFormat="1" applyFont="1" applyFill="1" applyBorder="1" applyAlignment="1">
      <alignment horizontal="center" vertical="center"/>
    </xf>
    <xf numFmtId="9" fontId="21" fillId="11" borderId="0" xfId="0" applyNumberFormat="1" applyFont="1" applyFill="1" applyAlignment="1">
      <alignment vertical="center"/>
    </xf>
    <xf numFmtId="0" fontId="24" fillId="0" borderId="0" xfId="0" applyFont="1" applyAlignment="1">
      <alignment vertical="center"/>
    </xf>
    <xf numFmtId="0" fontId="21" fillId="2" borderId="0" xfId="0" applyFont="1" applyFill="1" applyAlignment="1">
      <alignment horizontal="center" vertical="center"/>
    </xf>
    <xf numFmtId="166" fontId="21" fillId="2" borderId="0" xfId="0" applyNumberFormat="1" applyFont="1" applyFill="1" applyAlignment="1">
      <alignment horizontal="center" vertical="center"/>
    </xf>
    <xf numFmtId="0" fontId="31" fillId="9" borderId="0" xfId="0" applyFont="1" applyFill="1" applyAlignment="1">
      <alignment vertical="center"/>
    </xf>
    <xf numFmtId="0" fontId="31" fillId="9" borderId="0" xfId="0" applyFont="1" applyFill="1" applyAlignment="1">
      <alignment horizontal="center" vertical="center"/>
    </xf>
    <xf numFmtId="1" fontId="31" fillId="16" borderId="0" xfId="0" applyNumberFormat="1" applyFont="1" applyFill="1" applyAlignment="1">
      <alignment horizontal="center" vertical="center"/>
    </xf>
    <xf numFmtId="1" fontId="31" fillId="9" borderId="0" xfId="0" applyNumberFormat="1" applyFont="1" applyFill="1" applyAlignment="1">
      <alignment horizontal="center" vertical="center"/>
    </xf>
    <xf numFmtId="0" fontId="38" fillId="0" borderId="0" xfId="0" applyFont="1" applyAlignment="1">
      <alignment vertical="center"/>
    </xf>
    <xf numFmtId="2" fontId="22" fillId="0" borderId="10" xfId="0" applyNumberFormat="1" applyFont="1" applyBorder="1" applyAlignment="1">
      <alignment horizontal="center" vertical="center"/>
    </xf>
    <xf numFmtId="0" fontId="22" fillId="0" borderId="0" xfId="0" applyFont="1" applyAlignment="1">
      <alignment horizontal="center" vertical="center" wrapText="1"/>
    </xf>
    <xf numFmtId="10" fontId="0" fillId="0" borderId="0" xfId="8" applyNumberFormat="1" applyFont="1" applyFill="1" applyBorder="1" applyAlignment="1">
      <alignment horizontal="center" vertical="center"/>
    </xf>
    <xf numFmtId="2" fontId="33" fillId="0" borderId="0" xfId="0" applyNumberFormat="1" applyFont="1" applyAlignment="1">
      <alignment horizontal="center" vertical="center"/>
    </xf>
    <xf numFmtId="0" fontId="39" fillId="0" borderId="0" xfId="0" applyFont="1" applyAlignment="1">
      <alignment vertical="center"/>
    </xf>
    <xf numFmtId="172" fontId="22" fillId="0" borderId="0" xfId="0" applyNumberFormat="1" applyFont="1" applyAlignment="1">
      <alignment horizontal="center" vertical="center"/>
    </xf>
    <xf numFmtId="172" fontId="22" fillId="0" borderId="0" xfId="0" applyNumberFormat="1" applyFont="1" applyAlignment="1">
      <alignment vertical="center"/>
    </xf>
    <xf numFmtId="176" fontId="22" fillId="0" borderId="0" xfId="0" applyNumberFormat="1" applyFont="1" applyAlignment="1">
      <alignment vertical="center"/>
    </xf>
    <xf numFmtId="10" fontId="22" fillId="0" borderId="0" xfId="0" applyNumberFormat="1" applyFont="1" applyAlignment="1">
      <alignment vertical="center"/>
    </xf>
    <xf numFmtId="173" fontId="22" fillId="0" borderId="0" xfId="0" applyNumberFormat="1" applyFont="1" applyAlignment="1">
      <alignment vertical="center"/>
    </xf>
    <xf numFmtId="175" fontId="22" fillId="0" borderId="0" xfId="0" applyNumberFormat="1" applyFont="1" applyAlignment="1">
      <alignment horizontal="center" vertical="center"/>
    </xf>
    <xf numFmtId="2" fontId="31" fillId="8" borderId="0" xfId="0" applyNumberFormat="1" applyFont="1" applyFill="1" applyAlignment="1">
      <alignment horizontal="center" vertical="center"/>
    </xf>
    <xf numFmtId="172" fontId="31" fillId="8" borderId="0" xfId="0" applyNumberFormat="1" applyFont="1" applyFill="1" applyAlignment="1">
      <alignment horizontal="center" vertical="center"/>
    </xf>
    <xf numFmtId="10" fontId="31" fillId="8" borderId="0" xfId="0" applyNumberFormat="1" applyFont="1" applyFill="1" applyAlignment="1">
      <alignment horizontal="center" vertical="center"/>
    </xf>
    <xf numFmtId="173" fontId="31" fillId="8" borderId="0" xfId="0" applyNumberFormat="1" applyFont="1" applyFill="1" applyAlignment="1">
      <alignment horizontal="center" vertical="center"/>
    </xf>
    <xf numFmtId="0" fontId="31" fillId="8" borderId="0" xfId="0" applyFont="1" applyFill="1" applyAlignment="1">
      <alignment horizontal="center" vertical="center"/>
    </xf>
    <xf numFmtId="0" fontId="22" fillId="9" borderId="10" xfId="0" applyFont="1" applyFill="1" applyBorder="1" applyAlignment="1">
      <alignment vertical="center"/>
    </xf>
    <xf numFmtId="2" fontId="22" fillId="9" borderId="10" xfId="0" applyNumberFormat="1" applyFont="1" applyFill="1" applyBorder="1" applyAlignment="1">
      <alignment horizontal="center" vertical="center"/>
    </xf>
    <xf numFmtId="0" fontId="22" fillId="9" borderId="13" xfId="0" applyFont="1" applyFill="1" applyBorder="1" applyAlignment="1">
      <alignment vertical="center"/>
    </xf>
    <xf numFmtId="2" fontId="22" fillId="9" borderId="13" xfId="0" applyNumberFormat="1" applyFont="1" applyFill="1" applyBorder="1" applyAlignment="1">
      <alignment horizontal="center" vertical="center"/>
    </xf>
    <xf numFmtId="0" fontId="21" fillId="2" borderId="17" xfId="0" applyFont="1" applyFill="1" applyBorder="1" applyAlignment="1">
      <alignment vertical="center"/>
    </xf>
    <xf numFmtId="2" fontId="21" fillId="2" borderId="17" xfId="0" applyNumberFormat="1" applyFont="1" applyFill="1" applyBorder="1" applyAlignment="1">
      <alignment horizontal="center" vertical="center"/>
    </xf>
    <xf numFmtId="0" fontId="40" fillId="2" borderId="0" xfId="0" applyFont="1" applyFill="1" applyAlignment="1">
      <alignment vertical="center"/>
    </xf>
    <xf numFmtId="0" fontId="23" fillId="2" borderId="0" xfId="0" applyFont="1" applyFill="1" applyAlignment="1">
      <alignment vertical="center"/>
    </xf>
    <xf numFmtId="0" fontId="25" fillId="9" borderId="10" xfId="0" applyFont="1" applyFill="1" applyBorder="1" applyAlignment="1">
      <alignment vertical="center"/>
    </xf>
    <xf numFmtId="2" fontId="25" fillId="9" borderId="10" xfId="0" applyNumberFormat="1" applyFont="1" applyFill="1" applyBorder="1" applyAlignment="1">
      <alignment horizontal="center" vertical="center"/>
    </xf>
    <xf numFmtId="0" fontId="0" fillId="19" borderId="0" xfId="0" applyFill="1" applyAlignment="1">
      <alignment vertical="center"/>
    </xf>
    <xf numFmtId="0" fontId="22" fillId="19" borderId="0" xfId="0" applyFont="1" applyFill="1" applyAlignment="1">
      <alignment vertical="center"/>
    </xf>
    <xf numFmtId="2" fontId="22" fillId="19" borderId="0" xfId="0" applyNumberFormat="1" applyFont="1" applyFill="1" applyAlignment="1">
      <alignment horizontal="center" vertical="center"/>
    </xf>
    <xf numFmtId="2" fontId="41" fillId="16" borderId="0" xfId="0" applyNumberFormat="1" applyFont="1" applyFill="1" applyAlignment="1">
      <alignment horizontal="center" vertical="center"/>
    </xf>
    <xf numFmtId="9" fontId="21" fillId="2" borderId="0" xfId="0" applyNumberFormat="1" applyFont="1" applyFill="1" applyAlignment="1">
      <alignment horizontal="center" vertical="center"/>
    </xf>
    <xf numFmtId="10" fontId="21" fillId="2" borderId="0" xfId="0" applyNumberFormat="1" applyFont="1" applyFill="1" applyAlignment="1">
      <alignment horizontal="center" vertical="center"/>
    </xf>
    <xf numFmtId="2" fontId="22" fillId="12" borderId="0" xfId="0" applyNumberFormat="1" applyFont="1" applyFill="1" applyAlignment="1">
      <alignment horizontal="center" vertical="center"/>
    </xf>
    <xf numFmtId="2" fontId="0" fillId="14" borderId="0" xfId="0" applyNumberFormat="1" applyFill="1" applyAlignment="1">
      <alignment horizontal="center" vertical="center"/>
    </xf>
    <xf numFmtId="0" fontId="0" fillId="18" borderId="0" xfId="0" applyFill="1" applyAlignment="1">
      <alignment vertical="center"/>
    </xf>
    <xf numFmtId="2" fontId="0" fillId="18" borderId="0" xfId="0" applyNumberFormat="1" applyFill="1" applyAlignment="1">
      <alignment horizontal="center" vertical="center"/>
    </xf>
    <xf numFmtId="0" fontId="0" fillId="15" borderId="0" xfId="0" applyFill="1" applyAlignment="1">
      <alignment vertical="center"/>
    </xf>
    <xf numFmtId="2" fontId="0" fillId="15" borderId="0" xfId="0" applyNumberFormat="1" applyFill="1" applyAlignment="1">
      <alignment horizontal="center" vertical="center"/>
    </xf>
    <xf numFmtId="0" fontId="0" fillId="13" borderId="0" xfId="0" applyFill="1" applyAlignment="1">
      <alignment vertical="center"/>
    </xf>
    <xf numFmtId="2" fontId="0" fillId="13" borderId="0" xfId="0" applyNumberFormat="1" applyFill="1" applyAlignment="1">
      <alignment horizontal="center" vertical="center"/>
    </xf>
    <xf numFmtId="0" fontId="0" fillId="12" borderId="0" xfId="0" applyFill="1" applyAlignment="1">
      <alignment vertical="center"/>
    </xf>
    <xf numFmtId="2" fontId="0" fillId="12" borderId="0" xfId="0" applyNumberFormat="1" applyFill="1" applyAlignment="1">
      <alignment horizontal="center" vertical="center"/>
    </xf>
    <xf numFmtId="2" fontId="0" fillId="19" borderId="0" xfId="0" applyNumberFormat="1" applyFill="1" applyAlignment="1">
      <alignment horizontal="center" vertical="center"/>
    </xf>
    <xf numFmtId="0" fontId="21" fillId="2" borderId="0" xfId="0" applyFont="1" applyFill="1" applyAlignment="1">
      <alignment horizontal="center" vertical="center" wrapText="1"/>
    </xf>
    <xf numFmtId="175" fontId="25" fillId="9" borderId="13" xfId="0" applyNumberFormat="1" applyFont="1" applyFill="1" applyBorder="1" applyAlignment="1">
      <alignment horizontal="center" vertical="center"/>
    </xf>
    <xf numFmtId="0" fontId="25" fillId="9" borderId="13" xfId="0" applyFont="1" applyFill="1" applyBorder="1" applyAlignment="1">
      <alignment vertical="center"/>
    </xf>
    <xf numFmtId="2" fontId="25" fillId="9" borderId="13" xfId="0" applyNumberFormat="1" applyFont="1" applyFill="1" applyBorder="1" applyAlignment="1">
      <alignment horizontal="center" vertical="center"/>
    </xf>
    <xf numFmtId="2" fontId="25" fillId="9" borderId="10" xfId="0" applyNumberFormat="1" applyFont="1" applyFill="1" applyBorder="1" applyAlignment="1">
      <alignment vertical="center"/>
    </xf>
    <xf numFmtId="10" fontId="21" fillId="2" borderId="0" xfId="4" applyNumberFormat="1" applyFont="1" applyFill="1" applyBorder="1" applyAlignment="1">
      <alignment horizontal="center" vertical="center"/>
    </xf>
    <xf numFmtId="0" fontId="21" fillId="2" borderId="0" xfId="0" applyFont="1" applyFill="1" applyAlignment="1">
      <alignment vertical="center" wrapText="1"/>
    </xf>
    <xf numFmtId="0" fontId="37" fillId="0" borderId="0" xfId="0" applyFont="1" applyAlignment="1">
      <alignment horizontal="left" vertical="center"/>
    </xf>
    <xf numFmtId="0" fontId="37" fillId="0" borderId="0" xfId="0" applyFont="1" applyAlignment="1">
      <alignment horizontal="center" vertical="center"/>
    </xf>
    <xf numFmtId="0" fontId="37" fillId="0" borderId="0" xfId="0" applyFont="1" applyAlignment="1">
      <alignment vertical="center"/>
    </xf>
    <xf numFmtId="0" fontId="43" fillId="0" borderId="0" xfId="0" applyFont="1" applyAlignment="1">
      <alignment vertical="center"/>
    </xf>
    <xf numFmtId="2" fontId="37" fillId="0" borderId="0" xfId="0" applyNumberFormat="1" applyFont="1" applyAlignment="1">
      <alignment horizontal="center" vertical="center"/>
    </xf>
    <xf numFmtId="10" fontId="31" fillId="0" borderId="0" xfId="3" applyNumberFormat="1" applyFont="1" applyAlignment="1">
      <alignment vertical="center"/>
    </xf>
    <xf numFmtId="0" fontId="44" fillId="13" borderId="0" xfId="0" applyFont="1" applyFill="1" applyAlignment="1">
      <alignment vertical="center"/>
    </xf>
    <xf numFmtId="0" fontId="41" fillId="13" borderId="0" xfId="0" applyFont="1" applyFill="1" applyAlignment="1">
      <alignment horizontal="center" vertical="center"/>
    </xf>
    <xf numFmtId="0" fontId="45" fillId="2" borderId="0" xfId="0" applyFont="1" applyFill="1" applyAlignment="1">
      <alignment vertical="center"/>
    </xf>
    <xf numFmtId="0" fontId="42" fillId="2" borderId="0" xfId="0" applyFont="1" applyFill="1" applyAlignment="1">
      <alignment horizontal="center" vertical="center"/>
    </xf>
    <xf numFmtId="14" fontId="37" fillId="0" borderId="0" xfId="0" applyNumberFormat="1" applyFont="1" applyAlignment="1">
      <alignment vertical="center"/>
    </xf>
    <xf numFmtId="0" fontId="46" fillId="0" borderId="0" xfId="0" applyFont="1" applyAlignment="1">
      <alignment vertical="center"/>
    </xf>
    <xf numFmtId="0" fontId="22" fillId="9" borderId="2" xfId="0" applyFont="1" applyFill="1" applyBorder="1" applyAlignment="1">
      <alignment vertical="center"/>
    </xf>
    <xf numFmtId="10" fontId="22" fillId="9" borderId="4" xfId="2" applyNumberFormat="1" applyFont="1" applyFill="1" applyBorder="1" applyAlignment="1">
      <alignment horizontal="center" vertical="center"/>
    </xf>
    <xf numFmtId="0" fontId="22" fillId="9" borderId="7" xfId="0" applyFont="1" applyFill="1" applyBorder="1" applyAlignment="1">
      <alignment vertical="center"/>
    </xf>
    <xf numFmtId="10" fontId="22" fillId="9" borderId="9" xfId="0" applyNumberFormat="1" applyFont="1" applyFill="1" applyBorder="1" applyAlignment="1">
      <alignment vertical="center"/>
    </xf>
    <xf numFmtId="2" fontId="47" fillId="0" borderId="0" xfId="0" applyNumberFormat="1" applyFont="1" applyAlignment="1">
      <alignment horizontal="center" vertical="center"/>
    </xf>
    <xf numFmtId="2" fontId="47" fillId="0" borderId="10" xfId="0" applyNumberFormat="1" applyFont="1" applyBorder="1" applyAlignment="1">
      <alignment horizontal="center" vertical="center"/>
    </xf>
    <xf numFmtId="0" fontId="43" fillId="20" borderId="0" xfId="0" applyFont="1" applyFill="1" applyAlignment="1">
      <alignment horizontal="left" vertical="center"/>
    </xf>
    <xf numFmtId="9" fontId="48" fillId="0" borderId="0" xfId="0" applyNumberFormat="1" applyFont="1" applyAlignment="1">
      <alignment horizontal="center" vertical="center"/>
    </xf>
    <xf numFmtId="0" fontId="41" fillId="12" borderId="0" xfId="0" applyFont="1" applyFill="1" applyAlignment="1">
      <alignment horizontal="center" vertical="center"/>
    </xf>
    <xf numFmtId="0" fontId="36" fillId="0" borderId="0" xfId="0" applyFont="1" applyAlignment="1">
      <alignment vertical="center"/>
    </xf>
    <xf numFmtId="0" fontId="43" fillId="0" borderId="10" xfId="0" applyFont="1" applyBorder="1" applyAlignment="1">
      <alignment vertical="center"/>
    </xf>
    <xf numFmtId="10" fontId="43" fillId="0" borderId="10" xfId="0" applyNumberFormat="1" applyFont="1" applyBorder="1" applyAlignment="1">
      <alignment horizontal="center" vertical="center"/>
    </xf>
    <xf numFmtId="9" fontId="49" fillId="0" borderId="10" xfId="0" applyNumberFormat="1" applyFont="1" applyBorder="1" applyAlignment="1">
      <alignment horizontal="center" vertical="center"/>
    </xf>
    <xf numFmtId="0" fontId="22" fillId="0" borderId="0" xfId="0" applyFont="1"/>
    <xf numFmtId="0" fontId="43" fillId="9" borderId="0" xfId="0" applyFont="1" applyFill="1" applyAlignment="1">
      <alignment vertical="center"/>
    </xf>
    <xf numFmtId="0" fontId="43" fillId="9" borderId="0" xfId="0" applyFont="1" applyFill="1" applyAlignment="1">
      <alignment horizontal="center" vertical="center"/>
    </xf>
    <xf numFmtId="166" fontId="41" fillId="16" borderId="0" xfId="0" applyNumberFormat="1" applyFont="1" applyFill="1" applyAlignment="1">
      <alignment horizontal="center" vertical="center"/>
    </xf>
    <xf numFmtId="166" fontId="43" fillId="9" borderId="0" xfId="0" applyNumberFormat="1" applyFont="1" applyFill="1" applyAlignment="1">
      <alignment horizontal="center" vertical="center"/>
    </xf>
    <xf numFmtId="0" fontId="37" fillId="17" borderId="0" xfId="0" applyFont="1" applyFill="1" applyAlignment="1">
      <alignment vertical="center"/>
    </xf>
    <xf numFmtId="2" fontId="37" fillId="17" borderId="0" xfId="0" applyNumberFormat="1" applyFont="1" applyFill="1" applyAlignment="1">
      <alignment horizontal="center" vertical="center"/>
    </xf>
    <xf numFmtId="0" fontId="43" fillId="17" borderId="0" xfId="0" applyFont="1" applyFill="1" applyAlignment="1">
      <alignment vertical="center"/>
    </xf>
    <xf numFmtId="2" fontId="43" fillId="17" borderId="0" xfId="0" applyNumberFormat="1" applyFont="1" applyFill="1" applyAlignment="1">
      <alignment horizontal="center" vertical="center"/>
    </xf>
    <xf numFmtId="0" fontId="43" fillId="9" borderId="10" xfId="0" applyFont="1" applyFill="1" applyBorder="1" applyAlignment="1">
      <alignment vertical="center"/>
    </xf>
    <xf numFmtId="2" fontId="43" fillId="9" borderId="10" xfId="0" applyNumberFormat="1" applyFont="1" applyFill="1" applyBorder="1" applyAlignment="1">
      <alignment horizontal="center" vertical="center"/>
    </xf>
    <xf numFmtId="0" fontId="50" fillId="0" borderId="10" xfId="0" applyFont="1" applyBorder="1" applyAlignment="1">
      <alignment vertical="center"/>
    </xf>
    <xf numFmtId="2" fontId="50" fillId="0" borderId="10" xfId="0" applyNumberFormat="1" applyFont="1" applyBorder="1" applyAlignment="1">
      <alignment horizontal="center" vertical="center"/>
    </xf>
    <xf numFmtId="0" fontId="0" fillId="0" borderId="1" xfId="0" applyBorder="1" applyAlignment="1">
      <alignment vertical="center"/>
    </xf>
    <xf numFmtId="10" fontId="0" fillId="0" borderId="1" xfId="0" applyNumberFormat="1" applyBorder="1" applyAlignment="1">
      <alignment vertical="center"/>
    </xf>
    <xf numFmtId="10" fontId="0" fillId="0" borderId="1" xfId="2" applyNumberFormat="1" applyFont="1" applyFill="1" applyBorder="1" applyAlignment="1">
      <alignment vertical="center"/>
    </xf>
    <xf numFmtId="2" fontId="0" fillId="0" borderId="1" xfId="0" applyNumberFormat="1" applyBorder="1" applyAlignment="1">
      <alignment vertical="center"/>
    </xf>
    <xf numFmtId="0" fontId="21" fillId="2" borderId="1" xfId="0" applyFont="1" applyFill="1" applyBorder="1" applyAlignment="1">
      <alignment vertical="center"/>
    </xf>
    <xf numFmtId="0" fontId="25" fillId="9" borderId="1" xfId="0" applyFont="1" applyFill="1" applyBorder="1" applyAlignment="1">
      <alignment vertical="center"/>
    </xf>
    <xf numFmtId="2" fontId="25" fillId="9" borderId="1" xfId="0" applyNumberFormat="1" applyFont="1" applyFill="1" applyBorder="1" applyAlignment="1">
      <alignment vertical="center"/>
    </xf>
    <xf numFmtId="10" fontId="21" fillId="2" borderId="1" xfId="0" applyNumberFormat="1" applyFont="1" applyFill="1" applyBorder="1" applyAlignment="1">
      <alignment vertical="center"/>
    </xf>
    <xf numFmtId="0" fontId="22" fillId="0" borderId="10" xfId="3" applyFont="1" applyBorder="1" applyAlignment="1">
      <alignment horizontal="left" vertical="center"/>
    </xf>
    <xf numFmtId="2" fontId="22" fillId="0" borderId="10" xfId="3" applyNumberFormat="1" applyFont="1" applyBorder="1" applyAlignment="1">
      <alignment horizontal="center" vertical="center"/>
    </xf>
    <xf numFmtId="179" fontId="0" fillId="0" borderId="0" xfId="1" applyNumberFormat="1" applyFont="1" applyAlignment="1">
      <alignment vertical="center"/>
    </xf>
    <xf numFmtId="10" fontId="0" fillId="0" borderId="0" xfId="0" applyNumberFormat="1" applyAlignment="1">
      <alignment vertical="center"/>
    </xf>
    <xf numFmtId="43" fontId="0" fillId="14" borderId="0" xfId="1" applyFont="1" applyFill="1" applyAlignment="1">
      <alignment vertical="center"/>
    </xf>
    <xf numFmtId="43" fontId="0" fillId="18" borderId="0" xfId="1" applyFont="1" applyFill="1" applyAlignment="1">
      <alignment vertical="center"/>
    </xf>
    <xf numFmtId="43" fontId="0" fillId="12" borderId="0" xfId="1" applyFont="1" applyFill="1" applyAlignment="1">
      <alignment vertical="center"/>
    </xf>
    <xf numFmtId="43" fontId="0" fillId="13" borderId="0" xfId="1" applyFont="1" applyFill="1" applyAlignment="1">
      <alignment vertical="center"/>
    </xf>
    <xf numFmtId="43" fontId="0" fillId="15" borderId="0" xfId="1" applyFont="1" applyFill="1" applyAlignment="1">
      <alignment vertical="center"/>
    </xf>
    <xf numFmtId="43" fontId="0" fillId="19" borderId="0" xfId="1" applyFont="1" applyFill="1" applyAlignment="1">
      <alignment vertical="center"/>
    </xf>
    <xf numFmtId="43" fontId="0" fillId="9" borderId="0" xfId="1" applyFont="1" applyFill="1" applyAlignment="1">
      <alignment vertical="center"/>
    </xf>
    <xf numFmtId="2" fontId="0" fillId="9" borderId="0" xfId="0" applyNumberFormat="1" applyFill="1" applyAlignment="1">
      <alignment horizontal="center" vertical="center"/>
    </xf>
    <xf numFmtId="43" fontId="21" fillId="2" borderId="0" xfId="1" applyFont="1" applyFill="1" applyAlignment="1">
      <alignment horizontal="center" vertical="center"/>
    </xf>
    <xf numFmtId="9" fontId="0" fillId="0" borderId="0" xfId="0" applyNumberFormat="1" applyAlignment="1">
      <alignment horizontal="left" vertical="center"/>
    </xf>
    <xf numFmtId="43" fontId="0" fillId="0" borderId="0" xfId="1" applyFont="1" applyFill="1" applyBorder="1" applyAlignment="1">
      <alignment vertical="center"/>
    </xf>
    <xf numFmtId="0" fontId="21" fillId="0" borderId="0" xfId="0" applyFont="1" applyAlignment="1">
      <alignment horizontal="center" vertical="center"/>
    </xf>
    <xf numFmtId="2" fontId="21" fillId="0" borderId="0" xfId="0" applyNumberFormat="1" applyFont="1" applyAlignment="1">
      <alignment horizontal="center" vertical="center"/>
    </xf>
    <xf numFmtId="1" fontId="0" fillId="0" borderId="0" xfId="0" applyNumberFormat="1" applyAlignment="1">
      <alignment vertical="center"/>
    </xf>
    <xf numFmtId="4" fontId="0" fillId="0" borderId="0" xfId="0" applyNumberFormat="1" applyAlignment="1">
      <alignment vertical="center"/>
    </xf>
    <xf numFmtId="4" fontId="22" fillId="0" borderId="0" xfId="0" applyNumberFormat="1" applyFont="1" applyAlignment="1">
      <alignment horizontal="center" vertical="center"/>
    </xf>
    <xf numFmtId="0" fontId="22" fillId="18" borderId="0" xfId="0" applyFont="1" applyFill="1" applyAlignment="1">
      <alignment horizontal="left" vertical="center"/>
    </xf>
    <xf numFmtId="4" fontId="22" fillId="18" borderId="0" xfId="0" applyNumberFormat="1" applyFont="1" applyFill="1" applyAlignment="1">
      <alignment horizontal="center" vertical="center"/>
    </xf>
    <xf numFmtId="1" fontId="0" fillId="18" borderId="0" xfId="0" applyNumberFormat="1" applyFill="1" applyAlignment="1">
      <alignment horizontal="center" vertical="center"/>
    </xf>
    <xf numFmtId="0" fontId="0" fillId="18" borderId="0" xfId="0" applyFill="1" applyAlignment="1">
      <alignment horizontal="left" vertical="center"/>
    </xf>
    <xf numFmtId="0" fontId="21" fillId="0" borderId="0" xfId="0" applyFont="1" applyAlignment="1">
      <alignment horizontal="center" vertical="center" wrapText="1"/>
    </xf>
    <xf numFmtId="0" fontId="37" fillId="21" borderId="0" xfId="0" applyFont="1" applyFill="1" applyAlignment="1">
      <alignment vertical="center"/>
    </xf>
    <xf numFmtId="2" fontId="0" fillId="21" borderId="0" xfId="0" applyNumberFormat="1" applyFill="1" applyAlignment="1">
      <alignment horizontal="center" vertical="center"/>
    </xf>
    <xf numFmtId="2" fontId="37" fillId="21" borderId="0" xfId="0" applyNumberFormat="1" applyFont="1" applyFill="1" applyAlignment="1">
      <alignment horizontal="center" vertical="center"/>
    </xf>
    <xf numFmtId="10" fontId="48" fillId="0" borderId="0" xfId="2" applyNumberFormat="1" applyFont="1" applyFill="1" applyAlignment="1">
      <alignment horizontal="center" vertical="center"/>
    </xf>
    <xf numFmtId="9" fontId="37" fillId="0" borderId="0" xfId="0" applyNumberFormat="1" applyFont="1" applyAlignment="1">
      <alignment horizontal="center" vertical="center"/>
    </xf>
    <xf numFmtId="43" fontId="0" fillId="0" borderId="0" xfId="1" applyFont="1"/>
    <xf numFmtId="171" fontId="22" fillId="0" borderId="0" xfId="1" applyNumberFormat="1" applyFont="1" applyFill="1" applyBorder="1" applyAlignment="1">
      <alignment horizontal="center" vertical="center"/>
    </xf>
    <xf numFmtId="2" fontId="28" fillId="0" borderId="0" xfId="0" applyNumberFormat="1" applyFont="1" applyAlignment="1">
      <alignment horizontal="center" vertical="center"/>
    </xf>
    <xf numFmtId="10" fontId="22" fillId="22" borderId="0" xfId="0" applyNumberFormat="1" applyFont="1" applyFill="1" applyAlignment="1">
      <alignment horizontal="center" vertical="center"/>
    </xf>
    <xf numFmtId="0" fontId="0" fillId="7" borderId="0" xfId="0" applyFill="1" applyAlignment="1">
      <alignment vertical="center"/>
    </xf>
    <xf numFmtId="2" fontId="0" fillId="7" borderId="0" xfId="0" applyNumberFormat="1" applyFill="1" applyAlignment="1">
      <alignment horizontal="center" vertical="center"/>
    </xf>
    <xf numFmtId="0" fontId="0" fillId="0" borderId="0" xfId="3" applyFont="1" applyAlignment="1">
      <alignment horizontal="left" vertical="center" wrapText="1"/>
    </xf>
    <xf numFmtId="9" fontId="1" fillId="0" borderId="0" xfId="3" applyNumberFormat="1" applyFont="1" applyAlignment="1">
      <alignment vertical="center"/>
    </xf>
    <xf numFmtId="0" fontId="0" fillId="8" borderId="0" xfId="0" applyFill="1" applyAlignment="1">
      <alignment vertical="center"/>
    </xf>
    <xf numFmtId="180" fontId="1" fillId="0" borderId="0" xfId="3" applyNumberFormat="1" applyFont="1" applyAlignment="1">
      <alignment vertical="center"/>
    </xf>
    <xf numFmtId="171" fontId="1" fillId="0" borderId="0" xfId="1" applyNumberFormat="1" applyFont="1" applyAlignment="1">
      <alignment vertical="center"/>
    </xf>
    <xf numFmtId="0" fontId="0" fillId="23" borderId="0" xfId="0" applyFill="1" applyAlignment="1">
      <alignment vertical="center"/>
    </xf>
    <xf numFmtId="2" fontId="0" fillId="23" borderId="0" xfId="0" applyNumberFormat="1" applyFill="1" applyAlignment="1">
      <alignment horizontal="center" vertical="center"/>
    </xf>
    <xf numFmtId="43" fontId="0" fillId="23" borderId="0" xfId="1" applyFont="1" applyFill="1" applyAlignment="1">
      <alignment vertical="center"/>
    </xf>
    <xf numFmtId="0" fontId="22" fillId="23" borderId="0" xfId="0" applyFont="1" applyFill="1" applyAlignment="1">
      <alignment vertical="center"/>
    </xf>
    <xf numFmtId="0" fontId="0" fillId="3" borderId="0" xfId="0" applyFill="1" applyAlignment="1">
      <alignment vertical="center"/>
    </xf>
    <xf numFmtId="2" fontId="0" fillId="3" borderId="0" xfId="0" applyNumberFormat="1" applyFill="1" applyAlignment="1">
      <alignment horizontal="center" vertical="center"/>
    </xf>
    <xf numFmtId="43" fontId="0" fillId="3" borderId="0" xfId="1" applyFont="1" applyFill="1" applyAlignment="1">
      <alignment vertical="center"/>
    </xf>
    <xf numFmtId="0" fontId="22" fillId="3" borderId="0" xfId="0" applyFont="1" applyFill="1" applyAlignment="1">
      <alignment vertical="center"/>
    </xf>
    <xf numFmtId="43" fontId="0" fillId="0" borderId="0" xfId="1" applyFont="1" applyAlignment="1">
      <alignment vertical="center"/>
    </xf>
    <xf numFmtId="2" fontId="0" fillId="4" borderId="0" xfId="0" applyNumberFormat="1" applyFill="1" applyAlignment="1">
      <alignment horizontal="center" vertical="center"/>
    </xf>
    <xf numFmtId="0" fontId="0" fillId="4" borderId="0" xfId="0" applyFill="1" applyAlignment="1">
      <alignment vertical="center"/>
    </xf>
    <xf numFmtId="43" fontId="0" fillId="4" borderId="0" xfId="1" applyFont="1" applyFill="1" applyAlignment="1">
      <alignment vertical="center"/>
    </xf>
    <xf numFmtId="10" fontId="0" fillId="0" borderId="0" xfId="2" applyNumberFormat="1" applyFont="1" applyAlignment="1">
      <alignment horizontal="center" vertical="center"/>
    </xf>
    <xf numFmtId="166" fontId="21" fillId="0" borderId="0" xfId="0" applyNumberFormat="1" applyFont="1" applyAlignment="1">
      <alignment horizontal="center" vertical="center"/>
    </xf>
    <xf numFmtId="2" fontId="22" fillId="0" borderId="0" xfId="3" applyNumberFormat="1" applyFont="1" applyAlignment="1">
      <alignment vertical="center"/>
    </xf>
    <xf numFmtId="2" fontId="22" fillId="4" borderId="0" xfId="0" applyNumberFormat="1" applyFont="1" applyFill="1" applyAlignment="1">
      <alignment horizontal="center" vertical="center"/>
    </xf>
    <xf numFmtId="165" fontId="0" fillId="0" borderId="0" xfId="1" applyNumberFormat="1" applyFont="1" applyFill="1" applyBorder="1" applyAlignment="1">
      <alignment horizontal="center" vertical="center"/>
    </xf>
    <xf numFmtId="2" fontId="22" fillId="0" borderId="0" xfId="0" applyNumberFormat="1" applyFont="1" applyAlignment="1">
      <alignment vertical="center"/>
    </xf>
    <xf numFmtId="4" fontId="8" fillId="5" borderId="11" xfId="5" applyFont="1" applyFill="1" applyBorder="1" applyAlignment="1">
      <alignment horizontal="center" vertical="center" wrapText="1"/>
    </xf>
    <xf numFmtId="4" fontId="8" fillId="5" borderId="10" xfId="5" applyFont="1" applyFill="1" applyBorder="1" applyAlignment="1">
      <alignment horizontal="center" vertical="center" wrapText="1"/>
    </xf>
    <xf numFmtId="4" fontId="6" fillId="5" borderId="11" xfId="5" applyFont="1" applyFill="1" applyBorder="1" applyAlignment="1">
      <alignment horizontal="center" vertical="center"/>
    </xf>
    <xf numFmtId="4" fontId="6" fillId="5" borderId="10" xfId="5" applyFont="1" applyFill="1" applyBorder="1" applyAlignment="1">
      <alignment horizontal="center" vertical="center"/>
    </xf>
    <xf numFmtId="4" fontId="6" fillId="5" borderId="12" xfId="5" applyFont="1" applyFill="1" applyBorder="1" applyAlignment="1">
      <alignment horizontal="center" vertical="center"/>
    </xf>
    <xf numFmtId="4" fontId="8" fillId="5" borderId="11" xfId="5" applyFont="1" applyFill="1" applyBorder="1" applyAlignment="1">
      <alignment horizontal="center" vertical="center"/>
    </xf>
    <xf numFmtId="4" fontId="8" fillId="5" borderId="10" xfId="5" applyFont="1" applyFill="1" applyBorder="1" applyAlignment="1">
      <alignment horizontal="center" vertical="center"/>
    </xf>
    <xf numFmtId="4" fontId="17" fillId="8" borderId="0" xfId="5" applyFont="1" applyFill="1" applyAlignment="1">
      <alignment horizontal="center" vertical="center" wrapText="1"/>
    </xf>
    <xf numFmtId="4" fontId="8" fillId="5" borderId="0" xfId="5" applyFont="1" applyFill="1" applyAlignment="1">
      <alignment horizontal="center" vertical="center"/>
    </xf>
    <xf numFmtId="0" fontId="26" fillId="16" borderId="0" xfId="0" applyFont="1" applyFill="1" applyAlignment="1">
      <alignment horizontal="center" vertical="center"/>
    </xf>
    <xf numFmtId="0" fontId="26" fillId="3" borderId="0" xfId="0" applyFont="1" applyFill="1" applyAlignment="1">
      <alignment horizontal="center" vertical="center"/>
    </xf>
    <xf numFmtId="10" fontId="22" fillId="9" borderId="0" xfId="4" applyNumberFormat="1" applyFont="1" applyFill="1" applyBorder="1" applyAlignment="1">
      <alignment horizontal="center" vertical="center"/>
    </xf>
    <xf numFmtId="0" fontId="0" fillId="0" borderId="0" xfId="0" applyAlignment="1">
      <alignment horizontal="center" vertical="center"/>
    </xf>
    <xf numFmtId="0" fontId="22" fillId="9" borderId="0" xfId="0" applyFont="1" applyFill="1" applyAlignment="1">
      <alignment horizontal="center" vertical="center"/>
    </xf>
    <xf numFmtId="0" fontId="22" fillId="9" borderId="0" xfId="0" applyFont="1" applyFill="1" applyAlignment="1">
      <alignment horizontal="center" vertical="center" wrapText="1"/>
    </xf>
    <xf numFmtId="2" fontId="21" fillId="2" borderId="0" xfId="0" applyNumberFormat="1" applyFont="1" applyFill="1" applyAlignment="1">
      <alignment horizontal="center" vertical="center"/>
    </xf>
    <xf numFmtId="0" fontId="21" fillId="2" borderId="1" xfId="0" applyFont="1" applyFill="1" applyBorder="1" applyAlignment="1">
      <alignment horizontal="center" vertical="center"/>
    </xf>
    <xf numFmtId="10" fontId="22" fillId="9" borderId="0" xfId="0" applyNumberFormat="1" applyFont="1" applyFill="1" applyAlignment="1">
      <alignment horizontal="center" vertical="center"/>
    </xf>
    <xf numFmtId="2" fontId="22" fillId="9" borderId="0" xfId="0" applyNumberFormat="1" applyFont="1" applyFill="1" applyAlignment="1">
      <alignment horizontal="center" vertical="center"/>
    </xf>
    <xf numFmtId="178" fontId="22" fillId="9" borderId="0" xfId="0" applyNumberFormat="1" applyFont="1" applyFill="1" applyAlignment="1">
      <alignment horizontal="center" vertical="center"/>
    </xf>
    <xf numFmtId="43" fontId="1" fillId="0" borderId="0" xfId="1" applyFont="1" applyAlignment="1">
      <alignment vertical="center"/>
    </xf>
  </cellXfs>
  <cellStyles count="12">
    <cellStyle name="Comma" xfId="1" builtinId="3"/>
    <cellStyle name="Comma 2" xfId="6" xr:uid="{00000000-0005-0000-0000-000001000000}"/>
    <cellStyle name="Comma 2 2" xfId="11" xr:uid="{00000000-0005-0000-0000-000002000000}"/>
    <cellStyle name="Hyperlink" xfId="9" builtinId="8"/>
    <cellStyle name="Normal" xfId="0" builtinId="0"/>
    <cellStyle name="Normal 2" xfId="3" xr:uid="{00000000-0005-0000-0000-000005000000}"/>
    <cellStyle name="Normal 2 2" xfId="5" xr:uid="{00000000-0005-0000-0000-000006000000}"/>
    <cellStyle name="Normal 2 3" xfId="10" xr:uid="{00000000-0005-0000-0000-000007000000}"/>
    <cellStyle name="Percent" xfId="2" builtinId="5"/>
    <cellStyle name="Percent 2" xfId="4" xr:uid="{00000000-0005-0000-0000-000009000000}"/>
    <cellStyle name="Percent 2 2" xfId="7" xr:uid="{00000000-0005-0000-0000-00000A000000}"/>
    <cellStyle name="Percent 4" xfId="8" xr:uid="{00000000-0005-0000-0000-00000B000000}"/>
  </cellStyles>
  <dxfs count="0"/>
  <tableStyles count="0" defaultTableStyle="TableStyleMedium2" defaultPivotStyle="PivotStyleMedium9"/>
  <colors>
    <mruColors>
      <color rgb="FFFFD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41777016386465204"/>
          <c:y val="3.9564787339268048E-2"/>
        </c:manualLayout>
      </c:layout>
      <c:overlay val="0"/>
      <c:spPr>
        <a:solidFill>
          <a:srgbClr val="002060"/>
        </a:solidFill>
        <a:ln>
          <a:noFill/>
        </a:ln>
        <a:effectLst/>
      </c:spPr>
      <c:txPr>
        <a:bodyPr rot="0" spcFirstLastPara="1" vertOverflow="ellipsis" vert="horz" wrap="square" anchor="ctr" anchorCtr="1"/>
        <a:lstStyle/>
        <a:p>
          <a:pPr>
            <a:defRPr sz="1100" b="1" i="0" u="none" strike="noStrike" kern="1200" spc="0" baseline="0">
              <a:solidFill>
                <a:schemeClr val="bg1"/>
              </a:solidFill>
              <a:latin typeface="+mn-lt"/>
              <a:ea typeface="+mn-ea"/>
              <a:cs typeface="+mn-cs"/>
            </a:defRPr>
          </a:pPr>
          <a:endParaRPr lang="en-US"/>
        </a:p>
      </c:txPr>
    </c:title>
    <c:autoTitleDeleted val="0"/>
    <c:plotArea>
      <c:layout>
        <c:manualLayout>
          <c:layoutTarget val="inner"/>
          <c:xMode val="edge"/>
          <c:yMode val="edge"/>
          <c:x val="0.1234033505455735"/>
          <c:y val="0.15600381770460511"/>
          <c:w val="0.8558572745974321"/>
          <c:h val="0.62996736683878918"/>
        </c:manualLayout>
      </c:layout>
      <c:barChart>
        <c:barDir val="col"/>
        <c:grouping val="clustered"/>
        <c:varyColors val="0"/>
        <c:ser>
          <c:idx val="0"/>
          <c:order val="0"/>
          <c:tx>
            <c:strRef>
              <c:f>IS!$B$64</c:f>
              <c:strCache>
                <c:ptCount val="1"/>
                <c:pt idx="0">
                  <c:v>EBITDA Margin %</c:v>
                </c:pt>
              </c:strCache>
            </c:strRef>
          </c:tx>
          <c:spPr>
            <a:solidFill>
              <a:schemeClr val="tx2"/>
            </a:solidFill>
            <a:ln>
              <a:no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trendline>
            <c:spPr>
              <a:ln w="19050" cap="rnd">
                <a:solidFill>
                  <a:schemeClr val="accent1"/>
                </a:solidFill>
                <a:prstDash val="sysDot"/>
              </a:ln>
              <a:effectLst/>
            </c:spPr>
            <c:trendlineType val="linear"/>
            <c:dispRSqr val="0"/>
            <c:dispEq val="0"/>
          </c:trendline>
          <c:cat>
            <c:numRef>
              <c:f>IS!$F$9:$O$9</c:f>
              <c:numCache>
                <c:formatCode>[$-409]d\-mmm\-yy;@</c:formatCode>
                <c:ptCount val="10"/>
                <c:pt idx="0">
                  <c:v>46112</c:v>
                </c:pt>
                <c:pt idx="1">
                  <c:v>46477</c:v>
                </c:pt>
                <c:pt idx="2">
                  <c:v>46843</c:v>
                </c:pt>
                <c:pt idx="3">
                  <c:v>47208</c:v>
                </c:pt>
                <c:pt idx="4">
                  <c:v>47573</c:v>
                </c:pt>
                <c:pt idx="5">
                  <c:v>47938</c:v>
                </c:pt>
                <c:pt idx="6">
                  <c:v>48304</c:v>
                </c:pt>
                <c:pt idx="7">
                  <c:v>48669</c:v>
                </c:pt>
                <c:pt idx="8">
                  <c:v>49034</c:v>
                </c:pt>
                <c:pt idx="9">
                  <c:v>49399</c:v>
                </c:pt>
              </c:numCache>
            </c:numRef>
          </c:cat>
          <c:val>
            <c:numRef>
              <c:f>IS!$F$64:$O$64</c:f>
              <c:numCache>
                <c:formatCode>0.00%</c:formatCode>
                <c:ptCount val="10"/>
                <c:pt idx="0">
                  <c:v>0.29824217941052861</c:v>
                </c:pt>
                <c:pt idx="1">
                  <c:v>0.16956223518512251</c:v>
                </c:pt>
                <c:pt idx="2">
                  <c:v>0.16323647882949274</c:v>
                </c:pt>
                <c:pt idx="3">
                  <c:v>0.16096754538520341</c:v>
                </c:pt>
                <c:pt idx="4">
                  <c:v>0.15494209759144667</c:v>
                </c:pt>
                <c:pt idx="5">
                  <c:v>0.15201285957741567</c:v>
                </c:pt>
                <c:pt idx="6">
                  <c:v>0.14876187645466582</c:v>
                </c:pt>
                <c:pt idx="7">
                  <c:v>0.14520134424414352</c:v>
                </c:pt>
                <c:pt idx="8">
                  <c:v>0.14130746632011212</c:v>
                </c:pt>
                <c:pt idx="9">
                  <c:v>0.13708582220442148</c:v>
                </c:pt>
              </c:numCache>
            </c:numRef>
          </c:val>
          <c:extLst>
            <c:ext xmlns:c16="http://schemas.microsoft.com/office/drawing/2014/chart" uri="{C3380CC4-5D6E-409C-BE32-E72D297353CC}">
              <c16:uniqueId val="{00000001-5533-4775-983E-590E9C3FDC85}"/>
            </c:ext>
          </c:extLst>
        </c:ser>
        <c:dLbls>
          <c:dLblPos val="outEnd"/>
          <c:showLegendKey val="0"/>
          <c:showVal val="1"/>
          <c:showCatName val="0"/>
          <c:showSerName val="0"/>
          <c:showPercent val="0"/>
          <c:showBubbleSize val="0"/>
        </c:dLbls>
        <c:gapWidth val="200"/>
        <c:overlap val="-27"/>
        <c:axId val="332583784"/>
        <c:axId val="124568952"/>
      </c:barChart>
      <c:catAx>
        <c:axId val="332583784"/>
        <c:scaling>
          <c:orientation val="minMax"/>
        </c:scaling>
        <c:delete val="0"/>
        <c:axPos val="b"/>
        <c:title>
          <c:tx>
            <c:rich>
              <a:bodyPr rot="0" spcFirstLastPara="1" vertOverflow="ellipsis" vert="horz" wrap="square" anchor="ctr" anchorCtr="1"/>
              <a:lstStyle/>
              <a:p>
                <a:pPr>
                  <a:defRPr sz="1000" b="1" i="1" u="none" strike="noStrike" kern="1200" baseline="0">
                    <a:solidFill>
                      <a:schemeClr val="tx1">
                        <a:lumMod val="65000"/>
                        <a:lumOff val="35000"/>
                      </a:schemeClr>
                    </a:solidFill>
                    <a:latin typeface="+mn-lt"/>
                    <a:ea typeface="+mn-ea"/>
                    <a:cs typeface="+mn-cs"/>
                  </a:defRPr>
                </a:pPr>
                <a:r>
                  <a:rPr lang="en-IN" b="1" i="1"/>
                  <a:t>Financial Year</a:t>
                </a:r>
              </a:p>
            </c:rich>
          </c:tx>
          <c:layout>
            <c:manualLayout>
              <c:xMode val="edge"/>
              <c:yMode val="edge"/>
              <c:x val="0.51047669716961053"/>
              <c:y val="0.9123515346931782"/>
            </c:manualLayout>
          </c:layout>
          <c:overlay val="0"/>
          <c:spPr>
            <a:noFill/>
            <a:ln>
              <a:noFill/>
            </a:ln>
            <a:effectLst/>
          </c:spPr>
          <c:txPr>
            <a:bodyPr rot="0" spcFirstLastPara="1" vertOverflow="ellipsis" vert="horz" wrap="square" anchor="ctr" anchorCtr="1"/>
            <a:lstStyle/>
            <a:p>
              <a:pPr>
                <a:defRPr sz="1000" b="1" i="1" u="none" strike="noStrike" kern="1200" baseline="0">
                  <a:solidFill>
                    <a:schemeClr val="tx1">
                      <a:lumMod val="65000"/>
                      <a:lumOff val="35000"/>
                    </a:schemeClr>
                  </a:solidFill>
                  <a:latin typeface="+mn-lt"/>
                  <a:ea typeface="+mn-ea"/>
                  <a:cs typeface="+mn-cs"/>
                </a:defRPr>
              </a:pPr>
              <a:endParaRPr lang="en-US"/>
            </a:p>
          </c:txPr>
        </c:title>
        <c:numFmt formatCode="[$-409]mmm/yy;@" sourceLinked="0"/>
        <c:majorTickMark val="none"/>
        <c:minorTickMark val="none"/>
        <c:tickLblPos val="nextTo"/>
        <c:spPr>
          <a:noFill/>
          <a:ln w="9525" cap="flat" cmpd="sng" algn="ctr">
            <a:solidFill>
              <a:schemeClr val="tx1">
                <a:lumMod val="15000"/>
                <a:lumOff val="85000"/>
              </a:schemeClr>
            </a:solidFill>
            <a:round/>
          </a:ln>
          <a:effectLst/>
        </c:spPr>
        <c:txPr>
          <a:bodyPr rot="-9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4568952"/>
        <c:crosses val="autoZero"/>
        <c:auto val="0"/>
        <c:lblAlgn val="ctr"/>
        <c:lblOffset val="100"/>
        <c:noMultiLvlLbl val="0"/>
      </c:catAx>
      <c:valAx>
        <c:axId val="124568952"/>
        <c:scaling>
          <c:orientation val="minMax"/>
        </c:scaling>
        <c:delete val="0"/>
        <c:axPos val="l"/>
        <c:title>
          <c:tx>
            <c:rich>
              <a:bodyPr rot="-5400000" spcFirstLastPara="1" vertOverflow="ellipsis" vert="horz" wrap="square" anchor="ctr" anchorCtr="1"/>
              <a:lstStyle/>
              <a:p>
                <a:pPr>
                  <a:defRPr sz="1000" b="1" i="1" u="none" strike="noStrike" kern="1200" baseline="0">
                    <a:solidFill>
                      <a:schemeClr val="tx1">
                        <a:lumMod val="65000"/>
                        <a:lumOff val="35000"/>
                      </a:schemeClr>
                    </a:solidFill>
                    <a:latin typeface="+mn-lt"/>
                    <a:ea typeface="+mn-ea"/>
                    <a:cs typeface="+mn-cs"/>
                  </a:defRPr>
                </a:pPr>
                <a:r>
                  <a:rPr lang="en-IN" b="1" i="1"/>
                  <a:t>EBITDA</a:t>
                </a:r>
                <a:r>
                  <a:rPr lang="en-IN" b="1" i="1" baseline="0"/>
                  <a:t> Margin %</a:t>
                </a:r>
                <a:endParaRPr lang="en-IN" b="1" i="1"/>
              </a:p>
            </c:rich>
          </c:tx>
          <c:layout>
            <c:manualLayout>
              <c:xMode val="edge"/>
              <c:yMode val="edge"/>
              <c:x val="1.0457876741668419E-2"/>
              <c:y val="0.33485341605026653"/>
            </c:manualLayout>
          </c:layout>
          <c:overlay val="0"/>
          <c:spPr>
            <a:noFill/>
            <a:ln>
              <a:noFill/>
            </a:ln>
            <a:effectLst/>
          </c:spPr>
          <c:txPr>
            <a:bodyPr rot="-5400000" spcFirstLastPara="1" vertOverflow="ellipsis" vert="horz" wrap="square" anchor="ctr" anchorCtr="1"/>
            <a:lstStyle/>
            <a:p>
              <a:pPr>
                <a:defRPr sz="1000" b="1" i="1" u="none" strike="noStrike" kern="1200" baseline="0">
                  <a:solidFill>
                    <a:schemeClr val="tx1">
                      <a:lumMod val="65000"/>
                      <a:lumOff val="35000"/>
                    </a:schemeClr>
                  </a:solidFill>
                  <a:latin typeface="+mn-lt"/>
                  <a:ea typeface="+mn-ea"/>
                  <a:cs typeface="+mn-cs"/>
                </a:defRPr>
              </a:pPr>
              <a:endParaRPr lang="en-IN"/>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3258378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4336260197205079"/>
          <c:y val="4.7761194029850747E-2"/>
        </c:manualLayout>
      </c:layout>
      <c:overlay val="0"/>
      <c:spPr>
        <a:solidFill>
          <a:srgbClr val="002060"/>
        </a:solidFill>
        <a:ln>
          <a:noFill/>
        </a:ln>
        <a:effectLst/>
      </c:spPr>
      <c:txPr>
        <a:bodyPr rot="0" spcFirstLastPara="1" vertOverflow="ellipsis" vert="horz" wrap="square" anchor="ctr" anchorCtr="1"/>
        <a:lstStyle/>
        <a:p>
          <a:pPr>
            <a:defRPr sz="1100" b="1" i="0" u="none" strike="noStrike" kern="1200" spc="0" baseline="0">
              <a:solidFill>
                <a:schemeClr val="bg1"/>
              </a:solidFill>
              <a:latin typeface="+mn-lt"/>
              <a:ea typeface="+mn-ea"/>
              <a:cs typeface="+mn-cs"/>
            </a:defRPr>
          </a:pPr>
          <a:endParaRPr lang="en-US"/>
        </a:p>
      </c:txPr>
    </c:title>
    <c:autoTitleDeleted val="0"/>
    <c:plotArea>
      <c:layout>
        <c:manualLayout>
          <c:layoutTarget val="inner"/>
          <c:xMode val="edge"/>
          <c:yMode val="edge"/>
          <c:x val="0.12536395444907875"/>
          <c:y val="0.14499517347565599"/>
          <c:w val="0.85765907639923389"/>
          <c:h val="0.65459662318329603"/>
        </c:manualLayout>
      </c:layout>
      <c:barChart>
        <c:barDir val="col"/>
        <c:grouping val="clustered"/>
        <c:varyColors val="0"/>
        <c:ser>
          <c:idx val="0"/>
          <c:order val="0"/>
          <c:tx>
            <c:strRef>
              <c:f>IS!$B$66</c:f>
              <c:strCache>
                <c:ptCount val="1"/>
                <c:pt idx="0">
                  <c:v>EBIT Margin %</c:v>
                </c:pt>
              </c:strCache>
            </c:strRef>
          </c:tx>
          <c:spPr>
            <a:solidFill>
              <a:schemeClr val="tx2"/>
            </a:solidFill>
            <a:ln>
              <a:noFill/>
            </a:ln>
            <a:effectLst/>
          </c:spPr>
          <c:invertIfNegative val="0"/>
          <c:dLbls>
            <c:spPr>
              <a:noFill/>
              <a:ln>
                <a:noFill/>
              </a:ln>
              <a:effectLst/>
            </c:spPr>
            <c:txPr>
              <a:bodyPr rot="5400000" spcFirstLastPara="1" vertOverflow="ellipsis" wrap="square" lIns="38100" tIns="19050" rIns="38100" bIns="19050" anchor="ctr" anchorCtr="0">
                <a:spAutoFit/>
              </a:bodyPr>
              <a:lstStyle/>
              <a:p>
                <a:pPr>
                  <a:defRPr sz="9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trendline>
            <c:spPr>
              <a:ln w="19050" cap="rnd">
                <a:solidFill>
                  <a:schemeClr val="accent1"/>
                </a:solidFill>
                <a:prstDash val="sysDot"/>
              </a:ln>
              <a:effectLst/>
            </c:spPr>
            <c:trendlineType val="linear"/>
            <c:dispRSqr val="0"/>
            <c:dispEq val="0"/>
          </c:trendline>
          <c:cat>
            <c:numRef>
              <c:f>IS!$F$9:$O$9</c:f>
              <c:numCache>
                <c:formatCode>[$-409]d\-mmm\-yy;@</c:formatCode>
                <c:ptCount val="10"/>
                <c:pt idx="0">
                  <c:v>46112</c:v>
                </c:pt>
                <c:pt idx="1">
                  <c:v>46477</c:v>
                </c:pt>
                <c:pt idx="2">
                  <c:v>46843</c:v>
                </c:pt>
                <c:pt idx="3">
                  <c:v>47208</c:v>
                </c:pt>
                <c:pt idx="4">
                  <c:v>47573</c:v>
                </c:pt>
                <c:pt idx="5">
                  <c:v>47938</c:v>
                </c:pt>
                <c:pt idx="6">
                  <c:v>48304</c:v>
                </c:pt>
                <c:pt idx="7">
                  <c:v>48669</c:v>
                </c:pt>
                <c:pt idx="8">
                  <c:v>49034</c:v>
                </c:pt>
                <c:pt idx="9">
                  <c:v>49399</c:v>
                </c:pt>
              </c:numCache>
            </c:numRef>
          </c:cat>
          <c:val>
            <c:numRef>
              <c:f>IS!$F$66:$O$66</c:f>
              <c:numCache>
                <c:formatCode>0.00%</c:formatCode>
                <c:ptCount val="10"/>
                <c:pt idx="0">
                  <c:v>0.25840967523561942</c:v>
                </c:pt>
                <c:pt idx="1">
                  <c:v>0.13966635835188448</c:v>
                </c:pt>
                <c:pt idx="2">
                  <c:v>0.1399001677429523</c:v>
                </c:pt>
                <c:pt idx="3">
                  <c:v>0.14199259920269763</c:v>
                </c:pt>
                <c:pt idx="4">
                  <c:v>0.13785191344258529</c:v>
                </c:pt>
                <c:pt idx="5">
                  <c:v>0.13652864829867159</c:v>
                </c:pt>
                <c:pt idx="6">
                  <c:v>0.13466081974550106</c:v>
                </c:pt>
                <c:pt idx="7">
                  <c:v>0.13230259726265509</c:v>
                </c:pt>
                <c:pt idx="8">
                  <c:v>0.12946227726179049</c:v>
                </c:pt>
                <c:pt idx="9">
                  <c:v>0.12617039653438811</c:v>
                </c:pt>
              </c:numCache>
            </c:numRef>
          </c:val>
          <c:extLst>
            <c:ext xmlns:c16="http://schemas.microsoft.com/office/drawing/2014/chart" uri="{C3380CC4-5D6E-409C-BE32-E72D297353CC}">
              <c16:uniqueId val="{00000001-3C72-4D7E-8394-A5D963A153FA}"/>
            </c:ext>
          </c:extLst>
        </c:ser>
        <c:dLbls>
          <c:dLblPos val="outEnd"/>
          <c:showLegendKey val="0"/>
          <c:showVal val="1"/>
          <c:showCatName val="0"/>
          <c:showSerName val="0"/>
          <c:showPercent val="0"/>
          <c:showBubbleSize val="0"/>
        </c:dLbls>
        <c:gapWidth val="207"/>
        <c:overlap val="-27"/>
        <c:axId val="125011712"/>
        <c:axId val="354618584"/>
      </c:barChart>
      <c:catAx>
        <c:axId val="125011712"/>
        <c:scaling>
          <c:orientation val="minMax"/>
        </c:scaling>
        <c:delete val="0"/>
        <c:axPos val="b"/>
        <c:title>
          <c:tx>
            <c:rich>
              <a:bodyPr rot="0" spcFirstLastPara="1" vertOverflow="ellipsis" vert="horz" wrap="square" anchor="ctr" anchorCtr="1"/>
              <a:lstStyle/>
              <a:p>
                <a:pPr>
                  <a:defRPr sz="1000" b="1" i="1" u="none" strike="noStrike" kern="1200" baseline="0">
                    <a:solidFill>
                      <a:schemeClr val="tx1">
                        <a:lumMod val="65000"/>
                        <a:lumOff val="35000"/>
                      </a:schemeClr>
                    </a:solidFill>
                    <a:latin typeface="+mn-lt"/>
                    <a:ea typeface="+mn-ea"/>
                    <a:cs typeface="+mn-cs"/>
                  </a:defRPr>
                </a:pPr>
                <a:r>
                  <a:rPr lang="en-IN" b="1" i="1"/>
                  <a:t>Financial Year</a:t>
                </a:r>
              </a:p>
            </c:rich>
          </c:tx>
          <c:layout>
            <c:manualLayout>
              <c:xMode val="edge"/>
              <c:yMode val="edge"/>
              <c:x val="0.50867489536780874"/>
              <c:y val="0.90848967759627064"/>
            </c:manualLayout>
          </c:layout>
          <c:overlay val="0"/>
          <c:spPr>
            <a:noFill/>
            <a:ln>
              <a:noFill/>
            </a:ln>
            <a:effectLst/>
          </c:spPr>
          <c:txPr>
            <a:bodyPr rot="0" spcFirstLastPara="1" vertOverflow="ellipsis" vert="horz" wrap="square" anchor="ctr" anchorCtr="1"/>
            <a:lstStyle/>
            <a:p>
              <a:pPr>
                <a:defRPr sz="1000" b="1" i="1" u="none" strike="noStrike" kern="1200" baseline="0">
                  <a:solidFill>
                    <a:schemeClr val="tx1">
                      <a:lumMod val="65000"/>
                      <a:lumOff val="35000"/>
                    </a:schemeClr>
                  </a:solidFill>
                  <a:latin typeface="+mn-lt"/>
                  <a:ea typeface="+mn-ea"/>
                  <a:cs typeface="+mn-cs"/>
                </a:defRPr>
              </a:pPr>
              <a:endParaRPr lang="en-US"/>
            </a:p>
          </c:txPr>
        </c:title>
        <c:numFmt formatCode="[$-409]mmm/yy;@" sourceLinked="0"/>
        <c:majorTickMark val="none"/>
        <c:minorTickMark val="none"/>
        <c:tickLblPos val="nextTo"/>
        <c:spPr>
          <a:noFill/>
          <a:ln w="9525" cap="flat" cmpd="sng" algn="ctr">
            <a:solidFill>
              <a:schemeClr val="tx1">
                <a:lumMod val="15000"/>
                <a:lumOff val="85000"/>
              </a:schemeClr>
            </a:solidFill>
            <a:round/>
          </a:ln>
          <a:effectLst/>
        </c:spPr>
        <c:txPr>
          <a:bodyPr rot="-12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54618584"/>
        <c:crosses val="autoZero"/>
        <c:auto val="0"/>
        <c:lblAlgn val="ctr"/>
        <c:lblOffset val="100"/>
        <c:noMultiLvlLbl val="0"/>
      </c:catAx>
      <c:valAx>
        <c:axId val="354618584"/>
        <c:scaling>
          <c:orientation val="minMax"/>
        </c:scaling>
        <c:delete val="0"/>
        <c:axPos val="l"/>
        <c:title>
          <c:tx>
            <c:rich>
              <a:bodyPr rot="-5400000" spcFirstLastPara="1" vertOverflow="ellipsis" vert="horz" wrap="square" anchor="ctr" anchorCtr="1"/>
              <a:lstStyle/>
              <a:p>
                <a:pPr>
                  <a:defRPr sz="1000" b="1" i="1" u="none" strike="noStrike" kern="1200" baseline="0">
                    <a:solidFill>
                      <a:schemeClr val="tx1">
                        <a:lumMod val="65000"/>
                        <a:lumOff val="35000"/>
                      </a:schemeClr>
                    </a:solidFill>
                    <a:latin typeface="+mn-lt"/>
                    <a:ea typeface="+mn-ea"/>
                    <a:cs typeface="+mn-cs"/>
                  </a:defRPr>
                </a:pPr>
                <a:r>
                  <a:rPr lang="en-IN" b="1" i="1"/>
                  <a:t>EBIT</a:t>
                </a:r>
                <a:r>
                  <a:rPr lang="en-IN" b="1" i="1" baseline="0"/>
                  <a:t> Margin %</a:t>
                </a:r>
                <a:endParaRPr lang="en-IN" b="1" i="1"/>
              </a:p>
            </c:rich>
          </c:tx>
          <c:layout>
            <c:manualLayout>
              <c:xMode val="edge"/>
              <c:yMode val="edge"/>
              <c:x val="8.8665130450926635E-3"/>
              <c:y val="0.33485360598581893"/>
            </c:manualLayout>
          </c:layout>
          <c:overlay val="0"/>
          <c:spPr>
            <a:noFill/>
            <a:ln>
              <a:noFill/>
            </a:ln>
            <a:effectLst/>
          </c:spPr>
          <c:txPr>
            <a:bodyPr rot="-5400000" spcFirstLastPara="1" vertOverflow="ellipsis" vert="horz" wrap="square" anchor="ctr" anchorCtr="1"/>
            <a:lstStyle/>
            <a:p>
              <a:pPr>
                <a:defRPr sz="1000" b="1" i="1" u="none" strike="noStrike" kern="1200" baseline="0">
                  <a:solidFill>
                    <a:schemeClr val="tx1">
                      <a:lumMod val="65000"/>
                      <a:lumOff val="35000"/>
                    </a:schemeClr>
                  </a:solidFill>
                  <a:latin typeface="+mn-lt"/>
                  <a:ea typeface="+mn-ea"/>
                  <a:cs typeface="+mn-cs"/>
                </a:defRPr>
              </a:pPr>
              <a:endParaRPr lang="en-IN"/>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501171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43743382682817405"/>
          <c:y val="4.751652878833184E-2"/>
        </c:manualLayout>
      </c:layout>
      <c:overlay val="0"/>
      <c:spPr>
        <a:solidFill>
          <a:srgbClr val="002060"/>
        </a:solidFill>
        <a:ln>
          <a:noFill/>
        </a:ln>
        <a:effectLst/>
      </c:spPr>
      <c:txPr>
        <a:bodyPr rot="0" spcFirstLastPara="1" vertOverflow="ellipsis" vert="horz" wrap="square" anchor="ctr" anchorCtr="1"/>
        <a:lstStyle/>
        <a:p>
          <a:pPr>
            <a:defRPr sz="1100" b="1" i="0" u="none" strike="noStrike" kern="1200" spc="0" baseline="0">
              <a:solidFill>
                <a:schemeClr val="bg1"/>
              </a:solidFill>
              <a:latin typeface="+mn-lt"/>
              <a:ea typeface="+mn-ea"/>
              <a:cs typeface="+mn-cs"/>
            </a:defRPr>
          </a:pPr>
          <a:endParaRPr lang="en-US"/>
        </a:p>
      </c:txPr>
    </c:title>
    <c:autoTitleDeleted val="0"/>
    <c:plotArea>
      <c:layout>
        <c:manualLayout>
          <c:layoutTarget val="inner"/>
          <c:xMode val="edge"/>
          <c:yMode val="edge"/>
          <c:x val="0.12756537480773025"/>
          <c:y val="0.14240687305391175"/>
          <c:w val="0.85727334894289753"/>
          <c:h val="0.64309862225688241"/>
        </c:manualLayout>
      </c:layout>
      <c:barChart>
        <c:barDir val="col"/>
        <c:grouping val="clustered"/>
        <c:varyColors val="0"/>
        <c:ser>
          <c:idx val="0"/>
          <c:order val="0"/>
          <c:tx>
            <c:strRef>
              <c:f>IS!$B$68</c:f>
              <c:strCache>
                <c:ptCount val="1"/>
                <c:pt idx="0">
                  <c:v>PAT Margin %</c:v>
                </c:pt>
              </c:strCache>
            </c:strRef>
          </c:tx>
          <c:spPr>
            <a:solidFill>
              <a:schemeClr val="tx2"/>
            </a:solidFill>
            <a:ln>
              <a:no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trendline>
            <c:spPr>
              <a:ln w="19050" cap="rnd">
                <a:solidFill>
                  <a:schemeClr val="accent1"/>
                </a:solidFill>
                <a:prstDash val="sysDot"/>
              </a:ln>
              <a:effectLst/>
            </c:spPr>
            <c:trendlineType val="linear"/>
            <c:dispRSqr val="0"/>
            <c:dispEq val="0"/>
          </c:trendline>
          <c:cat>
            <c:numRef>
              <c:f>IS!$F$9:$O$9</c:f>
              <c:numCache>
                <c:formatCode>[$-409]d\-mmm\-yy;@</c:formatCode>
                <c:ptCount val="10"/>
                <c:pt idx="0">
                  <c:v>46112</c:v>
                </c:pt>
                <c:pt idx="1">
                  <c:v>46477</c:v>
                </c:pt>
                <c:pt idx="2">
                  <c:v>46843</c:v>
                </c:pt>
                <c:pt idx="3">
                  <c:v>47208</c:v>
                </c:pt>
                <c:pt idx="4">
                  <c:v>47573</c:v>
                </c:pt>
                <c:pt idx="5">
                  <c:v>47938</c:v>
                </c:pt>
                <c:pt idx="6">
                  <c:v>48304</c:v>
                </c:pt>
                <c:pt idx="7">
                  <c:v>48669</c:v>
                </c:pt>
                <c:pt idx="8">
                  <c:v>49034</c:v>
                </c:pt>
                <c:pt idx="9">
                  <c:v>49399</c:v>
                </c:pt>
              </c:numCache>
            </c:numRef>
          </c:cat>
          <c:val>
            <c:numRef>
              <c:f>IS!$F$68:$O$68</c:f>
              <c:numCache>
                <c:formatCode>0.00%</c:formatCode>
                <c:ptCount val="10"/>
                <c:pt idx="0">
                  <c:v>0.17001203112213764</c:v>
                </c:pt>
                <c:pt idx="1">
                  <c:v>8.5695374984448167E-2</c:v>
                </c:pt>
                <c:pt idx="2">
                  <c:v>8.8203538299834197E-2</c:v>
                </c:pt>
                <c:pt idx="3">
                  <c:v>9.0253013621531736E-2</c:v>
                </c:pt>
                <c:pt idx="4">
                  <c:v>8.8053817409701321E-2</c:v>
                </c:pt>
                <c:pt idx="5">
                  <c:v>8.7901566159661423E-2</c:v>
                </c:pt>
                <c:pt idx="6">
                  <c:v>8.7374011530918214E-2</c:v>
                </c:pt>
                <c:pt idx="7">
                  <c:v>8.7841000347041273E-2</c:v>
                </c:pt>
                <c:pt idx="8">
                  <c:v>8.8561976171520826E-2</c:v>
                </c:pt>
                <c:pt idx="9">
                  <c:v>8.8676155339629192E-2</c:v>
                </c:pt>
              </c:numCache>
            </c:numRef>
          </c:val>
          <c:extLst>
            <c:ext xmlns:c16="http://schemas.microsoft.com/office/drawing/2014/chart" uri="{C3380CC4-5D6E-409C-BE32-E72D297353CC}">
              <c16:uniqueId val="{00000001-8A4F-4C23-BCA2-0C74A7D1F868}"/>
            </c:ext>
          </c:extLst>
        </c:ser>
        <c:dLbls>
          <c:dLblPos val="outEnd"/>
          <c:showLegendKey val="0"/>
          <c:showVal val="1"/>
          <c:showCatName val="0"/>
          <c:showSerName val="0"/>
          <c:showPercent val="0"/>
          <c:showBubbleSize val="0"/>
        </c:dLbls>
        <c:gapWidth val="205"/>
        <c:overlap val="-27"/>
        <c:axId val="331328784"/>
        <c:axId val="331329168"/>
      </c:barChart>
      <c:catAx>
        <c:axId val="331328784"/>
        <c:scaling>
          <c:orientation val="minMax"/>
        </c:scaling>
        <c:delete val="0"/>
        <c:axPos val="b"/>
        <c:title>
          <c:tx>
            <c:rich>
              <a:bodyPr rot="0" spcFirstLastPara="1" vertOverflow="ellipsis" vert="horz" wrap="square" anchor="ctr" anchorCtr="1"/>
              <a:lstStyle/>
              <a:p>
                <a:pPr>
                  <a:defRPr sz="1000" b="1" i="1" u="none" strike="noStrike" kern="1200" baseline="0">
                    <a:solidFill>
                      <a:schemeClr val="tx1">
                        <a:lumMod val="65000"/>
                        <a:lumOff val="35000"/>
                      </a:schemeClr>
                    </a:solidFill>
                    <a:latin typeface="+mn-lt"/>
                    <a:ea typeface="+mn-ea"/>
                    <a:cs typeface="+mn-cs"/>
                  </a:defRPr>
                </a:pPr>
                <a:r>
                  <a:rPr lang="en-IN" b="1" i="1"/>
                  <a:t>Financial Year</a:t>
                </a:r>
              </a:p>
            </c:rich>
          </c:tx>
          <c:layout>
            <c:manualLayout>
              <c:xMode val="edge"/>
              <c:yMode val="edge"/>
              <c:x val="0.49790768078620057"/>
              <c:y val="0.90564115760039798"/>
            </c:manualLayout>
          </c:layout>
          <c:overlay val="0"/>
          <c:spPr>
            <a:noFill/>
            <a:ln>
              <a:noFill/>
            </a:ln>
            <a:effectLst/>
          </c:spPr>
          <c:txPr>
            <a:bodyPr rot="0" spcFirstLastPara="1" vertOverflow="ellipsis" vert="horz" wrap="square" anchor="ctr" anchorCtr="1"/>
            <a:lstStyle/>
            <a:p>
              <a:pPr>
                <a:defRPr sz="1000" b="1" i="1" u="none" strike="noStrike" kern="1200" baseline="0">
                  <a:solidFill>
                    <a:schemeClr val="tx1">
                      <a:lumMod val="65000"/>
                      <a:lumOff val="35000"/>
                    </a:schemeClr>
                  </a:solidFill>
                  <a:latin typeface="+mn-lt"/>
                  <a:ea typeface="+mn-ea"/>
                  <a:cs typeface="+mn-cs"/>
                </a:defRPr>
              </a:pPr>
              <a:endParaRPr lang="en-US"/>
            </a:p>
          </c:txPr>
        </c:title>
        <c:numFmt formatCode="[$-409]mmm/yy;@" sourceLinked="0"/>
        <c:majorTickMark val="none"/>
        <c:minorTickMark val="none"/>
        <c:tickLblPos val="nextTo"/>
        <c:spPr>
          <a:noFill/>
          <a:ln w="9525" cap="flat" cmpd="sng" algn="ctr">
            <a:solidFill>
              <a:schemeClr val="tx1">
                <a:lumMod val="15000"/>
                <a:lumOff val="85000"/>
              </a:schemeClr>
            </a:solidFill>
            <a:round/>
          </a:ln>
          <a:effectLst/>
        </c:spPr>
        <c:txPr>
          <a:bodyPr rot="-102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31329168"/>
        <c:crosses val="autoZero"/>
        <c:auto val="0"/>
        <c:lblAlgn val="ctr"/>
        <c:lblOffset val="100"/>
        <c:noMultiLvlLbl val="0"/>
      </c:catAx>
      <c:valAx>
        <c:axId val="331329168"/>
        <c:scaling>
          <c:orientation val="minMax"/>
        </c:scaling>
        <c:delete val="0"/>
        <c:axPos val="l"/>
        <c:title>
          <c:tx>
            <c:rich>
              <a:bodyPr rot="-5400000" spcFirstLastPara="1" vertOverflow="ellipsis" vert="horz" wrap="square" anchor="ctr" anchorCtr="1"/>
              <a:lstStyle/>
              <a:p>
                <a:pPr>
                  <a:defRPr sz="1000" b="1" i="1" u="none" strike="noStrike" kern="1200" baseline="0">
                    <a:solidFill>
                      <a:schemeClr val="tx1">
                        <a:lumMod val="65000"/>
                        <a:lumOff val="35000"/>
                      </a:schemeClr>
                    </a:solidFill>
                    <a:latin typeface="+mn-lt"/>
                    <a:ea typeface="+mn-ea"/>
                    <a:cs typeface="+mn-cs"/>
                  </a:defRPr>
                </a:pPr>
                <a:r>
                  <a:rPr lang="en-IN" b="1" i="1"/>
                  <a:t>PAT</a:t>
                </a:r>
                <a:r>
                  <a:rPr lang="en-IN" b="1" i="1" baseline="0"/>
                  <a:t> Margin %</a:t>
                </a:r>
                <a:endParaRPr lang="en-IN" b="1" i="1"/>
              </a:p>
            </c:rich>
          </c:tx>
          <c:layout>
            <c:manualLayout>
              <c:xMode val="edge"/>
              <c:yMode val="edge"/>
              <c:x val="1.4414414414414415E-2"/>
              <c:y val="0.33485345581802273"/>
            </c:manualLayout>
          </c:layout>
          <c:overlay val="0"/>
          <c:spPr>
            <a:noFill/>
            <a:ln>
              <a:noFill/>
            </a:ln>
            <a:effectLst/>
          </c:spPr>
          <c:txPr>
            <a:bodyPr rot="-5400000" spcFirstLastPara="1" vertOverflow="ellipsis" vert="horz" wrap="square" anchor="ctr" anchorCtr="1"/>
            <a:lstStyle/>
            <a:p>
              <a:pPr>
                <a:defRPr sz="1000" b="1" i="1" u="none" strike="noStrike" kern="1200" baseline="0">
                  <a:solidFill>
                    <a:schemeClr val="tx1">
                      <a:lumMod val="65000"/>
                      <a:lumOff val="35000"/>
                    </a:schemeClr>
                  </a:solidFill>
                  <a:latin typeface="+mn-lt"/>
                  <a:ea typeface="+mn-ea"/>
                  <a:cs typeface="+mn-cs"/>
                </a:defRPr>
              </a:pPr>
              <a:endParaRPr lang="en-IN"/>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31328784"/>
        <c:crosses val="autoZero"/>
        <c:crossBetween val="between"/>
      </c:valAx>
      <c:spPr>
        <a:noFill/>
        <a:ln w="25400">
          <a:noFill/>
        </a:ln>
        <a:effectLst/>
      </c:spPr>
    </c:plotArea>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35037894671450093"/>
          <c:y val="7.9219842263727774E-2"/>
        </c:manualLayout>
      </c:layout>
      <c:overlay val="0"/>
      <c:spPr>
        <a:solidFill>
          <a:srgbClr val="002060"/>
        </a:solidFill>
        <a:ln>
          <a:noFill/>
        </a:ln>
        <a:effectLst/>
      </c:spPr>
      <c:txPr>
        <a:bodyPr rot="0" spcFirstLastPara="1" vertOverflow="ellipsis" vert="horz" wrap="square" anchor="ctr" anchorCtr="1"/>
        <a:lstStyle/>
        <a:p>
          <a:pPr>
            <a:defRPr sz="1100" b="1" i="0" u="none" strike="noStrike" kern="1200" spc="0" baseline="0">
              <a:solidFill>
                <a:schemeClr val="bg1"/>
              </a:solidFill>
              <a:latin typeface="+mn-lt"/>
              <a:ea typeface="+mn-ea"/>
              <a:cs typeface="+mn-cs"/>
            </a:defRPr>
          </a:pPr>
          <a:endParaRPr lang="en-US"/>
        </a:p>
      </c:txPr>
    </c:title>
    <c:autoTitleDeleted val="0"/>
    <c:plotArea>
      <c:layout>
        <c:manualLayout>
          <c:layoutTarget val="inner"/>
          <c:xMode val="edge"/>
          <c:yMode val="edge"/>
          <c:x val="0.11609001537529702"/>
          <c:y val="0.16058765111143408"/>
          <c:w val="0.88376876989048092"/>
          <c:h val="0.72988212922642037"/>
        </c:manualLayout>
      </c:layout>
      <c:barChart>
        <c:barDir val="col"/>
        <c:grouping val="clustered"/>
        <c:varyColors val="0"/>
        <c:ser>
          <c:idx val="0"/>
          <c:order val="0"/>
          <c:tx>
            <c:strRef>
              <c:f>IS!$B$70</c:f>
              <c:strCache>
                <c:ptCount val="1"/>
                <c:pt idx="0">
                  <c:v>Revenue growth rate Y-o-Y (%)</c:v>
                </c:pt>
              </c:strCache>
            </c:strRef>
          </c:tx>
          <c:spPr>
            <a:solidFill>
              <a:schemeClr val="tx2"/>
            </a:solidFill>
            <a:ln>
              <a:no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rgbClr val="002060"/>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trendline>
            <c:spPr>
              <a:ln w="19050" cap="rnd">
                <a:solidFill>
                  <a:schemeClr val="accent1"/>
                </a:solidFill>
                <a:prstDash val="sysDot"/>
              </a:ln>
              <a:effectLst/>
            </c:spPr>
            <c:trendlineType val="linear"/>
            <c:dispRSqr val="0"/>
            <c:dispEq val="0"/>
          </c:trendline>
          <c:cat>
            <c:numRef>
              <c:f>IS!$F$9:$O$9</c:f>
              <c:numCache>
                <c:formatCode>[$-409]d\-mmm\-yy;@</c:formatCode>
                <c:ptCount val="10"/>
                <c:pt idx="0">
                  <c:v>46112</c:v>
                </c:pt>
                <c:pt idx="1">
                  <c:v>46477</c:v>
                </c:pt>
                <c:pt idx="2">
                  <c:v>46843</c:v>
                </c:pt>
                <c:pt idx="3">
                  <c:v>47208</c:v>
                </c:pt>
                <c:pt idx="4">
                  <c:v>47573</c:v>
                </c:pt>
                <c:pt idx="5">
                  <c:v>47938</c:v>
                </c:pt>
                <c:pt idx="6">
                  <c:v>48304</c:v>
                </c:pt>
                <c:pt idx="7">
                  <c:v>48669</c:v>
                </c:pt>
                <c:pt idx="8">
                  <c:v>49034</c:v>
                </c:pt>
                <c:pt idx="9">
                  <c:v>49399</c:v>
                </c:pt>
              </c:numCache>
            </c:numRef>
          </c:cat>
          <c:val>
            <c:numRef>
              <c:f>IS!$F$70:$O$70</c:f>
              <c:numCache>
                <c:formatCode>0.00%</c:formatCode>
                <c:ptCount val="10"/>
                <c:pt idx="1">
                  <c:v>7.1989398728267471</c:v>
                </c:pt>
                <c:pt idx="2">
                  <c:v>0.28108837435240153</c:v>
                </c:pt>
                <c:pt idx="3">
                  <c:v>0.22984860468567114</c:v>
                </c:pt>
                <c:pt idx="4">
                  <c:v>0.11028330749554738</c:v>
                </c:pt>
                <c:pt idx="5">
                  <c:v>0.10371680166376218</c:v>
                </c:pt>
                <c:pt idx="6">
                  <c:v>9.808871761223048E-2</c:v>
                </c:pt>
                <c:pt idx="7">
                  <c:v>9.3211358390224985E-2</c:v>
                </c:pt>
                <c:pt idx="8">
                  <c:v>8.8943951673495558E-2</c:v>
                </c:pt>
                <c:pt idx="9">
                  <c:v>8.5178848392583051E-2</c:v>
                </c:pt>
              </c:numCache>
            </c:numRef>
          </c:val>
          <c:extLst>
            <c:ext xmlns:c16="http://schemas.microsoft.com/office/drawing/2014/chart" uri="{C3380CC4-5D6E-409C-BE32-E72D297353CC}">
              <c16:uniqueId val="{00000001-A5E9-4E6B-A3CC-227815AEDF17}"/>
            </c:ext>
          </c:extLst>
        </c:ser>
        <c:dLbls>
          <c:dLblPos val="outEnd"/>
          <c:showLegendKey val="0"/>
          <c:showVal val="1"/>
          <c:showCatName val="0"/>
          <c:showSerName val="0"/>
          <c:showPercent val="0"/>
          <c:showBubbleSize val="0"/>
        </c:dLbls>
        <c:gapWidth val="219"/>
        <c:overlap val="-27"/>
        <c:axId val="355149472"/>
        <c:axId val="355149856"/>
      </c:barChart>
      <c:catAx>
        <c:axId val="355149472"/>
        <c:scaling>
          <c:orientation val="minMax"/>
        </c:scaling>
        <c:delete val="0"/>
        <c:axPos val="b"/>
        <c:title>
          <c:tx>
            <c:rich>
              <a:bodyPr rot="0" spcFirstLastPara="1" vertOverflow="ellipsis" vert="horz" wrap="square" anchor="ctr" anchorCtr="1"/>
              <a:lstStyle/>
              <a:p>
                <a:pPr>
                  <a:defRPr sz="1000" b="1" i="1" u="none" strike="noStrike" kern="1200" baseline="0">
                    <a:solidFill>
                      <a:schemeClr val="tx1">
                        <a:lumMod val="65000"/>
                        <a:lumOff val="35000"/>
                      </a:schemeClr>
                    </a:solidFill>
                    <a:latin typeface="+mn-lt"/>
                    <a:ea typeface="+mn-ea"/>
                    <a:cs typeface="+mn-cs"/>
                  </a:defRPr>
                </a:pPr>
                <a:r>
                  <a:rPr lang="en-IN" b="1" i="1"/>
                  <a:t>Financial Year</a:t>
                </a:r>
              </a:p>
            </c:rich>
          </c:tx>
          <c:layout>
            <c:manualLayout>
              <c:xMode val="edge"/>
              <c:yMode val="edge"/>
              <c:x val="0.48164783078585766"/>
              <c:y val="0.91331236846168218"/>
            </c:manualLayout>
          </c:layout>
          <c:overlay val="0"/>
          <c:spPr>
            <a:noFill/>
            <a:ln>
              <a:noFill/>
            </a:ln>
            <a:effectLst/>
          </c:spPr>
          <c:txPr>
            <a:bodyPr rot="0" spcFirstLastPara="1" vertOverflow="ellipsis" vert="horz" wrap="square" anchor="ctr" anchorCtr="1"/>
            <a:lstStyle/>
            <a:p>
              <a:pPr>
                <a:defRPr sz="1000" b="1" i="1" u="none" strike="noStrike" kern="1200" baseline="0">
                  <a:solidFill>
                    <a:schemeClr val="tx1">
                      <a:lumMod val="65000"/>
                      <a:lumOff val="35000"/>
                    </a:schemeClr>
                  </a:solidFill>
                  <a:latin typeface="+mn-lt"/>
                  <a:ea typeface="+mn-ea"/>
                  <a:cs typeface="+mn-cs"/>
                </a:defRPr>
              </a:pPr>
              <a:endParaRPr lang="en-US"/>
            </a:p>
          </c:txPr>
        </c:title>
        <c:numFmt formatCode="[$-409]mmmm/yy;@" sourceLinked="0"/>
        <c:majorTickMark val="none"/>
        <c:minorTickMark val="none"/>
        <c:tickLblPos val="nextTo"/>
        <c:spPr>
          <a:noFill/>
          <a:ln w="9525" cap="flat" cmpd="sng" algn="ctr">
            <a:solidFill>
              <a:schemeClr val="tx1">
                <a:lumMod val="15000"/>
                <a:lumOff val="85000"/>
              </a:schemeClr>
            </a:solidFill>
            <a:round/>
          </a:ln>
          <a:effectLst/>
        </c:spPr>
        <c:txPr>
          <a:bodyPr rot="-108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55149856"/>
        <c:crosses val="autoZero"/>
        <c:auto val="0"/>
        <c:lblAlgn val="ctr"/>
        <c:lblOffset val="100"/>
        <c:noMultiLvlLbl val="0"/>
      </c:catAx>
      <c:valAx>
        <c:axId val="355149856"/>
        <c:scaling>
          <c:orientation val="minMax"/>
        </c:scaling>
        <c:delete val="0"/>
        <c:axPos val="l"/>
        <c:title>
          <c:tx>
            <c:rich>
              <a:bodyPr rot="-5400000" spcFirstLastPara="1" vertOverflow="ellipsis" vert="horz" wrap="square" anchor="ctr" anchorCtr="1"/>
              <a:lstStyle/>
              <a:p>
                <a:pPr>
                  <a:defRPr sz="1000" b="1" i="1" u="none" strike="noStrike" kern="1200" baseline="0">
                    <a:solidFill>
                      <a:schemeClr val="tx1">
                        <a:lumMod val="65000"/>
                        <a:lumOff val="35000"/>
                      </a:schemeClr>
                    </a:solidFill>
                    <a:latin typeface="+mn-lt"/>
                    <a:ea typeface="+mn-ea"/>
                    <a:cs typeface="+mn-cs"/>
                  </a:defRPr>
                </a:pPr>
                <a:r>
                  <a:rPr lang="en-IN" b="1" i="1" baseline="0"/>
                  <a:t>Revenue Growth Rate %</a:t>
                </a:r>
                <a:endParaRPr lang="en-IN" b="1" i="1"/>
              </a:p>
            </c:rich>
          </c:tx>
          <c:layout>
            <c:manualLayout>
              <c:xMode val="edge"/>
              <c:yMode val="edge"/>
              <c:x val="2.0331578375188307E-2"/>
              <c:y val="0.33068678828306702"/>
            </c:manualLayout>
          </c:layout>
          <c:overlay val="0"/>
          <c:spPr>
            <a:noFill/>
            <a:ln>
              <a:noFill/>
            </a:ln>
            <a:effectLst/>
          </c:spPr>
          <c:txPr>
            <a:bodyPr rot="-5400000" spcFirstLastPara="1" vertOverflow="ellipsis" vert="horz" wrap="square" anchor="ctr" anchorCtr="1"/>
            <a:lstStyle/>
            <a:p>
              <a:pPr>
                <a:defRPr sz="1000" b="1" i="1" u="none" strike="noStrike" kern="1200" baseline="0">
                  <a:solidFill>
                    <a:schemeClr val="tx1">
                      <a:lumMod val="65000"/>
                      <a:lumOff val="35000"/>
                    </a:schemeClr>
                  </a:solidFill>
                  <a:latin typeface="+mn-lt"/>
                  <a:ea typeface="+mn-ea"/>
                  <a:cs typeface="+mn-cs"/>
                </a:defRPr>
              </a:pPr>
              <a:endParaRPr lang="en-IN"/>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5514947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46893350235994746"/>
          <c:y val="5.2869429383610785E-2"/>
        </c:manualLayout>
      </c:layout>
      <c:overlay val="0"/>
      <c:spPr>
        <a:solidFill>
          <a:srgbClr val="002060"/>
        </a:solidFill>
        <a:ln>
          <a:noFill/>
        </a:ln>
        <a:effectLst/>
      </c:spPr>
      <c:txPr>
        <a:bodyPr rot="0" spcFirstLastPara="1" vertOverflow="ellipsis" vert="horz" wrap="square" anchor="ctr" anchorCtr="1"/>
        <a:lstStyle/>
        <a:p>
          <a:pPr>
            <a:defRPr sz="1100" b="1" i="0" u="none" strike="noStrike" kern="1200" spc="0" baseline="0">
              <a:solidFill>
                <a:schemeClr val="bg1"/>
              </a:solidFill>
              <a:latin typeface="+mn-lt"/>
              <a:ea typeface="+mn-ea"/>
              <a:cs typeface="+mn-cs"/>
            </a:defRPr>
          </a:pPr>
          <a:endParaRPr lang="en-US"/>
        </a:p>
      </c:txPr>
    </c:title>
    <c:autoTitleDeleted val="0"/>
    <c:plotArea>
      <c:layout/>
      <c:barChart>
        <c:barDir val="col"/>
        <c:grouping val="clustered"/>
        <c:varyColors val="0"/>
        <c:ser>
          <c:idx val="0"/>
          <c:order val="0"/>
          <c:tx>
            <c:strRef>
              <c:f>DSCR!$B$21</c:f>
              <c:strCache>
                <c:ptCount val="1"/>
                <c:pt idx="0">
                  <c:v>DSCR</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accent6"/>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DSCR!$F$9:$L$9</c:f>
              <c:numCache>
                <c:formatCode>[$-409]d\-mmm\-yy;@</c:formatCode>
                <c:ptCount val="7"/>
                <c:pt idx="0">
                  <c:v>46112</c:v>
                </c:pt>
                <c:pt idx="1">
                  <c:v>46477</c:v>
                </c:pt>
                <c:pt idx="2">
                  <c:v>46843</c:v>
                </c:pt>
                <c:pt idx="3">
                  <c:v>47208</c:v>
                </c:pt>
                <c:pt idx="4">
                  <c:v>47573</c:v>
                </c:pt>
                <c:pt idx="5">
                  <c:v>47938</c:v>
                </c:pt>
                <c:pt idx="6">
                  <c:v>48304</c:v>
                </c:pt>
              </c:numCache>
            </c:numRef>
          </c:cat>
          <c:val>
            <c:numRef>
              <c:f>DSCR!$F$21:$L$21</c:f>
              <c:numCache>
                <c:formatCode>0.00</c:formatCode>
                <c:ptCount val="7"/>
                <c:pt idx="0">
                  <c:v>4.5027055092854669</c:v>
                </c:pt>
                <c:pt idx="1">
                  <c:v>2.4479423428689993</c:v>
                </c:pt>
                <c:pt idx="2">
                  <c:v>2.7130406581611557</c:v>
                </c:pt>
                <c:pt idx="3">
                  <c:v>3.2428958643035353</c:v>
                </c:pt>
                <c:pt idx="4">
                  <c:v>3.5423812561650236</c:v>
                </c:pt>
                <c:pt idx="5">
                  <c:v>3.9375599231489371</c:v>
                </c:pt>
                <c:pt idx="6">
                  <c:v>4.3720126231736414</c:v>
                </c:pt>
              </c:numCache>
            </c:numRef>
          </c:val>
          <c:extLst>
            <c:ext xmlns:c16="http://schemas.microsoft.com/office/drawing/2014/chart" uri="{C3380CC4-5D6E-409C-BE32-E72D297353CC}">
              <c16:uniqueId val="{00000000-0296-42C8-A818-B07B7E0080FA}"/>
            </c:ext>
          </c:extLst>
        </c:ser>
        <c:dLbls>
          <c:dLblPos val="outEnd"/>
          <c:showLegendKey val="0"/>
          <c:showVal val="1"/>
          <c:showCatName val="0"/>
          <c:showSerName val="0"/>
          <c:showPercent val="0"/>
          <c:showBubbleSize val="0"/>
        </c:dLbls>
        <c:gapWidth val="219"/>
        <c:overlap val="-27"/>
        <c:axId val="399133664"/>
        <c:axId val="399142664"/>
      </c:barChart>
      <c:catAx>
        <c:axId val="399133664"/>
        <c:scaling>
          <c:orientation val="minMax"/>
        </c:scaling>
        <c:delete val="0"/>
        <c:axPos val="b"/>
        <c:title>
          <c:tx>
            <c:rich>
              <a:bodyPr rot="0" spcFirstLastPara="1" vertOverflow="ellipsis" vert="horz" wrap="square" anchor="ctr" anchorCtr="1"/>
              <a:lstStyle/>
              <a:p>
                <a:pPr>
                  <a:defRPr sz="1000" b="1" i="1" u="none" strike="noStrike" kern="1200" baseline="0">
                    <a:solidFill>
                      <a:schemeClr val="tx1">
                        <a:lumMod val="65000"/>
                        <a:lumOff val="35000"/>
                      </a:schemeClr>
                    </a:solidFill>
                    <a:latin typeface="+mn-lt"/>
                    <a:ea typeface="+mn-ea"/>
                    <a:cs typeface="+mn-cs"/>
                  </a:defRPr>
                </a:pPr>
                <a:r>
                  <a:rPr lang="en-IN" b="1" i="1"/>
                  <a:t>Financial Year</a:t>
                </a:r>
              </a:p>
            </c:rich>
          </c:tx>
          <c:layout>
            <c:manualLayout>
              <c:xMode val="edge"/>
              <c:yMode val="edge"/>
              <c:x val="0.48828860843708294"/>
              <c:y val="0.90868880593053913"/>
            </c:manualLayout>
          </c:layout>
          <c:overlay val="0"/>
          <c:spPr>
            <a:noFill/>
            <a:ln>
              <a:noFill/>
            </a:ln>
            <a:effectLst/>
          </c:spPr>
          <c:txPr>
            <a:bodyPr rot="0" spcFirstLastPara="1" vertOverflow="ellipsis" vert="horz" wrap="square" anchor="ctr" anchorCtr="1"/>
            <a:lstStyle/>
            <a:p>
              <a:pPr>
                <a:defRPr sz="1000" b="1" i="1" u="none" strike="noStrike" kern="1200" baseline="0">
                  <a:solidFill>
                    <a:schemeClr val="tx1">
                      <a:lumMod val="65000"/>
                      <a:lumOff val="35000"/>
                    </a:schemeClr>
                  </a:solidFill>
                  <a:latin typeface="+mn-lt"/>
                  <a:ea typeface="+mn-ea"/>
                  <a:cs typeface="+mn-cs"/>
                </a:defRPr>
              </a:pPr>
              <a:endParaRPr lang="en-US"/>
            </a:p>
          </c:txPr>
        </c:title>
        <c:numFmt formatCode="[$-409]d\-mmm\-yy;@" sourceLinked="1"/>
        <c:majorTickMark val="none"/>
        <c:minorTickMark val="none"/>
        <c:tickLblPos val="nextTo"/>
        <c:spPr>
          <a:noFill/>
          <a:ln w="9525" cap="flat" cmpd="sng" algn="ctr">
            <a:solidFill>
              <a:schemeClr val="tx1">
                <a:lumMod val="15000"/>
                <a:lumOff val="85000"/>
              </a:schemeClr>
            </a:solidFill>
            <a:round/>
          </a:ln>
          <a:effectLst/>
        </c:spPr>
        <c:txPr>
          <a:bodyPr rot="-15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9142664"/>
        <c:crosses val="autoZero"/>
        <c:auto val="0"/>
        <c:lblAlgn val="ctr"/>
        <c:lblOffset val="100"/>
        <c:noMultiLvlLbl val="0"/>
      </c:catAx>
      <c:valAx>
        <c:axId val="399142664"/>
        <c:scaling>
          <c:orientation val="minMax"/>
        </c:scaling>
        <c:delete val="0"/>
        <c:axPos val="l"/>
        <c:title>
          <c:tx>
            <c:rich>
              <a:bodyPr rot="-5400000" spcFirstLastPara="1" vertOverflow="ellipsis" vert="horz" wrap="square" anchor="ctr" anchorCtr="1"/>
              <a:lstStyle/>
              <a:p>
                <a:pPr>
                  <a:defRPr sz="1000" b="1" i="1" u="none" strike="noStrike" kern="1200" baseline="0">
                    <a:solidFill>
                      <a:schemeClr val="tx1">
                        <a:lumMod val="65000"/>
                        <a:lumOff val="35000"/>
                      </a:schemeClr>
                    </a:solidFill>
                    <a:latin typeface="+mn-lt"/>
                    <a:ea typeface="+mn-ea"/>
                    <a:cs typeface="+mn-cs"/>
                  </a:defRPr>
                </a:pPr>
                <a:r>
                  <a:rPr lang="en-IN" b="1" i="1"/>
                  <a:t>D.S.C.R</a:t>
                </a:r>
              </a:p>
            </c:rich>
          </c:tx>
          <c:layout>
            <c:manualLayout>
              <c:xMode val="edge"/>
              <c:yMode val="edge"/>
              <c:x val="1.0303967027305513E-2"/>
              <c:y val="0.35817443708516422"/>
            </c:manualLayout>
          </c:layout>
          <c:overlay val="0"/>
          <c:spPr>
            <a:noFill/>
            <a:ln>
              <a:noFill/>
            </a:ln>
            <a:effectLst/>
          </c:spPr>
          <c:txPr>
            <a:bodyPr rot="-5400000" spcFirstLastPara="1" vertOverflow="ellipsis" vert="horz" wrap="square" anchor="ctr" anchorCtr="1"/>
            <a:lstStyle/>
            <a:p>
              <a:pPr>
                <a:defRPr sz="1000" b="1" i="1" u="none" strike="noStrike" kern="1200" baseline="0">
                  <a:solidFill>
                    <a:schemeClr val="tx1">
                      <a:lumMod val="65000"/>
                      <a:lumOff val="35000"/>
                    </a:schemeClr>
                  </a:solidFill>
                  <a:latin typeface="+mn-lt"/>
                  <a:ea typeface="+mn-ea"/>
                  <a:cs typeface="+mn-cs"/>
                </a:defRPr>
              </a:pPr>
              <a:endParaRPr lang="en-US"/>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913366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1</xdr:col>
      <xdr:colOff>123826</xdr:colOff>
      <xdr:row>72</xdr:row>
      <xdr:rowOff>200025</xdr:rowOff>
    </xdr:from>
    <xdr:to>
      <xdr:col>6</xdr:col>
      <xdr:colOff>133351</xdr:colOff>
      <xdr:row>86</xdr:row>
      <xdr:rowOff>142875</xdr:rowOff>
    </xdr:to>
    <xdr:graphicFrame macro="">
      <xdr:nvGraphicFramePr>
        <xdr:cNvPr id="2" name="Chart 1">
          <a:extLst>
            <a:ext uri="{FF2B5EF4-FFF2-40B4-BE49-F238E27FC236}">
              <a16:creationId xmlns:a16="http://schemas.microsoft.com/office/drawing/2014/main" id="{00000000-0008-0000-0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390525</xdr:colOff>
      <xdr:row>72</xdr:row>
      <xdr:rowOff>190500</xdr:rowOff>
    </xdr:from>
    <xdr:to>
      <xdr:col>12</xdr:col>
      <xdr:colOff>695325</xdr:colOff>
      <xdr:row>86</xdr:row>
      <xdr:rowOff>123825</xdr:rowOff>
    </xdr:to>
    <xdr:graphicFrame macro="">
      <xdr:nvGraphicFramePr>
        <xdr:cNvPr id="3" name="Chart 2">
          <a:extLst>
            <a:ext uri="{FF2B5EF4-FFF2-40B4-BE49-F238E27FC236}">
              <a16:creationId xmlns:a16="http://schemas.microsoft.com/office/drawing/2014/main" i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95250</xdr:colOff>
      <xdr:row>87</xdr:row>
      <xdr:rowOff>190500</xdr:rowOff>
    </xdr:from>
    <xdr:to>
      <xdr:col>6</xdr:col>
      <xdr:colOff>152401</xdr:colOff>
      <xdr:row>101</xdr:row>
      <xdr:rowOff>57150</xdr:rowOff>
    </xdr:to>
    <xdr:graphicFrame macro="">
      <xdr:nvGraphicFramePr>
        <xdr:cNvPr id="4" name="Chart 3">
          <a:extLst>
            <a:ext uri="{FF2B5EF4-FFF2-40B4-BE49-F238E27FC236}">
              <a16:creationId xmlns:a16="http://schemas.microsoft.com/office/drawing/2014/main" id="{00000000-0008-0000-07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400049</xdr:colOff>
      <xdr:row>87</xdr:row>
      <xdr:rowOff>200025</xdr:rowOff>
    </xdr:from>
    <xdr:to>
      <xdr:col>12</xdr:col>
      <xdr:colOff>676275</xdr:colOff>
      <xdr:row>101</xdr:row>
      <xdr:rowOff>47624</xdr:rowOff>
    </xdr:to>
    <xdr:graphicFrame macro="">
      <xdr:nvGraphicFramePr>
        <xdr:cNvPr id="5" name="Chart 4">
          <a:extLst>
            <a:ext uri="{FF2B5EF4-FFF2-40B4-BE49-F238E27FC236}">
              <a16:creationId xmlns:a16="http://schemas.microsoft.com/office/drawing/2014/main" id="{00000000-0008-0000-07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1162049</xdr:colOff>
      <xdr:row>24</xdr:row>
      <xdr:rowOff>114299</xdr:rowOff>
    </xdr:from>
    <xdr:to>
      <xdr:col>7</xdr:col>
      <xdr:colOff>657225</xdr:colOff>
      <xdr:row>36</xdr:row>
      <xdr:rowOff>123824</xdr:rowOff>
    </xdr:to>
    <xdr:graphicFrame macro="">
      <xdr:nvGraphicFramePr>
        <xdr:cNvPr id="2" name="Chart 1">
          <a:extLst>
            <a:ext uri="{FF2B5EF4-FFF2-40B4-BE49-F238E27FC236}">
              <a16:creationId xmlns:a16="http://schemas.microsoft.com/office/drawing/2014/main" id="{9B4E8EE5-9D83-7881-58E2-96D84926D55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Naman%20Rana/Downloads/Financial%20Model%20I%20Greenfield%20Ethanol%20Project%20-%20Assigmen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5198213/Downloads/Financial%20Model%20I%20Greenfield%20Ethanol%20Project%20-%20Assigment.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erver\c\My%20Documents\Copy%20of%20Stylon%20%20Dat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1"/>
      <sheetName val="Data 2"/>
      <sheetName val="Instructions"/>
      <sheetName val="Assumptions write up, SWOT"/>
      <sheetName val="Rice &amp; Maize"/>
      <sheetName val="TPC and MoF"/>
      <sheetName val="Common Assumption"/>
      <sheetName val="Total Project Cost and IDC"/>
      <sheetName val="Revenue &amp; Expenses"/>
      <sheetName val="Profit and Loss Account"/>
      <sheetName val="P &amp; L Account "/>
      <sheetName val="Balance Sheet"/>
      <sheetName val="Cash Flow Statement"/>
      <sheetName val="Ratio and Break Even Analysis"/>
      <sheetName val="Loan Schedule"/>
      <sheetName val="Depreciation Schedule"/>
      <sheetName val="Tax"/>
      <sheetName val="Working Capital"/>
      <sheetName val="DSCR &amp; Sensitivity Analysis"/>
      <sheetName val="NPV &amp; IRR, Payback Period"/>
      <sheetName val="Sensitivity &amp; Scenario Summary"/>
    </sheetNames>
    <sheetDataSet>
      <sheetData sheetId="0">
        <row r="14">
          <cell r="C14">
            <v>365</v>
          </cell>
        </row>
      </sheetData>
      <sheetData sheetId="1"/>
      <sheetData sheetId="2"/>
      <sheetData sheetId="3"/>
      <sheetData sheetId="4"/>
      <sheetData sheetId="5"/>
      <sheetData sheetId="6">
        <row r="9">
          <cell r="E9">
            <v>45535</v>
          </cell>
        </row>
        <row r="10">
          <cell r="E10">
            <v>15</v>
          </cell>
        </row>
        <row r="11">
          <cell r="E11">
            <v>45991</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1"/>
      <sheetName val="Data 2"/>
      <sheetName val="Instructions"/>
      <sheetName val="Assumptions write up, SWOT"/>
      <sheetName val="Rice &amp; Maize"/>
      <sheetName val="TPC and MoF"/>
      <sheetName val="Common Assumption"/>
      <sheetName val="Total Project Cost and IDC"/>
      <sheetName val="Revenue &amp; Expenses"/>
      <sheetName val="Profit and Loss Account"/>
      <sheetName val="P &amp; L Account "/>
      <sheetName val="Balance Sheet"/>
      <sheetName val="Cash Flow Statement"/>
      <sheetName val="Ratio and Break Even Analysis"/>
      <sheetName val="Loan Schedule"/>
      <sheetName val="Depreciation Schedule"/>
      <sheetName val="Tax"/>
      <sheetName val="Working Capital"/>
      <sheetName val="DSCR &amp; Sensitivity Analysis"/>
      <sheetName val="NPV &amp; IRR, Payback Period"/>
      <sheetName val="Sensitivity &amp; Scenario Summary"/>
    </sheetNames>
    <sheetDataSet>
      <sheetData sheetId="0">
        <row r="14">
          <cell r="C14">
            <v>365</v>
          </cell>
        </row>
      </sheetData>
      <sheetData sheetId="1"/>
      <sheetData sheetId="2"/>
      <sheetData sheetId="3"/>
      <sheetData sheetId="4"/>
      <sheetData sheetId="5"/>
      <sheetData sheetId="6">
        <row r="9">
          <cell r="E9">
            <v>45535</v>
          </cell>
        </row>
        <row r="10">
          <cell r="E10">
            <v>15</v>
          </cell>
        </row>
        <row r="11">
          <cell r="E11">
            <v>45991</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bout Co."/>
      <sheetName val="Annexures"/>
      <sheetName val="Cost Of Project 1"/>
      <sheetName val="Cost est. Ind. Build. 1"/>
      <sheetName val="Det. Of Machn. 1"/>
      <sheetName val="Fixed Assets 1"/>
      <sheetName val="Asp."/>
      <sheetName val="Proj BS"/>
      <sheetName val="P&amp;L"/>
      <sheetName val="Cash Flow"/>
      <sheetName val="Repayment of Loan "/>
      <sheetName val="W.C. Req."/>
      <sheetName val="Dep."/>
      <sheetName val="Cl. Stock"/>
      <sheetName val="Sales"/>
      <sheetName val="Qty. Detail"/>
      <sheetName val="Raw Material 1"/>
      <sheetName val="Packing Exp."/>
      <sheetName val="Man Power"/>
      <sheetName val="Power"/>
      <sheetName val="Cal. of Int."/>
      <sheetName val="I.Tax"/>
      <sheetName val="DSCR"/>
      <sheetName val="BEP"/>
      <sheetName val="Valuation"/>
      <sheetName val="Dep. W.D.V"/>
      <sheetName val="Blank"/>
      <sheetName val="TUFS"/>
      <sheetName val="OSCMA"/>
      <sheetName val="FFCMA"/>
      <sheetName val="BSCMA"/>
      <sheetName val="Sheet2"/>
      <sheetName val="CACLMMA"/>
      <sheetName val="FPCMA"/>
      <sheetName val="BECMA"/>
      <sheetName val="Sens. Anal."/>
      <sheetName val="APPLICATION"/>
      <sheetName val="Cost Est. Exp. Prog. 1"/>
      <sheetName val="Plant &amp; Machinery 1"/>
      <sheetName val="Details Of Build. 1"/>
      <sheetName val="Auxillary Mach. 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row r="5">
          <cell r="A5" t="str">
            <v>TERM LOAN</v>
          </cell>
        </row>
        <row r="6">
          <cell r="A6" t="str">
            <v>Rate of Interest</v>
          </cell>
          <cell r="B6">
            <v>6.25E-2</v>
          </cell>
        </row>
        <row r="8">
          <cell r="B8" t="str">
            <v>2006-07</v>
          </cell>
          <cell r="D8" t="str">
            <v>2007-08</v>
          </cell>
          <cell r="F8" t="str">
            <v>2008-09</v>
          </cell>
        </row>
        <row r="9">
          <cell r="A9" t="str">
            <v>Particulars</v>
          </cell>
          <cell r="B9" t="str">
            <v>Qtr. Prod.</v>
          </cell>
          <cell r="C9" t="str">
            <v>Interest</v>
          </cell>
          <cell r="D9" t="str">
            <v>Qtr. Prod.</v>
          </cell>
          <cell r="E9" t="str">
            <v>Interest</v>
          </cell>
          <cell r="F9" t="str">
            <v>Qtr. Prod.</v>
          </cell>
        </row>
        <row r="11">
          <cell r="A11" t="str">
            <v>1st Quarter</v>
          </cell>
          <cell r="B11">
            <v>640.88</v>
          </cell>
          <cell r="C11">
            <v>3.3379166666666666</v>
          </cell>
          <cell r="D11">
            <v>349.88</v>
          </cell>
          <cell r="E11">
            <v>1.8222916666666666</v>
          </cell>
          <cell r="F11">
            <v>160.62999999999997</v>
          </cell>
        </row>
        <row r="12">
          <cell r="C12" t="str">
            <v xml:space="preserve"> </v>
          </cell>
          <cell r="E12" t="str">
            <v xml:space="preserve"> </v>
          </cell>
        </row>
        <row r="13">
          <cell r="A13" t="str">
            <v>2nd Quarter</v>
          </cell>
          <cell r="B13">
            <v>568.13</v>
          </cell>
          <cell r="C13">
            <v>2.9590104166666666</v>
          </cell>
          <cell r="D13">
            <v>286.11</v>
          </cell>
          <cell r="E13">
            <v>1.4901562500000001</v>
          </cell>
          <cell r="F13">
            <v>143.49999999999994</v>
          </cell>
        </row>
        <row r="14">
          <cell r="C14" t="str">
            <v xml:space="preserve"> </v>
          </cell>
          <cell r="E14" t="str">
            <v xml:space="preserve"> </v>
          </cell>
        </row>
        <row r="15">
          <cell r="A15" t="str">
            <v>3rd Quarter</v>
          </cell>
          <cell r="B15">
            <v>495.38</v>
          </cell>
          <cell r="C15">
            <v>2.5801041666666666</v>
          </cell>
          <cell r="D15">
            <v>240.72</v>
          </cell>
          <cell r="E15">
            <v>1.2537499999999999</v>
          </cell>
          <cell r="F15">
            <v>127.14999999999995</v>
          </cell>
        </row>
        <row r="16">
          <cell r="C16" t="str">
            <v xml:space="preserve"> </v>
          </cell>
          <cell r="E16" t="str">
            <v xml:space="preserve"> </v>
          </cell>
        </row>
        <row r="17">
          <cell r="A17" t="str">
            <v>4th Quarter</v>
          </cell>
          <cell r="B17">
            <v>422.63</v>
          </cell>
          <cell r="C17">
            <v>2.2011979166666666</v>
          </cell>
          <cell r="D17">
            <v>196.16999999999996</v>
          </cell>
          <cell r="E17">
            <v>1.0217187499999998</v>
          </cell>
          <cell r="F17">
            <v>110.79999999999994</v>
          </cell>
        </row>
        <row r="19">
          <cell r="A19" t="str">
            <v>Total</v>
          </cell>
          <cell r="C19">
            <v>11.078229166666667</v>
          </cell>
          <cell r="E19">
            <v>5.5879166666666666</v>
          </cell>
        </row>
        <row r="22">
          <cell r="A22" t="str">
            <v>WORKING CAPITAL LOAN</v>
          </cell>
        </row>
        <row r="23">
          <cell r="A23" t="str">
            <v>Packing Credit</v>
          </cell>
        </row>
        <row r="24">
          <cell r="A24" t="str">
            <v>Rate of Interest</v>
          </cell>
          <cell r="B24">
            <v>8.7499999999999994E-2</v>
          </cell>
        </row>
        <row r="26">
          <cell r="B26">
            <v>12</v>
          </cell>
          <cell r="C26" t="str">
            <v>Months</v>
          </cell>
        </row>
        <row r="27">
          <cell r="B27" t="str">
            <v>2006-07</v>
          </cell>
          <cell r="D27" t="str">
            <v>2007-08</v>
          </cell>
          <cell r="F27" t="str">
            <v>2008-09</v>
          </cell>
        </row>
        <row r="28">
          <cell r="A28" t="str">
            <v>Particulars</v>
          </cell>
          <cell r="B28" t="str">
            <v>Amount</v>
          </cell>
          <cell r="C28" t="str">
            <v>Interest</v>
          </cell>
          <cell r="D28" t="str">
            <v>Amount</v>
          </cell>
          <cell r="E28" t="str">
            <v>Interest</v>
          </cell>
          <cell r="F28" t="str">
            <v>Amount</v>
          </cell>
        </row>
        <row r="30">
          <cell r="B30">
            <v>100</v>
          </cell>
          <cell r="C30">
            <v>8.75</v>
          </cell>
          <cell r="D30">
            <v>100</v>
          </cell>
          <cell r="E30">
            <v>8.75</v>
          </cell>
          <cell r="F30">
            <v>100</v>
          </cell>
        </row>
        <row r="33">
          <cell r="A33" t="str">
            <v>Total</v>
          </cell>
          <cell r="B33" t="str">
            <v xml:space="preserve"> </v>
          </cell>
          <cell r="C33">
            <v>8.75</v>
          </cell>
          <cell r="D33" t="str">
            <v xml:space="preserve"> </v>
          </cell>
          <cell r="E33">
            <v>8.75</v>
          </cell>
          <cell r="F33" t="str">
            <v xml:space="preserve"> </v>
          </cell>
        </row>
        <row r="36">
          <cell r="A36" t="str">
            <v>Foreign L/C Discounting</v>
          </cell>
        </row>
        <row r="37">
          <cell r="A37" t="str">
            <v>Rate of Interest</v>
          </cell>
          <cell r="B37">
            <v>8.7499999999999994E-2</v>
          </cell>
        </row>
        <row r="39">
          <cell r="B39">
            <v>12</v>
          </cell>
          <cell r="C39" t="str">
            <v>Months</v>
          </cell>
        </row>
        <row r="40">
          <cell r="B40" t="str">
            <v>2006-07</v>
          </cell>
          <cell r="D40" t="str">
            <v>2007-08</v>
          </cell>
          <cell r="F40" t="str">
            <v>2008-09</v>
          </cell>
        </row>
        <row r="41">
          <cell r="A41" t="str">
            <v>Particulars</v>
          </cell>
          <cell r="B41" t="str">
            <v>Amount</v>
          </cell>
          <cell r="C41" t="str">
            <v>Interest</v>
          </cell>
          <cell r="D41" t="str">
            <v>Amount</v>
          </cell>
          <cell r="E41" t="str">
            <v>Interest</v>
          </cell>
          <cell r="F41" t="str">
            <v>Amount</v>
          </cell>
        </row>
        <row r="43">
          <cell r="B43">
            <v>100</v>
          </cell>
          <cell r="C43">
            <v>8.75</v>
          </cell>
          <cell r="D43">
            <v>100</v>
          </cell>
          <cell r="E43">
            <v>8.75</v>
          </cell>
          <cell r="F43">
            <v>100</v>
          </cell>
        </row>
        <row r="46">
          <cell r="A46" t="str">
            <v>Total</v>
          </cell>
          <cell r="B46" t="str">
            <v xml:space="preserve"> </v>
          </cell>
          <cell r="C46">
            <v>8.75</v>
          </cell>
          <cell r="D46" t="str">
            <v xml:space="preserve"> </v>
          </cell>
          <cell r="E46">
            <v>8.75</v>
          </cell>
          <cell r="F46" t="str">
            <v xml:space="preserve"> </v>
          </cell>
        </row>
        <row r="50">
          <cell r="A50" t="str">
            <v>Cash Credit Limit</v>
          </cell>
        </row>
        <row r="51">
          <cell r="A51" t="str">
            <v>Rate of Interest</v>
          </cell>
          <cell r="B51">
            <v>0.1125</v>
          </cell>
        </row>
        <row r="53">
          <cell r="B53">
            <v>12</v>
          </cell>
          <cell r="C53" t="str">
            <v xml:space="preserve">Months </v>
          </cell>
        </row>
        <row r="54">
          <cell r="B54" t="str">
            <v>2006-07</v>
          </cell>
          <cell r="D54" t="str">
            <v>2007-08</v>
          </cell>
          <cell r="F54" t="str">
            <v>2008-09</v>
          </cell>
        </row>
        <row r="55">
          <cell r="A55" t="str">
            <v>Particulars</v>
          </cell>
          <cell r="B55" t="str">
            <v>Amount</v>
          </cell>
          <cell r="C55" t="str">
            <v>Interest</v>
          </cell>
          <cell r="D55" t="str">
            <v>Amount</v>
          </cell>
          <cell r="E55" t="str">
            <v>Interest</v>
          </cell>
          <cell r="F55" t="str">
            <v>Amount</v>
          </cell>
        </row>
        <row r="57">
          <cell r="B57">
            <v>150</v>
          </cell>
          <cell r="C57">
            <v>13.125</v>
          </cell>
          <cell r="D57">
            <v>150</v>
          </cell>
          <cell r="E57">
            <v>13.125</v>
          </cell>
          <cell r="F57">
            <v>150</v>
          </cell>
        </row>
        <row r="60">
          <cell r="A60" t="str">
            <v>Total</v>
          </cell>
          <cell r="B60" t="str">
            <v xml:space="preserve"> </v>
          </cell>
          <cell r="C60">
            <v>13.125</v>
          </cell>
          <cell r="D60" t="str">
            <v xml:space="preserve"> </v>
          </cell>
          <cell r="E60">
            <v>13.125</v>
          </cell>
          <cell r="F60" t="str">
            <v xml:space="preserve"> </v>
          </cell>
        </row>
        <row r="62">
          <cell r="A62" t="str">
            <v>Unsecured Loans</v>
          </cell>
        </row>
        <row r="63">
          <cell r="A63" t="str">
            <v>Rate of Interest</v>
          </cell>
          <cell r="B63">
            <v>0</v>
          </cell>
        </row>
        <row r="65">
          <cell r="B65">
            <v>12</v>
          </cell>
          <cell r="C65" t="str">
            <v>Months</v>
          </cell>
        </row>
        <row r="66">
          <cell r="B66" t="str">
            <v>2006-07</v>
          </cell>
          <cell r="D66" t="str">
            <v>2007-08</v>
          </cell>
          <cell r="F66" t="str">
            <v>2008-09</v>
          </cell>
        </row>
        <row r="67">
          <cell r="A67" t="str">
            <v>Particulars</v>
          </cell>
          <cell r="B67" t="str">
            <v>Amount</v>
          </cell>
          <cell r="C67" t="str">
            <v>Interest</v>
          </cell>
          <cell r="D67" t="str">
            <v>Amount</v>
          </cell>
          <cell r="E67" t="str">
            <v>Interest</v>
          </cell>
          <cell r="F67" t="str">
            <v>Amount</v>
          </cell>
        </row>
        <row r="69">
          <cell r="B69">
            <v>300</v>
          </cell>
          <cell r="C69">
            <v>0</v>
          </cell>
          <cell r="D69">
            <v>225</v>
          </cell>
          <cell r="E69">
            <v>0</v>
          </cell>
          <cell r="F69">
            <v>150</v>
          </cell>
        </row>
        <row r="72">
          <cell r="A72" t="str">
            <v>Total</v>
          </cell>
          <cell r="B72" t="str">
            <v xml:space="preserve"> </v>
          </cell>
          <cell r="C72">
            <v>0</v>
          </cell>
          <cell r="D72" t="str">
            <v xml:space="preserve"> </v>
          </cell>
          <cell r="E72">
            <v>0</v>
          </cell>
          <cell r="F72" t="str">
            <v xml:space="preserve"> </v>
          </cell>
        </row>
        <row r="75">
          <cell r="A75" t="str">
            <v>Grand Total</v>
          </cell>
          <cell r="C75">
            <v>41.703229166666667</v>
          </cell>
          <cell r="E75">
            <v>36.212916666666665</v>
          </cell>
        </row>
      </sheetData>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3" Type="http://schemas.openxmlformats.org/officeDocument/2006/relationships/hyperlink" Target="https://cdn.cseindia.org/attachments/0.11235300_1687759489_cse---overview-and-current-status-of--cbg-in-india.pdf" TargetMode="External"/><Relationship Id="rId2" Type="http://schemas.openxmlformats.org/officeDocument/2006/relationships/hyperlink" Target="https://www.v3cars.com/haryana/cng-price-in-yamunanagar" TargetMode="External"/><Relationship Id="rId1" Type="http://schemas.openxmlformats.org/officeDocument/2006/relationships/hyperlink" Target="https://localbodydata.com/gram-panchayat-harsana-81675" TargetMode="External"/><Relationship Id="rId4"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cdn.cseindia.org/attachments/0.11235300_1687759489_cse---overview-and-current-status-of--cbg-in-india.pdf" TargetMode="External"/></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N179"/>
  <sheetViews>
    <sheetView topLeftCell="A81" zoomScaleNormal="100" zoomScaleSheetLayoutView="100" workbookViewId="0">
      <selection activeCell="F94" sqref="F94"/>
    </sheetView>
  </sheetViews>
  <sheetFormatPr defaultColWidth="16" defaultRowHeight="12.75"/>
  <cols>
    <col min="1" max="1" width="5.28515625" style="1" customWidth="1"/>
    <col min="2" max="2" width="8.42578125" style="1" customWidth="1"/>
    <col min="3" max="3" width="55.85546875" style="1" customWidth="1"/>
    <col min="4" max="4" width="10.28515625" style="32" customWidth="1"/>
    <col min="5" max="5" width="8.85546875" style="32" customWidth="1"/>
    <col min="6" max="6" width="10" style="1" customWidth="1"/>
    <col min="7" max="7" width="28.85546875" style="1" hidden="1" customWidth="1"/>
    <col min="8" max="8" width="18.85546875" style="1" hidden="1" customWidth="1"/>
    <col min="9" max="9" width="16.28515625" style="1" hidden="1" customWidth="1"/>
    <col min="10" max="12" width="0" style="1" hidden="1" customWidth="1"/>
    <col min="13" max="13" width="30.7109375" style="1" customWidth="1"/>
    <col min="14" max="256" width="16" style="1"/>
    <col min="257" max="257" width="3" style="1" customWidth="1"/>
    <col min="258" max="258" width="8.42578125" style="1" customWidth="1"/>
    <col min="259" max="259" width="51" style="1" customWidth="1"/>
    <col min="260" max="260" width="10.28515625" style="1" customWidth="1"/>
    <col min="261" max="261" width="8.85546875" style="1" customWidth="1"/>
    <col min="262" max="262" width="10" style="1" customWidth="1"/>
    <col min="263" max="263" width="28.85546875" style="1" bestFit="1" customWidth="1"/>
    <col min="264" max="264" width="18.85546875" style="1" customWidth="1"/>
    <col min="265" max="265" width="16.28515625" style="1" bestFit="1" customWidth="1"/>
    <col min="266" max="512" width="16" style="1"/>
    <col min="513" max="513" width="3" style="1" customWidth="1"/>
    <col min="514" max="514" width="8.42578125" style="1" customWidth="1"/>
    <col min="515" max="515" width="51" style="1" customWidth="1"/>
    <col min="516" max="516" width="10.28515625" style="1" customWidth="1"/>
    <col min="517" max="517" width="8.85546875" style="1" customWidth="1"/>
    <col min="518" max="518" width="10" style="1" customWidth="1"/>
    <col min="519" max="519" width="28.85546875" style="1" bestFit="1" customWidth="1"/>
    <col min="520" max="520" width="18.85546875" style="1" customWidth="1"/>
    <col min="521" max="521" width="16.28515625" style="1" bestFit="1" customWidth="1"/>
    <col min="522" max="768" width="16" style="1"/>
    <col min="769" max="769" width="3" style="1" customWidth="1"/>
    <col min="770" max="770" width="8.42578125" style="1" customWidth="1"/>
    <col min="771" max="771" width="51" style="1" customWidth="1"/>
    <col min="772" max="772" width="10.28515625" style="1" customWidth="1"/>
    <col min="773" max="773" width="8.85546875" style="1" customWidth="1"/>
    <col min="774" max="774" width="10" style="1" customWidth="1"/>
    <col min="775" max="775" width="28.85546875" style="1" bestFit="1" customWidth="1"/>
    <col min="776" max="776" width="18.85546875" style="1" customWidth="1"/>
    <col min="777" max="777" width="16.28515625" style="1" bestFit="1" customWidth="1"/>
    <col min="778" max="1024" width="16" style="1"/>
    <col min="1025" max="1025" width="3" style="1" customWidth="1"/>
    <col min="1026" max="1026" width="8.42578125" style="1" customWidth="1"/>
    <col min="1027" max="1027" width="51" style="1" customWidth="1"/>
    <col min="1028" max="1028" width="10.28515625" style="1" customWidth="1"/>
    <col min="1029" max="1029" width="8.85546875" style="1" customWidth="1"/>
    <col min="1030" max="1030" width="10" style="1" customWidth="1"/>
    <col min="1031" max="1031" width="28.85546875" style="1" bestFit="1" customWidth="1"/>
    <col min="1032" max="1032" width="18.85546875" style="1" customWidth="1"/>
    <col min="1033" max="1033" width="16.28515625" style="1" bestFit="1" customWidth="1"/>
    <col min="1034" max="1280" width="16" style="1"/>
    <col min="1281" max="1281" width="3" style="1" customWidth="1"/>
    <col min="1282" max="1282" width="8.42578125" style="1" customWidth="1"/>
    <col min="1283" max="1283" width="51" style="1" customWidth="1"/>
    <col min="1284" max="1284" width="10.28515625" style="1" customWidth="1"/>
    <col min="1285" max="1285" width="8.85546875" style="1" customWidth="1"/>
    <col min="1286" max="1286" width="10" style="1" customWidth="1"/>
    <col min="1287" max="1287" width="28.85546875" style="1" bestFit="1" customWidth="1"/>
    <col min="1288" max="1288" width="18.85546875" style="1" customWidth="1"/>
    <col min="1289" max="1289" width="16.28515625" style="1" bestFit="1" customWidth="1"/>
    <col min="1290" max="1536" width="16" style="1"/>
    <col min="1537" max="1537" width="3" style="1" customWidth="1"/>
    <col min="1538" max="1538" width="8.42578125" style="1" customWidth="1"/>
    <col min="1539" max="1539" width="51" style="1" customWidth="1"/>
    <col min="1540" max="1540" width="10.28515625" style="1" customWidth="1"/>
    <col min="1541" max="1541" width="8.85546875" style="1" customWidth="1"/>
    <col min="1542" max="1542" width="10" style="1" customWidth="1"/>
    <col min="1543" max="1543" width="28.85546875" style="1" bestFit="1" customWidth="1"/>
    <col min="1544" max="1544" width="18.85546875" style="1" customWidth="1"/>
    <col min="1545" max="1545" width="16.28515625" style="1" bestFit="1" customWidth="1"/>
    <col min="1546" max="1792" width="16" style="1"/>
    <col min="1793" max="1793" width="3" style="1" customWidth="1"/>
    <col min="1794" max="1794" width="8.42578125" style="1" customWidth="1"/>
    <col min="1795" max="1795" width="51" style="1" customWidth="1"/>
    <col min="1796" max="1796" width="10.28515625" style="1" customWidth="1"/>
    <col min="1797" max="1797" width="8.85546875" style="1" customWidth="1"/>
    <col min="1798" max="1798" width="10" style="1" customWidth="1"/>
    <col min="1799" max="1799" width="28.85546875" style="1" bestFit="1" customWidth="1"/>
    <col min="1800" max="1800" width="18.85546875" style="1" customWidth="1"/>
    <col min="1801" max="1801" width="16.28515625" style="1" bestFit="1" customWidth="1"/>
    <col min="1802" max="2048" width="16" style="1"/>
    <col min="2049" max="2049" width="3" style="1" customWidth="1"/>
    <col min="2050" max="2050" width="8.42578125" style="1" customWidth="1"/>
    <col min="2051" max="2051" width="51" style="1" customWidth="1"/>
    <col min="2052" max="2052" width="10.28515625" style="1" customWidth="1"/>
    <col min="2053" max="2053" width="8.85546875" style="1" customWidth="1"/>
    <col min="2054" max="2054" width="10" style="1" customWidth="1"/>
    <col min="2055" max="2055" width="28.85546875" style="1" bestFit="1" customWidth="1"/>
    <col min="2056" max="2056" width="18.85546875" style="1" customWidth="1"/>
    <col min="2057" max="2057" width="16.28515625" style="1" bestFit="1" customWidth="1"/>
    <col min="2058" max="2304" width="16" style="1"/>
    <col min="2305" max="2305" width="3" style="1" customWidth="1"/>
    <col min="2306" max="2306" width="8.42578125" style="1" customWidth="1"/>
    <col min="2307" max="2307" width="51" style="1" customWidth="1"/>
    <col min="2308" max="2308" width="10.28515625" style="1" customWidth="1"/>
    <col min="2309" max="2309" width="8.85546875" style="1" customWidth="1"/>
    <col min="2310" max="2310" width="10" style="1" customWidth="1"/>
    <col min="2311" max="2311" width="28.85546875" style="1" bestFit="1" customWidth="1"/>
    <col min="2312" max="2312" width="18.85546875" style="1" customWidth="1"/>
    <col min="2313" max="2313" width="16.28515625" style="1" bestFit="1" customWidth="1"/>
    <col min="2314" max="2560" width="16" style="1"/>
    <col min="2561" max="2561" width="3" style="1" customWidth="1"/>
    <col min="2562" max="2562" width="8.42578125" style="1" customWidth="1"/>
    <col min="2563" max="2563" width="51" style="1" customWidth="1"/>
    <col min="2564" max="2564" width="10.28515625" style="1" customWidth="1"/>
    <col min="2565" max="2565" width="8.85546875" style="1" customWidth="1"/>
    <col min="2566" max="2566" width="10" style="1" customWidth="1"/>
    <col min="2567" max="2567" width="28.85546875" style="1" bestFit="1" customWidth="1"/>
    <col min="2568" max="2568" width="18.85546875" style="1" customWidth="1"/>
    <col min="2569" max="2569" width="16.28515625" style="1" bestFit="1" customWidth="1"/>
    <col min="2570" max="2816" width="16" style="1"/>
    <col min="2817" max="2817" width="3" style="1" customWidth="1"/>
    <col min="2818" max="2818" width="8.42578125" style="1" customWidth="1"/>
    <col min="2819" max="2819" width="51" style="1" customWidth="1"/>
    <col min="2820" max="2820" width="10.28515625" style="1" customWidth="1"/>
    <col min="2821" max="2821" width="8.85546875" style="1" customWidth="1"/>
    <col min="2822" max="2822" width="10" style="1" customWidth="1"/>
    <col min="2823" max="2823" width="28.85546875" style="1" bestFit="1" customWidth="1"/>
    <col min="2824" max="2824" width="18.85546875" style="1" customWidth="1"/>
    <col min="2825" max="2825" width="16.28515625" style="1" bestFit="1" customWidth="1"/>
    <col min="2826" max="3072" width="16" style="1"/>
    <col min="3073" max="3073" width="3" style="1" customWidth="1"/>
    <col min="3074" max="3074" width="8.42578125" style="1" customWidth="1"/>
    <col min="3075" max="3075" width="51" style="1" customWidth="1"/>
    <col min="3076" max="3076" width="10.28515625" style="1" customWidth="1"/>
    <col min="3077" max="3077" width="8.85546875" style="1" customWidth="1"/>
    <col min="3078" max="3078" width="10" style="1" customWidth="1"/>
    <col min="3079" max="3079" width="28.85546875" style="1" bestFit="1" customWidth="1"/>
    <col min="3080" max="3080" width="18.85546875" style="1" customWidth="1"/>
    <col min="3081" max="3081" width="16.28515625" style="1" bestFit="1" customWidth="1"/>
    <col min="3082" max="3328" width="16" style="1"/>
    <col min="3329" max="3329" width="3" style="1" customWidth="1"/>
    <col min="3330" max="3330" width="8.42578125" style="1" customWidth="1"/>
    <col min="3331" max="3331" width="51" style="1" customWidth="1"/>
    <col min="3332" max="3332" width="10.28515625" style="1" customWidth="1"/>
    <col min="3333" max="3333" width="8.85546875" style="1" customWidth="1"/>
    <col min="3334" max="3334" width="10" style="1" customWidth="1"/>
    <col min="3335" max="3335" width="28.85546875" style="1" bestFit="1" customWidth="1"/>
    <col min="3336" max="3336" width="18.85546875" style="1" customWidth="1"/>
    <col min="3337" max="3337" width="16.28515625" style="1" bestFit="1" customWidth="1"/>
    <col min="3338" max="3584" width="16" style="1"/>
    <col min="3585" max="3585" width="3" style="1" customWidth="1"/>
    <col min="3586" max="3586" width="8.42578125" style="1" customWidth="1"/>
    <col min="3587" max="3587" width="51" style="1" customWidth="1"/>
    <col min="3588" max="3588" width="10.28515625" style="1" customWidth="1"/>
    <col min="3589" max="3589" width="8.85546875" style="1" customWidth="1"/>
    <col min="3590" max="3590" width="10" style="1" customWidth="1"/>
    <col min="3591" max="3591" width="28.85546875" style="1" bestFit="1" customWidth="1"/>
    <col min="3592" max="3592" width="18.85546875" style="1" customWidth="1"/>
    <col min="3593" max="3593" width="16.28515625" style="1" bestFit="1" customWidth="1"/>
    <col min="3594" max="3840" width="16" style="1"/>
    <col min="3841" max="3841" width="3" style="1" customWidth="1"/>
    <col min="3842" max="3842" width="8.42578125" style="1" customWidth="1"/>
    <col min="3843" max="3843" width="51" style="1" customWidth="1"/>
    <col min="3844" max="3844" width="10.28515625" style="1" customWidth="1"/>
    <col min="3845" max="3845" width="8.85546875" style="1" customWidth="1"/>
    <col min="3846" max="3846" width="10" style="1" customWidth="1"/>
    <col min="3847" max="3847" width="28.85546875" style="1" bestFit="1" customWidth="1"/>
    <col min="3848" max="3848" width="18.85546875" style="1" customWidth="1"/>
    <col min="3849" max="3849" width="16.28515625" style="1" bestFit="1" customWidth="1"/>
    <col min="3850" max="4096" width="16" style="1"/>
    <col min="4097" max="4097" width="3" style="1" customWidth="1"/>
    <col min="4098" max="4098" width="8.42578125" style="1" customWidth="1"/>
    <col min="4099" max="4099" width="51" style="1" customWidth="1"/>
    <col min="4100" max="4100" width="10.28515625" style="1" customWidth="1"/>
    <col min="4101" max="4101" width="8.85546875" style="1" customWidth="1"/>
    <col min="4102" max="4102" width="10" style="1" customWidth="1"/>
    <col min="4103" max="4103" width="28.85546875" style="1" bestFit="1" customWidth="1"/>
    <col min="4104" max="4104" width="18.85546875" style="1" customWidth="1"/>
    <col min="4105" max="4105" width="16.28515625" style="1" bestFit="1" customWidth="1"/>
    <col min="4106" max="4352" width="16" style="1"/>
    <col min="4353" max="4353" width="3" style="1" customWidth="1"/>
    <col min="4354" max="4354" width="8.42578125" style="1" customWidth="1"/>
    <col min="4355" max="4355" width="51" style="1" customWidth="1"/>
    <col min="4356" max="4356" width="10.28515625" style="1" customWidth="1"/>
    <col min="4357" max="4357" width="8.85546875" style="1" customWidth="1"/>
    <col min="4358" max="4358" width="10" style="1" customWidth="1"/>
    <col min="4359" max="4359" width="28.85546875" style="1" bestFit="1" customWidth="1"/>
    <col min="4360" max="4360" width="18.85546875" style="1" customWidth="1"/>
    <col min="4361" max="4361" width="16.28515625" style="1" bestFit="1" customWidth="1"/>
    <col min="4362" max="4608" width="16" style="1"/>
    <col min="4609" max="4609" width="3" style="1" customWidth="1"/>
    <col min="4610" max="4610" width="8.42578125" style="1" customWidth="1"/>
    <col min="4611" max="4611" width="51" style="1" customWidth="1"/>
    <col min="4612" max="4612" width="10.28515625" style="1" customWidth="1"/>
    <col min="4613" max="4613" width="8.85546875" style="1" customWidth="1"/>
    <col min="4614" max="4614" width="10" style="1" customWidth="1"/>
    <col min="4615" max="4615" width="28.85546875" style="1" bestFit="1" customWidth="1"/>
    <col min="4616" max="4616" width="18.85546875" style="1" customWidth="1"/>
    <col min="4617" max="4617" width="16.28515625" style="1" bestFit="1" customWidth="1"/>
    <col min="4618" max="4864" width="16" style="1"/>
    <col min="4865" max="4865" width="3" style="1" customWidth="1"/>
    <col min="4866" max="4866" width="8.42578125" style="1" customWidth="1"/>
    <col min="4867" max="4867" width="51" style="1" customWidth="1"/>
    <col min="4868" max="4868" width="10.28515625" style="1" customWidth="1"/>
    <col min="4869" max="4869" width="8.85546875" style="1" customWidth="1"/>
    <col min="4870" max="4870" width="10" style="1" customWidth="1"/>
    <col min="4871" max="4871" width="28.85546875" style="1" bestFit="1" customWidth="1"/>
    <col min="4872" max="4872" width="18.85546875" style="1" customWidth="1"/>
    <col min="4873" max="4873" width="16.28515625" style="1" bestFit="1" customWidth="1"/>
    <col min="4874" max="5120" width="16" style="1"/>
    <col min="5121" max="5121" width="3" style="1" customWidth="1"/>
    <col min="5122" max="5122" width="8.42578125" style="1" customWidth="1"/>
    <col min="5123" max="5123" width="51" style="1" customWidth="1"/>
    <col min="5124" max="5124" width="10.28515625" style="1" customWidth="1"/>
    <col min="5125" max="5125" width="8.85546875" style="1" customWidth="1"/>
    <col min="5126" max="5126" width="10" style="1" customWidth="1"/>
    <col min="5127" max="5127" width="28.85546875" style="1" bestFit="1" customWidth="1"/>
    <col min="5128" max="5128" width="18.85546875" style="1" customWidth="1"/>
    <col min="5129" max="5129" width="16.28515625" style="1" bestFit="1" customWidth="1"/>
    <col min="5130" max="5376" width="16" style="1"/>
    <col min="5377" max="5377" width="3" style="1" customWidth="1"/>
    <col min="5378" max="5378" width="8.42578125" style="1" customWidth="1"/>
    <col min="5379" max="5379" width="51" style="1" customWidth="1"/>
    <col min="5380" max="5380" width="10.28515625" style="1" customWidth="1"/>
    <col min="5381" max="5381" width="8.85546875" style="1" customWidth="1"/>
    <col min="5382" max="5382" width="10" style="1" customWidth="1"/>
    <col min="5383" max="5383" width="28.85546875" style="1" bestFit="1" customWidth="1"/>
    <col min="5384" max="5384" width="18.85546875" style="1" customWidth="1"/>
    <col min="5385" max="5385" width="16.28515625" style="1" bestFit="1" customWidth="1"/>
    <col min="5386" max="5632" width="16" style="1"/>
    <col min="5633" max="5633" width="3" style="1" customWidth="1"/>
    <col min="5634" max="5634" width="8.42578125" style="1" customWidth="1"/>
    <col min="5635" max="5635" width="51" style="1" customWidth="1"/>
    <col min="5636" max="5636" width="10.28515625" style="1" customWidth="1"/>
    <col min="5637" max="5637" width="8.85546875" style="1" customWidth="1"/>
    <col min="5638" max="5638" width="10" style="1" customWidth="1"/>
    <col min="5639" max="5639" width="28.85546875" style="1" bestFit="1" customWidth="1"/>
    <col min="5640" max="5640" width="18.85546875" style="1" customWidth="1"/>
    <col min="5641" max="5641" width="16.28515625" style="1" bestFit="1" customWidth="1"/>
    <col min="5642" max="5888" width="16" style="1"/>
    <col min="5889" max="5889" width="3" style="1" customWidth="1"/>
    <col min="5890" max="5890" width="8.42578125" style="1" customWidth="1"/>
    <col min="5891" max="5891" width="51" style="1" customWidth="1"/>
    <col min="5892" max="5892" width="10.28515625" style="1" customWidth="1"/>
    <col min="5893" max="5893" width="8.85546875" style="1" customWidth="1"/>
    <col min="5894" max="5894" width="10" style="1" customWidth="1"/>
    <col min="5895" max="5895" width="28.85546875" style="1" bestFit="1" customWidth="1"/>
    <col min="5896" max="5896" width="18.85546875" style="1" customWidth="1"/>
    <col min="5897" max="5897" width="16.28515625" style="1" bestFit="1" customWidth="1"/>
    <col min="5898" max="6144" width="16" style="1"/>
    <col min="6145" max="6145" width="3" style="1" customWidth="1"/>
    <col min="6146" max="6146" width="8.42578125" style="1" customWidth="1"/>
    <col min="6147" max="6147" width="51" style="1" customWidth="1"/>
    <col min="6148" max="6148" width="10.28515625" style="1" customWidth="1"/>
    <col min="6149" max="6149" width="8.85546875" style="1" customWidth="1"/>
    <col min="6150" max="6150" width="10" style="1" customWidth="1"/>
    <col min="6151" max="6151" width="28.85546875" style="1" bestFit="1" customWidth="1"/>
    <col min="6152" max="6152" width="18.85546875" style="1" customWidth="1"/>
    <col min="6153" max="6153" width="16.28515625" style="1" bestFit="1" customWidth="1"/>
    <col min="6154" max="6400" width="16" style="1"/>
    <col min="6401" max="6401" width="3" style="1" customWidth="1"/>
    <col min="6402" max="6402" width="8.42578125" style="1" customWidth="1"/>
    <col min="6403" max="6403" width="51" style="1" customWidth="1"/>
    <col min="6404" max="6404" width="10.28515625" style="1" customWidth="1"/>
    <col min="6405" max="6405" width="8.85546875" style="1" customWidth="1"/>
    <col min="6406" max="6406" width="10" style="1" customWidth="1"/>
    <col min="6407" max="6407" width="28.85546875" style="1" bestFit="1" customWidth="1"/>
    <col min="6408" max="6408" width="18.85546875" style="1" customWidth="1"/>
    <col min="6409" max="6409" width="16.28515625" style="1" bestFit="1" customWidth="1"/>
    <col min="6410" max="6656" width="16" style="1"/>
    <col min="6657" max="6657" width="3" style="1" customWidth="1"/>
    <col min="6658" max="6658" width="8.42578125" style="1" customWidth="1"/>
    <col min="6659" max="6659" width="51" style="1" customWidth="1"/>
    <col min="6660" max="6660" width="10.28515625" style="1" customWidth="1"/>
    <col min="6661" max="6661" width="8.85546875" style="1" customWidth="1"/>
    <col min="6662" max="6662" width="10" style="1" customWidth="1"/>
    <col min="6663" max="6663" width="28.85546875" style="1" bestFit="1" customWidth="1"/>
    <col min="6664" max="6664" width="18.85546875" style="1" customWidth="1"/>
    <col min="6665" max="6665" width="16.28515625" style="1" bestFit="1" customWidth="1"/>
    <col min="6666" max="6912" width="16" style="1"/>
    <col min="6913" max="6913" width="3" style="1" customWidth="1"/>
    <col min="6914" max="6914" width="8.42578125" style="1" customWidth="1"/>
    <col min="6915" max="6915" width="51" style="1" customWidth="1"/>
    <col min="6916" max="6916" width="10.28515625" style="1" customWidth="1"/>
    <col min="6917" max="6917" width="8.85546875" style="1" customWidth="1"/>
    <col min="6918" max="6918" width="10" style="1" customWidth="1"/>
    <col min="6919" max="6919" width="28.85546875" style="1" bestFit="1" customWidth="1"/>
    <col min="6920" max="6920" width="18.85546875" style="1" customWidth="1"/>
    <col min="6921" max="6921" width="16.28515625" style="1" bestFit="1" customWidth="1"/>
    <col min="6922" max="7168" width="16" style="1"/>
    <col min="7169" max="7169" width="3" style="1" customWidth="1"/>
    <col min="7170" max="7170" width="8.42578125" style="1" customWidth="1"/>
    <col min="7171" max="7171" width="51" style="1" customWidth="1"/>
    <col min="7172" max="7172" width="10.28515625" style="1" customWidth="1"/>
    <col min="7173" max="7173" width="8.85546875" style="1" customWidth="1"/>
    <col min="7174" max="7174" width="10" style="1" customWidth="1"/>
    <col min="7175" max="7175" width="28.85546875" style="1" bestFit="1" customWidth="1"/>
    <col min="7176" max="7176" width="18.85546875" style="1" customWidth="1"/>
    <col min="7177" max="7177" width="16.28515625" style="1" bestFit="1" customWidth="1"/>
    <col min="7178" max="7424" width="16" style="1"/>
    <col min="7425" max="7425" width="3" style="1" customWidth="1"/>
    <col min="7426" max="7426" width="8.42578125" style="1" customWidth="1"/>
    <col min="7427" max="7427" width="51" style="1" customWidth="1"/>
    <col min="7428" max="7428" width="10.28515625" style="1" customWidth="1"/>
    <col min="7429" max="7429" width="8.85546875" style="1" customWidth="1"/>
    <col min="7430" max="7430" width="10" style="1" customWidth="1"/>
    <col min="7431" max="7431" width="28.85546875" style="1" bestFit="1" customWidth="1"/>
    <col min="7432" max="7432" width="18.85546875" style="1" customWidth="1"/>
    <col min="7433" max="7433" width="16.28515625" style="1" bestFit="1" customWidth="1"/>
    <col min="7434" max="7680" width="16" style="1"/>
    <col min="7681" max="7681" width="3" style="1" customWidth="1"/>
    <col min="7682" max="7682" width="8.42578125" style="1" customWidth="1"/>
    <col min="7683" max="7683" width="51" style="1" customWidth="1"/>
    <col min="7684" max="7684" width="10.28515625" style="1" customWidth="1"/>
    <col min="7685" max="7685" width="8.85546875" style="1" customWidth="1"/>
    <col min="7686" max="7686" width="10" style="1" customWidth="1"/>
    <col min="7687" max="7687" width="28.85546875" style="1" bestFit="1" customWidth="1"/>
    <col min="7688" max="7688" width="18.85546875" style="1" customWidth="1"/>
    <col min="7689" max="7689" width="16.28515625" style="1" bestFit="1" customWidth="1"/>
    <col min="7690" max="7936" width="16" style="1"/>
    <col min="7937" max="7937" width="3" style="1" customWidth="1"/>
    <col min="7938" max="7938" width="8.42578125" style="1" customWidth="1"/>
    <col min="7939" max="7939" width="51" style="1" customWidth="1"/>
    <col min="7940" max="7940" width="10.28515625" style="1" customWidth="1"/>
    <col min="7941" max="7941" width="8.85546875" style="1" customWidth="1"/>
    <col min="7942" max="7942" width="10" style="1" customWidth="1"/>
    <col min="7943" max="7943" width="28.85546875" style="1" bestFit="1" customWidth="1"/>
    <col min="7944" max="7944" width="18.85546875" style="1" customWidth="1"/>
    <col min="7945" max="7945" width="16.28515625" style="1" bestFit="1" customWidth="1"/>
    <col min="7946" max="8192" width="16" style="1"/>
    <col min="8193" max="8193" width="3" style="1" customWidth="1"/>
    <col min="8194" max="8194" width="8.42578125" style="1" customWidth="1"/>
    <col min="8195" max="8195" width="51" style="1" customWidth="1"/>
    <col min="8196" max="8196" width="10.28515625" style="1" customWidth="1"/>
    <col min="8197" max="8197" width="8.85546875" style="1" customWidth="1"/>
    <col min="8198" max="8198" width="10" style="1" customWidth="1"/>
    <col min="8199" max="8199" width="28.85546875" style="1" bestFit="1" customWidth="1"/>
    <col min="8200" max="8200" width="18.85546875" style="1" customWidth="1"/>
    <col min="8201" max="8201" width="16.28515625" style="1" bestFit="1" customWidth="1"/>
    <col min="8202" max="8448" width="16" style="1"/>
    <col min="8449" max="8449" width="3" style="1" customWidth="1"/>
    <col min="8450" max="8450" width="8.42578125" style="1" customWidth="1"/>
    <col min="8451" max="8451" width="51" style="1" customWidth="1"/>
    <col min="8452" max="8452" width="10.28515625" style="1" customWidth="1"/>
    <col min="8453" max="8453" width="8.85546875" style="1" customWidth="1"/>
    <col min="8454" max="8454" width="10" style="1" customWidth="1"/>
    <col min="8455" max="8455" width="28.85546875" style="1" bestFit="1" customWidth="1"/>
    <col min="8456" max="8456" width="18.85546875" style="1" customWidth="1"/>
    <col min="8457" max="8457" width="16.28515625" style="1" bestFit="1" customWidth="1"/>
    <col min="8458" max="8704" width="16" style="1"/>
    <col min="8705" max="8705" width="3" style="1" customWidth="1"/>
    <col min="8706" max="8706" width="8.42578125" style="1" customWidth="1"/>
    <col min="8707" max="8707" width="51" style="1" customWidth="1"/>
    <col min="8708" max="8708" width="10.28515625" style="1" customWidth="1"/>
    <col min="8709" max="8709" width="8.85546875" style="1" customWidth="1"/>
    <col min="8710" max="8710" width="10" style="1" customWidth="1"/>
    <col min="8711" max="8711" width="28.85546875" style="1" bestFit="1" customWidth="1"/>
    <col min="8712" max="8712" width="18.85546875" style="1" customWidth="1"/>
    <col min="8713" max="8713" width="16.28515625" style="1" bestFit="1" customWidth="1"/>
    <col min="8714" max="8960" width="16" style="1"/>
    <col min="8961" max="8961" width="3" style="1" customWidth="1"/>
    <col min="8962" max="8962" width="8.42578125" style="1" customWidth="1"/>
    <col min="8963" max="8963" width="51" style="1" customWidth="1"/>
    <col min="8964" max="8964" width="10.28515625" style="1" customWidth="1"/>
    <col min="8965" max="8965" width="8.85546875" style="1" customWidth="1"/>
    <col min="8966" max="8966" width="10" style="1" customWidth="1"/>
    <col min="8967" max="8967" width="28.85546875" style="1" bestFit="1" customWidth="1"/>
    <col min="8968" max="8968" width="18.85546875" style="1" customWidth="1"/>
    <col min="8969" max="8969" width="16.28515625" style="1" bestFit="1" customWidth="1"/>
    <col min="8970" max="9216" width="16" style="1"/>
    <col min="9217" max="9217" width="3" style="1" customWidth="1"/>
    <col min="9218" max="9218" width="8.42578125" style="1" customWidth="1"/>
    <col min="9219" max="9219" width="51" style="1" customWidth="1"/>
    <col min="9220" max="9220" width="10.28515625" style="1" customWidth="1"/>
    <col min="9221" max="9221" width="8.85546875" style="1" customWidth="1"/>
    <col min="9222" max="9222" width="10" style="1" customWidth="1"/>
    <col min="9223" max="9223" width="28.85546875" style="1" bestFit="1" customWidth="1"/>
    <col min="9224" max="9224" width="18.85546875" style="1" customWidth="1"/>
    <col min="9225" max="9225" width="16.28515625" style="1" bestFit="1" customWidth="1"/>
    <col min="9226" max="9472" width="16" style="1"/>
    <col min="9473" max="9473" width="3" style="1" customWidth="1"/>
    <col min="9474" max="9474" width="8.42578125" style="1" customWidth="1"/>
    <col min="9475" max="9475" width="51" style="1" customWidth="1"/>
    <col min="9476" max="9476" width="10.28515625" style="1" customWidth="1"/>
    <col min="9477" max="9477" width="8.85546875" style="1" customWidth="1"/>
    <col min="9478" max="9478" width="10" style="1" customWidth="1"/>
    <col min="9479" max="9479" width="28.85546875" style="1" bestFit="1" customWidth="1"/>
    <col min="9480" max="9480" width="18.85546875" style="1" customWidth="1"/>
    <col min="9481" max="9481" width="16.28515625" style="1" bestFit="1" customWidth="1"/>
    <col min="9482" max="9728" width="16" style="1"/>
    <col min="9729" max="9729" width="3" style="1" customWidth="1"/>
    <col min="9730" max="9730" width="8.42578125" style="1" customWidth="1"/>
    <col min="9731" max="9731" width="51" style="1" customWidth="1"/>
    <col min="9732" max="9732" width="10.28515625" style="1" customWidth="1"/>
    <col min="9733" max="9733" width="8.85546875" style="1" customWidth="1"/>
    <col min="9734" max="9734" width="10" style="1" customWidth="1"/>
    <col min="9735" max="9735" width="28.85546875" style="1" bestFit="1" customWidth="1"/>
    <col min="9736" max="9736" width="18.85546875" style="1" customWidth="1"/>
    <col min="9737" max="9737" width="16.28515625" style="1" bestFit="1" customWidth="1"/>
    <col min="9738" max="9984" width="16" style="1"/>
    <col min="9985" max="9985" width="3" style="1" customWidth="1"/>
    <col min="9986" max="9986" width="8.42578125" style="1" customWidth="1"/>
    <col min="9987" max="9987" width="51" style="1" customWidth="1"/>
    <col min="9988" max="9988" width="10.28515625" style="1" customWidth="1"/>
    <col min="9989" max="9989" width="8.85546875" style="1" customWidth="1"/>
    <col min="9990" max="9990" width="10" style="1" customWidth="1"/>
    <col min="9991" max="9991" width="28.85546875" style="1" bestFit="1" customWidth="1"/>
    <col min="9992" max="9992" width="18.85546875" style="1" customWidth="1"/>
    <col min="9993" max="9993" width="16.28515625" style="1" bestFit="1" customWidth="1"/>
    <col min="9994" max="10240" width="16" style="1"/>
    <col min="10241" max="10241" width="3" style="1" customWidth="1"/>
    <col min="10242" max="10242" width="8.42578125" style="1" customWidth="1"/>
    <col min="10243" max="10243" width="51" style="1" customWidth="1"/>
    <col min="10244" max="10244" width="10.28515625" style="1" customWidth="1"/>
    <col min="10245" max="10245" width="8.85546875" style="1" customWidth="1"/>
    <col min="10246" max="10246" width="10" style="1" customWidth="1"/>
    <col min="10247" max="10247" width="28.85546875" style="1" bestFit="1" customWidth="1"/>
    <col min="10248" max="10248" width="18.85546875" style="1" customWidth="1"/>
    <col min="10249" max="10249" width="16.28515625" style="1" bestFit="1" customWidth="1"/>
    <col min="10250" max="10496" width="16" style="1"/>
    <col min="10497" max="10497" width="3" style="1" customWidth="1"/>
    <col min="10498" max="10498" width="8.42578125" style="1" customWidth="1"/>
    <col min="10499" max="10499" width="51" style="1" customWidth="1"/>
    <col min="10500" max="10500" width="10.28515625" style="1" customWidth="1"/>
    <col min="10501" max="10501" width="8.85546875" style="1" customWidth="1"/>
    <col min="10502" max="10502" width="10" style="1" customWidth="1"/>
    <col min="10503" max="10503" width="28.85546875" style="1" bestFit="1" customWidth="1"/>
    <col min="10504" max="10504" width="18.85546875" style="1" customWidth="1"/>
    <col min="10505" max="10505" width="16.28515625" style="1" bestFit="1" customWidth="1"/>
    <col min="10506" max="10752" width="16" style="1"/>
    <col min="10753" max="10753" width="3" style="1" customWidth="1"/>
    <col min="10754" max="10754" width="8.42578125" style="1" customWidth="1"/>
    <col min="10755" max="10755" width="51" style="1" customWidth="1"/>
    <col min="10756" max="10756" width="10.28515625" style="1" customWidth="1"/>
    <col min="10757" max="10757" width="8.85546875" style="1" customWidth="1"/>
    <col min="10758" max="10758" width="10" style="1" customWidth="1"/>
    <col min="10759" max="10759" width="28.85546875" style="1" bestFit="1" customWidth="1"/>
    <col min="10760" max="10760" width="18.85546875" style="1" customWidth="1"/>
    <col min="10761" max="10761" width="16.28515625" style="1" bestFit="1" customWidth="1"/>
    <col min="10762" max="11008" width="16" style="1"/>
    <col min="11009" max="11009" width="3" style="1" customWidth="1"/>
    <col min="11010" max="11010" width="8.42578125" style="1" customWidth="1"/>
    <col min="11011" max="11011" width="51" style="1" customWidth="1"/>
    <col min="11012" max="11012" width="10.28515625" style="1" customWidth="1"/>
    <col min="11013" max="11013" width="8.85546875" style="1" customWidth="1"/>
    <col min="11014" max="11014" width="10" style="1" customWidth="1"/>
    <col min="11015" max="11015" width="28.85546875" style="1" bestFit="1" customWidth="1"/>
    <col min="11016" max="11016" width="18.85546875" style="1" customWidth="1"/>
    <col min="11017" max="11017" width="16.28515625" style="1" bestFit="1" customWidth="1"/>
    <col min="11018" max="11264" width="16" style="1"/>
    <col min="11265" max="11265" width="3" style="1" customWidth="1"/>
    <col min="11266" max="11266" width="8.42578125" style="1" customWidth="1"/>
    <col min="11267" max="11267" width="51" style="1" customWidth="1"/>
    <col min="11268" max="11268" width="10.28515625" style="1" customWidth="1"/>
    <col min="11269" max="11269" width="8.85546875" style="1" customWidth="1"/>
    <col min="11270" max="11270" width="10" style="1" customWidth="1"/>
    <col min="11271" max="11271" width="28.85546875" style="1" bestFit="1" customWidth="1"/>
    <col min="11272" max="11272" width="18.85546875" style="1" customWidth="1"/>
    <col min="11273" max="11273" width="16.28515625" style="1" bestFit="1" customWidth="1"/>
    <col min="11274" max="11520" width="16" style="1"/>
    <col min="11521" max="11521" width="3" style="1" customWidth="1"/>
    <col min="11522" max="11522" width="8.42578125" style="1" customWidth="1"/>
    <col min="11523" max="11523" width="51" style="1" customWidth="1"/>
    <col min="11524" max="11524" width="10.28515625" style="1" customWidth="1"/>
    <col min="11525" max="11525" width="8.85546875" style="1" customWidth="1"/>
    <col min="11526" max="11526" width="10" style="1" customWidth="1"/>
    <col min="11527" max="11527" width="28.85546875" style="1" bestFit="1" customWidth="1"/>
    <col min="11528" max="11528" width="18.85546875" style="1" customWidth="1"/>
    <col min="11529" max="11529" width="16.28515625" style="1" bestFit="1" customWidth="1"/>
    <col min="11530" max="11776" width="16" style="1"/>
    <col min="11777" max="11777" width="3" style="1" customWidth="1"/>
    <col min="11778" max="11778" width="8.42578125" style="1" customWidth="1"/>
    <col min="11779" max="11779" width="51" style="1" customWidth="1"/>
    <col min="11780" max="11780" width="10.28515625" style="1" customWidth="1"/>
    <col min="11781" max="11781" width="8.85546875" style="1" customWidth="1"/>
    <col min="11782" max="11782" width="10" style="1" customWidth="1"/>
    <col min="11783" max="11783" width="28.85546875" style="1" bestFit="1" customWidth="1"/>
    <col min="11784" max="11784" width="18.85546875" style="1" customWidth="1"/>
    <col min="11785" max="11785" width="16.28515625" style="1" bestFit="1" customWidth="1"/>
    <col min="11786" max="12032" width="16" style="1"/>
    <col min="12033" max="12033" width="3" style="1" customWidth="1"/>
    <col min="12034" max="12034" width="8.42578125" style="1" customWidth="1"/>
    <col min="12035" max="12035" width="51" style="1" customWidth="1"/>
    <col min="12036" max="12036" width="10.28515625" style="1" customWidth="1"/>
    <col min="12037" max="12037" width="8.85546875" style="1" customWidth="1"/>
    <col min="12038" max="12038" width="10" style="1" customWidth="1"/>
    <col min="12039" max="12039" width="28.85546875" style="1" bestFit="1" customWidth="1"/>
    <col min="12040" max="12040" width="18.85546875" style="1" customWidth="1"/>
    <col min="12041" max="12041" width="16.28515625" style="1" bestFit="1" customWidth="1"/>
    <col min="12042" max="12288" width="16" style="1"/>
    <col min="12289" max="12289" width="3" style="1" customWidth="1"/>
    <col min="12290" max="12290" width="8.42578125" style="1" customWidth="1"/>
    <col min="12291" max="12291" width="51" style="1" customWidth="1"/>
    <col min="12292" max="12292" width="10.28515625" style="1" customWidth="1"/>
    <col min="12293" max="12293" width="8.85546875" style="1" customWidth="1"/>
    <col min="12294" max="12294" width="10" style="1" customWidth="1"/>
    <col min="12295" max="12295" width="28.85546875" style="1" bestFit="1" customWidth="1"/>
    <col min="12296" max="12296" width="18.85546875" style="1" customWidth="1"/>
    <col min="12297" max="12297" width="16.28515625" style="1" bestFit="1" customWidth="1"/>
    <col min="12298" max="12544" width="16" style="1"/>
    <col min="12545" max="12545" width="3" style="1" customWidth="1"/>
    <col min="12546" max="12546" width="8.42578125" style="1" customWidth="1"/>
    <col min="12547" max="12547" width="51" style="1" customWidth="1"/>
    <col min="12548" max="12548" width="10.28515625" style="1" customWidth="1"/>
    <col min="12549" max="12549" width="8.85546875" style="1" customWidth="1"/>
    <col min="12550" max="12550" width="10" style="1" customWidth="1"/>
    <col min="12551" max="12551" width="28.85546875" style="1" bestFit="1" customWidth="1"/>
    <col min="12552" max="12552" width="18.85546875" style="1" customWidth="1"/>
    <col min="12553" max="12553" width="16.28515625" style="1" bestFit="1" customWidth="1"/>
    <col min="12554" max="12800" width="16" style="1"/>
    <col min="12801" max="12801" width="3" style="1" customWidth="1"/>
    <col min="12802" max="12802" width="8.42578125" style="1" customWidth="1"/>
    <col min="12803" max="12803" width="51" style="1" customWidth="1"/>
    <col min="12804" max="12804" width="10.28515625" style="1" customWidth="1"/>
    <col min="12805" max="12805" width="8.85546875" style="1" customWidth="1"/>
    <col min="12806" max="12806" width="10" style="1" customWidth="1"/>
    <col min="12807" max="12807" width="28.85546875" style="1" bestFit="1" customWidth="1"/>
    <col min="12808" max="12808" width="18.85546875" style="1" customWidth="1"/>
    <col min="12809" max="12809" width="16.28515625" style="1" bestFit="1" customWidth="1"/>
    <col min="12810" max="13056" width="16" style="1"/>
    <col min="13057" max="13057" width="3" style="1" customWidth="1"/>
    <col min="13058" max="13058" width="8.42578125" style="1" customWidth="1"/>
    <col min="13059" max="13059" width="51" style="1" customWidth="1"/>
    <col min="13060" max="13060" width="10.28515625" style="1" customWidth="1"/>
    <col min="13061" max="13061" width="8.85546875" style="1" customWidth="1"/>
    <col min="13062" max="13062" width="10" style="1" customWidth="1"/>
    <col min="13063" max="13063" width="28.85546875" style="1" bestFit="1" customWidth="1"/>
    <col min="13064" max="13064" width="18.85546875" style="1" customWidth="1"/>
    <col min="13065" max="13065" width="16.28515625" style="1" bestFit="1" customWidth="1"/>
    <col min="13066" max="13312" width="16" style="1"/>
    <col min="13313" max="13313" width="3" style="1" customWidth="1"/>
    <col min="13314" max="13314" width="8.42578125" style="1" customWidth="1"/>
    <col min="13315" max="13315" width="51" style="1" customWidth="1"/>
    <col min="13316" max="13316" width="10.28515625" style="1" customWidth="1"/>
    <col min="13317" max="13317" width="8.85546875" style="1" customWidth="1"/>
    <col min="13318" max="13318" width="10" style="1" customWidth="1"/>
    <col min="13319" max="13319" width="28.85546875" style="1" bestFit="1" customWidth="1"/>
    <col min="13320" max="13320" width="18.85546875" style="1" customWidth="1"/>
    <col min="13321" max="13321" width="16.28515625" style="1" bestFit="1" customWidth="1"/>
    <col min="13322" max="13568" width="16" style="1"/>
    <col min="13569" max="13569" width="3" style="1" customWidth="1"/>
    <col min="13570" max="13570" width="8.42578125" style="1" customWidth="1"/>
    <col min="13571" max="13571" width="51" style="1" customWidth="1"/>
    <col min="13572" max="13572" width="10.28515625" style="1" customWidth="1"/>
    <col min="13573" max="13573" width="8.85546875" style="1" customWidth="1"/>
    <col min="13574" max="13574" width="10" style="1" customWidth="1"/>
    <col min="13575" max="13575" width="28.85546875" style="1" bestFit="1" customWidth="1"/>
    <col min="13576" max="13576" width="18.85546875" style="1" customWidth="1"/>
    <col min="13577" max="13577" width="16.28515625" style="1" bestFit="1" customWidth="1"/>
    <col min="13578" max="13824" width="16" style="1"/>
    <col min="13825" max="13825" width="3" style="1" customWidth="1"/>
    <col min="13826" max="13826" width="8.42578125" style="1" customWidth="1"/>
    <col min="13827" max="13827" width="51" style="1" customWidth="1"/>
    <col min="13828" max="13828" width="10.28515625" style="1" customWidth="1"/>
    <col min="13829" max="13829" width="8.85546875" style="1" customWidth="1"/>
    <col min="13830" max="13830" width="10" style="1" customWidth="1"/>
    <col min="13831" max="13831" width="28.85546875" style="1" bestFit="1" customWidth="1"/>
    <col min="13832" max="13832" width="18.85546875" style="1" customWidth="1"/>
    <col min="13833" max="13833" width="16.28515625" style="1" bestFit="1" customWidth="1"/>
    <col min="13834" max="14080" width="16" style="1"/>
    <col min="14081" max="14081" width="3" style="1" customWidth="1"/>
    <col min="14082" max="14082" width="8.42578125" style="1" customWidth="1"/>
    <col min="14083" max="14083" width="51" style="1" customWidth="1"/>
    <col min="14084" max="14084" width="10.28515625" style="1" customWidth="1"/>
    <col min="14085" max="14085" width="8.85546875" style="1" customWidth="1"/>
    <col min="14086" max="14086" width="10" style="1" customWidth="1"/>
    <col min="14087" max="14087" width="28.85546875" style="1" bestFit="1" customWidth="1"/>
    <col min="14088" max="14088" width="18.85546875" style="1" customWidth="1"/>
    <col min="14089" max="14089" width="16.28515625" style="1" bestFit="1" customWidth="1"/>
    <col min="14090" max="14336" width="16" style="1"/>
    <col min="14337" max="14337" width="3" style="1" customWidth="1"/>
    <col min="14338" max="14338" width="8.42578125" style="1" customWidth="1"/>
    <col min="14339" max="14339" width="51" style="1" customWidth="1"/>
    <col min="14340" max="14340" width="10.28515625" style="1" customWidth="1"/>
    <col min="14341" max="14341" width="8.85546875" style="1" customWidth="1"/>
    <col min="14342" max="14342" width="10" style="1" customWidth="1"/>
    <col min="14343" max="14343" width="28.85546875" style="1" bestFit="1" customWidth="1"/>
    <col min="14344" max="14344" width="18.85546875" style="1" customWidth="1"/>
    <col min="14345" max="14345" width="16.28515625" style="1" bestFit="1" customWidth="1"/>
    <col min="14346" max="14592" width="16" style="1"/>
    <col min="14593" max="14593" width="3" style="1" customWidth="1"/>
    <col min="14594" max="14594" width="8.42578125" style="1" customWidth="1"/>
    <col min="14595" max="14595" width="51" style="1" customWidth="1"/>
    <col min="14596" max="14596" width="10.28515625" style="1" customWidth="1"/>
    <col min="14597" max="14597" width="8.85546875" style="1" customWidth="1"/>
    <col min="14598" max="14598" width="10" style="1" customWidth="1"/>
    <col min="14599" max="14599" width="28.85546875" style="1" bestFit="1" customWidth="1"/>
    <col min="14600" max="14600" width="18.85546875" style="1" customWidth="1"/>
    <col min="14601" max="14601" width="16.28515625" style="1" bestFit="1" customWidth="1"/>
    <col min="14602" max="14848" width="16" style="1"/>
    <col min="14849" max="14849" width="3" style="1" customWidth="1"/>
    <col min="14850" max="14850" width="8.42578125" style="1" customWidth="1"/>
    <col min="14851" max="14851" width="51" style="1" customWidth="1"/>
    <col min="14852" max="14852" width="10.28515625" style="1" customWidth="1"/>
    <col min="14853" max="14853" width="8.85546875" style="1" customWidth="1"/>
    <col min="14854" max="14854" width="10" style="1" customWidth="1"/>
    <col min="14855" max="14855" width="28.85546875" style="1" bestFit="1" customWidth="1"/>
    <col min="14856" max="14856" width="18.85546875" style="1" customWidth="1"/>
    <col min="14857" max="14857" width="16.28515625" style="1" bestFit="1" customWidth="1"/>
    <col min="14858" max="15104" width="16" style="1"/>
    <col min="15105" max="15105" width="3" style="1" customWidth="1"/>
    <col min="15106" max="15106" width="8.42578125" style="1" customWidth="1"/>
    <col min="15107" max="15107" width="51" style="1" customWidth="1"/>
    <col min="15108" max="15108" width="10.28515625" style="1" customWidth="1"/>
    <col min="15109" max="15109" width="8.85546875" style="1" customWidth="1"/>
    <col min="15110" max="15110" width="10" style="1" customWidth="1"/>
    <col min="15111" max="15111" width="28.85546875" style="1" bestFit="1" customWidth="1"/>
    <col min="15112" max="15112" width="18.85546875" style="1" customWidth="1"/>
    <col min="15113" max="15113" width="16.28515625" style="1" bestFit="1" customWidth="1"/>
    <col min="15114" max="15360" width="16" style="1"/>
    <col min="15361" max="15361" width="3" style="1" customWidth="1"/>
    <col min="15362" max="15362" width="8.42578125" style="1" customWidth="1"/>
    <col min="15363" max="15363" width="51" style="1" customWidth="1"/>
    <col min="15364" max="15364" width="10.28515625" style="1" customWidth="1"/>
    <col min="15365" max="15365" width="8.85546875" style="1" customWidth="1"/>
    <col min="15366" max="15366" width="10" style="1" customWidth="1"/>
    <col min="15367" max="15367" width="28.85546875" style="1" bestFit="1" customWidth="1"/>
    <col min="15368" max="15368" width="18.85546875" style="1" customWidth="1"/>
    <col min="15369" max="15369" width="16.28515625" style="1" bestFit="1" customWidth="1"/>
    <col min="15370" max="15616" width="16" style="1"/>
    <col min="15617" max="15617" width="3" style="1" customWidth="1"/>
    <col min="15618" max="15618" width="8.42578125" style="1" customWidth="1"/>
    <col min="15619" max="15619" width="51" style="1" customWidth="1"/>
    <col min="15620" max="15620" width="10.28515625" style="1" customWidth="1"/>
    <col min="15621" max="15621" width="8.85546875" style="1" customWidth="1"/>
    <col min="15622" max="15622" width="10" style="1" customWidth="1"/>
    <col min="15623" max="15623" width="28.85546875" style="1" bestFit="1" customWidth="1"/>
    <col min="15624" max="15624" width="18.85546875" style="1" customWidth="1"/>
    <col min="15625" max="15625" width="16.28515625" style="1" bestFit="1" customWidth="1"/>
    <col min="15626" max="15872" width="16" style="1"/>
    <col min="15873" max="15873" width="3" style="1" customWidth="1"/>
    <col min="15874" max="15874" width="8.42578125" style="1" customWidth="1"/>
    <col min="15875" max="15875" width="51" style="1" customWidth="1"/>
    <col min="15876" max="15876" width="10.28515625" style="1" customWidth="1"/>
    <col min="15877" max="15877" width="8.85546875" style="1" customWidth="1"/>
    <col min="15878" max="15878" width="10" style="1" customWidth="1"/>
    <col min="15879" max="15879" width="28.85546875" style="1" bestFit="1" customWidth="1"/>
    <col min="15880" max="15880" width="18.85546875" style="1" customWidth="1"/>
    <col min="15881" max="15881" width="16.28515625" style="1" bestFit="1" customWidth="1"/>
    <col min="15882" max="16128" width="16" style="1"/>
    <col min="16129" max="16129" width="3" style="1" customWidth="1"/>
    <col min="16130" max="16130" width="8.42578125" style="1" customWidth="1"/>
    <col min="16131" max="16131" width="51" style="1" customWidth="1"/>
    <col min="16132" max="16132" width="10.28515625" style="1" customWidth="1"/>
    <col min="16133" max="16133" width="8.85546875" style="1" customWidth="1"/>
    <col min="16134" max="16134" width="10" style="1" customWidth="1"/>
    <col min="16135" max="16135" width="28.85546875" style="1" bestFit="1" customWidth="1"/>
    <col min="16136" max="16136" width="18.85546875" style="1" customWidth="1"/>
    <col min="16137" max="16137" width="16.28515625" style="1" bestFit="1" customWidth="1"/>
    <col min="16138" max="16384" width="16" style="1"/>
  </cols>
  <sheetData>
    <row r="1" spans="2:6" ht="19.899999999999999" customHeight="1">
      <c r="B1" s="347" t="s">
        <v>70</v>
      </c>
      <c r="C1" s="348"/>
      <c r="D1" s="348"/>
      <c r="E1" s="348"/>
      <c r="F1" s="349"/>
    </row>
    <row r="2" spans="2:6" ht="19.149999999999999" customHeight="1">
      <c r="B2" s="2" t="s">
        <v>71</v>
      </c>
      <c r="C2" s="2" t="s">
        <v>72</v>
      </c>
      <c r="D2" s="2" t="s">
        <v>73</v>
      </c>
      <c r="E2" s="2" t="s">
        <v>74</v>
      </c>
      <c r="F2" s="3" t="s">
        <v>75</v>
      </c>
    </row>
    <row r="3" spans="2:6" ht="16.149999999999999" customHeight="1">
      <c r="B3" s="3" t="s">
        <v>76</v>
      </c>
      <c r="C3" s="350" t="s">
        <v>77</v>
      </c>
      <c r="D3" s="351"/>
      <c r="E3" s="351"/>
      <c r="F3" s="4"/>
    </row>
    <row r="4" spans="2:6" ht="43.15" customHeight="1">
      <c r="B4" s="57" t="s">
        <v>78</v>
      </c>
      <c r="C4" s="64" t="s">
        <v>79</v>
      </c>
      <c r="D4" s="57" t="s">
        <v>80</v>
      </c>
      <c r="E4" s="57" t="s">
        <v>81</v>
      </c>
      <c r="F4" s="59">
        <f>100000/100000</f>
        <v>1</v>
      </c>
    </row>
    <row r="5" spans="2:6" ht="32.450000000000003" customHeight="1">
      <c r="B5" s="57" t="s">
        <v>82</v>
      </c>
      <c r="C5" s="64" t="s">
        <v>83</v>
      </c>
      <c r="D5" s="57" t="s">
        <v>80</v>
      </c>
      <c r="E5" s="57" t="s">
        <v>81</v>
      </c>
      <c r="F5" s="59">
        <v>15</v>
      </c>
    </row>
    <row r="6" spans="2:6" ht="16.149999999999999" customHeight="1">
      <c r="B6" s="57" t="s">
        <v>84</v>
      </c>
      <c r="C6" s="64" t="s">
        <v>85</v>
      </c>
      <c r="D6" s="57" t="s">
        <v>80</v>
      </c>
      <c r="E6" s="57" t="s">
        <v>81</v>
      </c>
      <c r="F6" s="59">
        <v>2</v>
      </c>
    </row>
    <row r="7" spans="2:6" ht="33.6" customHeight="1">
      <c r="B7" s="57" t="s">
        <v>86</v>
      </c>
      <c r="C7" s="64" t="s">
        <v>87</v>
      </c>
      <c r="D7" s="57" t="s">
        <v>80</v>
      </c>
      <c r="E7" s="57" t="s">
        <v>81</v>
      </c>
      <c r="F7" s="59">
        <v>6</v>
      </c>
    </row>
    <row r="8" spans="2:6" ht="16.149999999999999" customHeight="1">
      <c r="B8" s="57" t="s">
        <v>88</v>
      </c>
      <c r="C8" s="64" t="s">
        <v>89</v>
      </c>
      <c r="D8" s="57" t="s">
        <v>80</v>
      </c>
      <c r="E8" s="57" t="s">
        <v>81</v>
      </c>
      <c r="F8" s="59">
        <v>5</v>
      </c>
    </row>
    <row r="9" spans="2:6" ht="33" customHeight="1">
      <c r="B9" s="57" t="s">
        <v>90</v>
      </c>
      <c r="C9" s="64" t="s">
        <v>91</v>
      </c>
      <c r="D9" s="57" t="s">
        <v>80</v>
      </c>
      <c r="E9" s="57" t="s">
        <v>81</v>
      </c>
      <c r="F9" s="59">
        <v>10</v>
      </c>
    </row>
    <row r="10" spans="2:6" ht="33" customHeight="1">
      <c r="B10" s="57" t="s">
        <v>92</v>
      </c>
      <c r="C10" s="64" t="s">
        <v>93</v>
      </c>
      <c r="D10" s="57" t="s">
        <v>80</v>
      </c>
      <c r="E10" s="57" t="s">
        <v>81</v>
      </c>
      <c r="F10" s="59">
        <v>5</v>
      </c>
    </row>
    <row r="11" spans="2:6" ht="16.149999999999999" customHeight="1">
      <c r="B11" s="57" t="s">
        <v>94</v>
      </c>
      <c r="C11" s="64" t="s">
        <v>95</v>
      </c>
      <c r="D11" s="57" t="s">
        <v>80</v>
      </c>
      <c r="E11" s="57" t="s">
        <v>81</v>
      </c>
      <c r="F11" s="59">
        <v>4</v>
      </c>
    </row>
    <row r="12" spans="2:6" ht="7.15" customHeight="1">
      <c r="B12" s="7"/>
      <c r="C12" s="8"/>
      <c r="D12" s="9"/>
      <c r="E12" s="9"/>
      <c r="F12" s="10"/>
    </row>
    <row r="13" spans="2:6" ht="16.149999999999999" customHeight="1">
      <c r="B13" s="11" t="s">
        <v>96</v>
      </c>
      <c r="C13" s="350" t="s">
        <v>97</v>
      </c>
      <c r="D13" s="351"/>
      <c r="E13" s="351"/>
      <c r="F13" s="4"/>
    </row>
    <row r="14" spans="2:6" ht="16.149999999999999" customHeight="1">
      <c r="B14" s="57" t="s">
        <v>78</v>
      </c>
      <c r="C14" s="64" t="s">
        <v>98</v>
      </c>
      <c r="D14" s="57" t="s">
        <v>80</v>
      </c>
      <c r="E14" s="57" t="s">
        <v>81</v>
      </c>
      <c r="F14" s="59">
        <v>1.18</v>
      </c>
    </row>
    <row r="15" spans="2:6" ht="18.600000000000001" customHeight="1">
      <c r="B15" s="57" t="s">
        <v>82</v>
      </c>
      <c r="C15" s="64" t="s">
        <v>99</v>
      </c>
      <c r="D15" s="57" t="s">
        <v>80</v>
      </c>
      <c r="E15" s="57" t="s">
        <v>81</v>
      </c>
      <c r="F15" s="59">
        <v>23</v>
      </c>
    </row>
    <row r="16" spans="2:6" ht="16.149999999999999" customHeight="1">
      <c r="B16" s="57" t="s">
        <v>84</v>
      </c>
      <c r="C16" s="64" t="s">
        <v>100</v>
      </c>
      <c r="D16" s="57" t="s">
        <v>80</v>
      </c>
      <c r="E16" s="57" t="s">
        <v>81</v>
      </c>
      <c r="F16" s="59">
        <v>25</v>
      </c>
    </row>
    <row r="17" spans="2:13" ht="21.6" customHeight="1">
      <c r="B17" s="57" t="s">
        <v>86</v>
      </c>
      <c r="C17" s="64" t="s">
        <v>101</v>
      </c>
      <c r="D17" s="57" t="s">
        <v>80</v>
      </c>
      <c r="E17" s="57" t="s">
        <v>81</v>
      </c>
      <c r="F17" s="65">
        <v>5</v>
      </c>
    </row>
    <row r="18" spans="2:13" ht="16.149999999999999" customHeight="1">
      <c r="B18" s="57" t="s">
        <v>88</v>
      </c>
      <c r="C18" s="64" t="s">
        <v>102</v>
      </c>
      <c r="D18" s="57" t="s">
        <v>80</v>
      </c>
      <c r="E18" s="57" t="s">
        <v>81</v>
      </c>
      <c r="F18" s="65">
        <v>90</v>
      </c>
    </row>
    <row r="19" spans="2:13" ht="7.15" customHeight="1">
      <c r="B19" s="11"/>
      <c r="C19" s="13"/>
      <c r="D19" s="13"/>
      <c r="E19" s="13"/>
      <c r="F19" s="14"/>
    </row>
    <row r="20" spans="2:13" ht="16.149999999999999" customHeight="1">
      <c r="B20" s="11" t="s">
        <v>103</v>
      </c>
      <c r="C20" s="350" t="s">
        <v>104</v>
      </c>
      <c r="D20" s="351"/>
      <c r="E20" s="351"/>
      <c r="F20" s="4"/>
    </row>
    <row r="21" spans="2:13" ht="33" customHeight="1">
      <c r="B21" s="57" t="s">
        <v>105</v>
      </c>
      <c r="C21" s="64" t="s">
        <v>106</v>
      </c>
      <c r="D21" s="57" t="s">
        <v>80</v>
      </c>
      <c r="E21" s="57" t="s">
        <v>81</v>
      </c>
      <c r="F21" s="59">
        <v>80</v>
      </c>
      <c r="M21" s="1">
        <f>SUM(F21:F26)</f>
        <v>200</v>
      </c>
    </row>
    <row r="22" spans="2:13" ht="16.149999999999999" customHeight="1">
      <c r="B22" s="57" t="s">
        <v>82</v>
      </c>
      <c r="C22" s="58" t="s">
        <v>107</v>
      </c>
      <c r="D22" s="57" t="s">
        <v>80</v>
      </c>
      <c r="E22" s="57" t="s">
        <v>81</v>
      </c>
      <c r="F22" s="59">
        <v>40</v>
      </c>
    </row>
    <row r="23" spans="2:13" ht="21.6" customHeight="1">
      <c r="B23" s="57" t="s">
        <v>84</v>
      </c>
      <c r="C23" s="64" t="s">
        <v>108</v>
      </c>
      <c r="D23" s="57" t="s">
        <v>80</v>
      </c>
      <c r="E23" s="57" t="s">
        <v>81</v>
      </c>
      <c r="F23" s="59">
        <v>40</v>
      </c>
    </row>
    <row r="24" spans="2:13" ht="16.149999999999999" customHeight="1">
      <c r="B24" s="57" t="s">
        <v>86</v>
      </c>
      <c r="C24" s="64" t="s">
        <v>109</v>
      </c>
      <c r="D24" s="57" t="s">
        <v>80</v>
      </c>
      <c r="E24" s="57" t="s">
        <v>81</v>
      </c>
      <c r="F24" s="59">
        <v>20</v>
      </c>
    </row>
    <row r="25" spans="2:13" ht="16.149999999999999" customHeight="1">
      <c r="B25" s="57" t="s">
        <v>88</v>
      </c>
      <c r="C25" s="64" t="s">
        <v>110</v>
      </c>
      <c r="D25" s="57" t="s">
        <v>80</v>
      </c>
      <c r="E25" s="57" t="s">
        <v>81</v>
      </c>
      <c r="F25" s="59">
        <v>10</v>
      </c>
    </row>
    <row r="26" spans="2:13" ht="16.149999999999999" customHeight="1">
      <c r="B26" s="57" t="s">
        <v>90</v>
      </c>
      <c r="C26" s="58" t="s">
        <v>111</v>
      </c>
      <c r="D26" s="57" t="s">
        <v>80</v>
      </c>
      <c r="E26" s="57" t="s">
        <v>81</v>
      </c>
      <c r="F26" s="59">
        <v>10</v>
      </c>
    </row>
    <row r="27" spans="2:13" ht="7.9" customHeight="1">
      <c r="B27" s="11"/>
      <c r="C27" s="13"/>
      <c r="D27" s="13"/>
      <c r="E27" s="13"/>
      <c r="F27" s="14"/>
    </row>
    <row r="28" spans="2:13" ht="16.149999999999999" customHeight="1">
      <c r="B28" s="11" t="s">
        <v>112</v>
      </c>
      <c r="C28" s="350" t="s">
        <v>113</v>
      </c>
      <c r="D28" s="351"/>
      <c r="E28" s="351"/>
      <c r="F28" s="16"/>
    </row>
    <row r="29" spans="2:13" ht="21.6" customHeight="1">
      <c r="B29" s="57" t="s">
        <v>105</v>
      </c>
      <c r="C29" s="64" t="s">
        <v>114</v>
      </c>
      <c r="D29" s="57" t="s">
        <v>80</v>
      </c>
      <c r="E29" s="57"/>
      <c r="F29" s="59">
        <v>10</v>
      </c>
      <c r="M29" s="1">
        <f>SUM(F29:F42)</f>
        <v>581.3125</v>
      </c>
    </row>
    <row r="30" spans="2:13" ht="16.149999999999999" customHeight="1">
      <c r="B30" s="57" t="s">
        <v>82</v>
      </c>
      <c r="C30" s="64" t="s">
        <v>115</v>
      </c>
      <c r="D30" s="57" t="s">
        <v>80</v>
      </c>
      <c r="E30" s="57"/>
      <c r="F30" s="59">
        <v>6</v>
      </c>
    </row>
    <row r="31" spans="2:13" ht="33" customHeight="1">
      <c r="B31" s="57" t="s">
        <v>84</v>
      </c>
      <c r="C31" s="64" t="s">
        <v>116</v>
      </c>
      <c r="D31" s="57" t="s">
        <v>80</v>
      </c>
      <c r="E31" s="57"/>
      <c r="F31" s="59">
        <v>20</v>
      </c>
    </row>
    <row r="32" spans="2:13" ht="16.149999999999999" customHeight="1">
      <c r="B32" s="57" t="s">
        <v>86</v>
      </c>
      <c r="C32" s="64" t="s">
        <v>117</v>
      </c>
      <c r="D32" s="57" t="s">
        <v>80</v>
      </c>
      <c r="E32" s="57"/>
      <c r="F32" s="59">
        <v>310</v>
      </c>
    </row>
    <row r="33" spans="2:14" ht="16.149999999999999" customHeight="1">
      <c r="B33" s="57" t="s">
        <v>88</v>
      </c>
      <c r="C33" s="64" t="s">
        <v>118</v>
      </c>
      <c r="D33" s="57" t="s">
        <v>80</v>
      </c>
      <c r="E33" s="57"/>
      <c r="F33" s="59">
        <v>35</v>
      </c>
    </row>
    <row r="34" spans="2:14" ht="16.149999999999999" customHeight="1">
      <c r="B34" s="57" t="s">
        <v>90</v>
      </c>
      <c r="C34" s="64" t="s">
        <v>119</v>
      </c>
      <c r="D34" s="57" t="s">
        <v>80</v>
      </c>
      <c r="E34" s="57"/>
      <c r="F34" s="59">
        <v>28</v>
      </c>
    </row>
    <row r="35" spans="2:14" ht="16.149999999999999" customHeight="1">
      <c r="B35" s="57" t="s">
        <v>92</v>
      </c>
      <c r="C35" s="64" t="s">
        <v>120</v>
      </c>
      <c r="D35" s="57" t="s">
        <v>80</v>
      </c>
      <c r="E35" s="57"/>
      <c r="F35" s="59">
        <v>25</v>
      </c>
    </row>
    <row r="36" spans="2:14" ht="33" customHeight="1">
      <c r="B36" s="57" t="s">
        <v>94</v>
      </c>
      <c r="C36" s="64" t="s">
        <v>121</v>
      </c>
      <c r="D36" s="57" t="s">
        <v>80</v>
      </c>
      <c r="E36" s="57"/>
      <c r="F36" s="59">
        <f>(100*3900)/10000</f>
        <v>39</v>
      </c>
    </row>
    <row r="37" spans="2:14" ht="16.149999999999999" customHeight="1">
      <c r="B37" s="57" t="s">
        <v>122</v>
      </c>
      <c r="C37" s="64" t="s">
        <v>123</v>
      </c>
      <c r="D37" s="57" t="s">
        <v>80</v>
      </c>
      <c r="E37" s="57"/>
      <c r="F37" s="59">
        <v>20</v>
      </c>
    </row>
    <row r="38" spans="2:14" ht="16.149999999999999" customHeight="1">
      <c r="B38" s="57" t="s">
        <v>124</v>
      </c>
      <c r="C38" s="64" t="s">
        <v>125</v>
      </c>
      <c r="D38" s="57" t="s">
        <v>80</v>
      </c>
      <c r="E38" s="57"/>
      <c r="F38" s="59">
        <f>(275*775)/10000</f>
        <v>21.3125</v>
      </c>
    </row>
    <row r="39" spans="2:14" ht="16.149999999999999" customHeight="1">
      <c r="B39" s="57" t="s">
        <v>126</v>
      </c>
      <c r="C39" s="64" t="s">
        <v>127</v>
      </c>
      <c r="D39" s="57" t="s">
        <v>80</v>
      </c>
      <c r="E39" s="57"/>
      <c r="F39" s="59">
        <f>(250*600)/10000</f>
        <v>15</v>
      </c>
    </row>
    <row r="40" spans="2:14" ht="16.149999999999999" customHeight="1">
      <c r="B40" s="57" t="s">
        <v>128</v>
      </c>
      <c r="C40" s="64" t="s">
        <v>129</v>
      </c>
      <c r="D40" s="57" t="s">
        <v>80</v>
      </c>
      <c r="E40" s="57"/>
      <c r="F40" s="59">
        <v>20</v>
      </c>
    </row>
    <row r="41" spans="2:14" ht="16.149999999999999" customHeight="1">
      <c r="B41" s="57" t="s">
        <v>130</v>
      </c>
      <c r="C41" s="64" t="s">
        <v>131</v>
      </c>
      <c r="D41" s="57" t="s">
        <v>80</v>
      </c>
      <c r="E41" s="57"/>
      <c r="F41" s="59">
        <v>25</v>
      </c>
    </row>
    <row r="42" spans="2:14" ht="16.149999999999999" customHeight="1">
      <c r="B42" s="57" t="s">
        <v>132</v>
      </c>
      <c r="C42" s="64" t="s">
        <v>133</v>
      </c>
      <c r="D42" s="57" t="s">
        <v>80</v>
      </c>
      <c r="E42" s="57"/>
      <c r="F42" s="59">
        <v>7</v>
      </c>
      <c r="M42" s="76">
        <f>SUM(F21:F42)</f>
        <v>781.3125</v>
      </c>
    </row>
    <row r="43" spans="2:14" ht="7.9" customHeight="1">
      <c r="B43" s="11"/>
      <c r="C43" s="17"/>
      <c r="D43" s="9"/>
      <c r="E43" s="9"/>
      <c r="F43" s="14"/>
    </row>
    <row r="44" spans="2:14" ht="16.149999999999999" customHeight="1">
      <c r="B44" s="3" t="s">
        <v>134</v>
      </c>
      <c r="C44" s="345" t="s">
        <v>135</v>
      </c>
      <c r="D44" s="346"/>
      <c r="E44" s="346"/>
      <c r="F44" s="4"/>
    </row>
    <row r="45" spans="2:14" ht="31.15" customHeight="1">
      <c r="B45" s="57" t="s">
        <v>105</v>
      </c>
      <c r="C45" s="64" t="s">
        <v>136</v>
      </c>
      <c r="D45" s="57">
        <v>4</v>
      </c>
      <c r="E45" s="57">
        <v>8</v>
      </c>
      <c r="F45" s="57">
        <f>D45*E45</f>
        <v>32</v>
      </c>
      <c r="M45" s="1">
        <f>SUM(F45:F68)</f>
        <v>1480</v>
      </c>
      <c r="N45" s="1">
        <f>M45+F83+F85</f>
        <v>1524</v>
      </c>
    </row>
    <row r="46" spans="2:14" ht="32.450000000000003" customHeight="1">
      <c r="B46" s="57" t="s">
        <v>82</v>
      </c>
      <c r="C46" s="64" t="s">
        <v>137</v>
      </c>
      <c r="D46" s="57">
        <v>4</v>
      </c>
      <c r="E46" s="57">
        <v>7</v>
      </c>
      <c r="F46" s="57">
        <f>D46*E46</f>
        <v>28</v>
      </c>
    </row>
    <row r="47" spans="2:14" ht="16.149999999999999" customHeight="1">
      <c r="B47" s="57" t="s">
        <v>84</v>
      </c>
      <c r="C47" s="64" t="s">
        <v>138</v>
      </c>
      <c r="D47" s="57">
        <v>8</v>
      </c>
      <c r="E47" s="57">
        <v>2</v>
      </c>
      <c r="F47" s="57">
        <f>D47*E47</f>
        <v>16</v>
      </c>
    </row>
    <row r="48" spans="2:14" ht="25.5">
      <c r="B48" s="73" t="s">
        <v>139</v>
      </c>
      <c r="C48" s="74" t="s">
        <v>459</v>
      </c>
      <c r="D48" s="73">
        <v>1</v>
      </c>
      <c r="E48" s="73">
        <v>130</v>
      </c>
      <c r="F48" s="73">
        <f>D48*E48</f>
        <v>130</v>
      </c>
      <c r="M48" s="352" t="s">
        <v>461</v>
      </c>
    </row>
    <row r="49" spans="2:13" ht="89.25">
      <c r="B49" s="73" t="s">
        <v>88</v>
      </c>
      <c r="C49" s="74" t="s">
        <v>460</v>
      </c>
      <c r="D49" s="73">
        <v>1</v>
      </c>
      <c r="E49" s="73">
        <v>50</v>
      </c>
      <c r="F49" s="73">
        <f>D49*E49</f>
        <v>50</v>
      </c>
      <c r="M49" s="352"/>
    </row>
    <row r="50" spans="2:13" ht="16.149999999999999" customHeight="1">
      <c r="B50" s="57" t="s">
        <v>140</v>
      </c>
      <c r="C50" s="64" t="s">
        <v>141</v>
      </c>
      <c r="D50" s="57" t="s">
        <v>81</v>
      </c>
      <c r="E50" s="57"/>
      <c r="F50" s="57">
        <v>70</v>
      </c>
    </row>
    <row r="51" spans="2:13" ht="16.149999999999999" customHeight="1">
      <c r="B51" s="57" t="s">
        <v>92</v>
      </c>
      <c r="C51" s="66" t="s">
        <v>612</v>
      </c>
      <c r="D51" s="57" t="s">
        <v>81</v>
      </c>
      <c r="E51" s="57"/>
      <c r="F51" s="57">
        <v>45</v>
      </c>
    </row>
    <row r="52" spans="2:13" ht="46.15" customHeight="1">
      <c r="B52" s="57" t="s">
        <v>94</v>
      </c>
      <c r="C52" s="64" t="s">
        <v>142</v>
      </c>
      <c r="D52" s="57">
        <v>2</v>
      </c>
      <c r="E52" s="57">
        <v>70</v>
      </c>
      <c r="F52" s="57">
        <f t="shared" ref="F52:F60" si="0">D52*E52</f>
        <v>140</v>
      </c>
    </row>
    <row r="53" spans="2:13" ht="43.15" customHeight="1">
      <c r="B53" s="57" t="s">
        <v>122</v>
      </c>
      <c r="C53" s="64" t="s">
        <v>143</v>
      </c>
      <c r="D53" s="57">
        <v>1</v>
      </c>
      <c r="E53" s="57">
        <v>165</v>
      </c>
      <c r="F53" s="57">
        <f t="shared" si="0"/>
        <v>165</v>
      </c>
    </row>
    <row r="54" spans="2:13" ht="33" customHeight="1">
      <c r="B54" s="57" t="s">
        <v>124</v>
      </c>
      <c r="C54" s="64" t="s">
        <v>144</v>
      </c>
      <c r="D54" s="57">
        <v>1</v>
      </c>
      <c r="E54" s="57">
        <v>40</v>
      </c>
      <c r="F54" s="57">
        <f t="shared" si="0"/>
        <v>40</v>
      </c>
    </row>
    <row r="55" spans="2:13" ht="16.149999999999999" customHeight="1">
      <c r="B55" s="57" t="s">
        <v>126</v>
      </c>
      <c r="C55" s="64" t="s">
        <v>145</v>
      </c>
      <c r="D55" s="57">
        <v>1</v>
      </c>
      <c r="E55" s="57">
        <v>18</v>
      </c>
      <c r="F55" s="57">
        <f t="shared" si="0"/>
        <v>18</v>
      </c>
    </row>
    <row r="56" spans="2:13" ht="19.899999999999999" customHeight="1">
      <c r="B56" s="57" t="s">
        <v>128</v>
      </c>
      <c r="C56" s="64" t="s">
        <v>146</v>
      </c>
      <c r="D56" s="57">
        <v>2</v>
      </c>
      <c r="E56" s="57">
        <v>16</v>
      </c>
      <c r="F56" s="57">
        <f t="shared" si="0"/>
        <v>32</v>
      </c>
    </row>
    <row r="57" spans="2:13" ht="16.149999999999999" customHeight="1">
      <c r="B57" s="57" t="s">
        <v>130</v>
      </c>
      <c r="C57" s="60" t="s">
        <v>147</v>
      </c>
      <c r="D57" s="57">
        <v>6</v>
      </c>
      <c r="E57" s="57">
        <v>8</v>
      </c>
      <c r="F57" s="57">
        <f t="shared" si="0"/>
        <v>48</v>
      </c>
    </row>
    <row r="58" spans="2:13" ht="16.149999999999999" customHeight="1">
      <c r="B58" s="57" t="s">
        <v>122</v>
      </c>
      <c r="C58" s="60" t="s">
        <v>148</v>
      </c>
      <c r="D58" s="57">
        <v>2</v>
      </c>
      <c r="E58" s="57">
        <v>8</v>
      </c>
      <c r="F58" s="57">
        <f t="shared" si="0"/>
        <v>16</v>
      </c>
    </row>
    <row r="59" spans="2:13" ht="38.25">
      <c r="B59" s="57" t="s">
        <v>124</v>
      </c>
      <c r="C59" s="66" t="s">
        <v>149</v>
      </c>
      <c r="D59" s="57">
        <v>1</v>
      </c>
      <c r="E59" s="57">
        <v>100</v>
      </c>
      <c r="F59" s="57">
        <f t="shared" si="0"/>
        <v>100</v>
      </c>
    </row>
    <row r="60" spans="2:13" ht="33" customHeight="1">
      <c r="B60" s="57" t="s">
        <v>126</v>
      </c>
      <c r="C60" s="66" t="s">
        <v>150</v>
      </c>
      <c r="D60" s="57">
        <v>8</v>
      </c>
      <c r="E60" s="57">
        <v>22</v>
      </c>
      <c r="F60" s="57">
        <f t="shared" si="0"/>
        <v>176</v>
      </c>
    </row>
    <row r="61" spans="2:13" ht="44.45" customHeight="1">
      <c r="B61" s="57" t="s">
        <v>128</v>
      </c>
      <c r="C61" s="64" t="s">
        <v>151</v>
      </c>
      <c r="D61" s="57" t="s">
        <v>152</v>
      </c>
      <c r="E61" s="57"/>
      <c r="F61" s="57">
        <v>16</v>
      </c>
    </row>
    <row r="62" spans="2:13" ht="31.15" customHeight="1">
      <c r="B62" s="57" t="s">
        <v>130</v>
      </c>
      <c r="C62" s="67" t="s">
        <v>153</v>
      </c>
      <c r="D62" s="57">
        <v>3</v>
      </c>
      <c r="E62" s="57">
        <v>4</v>
      </c>
      <c r="F62" s="57">
        <f>D62*E62</f>
        <v>12</v>
      </c>
    </row>
    <row r="63" spans="2:13" ht="16.149999999999999" customHeight="1">
      <c r="B63" s="57" t="s">
        <v>132</v>
      </c>
      <c r="C63" s="60" t="s">
        <v>154</v>
      </c>
      <c r="D63" s="57">
        <v>3</v>
      </c>
      <c r="E63" s="57">
        <v>22</v>
      </c>
      <c r="F63" s="57">
        <f>D63*E63</f>
        <v>66</v>
      </c>
    </row>
    <row r="64" spans="2:13" ht="16.149999999999999" customHeight="1">
      <c r="B64" s="57" t="s">
        <v>155</v>
      </c>
      <c r="C64" s="60" t="s">
        <v>156</v>
      </c>
      <c r="D64" s="57">
        <v>1</v>
      </c>
      <c r="E64" s="57">
        <v>130</v>
      </c>
      <c r="F64" s="57">
        <f>D64*E64</f>
        <v>130</v>
      </c>
    </row>
    <row r="65" spans="2:13" ht="16.149999999999999" customHeight="1">
      <c r="B65" s="57" t="s">
        <v>157</v>
      </c>
      <c r="C65" s="67" t="s">
        <v>158</v>
      </c>
      <c r="D65" s="57">
        <v>1</v>
      </c>
      <c r="E65" s="57">
        <v>60</v>
      </c>
      <c r="F65" s="57">
        <f>D65*E65</f>
        <v>60</v>
      </c>
    </row>
    <row r="66" spans="2:13" ht="16.149999999999999" customHeight="1">
      <c r="B66" s="57" t="s">
        <v>159</v>
      </c>
      <c r="C66" s="60" t="s">
        <v>160</v>
      </c>
      <c r="D66" s="57" t="s">
        <v>81</v>
      </c>
      <c r="E66" s="57"/>
      <c r="F66" s="57">
        <v>35</v>
      </c>
    </row>
    <row r="67" spans="2:13" ht="16.149999999999999" customHeight="1">
      <c r="B67" s="57" t="s">
        <v>161</v>
      </c>
      <c r="C67" s="60" t="s">
        <v>162</v>
      </c>
      <c r="D67" s="57" t="s">
        <v>81</v>
      </c>
      <c r="E67" s="57"/>
      <c r="F67" s="57">
        <v>40</v>
      </c>
    </row>
    <row r="68" spans="2:13" ht="16.149999999999999" customHeight="1">
      <c r="B68" s="57" t="s">
        <v>163</v>
      </c>
      <c r="C68" s="58" t="s">
        <v>164</v>
      </c>
      <c r="D68" s="57" t="s">
        <v>81</v>
      </c>
      <c r="E68" s="65"/>
      <c r="F68" s="57">
        <v>15</v>
      </c>
    </row>
    <row r="69" spans="2:13" ht="7.15" customHeight="1">
      <c r="B69" s="11"/>
      <c r="C69" s="17"/>
      <c r="D69" s="18"/>
      <c r="E69" s="18"/>
      <c r="F69" s="14"/>
    </row>
    <row r="70" spans="2:13" ht="16.149999999999999" customHeight="1">
      <c r="B70" s="11" t="s">
        <v>165</v>
      </c>
      <c r="C70" s="345" t="s">
        <v>166</v>
      </c>
      <c r="D70" s="346"/>
      <c r="E70" s="346"/>
      <c r="F70" s="4"/>
    </row>
    <row r="71" spans="2:13" ht="16.149999999999999" customHeight="1">
      <c r="B71" s="57" t="s">
        <v>105</v>
      </c>
      <c r="C71" s="64" t="s">
        <v>167</v>
      </c>
      <c r="D71" s="57">
        <v>1</v>
      </c>
      <c r="E71" s="57">
        <v>15</v>
      </c>
      <c r="F71" s="57">
        <f>D71*E71</f>
        <v>15</v>
      </c>
      <c r="M71" s="19">
        <f>SUM(F71:F78)</f>
        <v>210</v>
      </c>
    </row>
    <row r="72" spans="2:13" ht="16.149999999999999" customHeight="1">
      <c r="B72" s="57" t="s">
        <v>82</v>
      </c>
      <c r="C72" s="64" t="s">
        <v>168</v>
      </c>
      <c r="D72" s="57">
        <v>1</v>
      </c>
      <c r="E72" s="57">
        <v>40</v>
      </c>
      <c r="F72" s="57">
        <f>D72*E72</f>
        <v>40</v>
      </c>
    </row>
    <row r="73" spans="2:13" ht="44.45" customHeight="1">
      <c r="B73" s="57" t="s">
        <v>86</v>
      </c>
      <c r="C73" s="64" t="s">
        <v>169</v>
      </c>
      <c r="D73" s="57">
        <v>1</v>
      </c>
      <c r="E73" s="57">
        <v>35</v>
      </c>
      <c r="F73" s="57">
        <f>D73*E73</f>
        <v>35</v>
      </c>
    </row>
    <row r="74" spans="2:13" ht="33.6" customHeight="1">
      <c r="B74" s="57" t="s">
        <v>84</v>
      </c>
      <c r="C74" s="64" t="s">
        <v>170</v>
      </c>
      <c r="D74" s="57">
        <v>1</v>
      </c>
      <c r="E74" s="57">
        <v>35</v>
      </c>
      <c r="F74" s="57">
        <f>D74*E74</f>
        <v>35</v>
      </c>
    </row>
    <row r="75" spans="2:13" ht="16.149999999999999" customHeight="1">
      <c r="B75" s="57" t="s">
        <v>86</v>
      </c>
      <c r="C75" s="64" t="s">
        <v>171</v>
      </c>
      <c r="D75" s="57" t="s">
        <v>81</v>
      </c>
      <c r="E75" s="57"/>
      <c r="F75" s="57">
        <v>30</v>
      </c>
    </row>
    <row r="76" spans="2:13" ht="16.149999999999999" customHeight="1">
      <c r="B76" s="57" t="s">
        <v>88</v>
      </c>
      <c r="C76" s="60" t="s">
        <v>172</v>
      </c>
      <c r="D76" s="57">
        <v>1</v>
      </c>
      <c r="E76" s="57">
        <v>20</v>
      </c>
      <c r="F76" s="57">
        <v>20</v>
      </c>
    </row>
    <row r="77" spans="2:13" ht="16.149999999999999" customHeight="1">
      <c r="B77" s="57" t="s">
        <v>90</v>
      </c>
      <c r="C77" s="60" t="s">
        <v>173</v>
      </c>
      <c r="D77" s="57">
        <v>1</v>
      </c>
      <c r="E77" s="57">
        <v>25</v>
      </c>
      <c r="F77" s="57">
        <f>D77*E77</f>
        <v>25</v>
      </c>
    </row>
    <row r="78" spans="2:13" ht="16.149999999999999" customHeight="1">
      <c r="B78" s="57" t="s">
        <v>92</v>
      </c>
      <c r="C78" s="65" t="s">
        <v>174</v>
      </c>
      <c r="D78" s="61">
        <v>10</v>
      </c>
      <c r="E78" s="57">
        <v>1</v>
      </c>
      <c r="F78" s="61">
        <f>E78*D78</f>
        <v>10</v>
      </c>
    </row>
    <row r="79" spans="2:13" ht="7.15" customHeight="1">
      <c r="B79" s="11"/>
      <c r="C79" s="8"/>
      <c r="D79" s="9"/>
      <c r="E79" s="9"/>
      <c r="F79" s="14"/>
    </row>
    <row r="80" spans="2:13" ht="16.149999999999999" customHeight="1">
      <c r="B80" s="11" t="s">
        <v>175</v>
      </c>
      <c r="C80" s="350" t="s">
        <v>176</v>
      </c>
      <c r="D80" s="351"/>
      <c r="E80" s="351"/>
      <c r="F80" s="20"/>
    </row>
    <row r="81" spans="2:13" ht="16.149999999999999" customHeight="1">
      <c r="B81" s="57" t="s">
        <v>105</v>
      </c>
      <c r="C81" s="58" t="s">
        <v>177</v>
      </c>
      <c r="D81" s="57">
        <v>1</v>
      </c>
      <c r="E81" s="57">
        <v>15</v>
      </c>
      <c r="F81" s="61">
        <f>E81*D81</f>
        <v>15</v>
      </c>
      <c r="M81" s="21">
        <f>F81+F82+F84</f>
        <v>42</v>
      </c>
    </row>
    <row r="82" spans="2:13" ht="16.149999999999999" customHeight="1">
      <c r="B82" s="57" t="s">
        <v>82</v>
      </c>
      <c r="C82" s="58" t="s">
        <v>178</v>
      </c>
      <c r="D82" s="57">
        <v>5</v>
      </c>
      <c r="E82" s="57">
        <v>3</v>
      </c>
      <c r="F82" s="61">
        <f>E82*D82</f>
        <v>15</v>
      </c>
      <c r="G82" s="1">
        <f>+F81+F82+F84</f>
        <v>42</v>
      </c>
    </row>
    <row r="83" spans="2:13" ht="16.149999999999999" customHeight="1">
      <c r="B83" s="57" t="s">
        <v>84</v>
      </c>
      <c r="C83" s="58" t="s">
        <v>179</v>
      </c>
      <c r="D83" s="57">
        <v>1</v>
      </c>
      <c r="E83" s="57">
        <v>32</v>
      </c>
      <c r="F83" s="61">
        <f>E83*D83</f>
        <v>32</v>
      </c>
    </row>
    <row r="84" spans="2:13" ht="16.149999999999999" customHeight="1">
      <c r="B84" s="57" t="s">
        <v>86</v>
      </c>
      <c r="C84" s="58" t="s">
        <v>180</v>
      </c>
      <c r="D84" s="57">
        <v>1</v>
      </c>
      <c r="E84" s="57">
        <v>12</v>
      </c>
      <c r="F84" s="61">
        <f>E84*D84</f>
        <v>12</v>
      </c>
    </row>
    <row r="85" spans="2:13" ht="16.149999999999999" customHeight="1">
      <c r="B85" s="57" t="s">
        <v>88</v>
      </c>
      <c r="C85" s="58" t="s">
        <v>181</v>
      </c>
      <c r="D85" s="57">
        <v>1</v>
      </c>
      <c r="E85" s="57">
        <v>12</v>
      </c>
      <c r="F85" s="61">
        <f>E85*D85</f>
        <v>12</v>
      </c>
    </row>
    <row r="86" spans="2:13" ht="16.149999999999999" customHeight="1">
      <c r="B86" s="57" t="s">
        <v>90</v>
      </c>
      <c r="C86" s="58" t="s">
        <v>182</v>
      </c>
      <c r="D86" s="57" t="s">
        <v>81</v>
      </c>
      <c r="E86" s="57"/>
      <c r="F86" s="61">
        <v>15</v>
      </c>
      <c r="G86" s="1">
        <f>SUM(F81:F86)</f>
        <v>101</v>
      </c>
    </row>
    <row r="87" spans="2:13">
      <c r="B87" s="7"/>
      <c r="C87" s="17"/>
      <c r="D87" s="9"/>
      <c r="E87" s="9"/>
      <c r="F87" s="20"/>
      <c r="G87" s="1">
        <f>+G86-G82</f>
        <v>59</v>
      </c>
    </row>
    <row r="88" spans="2:13" ht="16.149999999999999" customHeight="1">
      <c r="B88" s="5"/>
      <c r="C88" s="22" t="s">
        <v>183</v>
      </c>
      <c r="D88" s="9"/>
      <c r="E88" s="9"/>
      <c r="F88" s="23">
        <f>SUM(F4:F87)</f>
        <v>2764.4925000000003</v>
      </c>
      <c r="G88" s="1">
        <f>SUM(F21:F86)</f>
        <v>2572.3125</v>
      </c>
    </row>
    <row r="89" spans="2:13" ht="16.149999999999999" customHeight="1">
      <c r="B89" s="3" t="s">
        <v>184</v>
      </c>
      <c r="C89" s="18" t="s">
        <v>185</v>
      </c>
      <c r="D89" s="18"/>
      <c r="E89" s="18"/>
      <c r="F89" s="12">
        <f>F88*4/100</f>
        <v>110.57970000000002</v>
      </c>
      <c r="G89" s="1">
        <f>+SUM(F4:F18)</f>
        <v>192.18</v>
      </c>
    </row>
    <row r="90" spans="2:13" ht="7.15" customHeight="1">
      <c r="B90" s="7"/>
      <c r="C90" s="18"/>
      <c r="D90" s="18"/>
      <c r="E90" s="18"/>
      <c r="F90" s="14"/>
    </row>
    <row r="91" spans="2:13" ht="16.149999999999999" customHeight="1">
      <c r="B91" s="11" t="s">
        <v>186</v>
      </c>
      <c r="C91" s="345" t="s">
        <v>67</v>
      </c>
      <c r="D91" s="346"/>
      <c r="E91" s="346"/>
      <c r="F91" s="4"/>
    </row>
    <row r="92" spans="2:13" ht="16.149999999999999" customHeight="1">
      <c r="B92" s="57" t="s">
        <v>105</v>
      </c>
      <c r="C92" s="60" t="s">
        <v>187</v>
      </c>
      <c r="D92" s="61"/>
      <c r="E92" s="61"/>
      <c r="F92" s="62">
        <v>424</v>
      </c>
    </row>
    <row r="93" spans="2:13" ht="16.149999999999999" customHeight="1">
      <c r="B93" s="57" t="s">
        <v>82</v>
      </c>
      <c r="C93" s="60" t="s">
        <v>188</v>
      </c>
      <c r="D93" s="63">
        <v>0.03</v>
      </c>
      <c r="E93" s="63"/>
      <c r="F93" s="62">
        <v>10</v>
      </c>
    </row>
    <row r="94" spans="2:13" ht="16.149999999999999" customHeight="1">
      <c r="B94" s="68" t="s">
        <v>84</v>
      </c>
      <c r="C94" s="69" t="s">
        <v>189</v>
      </c>
      <c r="D94" s="70">
        <v>0.06</v>
      </c>
      <c r="E94" s="70"/>
      <c r="F94" s="80">
        <v>22</v>
      </c>
      <c r="M94" s="71" t="s">
        <v>226</v>
      </c>
    </row>
    <row r="95" spans="2:13" ht="16.149999999999999" customHeight="1">
      <c r="B95" s="57" t="s">
        <v>139</v>
      </c>
      <c r="C95" s="58" t="s">
        <v>190</v>
      </c>
      <c r="D95" s="57" t="s">
        <v>80</v>
      </c>
      <c r="E95" s="57"/>
      <c r="F95" s="59">
        <v>15</v>
      </c>
      <c r="G95" s="1" t="e">
        <f>+F89+F93+#REF!+F95+F96+F97+F98+F99</f>
        <v>#REF!</v>
      </c>
    </row>
    <row r="96" spans="2:13" ht="16.149999999999999" customHeight="1">
      <c r="B96" s="57" t="s">
        <v>88</v>
      </c>
      <c r="C96" s="58" t="s">
        <v>191</v>
      </c>
      <c r="D96" s="57" t="s">
        <v>152</v>
      </c>
      <c r="E96" s="57"/>
      <c r="F96" s="59">
        <v>32.32</v>
      </c>
    </row>
    <row r="97" spans="2:12" ht="16.149999999999999" customHeight="1">
      <c r="B97" s="57" t="s">
        <v>140</v>
      </c>
      <c r="C97" s="58" t="s">
        <v>192</v>
      </c>
      <c r="D97" s="57" t="s">
        <v>80</v>
      </c>
      <c r="E97" s="57"/>
      <c r="F97" s="59">
        <v>87.34</v>
      </c>
    </row>
    <row r="98" spans="2:12" ht="16.149999999999999" customHeight="1">
      <c r="B98" s="57" t="s">
        <v>92</v>
      </c>
      <c r="C98" s="58" t="s">
        <v>193</v>
      </c>
      <c r="D98" s="57" t="s">
        <v>80</v>
      </c>
      <c r="E98" s="57"/>
      <c r="F98" s="59">
        <v>75</v>
      </c>
    </row>
    <row r="99" spans="2:12" ht="16.149999999999999" customHeight="1">
      <c r="B99" s="57" t="s">
        <v>94</v>
      </c>
      <c r="C99" s="58" t="s">
        <v>194</v>
      </c>
      <c r="D99" s="57" t="s">
        <v>80</v>
      </c>
      <c r="E99" s="57"/>
      <c r="F99" s="59">
        <v>25</v>
      </c>
    </row>
    <row r="100" spans="2:12" ht="16.149999999999999" customHeight="1">
      <c r="B100" s="57" t="s">
        <v>122</v>
      </c>
      <c r="C100" s="58" t="s">
        <v>195</v>
      </c>
      <c r="D100" s="57" t="s">
        <v>80</v>
      </c>
      <c r="E100" s="57"/>
      <c r="F100" s="59">
        <v>300</v>
      </c>
      <c r="G100" s="1">
        <f>SUM(F93:F100)</f>
        <v>566.66</v>
      </c>
      <c r="H100" s="1">
        <v>346</v>
      </c>
    </row>
    <row r="101" spans="2:12" ht="16.149999999999999" customHeight="1">
      <c r="B101" s="5" t="s">
        <v>124</v>
      </c>
      <c r="C101" s="15" t="s">
        <v>196</v>
      </c>
      <c r="D101" s="5" t="s">
        <v>80</v>
      </c>
      <c r="E101" s="5"/>
      <c r="F101" s="6">
        <v>400</v>
      </c>
      <c r="H101" s="1">
        <f>+G100-H100</f>
        <v>220.65999999999997</v>
      </c>
    </row>
    <row r="102" spans="2:12" ht="16.149999999999999" customHeight="1">
      <c r="B102" s="353" t="s">
        <v>197</v>
      </c>
      <c r="C102" s="353"/>
      <c r="D102" s="11"/>
      <c r="E102" s="24"/>
      <c r="F102" s="81">
        <f>SUM(F88:F101)</f>
        <v>4265.7322000000004</v>
      </c>
      <c r="G102" s="1">
        <f>+G88+G89+F101</f>
        <v>3164.4924999999998</v>
      </c>
      <c r="H102" s="1">
        <f>+G102+F100</f>
        <v>3464.4924999999998</v>
      </c>
      <c r="I102" s="1">
        <v>300</v>
      </c>
      <c r="J102" s="1">
        <v>310</v>
      </c>
      <c r="K102" s="1">
        <f>+H102+I102+J102</f>
        <v>4074.4924999999998</v>
      </c>
      <c r="L102" s="1">
        <f>+K102-4505</f>
        <v>-430.50750000000016</v>
      </c>
    </row>
    <row r="103" spans="2:12" ht="7.15" customHeight="1">
      <c r="B103" s="11"/>
      <c r="C103" s="18"/>
      <c r="D103" s="18"/>
      <c r="E103" s="18"/>
      <c r="F103" s="14"/>
    </row>
    <row r="104" spans="2:12" ht="16.149999999999999" customHeight="1">
      <c r="B104" s="25" t="s">
        <v>198</v>
      </c>
      <c r="C104" s="26"/>
      <c r="D104" s="27"/>
      <c r="E104" s="27"/>
      <c r="F104" s="28"/>
      <c r="G104" s="1">
        <f>+F102-4505</f>
        <v>-239.26779999999962</v>
      </c>
    </row>
    <row r="105" spans="2:12" ht="16.149999999999999" customHeight="1">
      <c r="B105" s="29" t="s">
        <v>199</v>
      </c>
      <c r="C105" s="30"/>
      <c r="D105" s="27"/>
      <c r="E105" s="27"/>
      <c r="F105" s="28"/>
    </row>
    <row r="106" spans="2:12" ht="16.149999999999999" customHeight="1">
      <c r="B106" s="29" t="s">
        <v>200</v>
      </c>
      <c r="C106" s="26"/>
      <c r="D106" s="27"/>
      <c r="E106" s="27"/>
      <c r="F106" s="28"/>
      <c r="G106" s="1">
        <f>4505-F102</f>
        <v>239.26779999999962</v>
      </c>
    </row>
    <row r="107" spans="2:12">
      <c r="C107" s="31"/>
    </row>
    <row r="109" spans="2:12" hidden="1"/>
    <row r="110" spans="2:12" s="32" customFormat="1" hidden="1">
      <c r="B110" s="1"/>
      <c r="C110" s="31"/>
      <c r="F110" s="1"/>
    </row>
    <row r="111" spans="2:12" hidden="1"/>
    <row r="112" spans="2:12" hidden="1"/>
    <row r="113" spans="3:9" hidden="1">
      <c r="C113" s="1">
        <v>310</v>
      </c>
      <c r="E113" s="32" t="s">
        <v>201</v>
      </c>
      <c r="F113" s="1">
        <f>+F92+F93</f>
        <v>434</v>
      </c>
      <c r="G113" s="1">
        <v>3.1</v>
      </c>
      <c r="H113" s="33">
        <f>+G113*100</f>
        <v>310</v>
      </c>
      <c r="I113" s="1">
        <f>+F113-H113</f>
        <v>124</v>
      </c>
    </row>
    <row r="114" spans="3:9" hidden="1">
      <c r="C114" s="1">
        <v>831.31</v>
      </c>
      <c r="E114" s="32" t="s">
        <v>202</v>
      </c>
      <c r="F114" s="1">
        <f>+SUM(F4:F18)</f>
        <v>192.18</v>
      </c>
      <c r="G114" s="1">
        <v>1.9418</v>
      </c>
      <c r="H114" s="33">
        <f t="shared" ref="H114:H124" si="1">+G114*100</f>
        <v>194.18</v>
      </c>
      <c r="I114" s="1">
        <f t="shared" ref="I114:I125" si="2">+F114-H114</f>
        <v>-2</v>
      </c>
    </row>
    <row r="115" spans="3:9" hidden="1">
      <c r="C115" s="1">
        <v>1629</v>
      </c>
      <c r="E115" s="32" t="s">
        <v>28</v>
      </c>
      <c r="F115" s="1">
        <f>+SUM(F21:F42)</f>
        <v>781.3125</v>
      </c>
      <c r="G115" s="1">
        <v>8.3131000000000004</v>
      </c>
      <c r="H115" s="33">
        <f t="shared" si="1"/>
        <v>831.31000000000006</v>
      </c>
      <c r="I115" s="1">
        <f t="shared" si="2"/>
        <v>-49.997500000000059</v>
      </c>
    </row>
    <row r="116" spans="3:9" hidden="1">
      <c r="C116" s="1">
        <v>220</v>
      </c>
      <c r="E116" s="32" t="s">
        <v>203</v>
      </c>
      <c r="F116" s="1">
        <f>+SUM(F45:F68)+F83+F85</f>
        <v>1524</v>
      </c>
      <c r="G116" s="1">
        <v>16.29</v>
      </c>
      <c r="H116" s="33">
        <f t="shared" si="1"/>
        <v>1629</v>
      </c>
      <c r="I116" s="1">
        <f t="shared" si="2"/>
        <v>-105</v>
      </c>
    </row>
    <row r="117" spans="3:9" hidden="1">
      <c r="C117" s="1">
        <v>57</v>
      </c>
      <c r="E117" s="32" t="s">
        <v>204</v>
      </c>
      <c r="F117" s="1">
        <f>+SUM(F71:F78)</f>
        <v>210</v>
      </c>
      <c r="G117" s="1">
        <v>2.2000000000000002</v>
      </c>
      <c r="H117" s="33">
        <f t="shared" si="1"/>
        <v>220.00000000000003</v>
      </c>
      <c r="I117" s="1">
        <f t="shared" si="2"/>
        <v>-10.000000000000028</v>
      </c>
    </row>
    <row r="118" spans="3:9" hidden="1">
      <c r="C118" s="1">
        <v>15</v>
      </c>
      <c r="E118" s="32" t="s">
        <v>205</v>
      </c>
      <c r="F118" s="1">
        <f>+F81+F82+F84</f>
        <v>42</v>
      </c>
      <c r="G118" s="1">
        <v>0.56999999999999995</v>
      </c>
      <c r="H118" s="33">
        <f t="shared" si="1"/>
        <v>56.999999999999993</v>
      </c>
      <c r="I118" s="1">
        <f t="shared" si="2"/>
        <v>-14.999999999999993</v>
      </c>
    </row>
    <row r="119" spans="3:9" hidden="1">
      <c r="C119" s="1">
        <v>658.2</v>
      </c>
      <c r="E119" s="32" t="s">
        <v>206</v>
      </c>
      <c r="F119" s="1">
        <f>+F86</f>
        <v>15</v>
      </c>
      <c r="G119" s="1">
        <v>0.15</v>
      </c>
      <c r="H119" s="33">
        <f t="shared" si="1"/>
        <v>15</v>
      </c>
      <c r="I119" s="1">
        <f t="shared" si="2"/>
        <v>0</v>
      </c>
    </row>
    <row r="120" spans="3:9" hidden="1">
      <c r="C120" s="1">
        <v>346.5</v>
      </c>
      <c r="E120" s="32" t="s">
        <v>207</v>
      </c>
      <c r="F120" s="1">
        <f>+F100</f>
        <v>300</v>
      </c>
      <c r="G120" s="1">
        <v>3.4649999999999999</v>
      </c>
      <c r="H120" s="33">
        <f t="shared" si="1"/>
        <v>346.5</v>
      </c>
      <c r="I120" s="1">
        <f t="shared" si="2"/>
        <v>-46.5</v>
      </c>
    </row>
    <row r="121" spans="3:9" hidden="1">
      <c r="C121" s="1">
        <v>87.34</v>
      </c>
      <c r="E121" s="32" t="s">
        <v>208</v>
      </c>
      <c r="F121" s="1">
        <f>+F97</f>
        <v>87.34</v>
      </c>
      <c r="G121" s="1">
        <v>0.87339999999999995</v>
      </c>
      <c r="H121" s="33">
        <f t="shared" si="1"/>
        <v>87.339999999999989</v>
      </c>
      <c r="I121" s="1">
        <f t="shared" si="2"/>
        <v>0</v>
      </c>
    </row>
    <row r="122" spans="3:9" hidden="1">
      <c r="C122" s="1">
        <v>147.33000000000001</v>
      </c>
      <c r="E122" s="32" t="s">
        <v>209</v>
      </c>
      <c r="F122" s="1">
        <f>+F89</f>
        <v>110.57970000000002</v>
      </c>
      <c r="G122" s="1">
        <v>1.4732000000000001</v>
      </c>
      <c r="H122" s="33">
        <f t="shared" si="1"/>
        <v>147.32</v>
      </c>
      <c r="I122" s="1">
        <f t="shared" si="2"/>
        <v>-36.740299999999976</v>
      </c>
    </row>
    <row r="123" spans="3:9" hidden="1">
      <c r="C123" s="1">
        <v>203.32</v>
      </c>
      <c r="E123" s="32" t="s">
        <v>202</v>
      </c>
      <c r="F123" s="1">
        <f>+F101</f>
        <v>400</v>
      </c>
      <c r="G123" s="1">
        <v>4.6402000000000001</v>
      </c>
      <c r="H123" s="33">
        <f t="shared" si="1"/>
        <v>464.02</v>
      </c>
      <c r="I123" s="1">
        <f t="shared" si="2"/>
        <v>-64.019999999999982</v>
      </c>
    </row>
    <row r="124" spans="3:9" hidden="1">
      <c r="E124" s="32" t="s">
        <v>210</v>
      </c>
      <c r="F124" s="1">
        <f>+F94+F95+F96+F98+F99</f>
        <v>169.32</v>
      </c>
      <c r="G124" s="1">
        <v>2.0331999999999999</v>
      </c>
      <c r="H124" s="33">
        <f t="shared" si="1"/>
        <v>203.32</v>
      </c>
      <c r="I124" s="1">
        <f t="shared" si="2"/>
        <v>-34</v>
      </c>
    </row>
    <row r="125" spans="3:9" hidden="1">
      <c r="C125" s="1">
        <f>SUM(C113:C124)</f>
        <v>4505</v>
      </c>
      <c r="F125" s="1">
        <f>SUM(F113:F124)</f>
        <v>4265.7322000000004</v>
      </c>
      <c r="G125" s="1">
        <f>SUM(G113:G124)</f>
        <v>45.049899999999994</v>
      </c>
      <c r="H125" s="33">
        <f>SUM(H113:H124)</f>
        <v>4504.99</v>
      </c>
      <c r="I125" s="1">
        <f t="shared" si="2"/>
        <v>-239.25779999999941</v>
      </c>
    </row>
    <row r="126" spans="3:9" hidden="1">
      <c r="C126" s="1">
        <v>4505</v>
      </c>
    </row>
    <row r="127" spans="3:9" hidden="1">
      <c r="C127" s="1">
        <f>+C126-C125</f>
        <v>0</v>
      </c>
      <c r="F127" s="1">
        <f>+F124+F122</f>
        <v>279.8997</v>
      </c>
    </row>
    <row r="128" spans="3:9" hidden="1"/>
    <row r="129" spans="3:4" hidden="1"/>
    <row r="130" spans="3:4" hidden="1"/>
    <row r="131" spans="3:4" hidden="1"/>
    <row r="132" spans="3:4" hidden="1">
      <c r="C132" s="1" t="s">
        <v>211</v>
      </c>
      <c r="D132" s="34">
        <v>310</v>
      </c>
    </row>
    <row r="133" spans="3:4" hidden="1">
      <c r="C133" s="1" t="s">
        <v>63</v>
      </c>
      <c r="D133" s="34">
        <v>831.31</v>
      </c>
    </row>
    <row r="134" spans="3:4" hidden="1">
      <c r="C134" s="1" t="s">
        <v>64</v>
      </c>
      <c r="D134" s="34">
        <v>1629</v>
      </c>
    </row>
    <row r="135" spans="3:4" hidden="1">
      <c r="C135" s="1" t="s">
        <v>212</v>
      </c>
      <c r="D135" s="34">
        <v>220</v>
      </c>
    </row>
    <row r="136" spans="3:4" hidden="1">
      <c r="C136" s="1" t="s">
        <v>65</v>
      </c>
      <c r="D136" s="34">
        <v>57</v>
      </c>
    </row>
    <row r="137" spans="3:4" hidden="1">
      <c r="C137" s="1" t="s">
        <v>66</v>
      </c>
      <c r="D137" s="34">
        <v>15</v>
      </c>
    </row>
    <row r="138" spans="3:4" hidden="1">
      <c r="C138" s="1" t="s">
        <v>213</v>
      </c>
      <c r="D138" s="34">
        <v>658.2</v>
      </c>
    </row>
    <row r="139" spans="3:4" hidden="1">
      <c r="C139" s="1" t="s">
        <v>214</v>
      </c>
      <c r="D139" s="34">
        <v>346.5</v>
      </c>
    </row>
    <row r="140" spans="3:4" hidden="1">
      <c r="C140" s="1" t="s">
        <v>215</v>
      </c>
      <c r="D140" s="34">
        <v>87.34</v>
      </c>
    </row>
    <row r="141" spans="3:4" hidden="1">
      <c r="C141" s="1" t="s">
        <v>216</v>
      </c>
      <c r="D141" s="34">
        <v>1.47</v>
      </c>
    </row>
    <row r="142" spans="3:4" hidden="1">
      <c r="C142" s="1" t="s">
        <v>67</v>
      </c>
      <c r="D142" s="34">
        <v>2.0299999999999998</v>
      </c>
    </row>
    <row r="143" spans="3:4" hidden="1">
      <c r="D143" s="34">
        <f>SUM(D132:D142)</f>
        <v>4157.8500000000004</v>
      </c>
    </row>
    <row r="144" spans="3:4" hidden="1">
      <c r="D144" s="32">
        <f>+D143-4505</f>
        <v>-347.14999999999964</v>
      </c>
    </row>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spans="2:13" hidden="1"/>
    <row r="162" spans="2:13" hidden="1"/>
    <row r="164" spans="2:13" ht="13.5" thickBot="1"/>
    <row r="165" spans="2:13">
      <c r="C165" s="37" t="s">
        <v>217</v>
      </c>
      <c r="D165" s="38">
        <v>1.1000000000000001</v>
      </c>
      <c r="E165" s="39" t="s">
        <v>218</v>
      </c>
      <c r="F165" s="39" t="s">
        <v>219</v>
      </c>
      <c r="G165" s="39"/>
      <c r="H165" s="40"/>
      <c r="I165" s="40"/>
      <c r="J165" s="40"/>
      <c r="K165" s="40"/>
      <c r="L165" s="40"/>
      <c r="M165" s="41"/>
    </row>
    <row r="166" spans="2:13">
      <c r="C166" s="42"/>
      <c r="D166" s="36">
        <f>SUM(F4:F18)/10^2</f>
        <v>1.9218000000000002</v>
      </c>
      <c r="E166" s="35" t="s">
        <v>218</v>
      </c>
      <c r="F166" s="35" t="s">
        <v>220</v>
      </c>
      <c r="G166" s="35"/>
      <c r="H166" s="12"/>
      <c r="I166" s="12"/>
      <c r="J166" s="12"/>
      <c r="K166" s="12"/>
      <c r="L166" s="12"/>
      <c r="M166" s="43"/>
    </row>
    <row r="167" spans="2:13">
      <c r="C167" s="42"/>
      <c r="D167" s="36">
        <f>F96/10^2</f>
        <v>0.32319999999999999</v>
      </c>
      <c r="E167" s="35" t="s">
        <v>221</v>
      </c>
      <c r="F167" s="35" t="s">
        <v>222</v>
      </c>
      <c r="G167" s="35"/>
      <c r="H167" s="12"/>
      <c r="I167" s="12"/>
      <c r="J167" s="12"/>
      <c r="K167" s="12"/>
      <c r="L167" s="12"/>
      <c r="M167" s="43"/>
    </row>
    <row r="168" spans="2:13">
      <c r="C168" s="42"/>
      <c r="D168" s="36">
        <f>F95/10^2</f>
        <v>0.15</v>
      </c>
      <c r="E168" s="35" t="s">
        <v>221</v>
      </c>
      <c r="F168" s="35" t="s">
        <v>223</v>
      </c>
      <c r="G168" s="35"/>
      <c r="H168" s="12"/>
      <c r="I168" s="12"/>
      <c r="J168" s="12"/>
      <c r="K168" s="12"/>
      <c r="L168" s="12"/>
      <c r="M168" s="43"/>
    </row>
    <row r="169" spans="2:13" ht="13.5" thickBot="1">
      <c r="C169" s="44"/>
      <c r="D169" s="45">
        <f>SUM(D165:D168)</f>
        <v>3.4950000000000001</v>
      </c>
      <c r="E169" s="46"/>
      <c r="F169" s="46"/>
      <c r="G169" s="46"/>
      <c r="H169" s="47"/>
      <c r="I169" s="47"/>
      <c r="J169" s="47"/>
      <c r="K169" s="47"/>
      <c r="L169" s="47"/>
      <c r="M169" s="48"/>
    </row>
    <row r="171" spans="2:13" ht="13.5" thickBot="1"/>
    <row r="172" spans="2:13">
      <c r="B172" s="49" t="s">
        <v>224</v>
      </c>
      <c r="C172" s="40"/>
      <c r="D172" s="50"/>
    </row>
    <row r="173" spans="2:13">
      <c r="B173" s="51"/>
      <c r="C173" s="12"/>
      <c r="D173" s="52"/>
    </row>
    <row r="174" spans="2:13">
      <c r="B174" s="53">
        <v>0.18</v>
      </c>
      <c r="C174" s="5">
        <f>'TPC and MoF'!D9</f>
        <v>10.89</v>
      </c>
      <c r="D174" s="52">
        <f>C174*B174</f>
        <v>1.9601999999999999</v>
      </c>
    </row>
    <row r="175" spans="2:13">
      <c r="B175" s="53">
        <v>0.12</v>
      </c>
      <c r="C175" s="5">
        <f>'TPC and MoF'!D10</f>
        <v>20.030638</v>
      </c>
      <c r="D175" s="52">
        <f>C175*B175</f>
        <v>2.4036765600000001</v>
      </c>
    </row>
    <row r="176" spans="2:13">
      <c r="B176" s="53">
        <v>0.18</v>
      </c>
      <c r="C176" s="5">
        <f>'TPC and MoF'!D11</f>
        <v>1</v>
      </c>
      <c r="D176" s="52">
        <f>C176*B176</f>
        <v>0.18</v>
      </c>
    </row>
    <row r="177" spans="2:4">
      <c r="B177" s="53">
        <v>0.18</v>
      </c>
      <c r="C177" s="5" t="e">
        <f>'TPC and MoF'!#REF!</f>
        <v>#REF!</v>
      </c>
      <c r="D177" s="54" t="e">
        <f>C177*B177</f>
        <v>#REF!</v>
      </c>
    </row>
    <row r="178" spans="2:4">
      <c r="B178" s="53">
        <v>0.18</v>
      </c>
      <c r="C178" s="5">
        <f>D166</f>
        <v>1.9218000000000002</v>
      </c>
      <c r="D178" s="54">
        <f>C178*B178</f>
        <v>0.34592400000000001</v>
      </c>
    </row>
    <row r="179" spans="2:4" ht="13.5" thickBot="1">
      <c r="B179" s="55"/>
      <c r="C179" s="47" t="s">
        <v>225</v>
      </c>
      <c r="D179" s="56" t="e">
        <f>SUM(D174:D178)</f>
        <v>#REF!</v>
      </c>
    </row>
  </sheetData>
  <mergeCells count="11">
    <mergeCell ref="M48:M49"/>
    <mergeCell ref="C70:E70"/>
    <mergeCell ref="C80:E80"/>
    <mergeCell ref="C91:E91"/>
    <mergeCell ref="B102:C102"/>
    <mergeCell ref="C44:E44"/>
    <mergeCell ref="B1:F1"/>
    <mergeCell ref="C3:E3"/>
    <mergeCell ref="C13:E13"/>
    <mergeCell ref="C20:E20"/>
    <mergeCell ref="C28:E28"/>
  </mergeCells>
  <pageMargins left="0.32" right="0.32" top="0.19" bottom="0.34" header="0.18" footer="0.24"/>
  <pageSetup paperSize="9" scale="73" fitToHeight="2" orientation="portrait" r:id="rId1"/>
  <headerFooter alignWithMargins="0">
    <oddHeader>&amp;C&amp;"Arial,Bold"&amp;11DETAILED PROJECT REPORT -CBG PLANT - FINANCIAL ASPECTS</oddHeader>
  </headerFooter>
  <rowBreaks count="1" manualBreakCount="1">
    <brk id="50" min="1" max="5"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sheetPr>
  <dimension ref="A1:O158"/>
  <sheetViews>
    <sheetView showGridLines="0" topLeftCell="A10" workbookViewId="0">
      <selection activeCell="O15" sqref="O15"/>
    </sheetView>
  </sheetViews>
  <sheetFormatPr defaultColWidth="13.7109375" defaultRowHeight="18" customHeight="1"/>
  <cols>
    <col min="1" max="1" width="5.140625" style="94" customWidth="1"/>
    <col min="2" max="2" width="38.7109375" style="94" customWidth="1"/>
    <col min="3" max="3" width="10" style="94" bestFit="1" customWidth="1"/>
    <col min="4" max="4" width="14.7109375" style="94" customWidth="1"/>
    <col min="5" max="5" width="15.140625" style="94" customWidth="1"/>
    <col min="6" max="7" width="12.7109375" style="94" customWidth="1"/>
    <col min="8" max="8" width="20.85546875" style="94" customWidth="1"/>
    <col min="9" max="10" width="17.5703125" style="94" customWidth="1"/>
    <col min="11" max="11" width="15.7109375" style="100" customWidth="1"/>
    <col min="12" max="12" width="13" style="94" customWidth="1"/>
    <col min="13" max="14" width="12.7109375" style="94" customWidth="1"/>
    <col min="15" max="16384" width="13.7109375" style="94"/>
  </cols>
  <sheetData>
    <row r="1" spans="2:15" ht="15.75" customHeight="1"/>
    <row r="2" spans="2:15" ht="18" customHeight="1">
      <c r="B2" s="132" t="str">
        <f>"Financial Model of " &amp; B4</f>
        <v>Financial Model of 20,000 M.T of glass Toughening pa. set up by SSRM Glasses Private Limited</v>
      </c>
      <c r="C2" s="133"/>
      <c r="D2" s="133"/>
      <c r="E2" s="133"/>
      <c r="F2" s="133"/>
      <c r="G2" s="133"/>
      <c r="H2" s="133"/>
      <c r="I2" s="133"/>
      <c r="J2" s="133"/>
      <c r="K2" s="133"/>
      <c r="L2" s="133"/>
      <c r="M2" s="133"/>
      <c r="N2" s="133"/>
      <c r="O2" s="133"/>
    </row>
    <row r="3" spans="2:15" ht="12" customHeight="1">
      <c r="C3" s="100"/>
      <c r="D3" s="100"/>
      <c r="E3" s="100"/>
      <c r="F3" s="100"/>
      <c r="G3" s="100"/>
      <c r="H3" s="100"/>
      <c r="I3" s="100"/>
      <c r="J3" s="100"/>
      <c r="L3" s="100"/>
      <c r="M3" s="100"/>
      <c r="N3" s="100"/>
    </row>
    <row r="4" spans="2:15" ht="18" customHeight="1">
      <c r="B4" s="137" t="str">
        <f>'Common Assumption'!B4</f>
        <v>20,000 M.T of glass Toughening pa. set up by SSRM Glasses Private Limited</v>
      </c>
      <c r="C4" s="137"/>
      <c r="D4" s="138"/>
      <c r="E4" s="138"/>
      <c r="F4" s="138"/>
      <c r="G4" s="138"/>
      <c r="H4" s="138"/>
      <c r="I4" s="138"/>
      <c r="J4" s="138"/>
      <c r="K4" s="138"/>
      <c r="L4" s="138"/>
      <c r="M4" s="138"/>
      <c r="N4" s="138"/>
      <c r="O4" s="138"/>
    </row>
    <row r="5" spans="2:15" ht="13.5" customHeight="1">
      <c r="C5" s="100"/>
      <c r="D5" s="100"/>
      <c r="G5" s="125"/>
      <c r="K5" s="94"/>
    </row>
    <row r="6" spans="2:15" ht="18" customHeight="1">
      <c r="B6" s="137" t="s">
        <v>271</v>
      </c>
      <c r="C6" s="137"/>
      <c r="D6" s="138"/>
      <c r="E6" s="138"/>
      <c r="F6" s="138"/>
      <c r="G6" s="138"/>
      <c r="H6" s="138"/>
      <c r="I6" s="138"/>
      <c r="J6" s="138"/>
      <c r="K6" s="138"/>
      <c r="L6" s="138"/>
      <c r="M6" s="138"/>
      <c r="N6" s="138"/>
      <c r="O6" s="138"/>
    </row>
    <row r="7" spans="2:15" ht="12.75" customHeight="1">
      <c r="C7" s="100"/>
      <c r="D7" s="100"/>
      <c r="G7" s="125"/>
      <c r="K7" s="94"/>
    </row>
    <row r="8" spans="2:15" ht="18" customHeight="1">
      <c r="C8" s="100"/>
      <c r="D8" s="354" t="s">
        <v>874</v>
      </c>
      <c r="E8" s="354"/>
      <c r="F8" s="355" t="s">
        <v>43</v>
      </c>
      <c r="G8" s="355"/>
      <c r="H8" s="355"/>
      <c r="I8" s="355"/>
      <c r="J8" s="355"/>
      <c r="K8" s="355"/>
      <c r="L8" s="355"/>
      <c r="M8" s="355"/>
      <c r="N8" s="355"/>
      <c r="O8" s="355"/>
    </row>
    <row r="9" spans="2:15" ht="18" customHeight="1">
      <c r="B9" s="135" t="s">
        <v>44</v>
      </c>
      <c r="C9" s="183" t="s">
        <v>45</v>
      </c>
      <c r="D9" s="184">
        <f>EOMONTH('Common Assumption'!E11,1)</f>
        <v>45747</v>
      </c>
      <c r="E9" s="184">
        <f>'Common Assumption'!E13</f>
        <v>46053</v>
      </c>
      <c r="F9" s="184">
        <f>DATE(YEAR(E9),MONTH(E9)+2,DAY(E9))</f>
        <v>46112</v>
      </c>
      <c r="G9" s="184">
        <f t="shared" ref="G9:H9" si="0">DATE(YEAR(F9)+1,MONTH(F9),DAY(F9))</f>
        <v>46477</v>
      </c>
      <c r="H9" s="184">
        <f t="shared" si="0"/>
        <v>46843</v>
      </c>
      <c r="I9" s="184">
        <f>DATE(YEAR(H9)+1,MONTH(H9),DAY(H9))</f>
        <v>47208</v>
      </c>
      <c r="J9" s="184">
        <f>DATE(YEAR(I9)+1,MONTH(I9),DAY(I9))</f>
        <v>47573</v>
      </c>
      <c r="K9" s="184">
        <f>DATE(YEAR(J9)+1,MONTH(J9),DAY(J9))</f>
        <v>47938</v>
      </c>
      <c r="L9" s="184">
        <f>DATE(YEAR(K9)+1,MONTH(K9),DAY(K9))</f>
        <v>48304</v>
      </c>
      <c r="M9" s="184">
        <f t="shared" ref="M9" si="1">DATE(YEAR(L9)+1,MONTH(L9),DAY(L9))</f>
        <v>48669</v>
      </c>
      <c r="N9" s="184">
        <f t="shared" ref="N9" si="2">DATE(YEAR(M9)+1,MONTH(M9),DAY(M9))</f>
        <v>49034</v>
      </c>
      <c r="O9" s="184">
        <f t="shared" ref="O9" si="3">DATE(YEAR(N9)+1,MONTH(N9),DAY(N9))</f>
        <v>49399</v>
      </c>
    </row>
    <row r="10" spans="2:15" s="126" customFormat="1" ht="18" customHeight="1">
      <c r="B10" s="185" t="s">
        <v>46</v>
      </c>
      <c r="C10" s="186"/>
      <c r="D10" s="187">
        <v>0</v>
      </c>
      <c r="E10" s="187">
        <v>0</v>
      </c>
      <c r="F10" s="188">
        <v>1</v>
      </c>
      <c r="G10" s="188">
        <f t="shared" ref="G10:H10" si="4">F10+1</f>
        <v>2</v>
      </c>
      <c r="H10" s="188">
        <f t="shared" si="4"/>
        <v>3</v>
      </c>
      <c r="I10" s="188">
        <f>H10+1</f>
        <v>4</v>
      </c>
      <c r="J10" s="188">
        <f>I10+1</f>
        <v>5</v>
      </c>
      <c r="K10" s="188">
        <f>J10+1</f>
        <v>6</v>
      </c>
      <c r="L10" s="188">
        <f>K10+1</f>
        <v>7</v>
      </c>
      <c r="M10" s="188">
        <f t="shared" ref="M10" si="5">L10+1</f>
        <v>8</v>
      </c>
      <c r="N10" s="188">
        <f t="shared" ref="N10" si="6">M10+1</f>
        <v>9</v>
      </c>
      <c r="O10" s="188">
        <f t="shared" ref="O10" si="7">N10+1</f>
        <v>10</v>
      </c>
    </row>
    <row r="11" spans="2:15" s="126" customFormat="1" ht="18" customHeight="1">
      <c r="B11" s="185" t="s">
        <v>47</v>
      </c>
      <c r="C11" s="186">
        <f>'Common Assumption'!E12</f>
        <v>11</v>
      </c>
      <c r="D11" s="187">
        <f>MONTH(D9-'Common Assumption'!E11)</f>
        <v>1</v>
      </c>
      <c r="E11" s="187">
        <f>C11-D11</f>
        <v>10</v>
      </c>
      <c r="F11" s="186">
        <f>MONTH(F9-E9)</f>
        <v>2</v>
      </c>
      <c r="G11" s="186">
        <f t="shared" ref="G11:H11" si="8">MONTH(G9-F9)</f>
        <v>12</v>
      </c>
      <c r="H11" s="186">
        <f t="shared" si="8"/>
        <v>12</v>
      </c>
      <c r="I11" s="186">
        <f>MONTH(I9-H9)</f>
        <v>12</v>
      </c>
      <c r="J11" s="186">
        <f>MONTH(J9-I9)</f>
        <v>12</v>
      </c>
      <c r="K11" s="186">
        <f>MONTH(K9-J9)</f>
        <v>12</v>
      </c>
      <c r="L11" s="186">
        <f>MONTH(L9-K9)</f>
        <v>12</v>
      </c>
      <c r="M11" s="186">
        <f t="shared" ref="M11" si="9">MONTH(M9-L9)</f>
        <v>12</v>
      </c>
      <c r="N11" s="186">
        <f t="shared" ref="N11" si="10">MONTH(N9-M9)</f>
        <v>12</v>
      </c>
      <c r="O11" s="186">
        <f t="shared" ref="O11" si="11">MONTH(O9-N9)</f>
        <v>12</v>
      </c>
    </row>
    <row r="12" spans="2:15" ht="18" customHeight="1">
      <c r="B12" s="94" t="s">
        <v>272</v>
      </c>
      <c r="D12" s="104">
        <f>C15</f>
        <v>0</v>
      </c>
      <c r="E12" s="104">
        <f>D15</f>
        <v>7.51</v>
      </c>
      <c r="F12" s="104">
        <f>E15</f>
        <v>15.02</v>
      </c>
      <c r="G12" s="104">
        <f t="shared" ref="G12:O12" si="12">F15</f>
        <v>14.992087833333333</v>
      </c>
      <c r="H12" s="104">
        <f t="shared" si="12"/>
        <v>13.656809833333332</v>
      </c>
      <c r="I12" s="104">
        <f t="shared" si="12"/>
        <v>11.988087833333331</v>
      </c>
      <c r="J12" s="104">
        <f t="shared" si="12"/>
        <v>10.319365833333331</v>
      </c>
      <c r="K12" s="104">
        <f t="shared" si="12"/>
        <v>8.65064383333333</v>
      </c>
      <c r="L12" s="104">
        <f t="shared" si="12"/>
        <v>6.9819218333333302</v>
      </c>
      <c r="M12" s="104">
        <f t="shared" si="12"/>
        <v>5.3131998333333303</v>
      </c>
      <c r="N12" s="104">
        <f t="shared" si="12"/>
        <v>3.6444778333333305</v>
      </c>
      <c r="O12" s="104">
        <f t="shared" si="12"/>
        <v>1.9757558333333305</v>
      </c>
    </row>
    <row r="13" spans="2:15" ht="18" customHeight="1">
      <c r="B13" s="94" t="s">
        <v>273</v>
      </c>
      <c r="D13" s="104">
        <f>C27</f>
        <v>7.51</v>
      </c>
      <c r="E13" s="104">
        <f>C38-D13</f>
        <v>7.51</v>
      </c>
      <c r="F13" s="104">
        <v>0</v>
      </c>
      <c r="G13" s="104">
        <v>0</v>
      </c>
      <c r="H13" s="104">
        <v>0</v>
      </c>
      <c r="I13" s="104">
        <v>0</v>
      </c>
      <c r="J13" s="104">
        <v>0</v>
      </c>
      <c r="K13" s="104">
        <v>0</v>
      </c>
      <c r="L13" s="104">
        <v>0</v>
      </c>
      <c r="M13" s="104">
        <v>0</v>
      </c>
      <c r="N13" s="104">
        <v>0</v>
      </c>
      <c r="O13" s="104">
        <v>0</v>
      </c>
    </row>
    <row r="14" spans="2:15" ht="18" customHeight="1">
      <c r="B14" s="94" t="s">
        <v>274</v>
      </c>
      <c r="D14" s="104">
        <f>D27</f>
        <v>0</v>
      </c>
      <c r="E14" s="104">
        <f>SUM(D29:D38)</f>
        <v>0</v>
      </c>
      <c r="F14" s="104">
        <f>SUM(D39:D40)</f>
        <v>2.7912166666666668E-2</v>
      </c>
      <c r="G14" s="104">
        <f>SUM(D42:D53)</f>
        <v>1.335278</v>
      </c>
      <c r="H14" s="104">
        <f>SUM(D55:D66)</f>
        <v>1.668722</v>
      </c>
      <c r="I14" s="104">
        <f>SUM(D68:D79)</f>
        <v>1.668722</v>
      </c>
      <c r="J14" s="104">
        <f>SUM(D81:D92)</f>
        <v>1.668722</v>
      </c>
      <c r="K14" s="104">
        <f>SUM(D94:D105)</f>
        <v>1.668722</v>
      </c>
      <c r="L14" s="104">
        <f>SUM(D107:D118)</f>
        <v>1.668722</v>
      </c>
      <c r="M14" s="104">
        <f>SUM(D120:D131)</f>
        <v>1.668722</v>
      </c>
      <c r="N14" s="104">
        <f>SUM(D133:D144)</f>
        <v>1.668722</v>
      </c>
      <c r="O14" s="104">
        <f>SUM(D146:D157)</f>
        <v>1.9757558333333312</v>
      </c>
    </row>
    <row r="15" spans="2:15" ht="18" customHeight="1">
      <c r="B15" s="94" t="s">
        <v>275</v>
      </c>
      <c r="C15" s="104">
        <v>0</v>
      </c>
      <c r="D15" s="104">
        <f>D12+D13-D14</f>
        <v>7.51</v>
      </c>
      <c r="E15" s="104">
        <f>E12+E13-E14</f>
        <v>15.02</v>
      </c>
      <c r="F15" s="104">
        <f t="shared" ref="F15:O15" si="13">F12+F13-F14</f>
        <v>14.992087833333333</v>
      </c>
      <c r="G15" s="104">
        <f t="shared" si="13"/>
        <v>13.656809833333332</v>
      </c>
      <c r="H15" s="104">
        <f t="shared" si="13"/>
        <v>11.988087833333331</v>
      </c>
      <c r="I15" s="104">
        <f t="shared" si="13"/>
        <v>10.319365833333331</v>
      </c>
      <c r="J15" s="104">
        <f t="shared" si="13"/>
        <v>8.65064383333333</v>
      </c>
      <c r="K15" s="104">
        <f t="shared" si="13"/>
        <v>6.9819218333333302</v>
      </c>
      <c r="L15" s="104">
        <f t="shared" si="13"/>
        <v>5.3131998333333303</v>
      </c>
      <c r="M15" s="104">
        <f t="shared" si="13"/>
        <v>3.6444778333333305</v>
      </c>
      <c r="N15" s="104">
        <f t="shared" si="13"/>
        <v>1.9757558333333305</v>
      </c>
      <c r="O15" s="104">
        <f t="shared" si="13"/>
        <v>0</v>
      </c>
    </row>
    <row r="16" spans="2:15" ht="18" customHeight="1">
      <c r="B16" s="94" t="s">
        <v>276</v>
      </c>
      <c r="D16" s="104">
        <f>E27</f>
        <v>6.8841666666666662E-2</v>
      </c>
      <c r="E16" s="104">
        <f>SUM(E29:E38)</f>
        <v>1.3079916666666669</v>
      </c>
      <c r="F16" s="104">
        <f>SUM(E39:E40)</f>
        <v>0.27536666666666665</v>
      </c>
      <c r="G16" s="104">
        <f>SUM(E42:E53)</f>
        <v>1.5818093958333332</v>
      </c>
      <c r="H16" s="104">
        <f>SUM(E55:E66)</f>
        <v>1.4181176808333333</v>
      </c>
      <c r="I16" s="104">
        <f>SUM(E68:E79)</f>
        <v>1.2345582608333336</v>
      </c>
      <c r="J16" s="104">
        <f>SUM(E81:E92)</f>
        <v>1.0509988408333335</v>
      </c>
      <c r="K16" s="104">
        <f>SUM(E94:E105)</f>
        <v>0.86743942083333325</v>
      </c>
      <c r="L16" s="104">
        <f>SUM(E107:E118)</f>
        <v>0.68388000083333333</v>
      </c>
      <c r="M16" s="104">
        <f>SUM(E120:E131)</f>
        <v>0.50032058083333319</v>
      </c>
      <c r="N16" s="104">
        <f>SUM(E133:E144)</f>
        <v>0.31676116083333317</v>
      </c>
      <c r="O16" s="104">
        <f>SUM(E146:E157)</f>
        <v>0.11718572708333319</v>
      </c>
    </row>
    <row r="17" spans="2:15" ht="18" customHeight="1">
      <c r="B17" s="94" t="s">
        <v>207</v>
      </c>
      <c r="D17" s="219">
        <f>D16</f>
        <v>6.8841666666666662E-2</v>
      </c>
      <c r="E17" s="219">
        <f>E16</f>
        <v>1.3079916666666669</v>
      </c>
      <c r="F17" s="104">
        <v>0</v>
      </c>
      <c r="G17" s="104">
        <v>0</v>
      </c>
      <c r="H17" s="104">
        <v>0</v>
      </c>
      <c r="I17" s="104">
        <v>0</v>
      </c>
      <c r="J17" s="104">
        <v>0</v>
      </c>
      <c r="K17" s="104">
        <v>0</v>
      </c>
      <c r="L17" s="104">
        <v>0</v>
      </c>
      <c r="M17" s="104">
        <v>0</v>
      </c>
      <c r="N17" s="104">
        <v>0</v>
      </c>
      <c r="O17" s="104">
        <v>0</v>
      </c>
    </row>
    <row r="18" spans="2:15" ht="18" customHeight="1">
      <c r="B18" s="135" t="s">
        <v>277</v>
      </c>
      <c r="C18" s="183"/>
      <c r="D18" s="147">
        <f>D16-D17</f>
        <v>0</v>
      </c>
      <c r="E18" s="147">
        <f>E16-E17</f>
        <v>0</v>
      </c>
      <c r="F18" s="147">
        <f>F16-F17</f>
        <v>0.27536666666666665</v>
      </c>
      <c r="G18" s="147">
        <f>G16-G17</f>
        <v>1.5818093958333332</v>
      </c>
      <c r="H18" s="147">
        <f>H16-H17</f>
        <v>1.4181176808333333</v>
      </c>
      <c r="I18" s="147">
        <f t="shared" ref="I18:O18" si="14">I16-I17</f>
        <v>1.2345582608333336</v>
      </c>
      <c r="J18" s="147">
        <f t="shared" si="14"/>
        <v>1.0509988408333335</v>
      </c>
      <c r="K18" s="147">
        <f t="shared" si="14"/>
        <v>0.86743942083333325</v>
      </c>
      <c r="L18" s="147">
        <f t="shared" si="14"/>
        <v>0.68388000083333333</v>
      </c>
      <c r="M18" s="147">
        <f>M16-M17</f>
        <v>0.50032058083333319</v>
      </c>
      <c r="N18" s="147">
        <f t="shared" si="14"/>
        <v>0.31676116083333317</v>
      </c>
      <c r="O18" s="147">
        <f t="shared" si="14"/>
        <v>0.11718572708333319</v>
      </c>
    </row>
    <row r="20" spans="2:15" ht="18" customHeight="1">
      <c r="B20" s="135" t="s">
        <v>36</v>
      </c>
      <c r="C20" s="183"/>
      <c r="D20" s="220"/>
      <c r="E20" s="220"/>
      <c r="F20" s="220"/>
      <c r="G20" s="220"/>
      <c r="H20" s="96"/>
      <c r="I20" s="96"/>
      <c r="J20" s="96"/>
      <c r="K20" s="96"/>
      <c r="L20" s="96"/>
      <c r="M20" s="96"/>
      <c r="N20" s="96"/>
    </row>
    <row r="21" spans="2:15" ht="18" customHeight="1">
      <c r="K21" s="94"/>
    </row>
    <row r="22" spans="2:15" ht="18" customHeight="1">
      <c r="B22" s="135" t="s">
        <v>278</v>
      </c>
      <c r="C22" s="147">
        <f>'TPC and MoF'!D25</f>
        <v>15.02</v>
      </c>
      <c r="D22" s="221"/>
      <c r="E22" s="183" t="s">
        <v>814</v>
      </c>
      <c r="F22" s="147"/>
      <c r="G22" s="183"/>
      <c r="H22" s="301"/>
      <c r="I22" s="301"/>
      <c r="J22" s="301"/>
      <c r="K22" s="96"/>
      <c r="L22" s="96"/>
    </row>
    <row r="23" spans="2:15" ht="18" customHeight="1">
      <c r="B23" s="135" t="s">
        <v>279</v>
      </c>
      <c r="C23" s="221">
        <f>'Common Assumption'!D123</f>
        <v>0.11</v>
      </c>
      <c r="D23" s="221"/>
      <c r="E23" s="221"/>
      <c r="F23" s="221"/>
      <c r="G23" s="183"/>
      <c r="H23" s="301"/>
      <c r="I23" s="301"/>
      <c r="J23" s="301"/>
      <c r="K23" s="96" t="s">
        <v>282</v>
      </c>
      <c r="L23" s="96" t="s">
        <v>282</v>
      </c>
    </row>
    <row r="24" spans="2:15" ht="17.25" customHeight="1">
      <c r="B24" s="118" t="s">
        <v>2</v>
      </c>
      <c r="C24" s="120" t="s">
        <v>280</v>
      </c>
      <c r="D24" s="358" t="s">
        <v>722</v>
      </c>
      <c r="E24" s="358"/>
      <c r="F24" s="359" t="s">
        <v>729</v>
      </c>
      <c r="G24" s="120" t="s">
        <v>281</v>
      </c>
      <c r="H24" s="96"/>
      <c r="I24" s="96"/>
      <c r="J24" s="96"/>
      <c r="K24" s="191" t="s">
        <v>283</v>
      </c>
      <c r="L24" s="191" t="s">
        <v>284</v>
      </c>
    </row>
    <row r="25" spans="2:15" ht="15">
      <c r="B25" s="118"/>
      <c r="C25" s="120"/>
      <c r="D25" s="120" t="s">
        <v>723</v>
      </c>
      <c r="E25" s="120" t="s">
        <v>276</v>
      </c>
      <c r="F25" s="359"/>
      <c r="G25" s="120"/>
      <c r="H25" s="96"/>
      <c r="I25" s="96"/>
      <c r="J25" s="96"/>
      <c r="K25" s="191"/>
      <c r="L25" s="191"/>
    </row>
    <row r="26" spans="2:15" ht="18" customHeight="1">
      <c r="B26" s="217" t="s">
        <v>285</v>
      </c>
      <c r="C26" s="217"/>
      <c r="D26" s="217"/>
      <c r="E26" s="217"/>
      <c r="F26" s="217"/>
      <c r="G26" s="217"/>
      <c r="H26" s="95"/>
      <c r="I26" s="95"/>
      <c r="J26" s="95"/>
    </row>
    <row r="27" spans="2:15" ht="18" customHeight="1">
      <c r="B27" s="228" t="s">
        <v>297</v>
      </c>
      <c r="C27" s="229">
        <f>C22*K27</f>
        <v>7.51</v>
      </c>
      <c r="D27" s="229">
        <v>0</v>
      </c>
      <c r="E27" s="229">
        <f>(C27*$C$23)/12</f>
        <v>6.8841666666666662E-2</v>
      </c>
      <c r="F27" s="229">
        <f>D27+E27</f>
        <v>6.8841666666666662E-2</v>
      </c>
      <c r="G27" s="229">
        <f>C27+E27-F27</f>
        <v>7.51</v>
      </c>
      <c r="H27" s="229" t="s">
        <v>884</v>
      </c>
      <c r="I27" s="229"/>
      <c r="J27" s="229"/>
      <c r="K27" s="101">
        <v>0.5</v>
      </c>
    </row>
    <row r="28" spans="2:15" ht="18" customHeight="1">
      <c r="B28" s="129" t="s">
        <v>298</v>
      </c>
      <c r="C28" s="223"/>
      <c r="D28" s="223"/>
      <c r="E28" s="223"/>
      <c r="F28" s="223"/>
      <c r="G28" s="223"/>
      <c r="H28" s="104"/>
      <c r="I28" s="104"/>
      <c r="J28" s="104"/>
      <c r="K28" s="101"/>
    </row>
    <row r="29" spans="2:15" ht="18" customHeight="1">
      <c r="B29" s="153" t="s">
        <v>286</v>
      </c>
      <c r="C29" s="223">
        <f>G27+$C$20*K29</f>
        <v>7.51</v>
      </c>
      <c r="D29" s="223">
        <v>0</v>
      </c>
      <c r="E29" s="223">
        <f>(C29*$C$23)/12</f>
        <v>6.8841666666666662E-2</v>
      </c>
      <c r="F29" s="223">
        <f>D29+E29</f>
        <v>6.8841666666666662E-2</v>
      </c>
      <c r="G29" s="290">
        <f>C29+E29-F29</f>
        <v>7.51</v>
      </c>
      <c r="H29" s="104"/>
      <c r="I29" s="104"/>
      <c r="J29" s="104"/>
      <c r="K29" s="101"/>
    </row>
    <row r="30" spans="2:15" ht="18" customHeight="1">
      <c r="B30" s="153" t="s">
        <v>287</v>
      </c>
      <c r="C30" s="223">
        <f>G29+$C$22*$K$30</f>
        <v>15.02</v>
      </c>
      <c r="D30" s="223">
        <v>0</v>
      </c>
      <c r="E30" s="223">
        <f>(C30*$C$23)/12</f>
        <v>0.13768333333333332</v>
      </c>
      <c r="F30" s="223">
        <f t="shared" ref="F30:F39" si="15">D30+E30</f>
        <v>0.13768333333333332</v>
      </c>
      <c r="G30" s="290">
        <f>C30+E30-F30</f>
        <v>15.02</v>
      </c>
      <c r="H30" s="104"/>
      <c r="I30" s="104"/>
      <c r="J30" s="104"/>
      <c r="K30" s="101">
        <v>0.5</v>
      </c>
    </row>
    <row r="31" spans="2:15" ht="18" customHeight="1">
      <c r="B31" s="153" t="s">
        <v>288</v>
      </c>
      <c r="C31" s="223">
        <f>G30+(C22*K31)</f>
        <v>15.02</v>
      </c>
      <c r="D31" s="223">
        <v>0</v>
      </c>
      <c r="E31" s="223">
        <f t="shared" ref="E31:E94" si="16">(C31*$C$23)/12</f>
        <v>0.13768333333333332</v>
      </c>
      <c r="F31" s="223">
        <f t="shared" si="15"/>
        <v>0.13768333333333332</v>
      </c>
      <c r="G31" s="290">
        <f>C31+E31-F31</f>
        <v>15.02</v>
      </c>
      <c r="H31" s="104"/>
      <c r="I31" s="104"/>
      <c r="J31" s="104"/>
    </row>
    <row r="32" spans="2:15" ht="18" customHeight="1">
      <c r="B32" s="153" t="s">
        <v>289</v>
      </c>
      <c r="C32" s="223">
        <f>G31+$C$20*K32</f>
        <v>15.02</v>
      </c>
      <c r="D32" s="223">
        <v>0</v>
      </c>
      <c r="E32" s="223">
        <f t="shared" si="16"/>
        <v>0.13768333333333332</v>
      </c>
      <c r="F32" s="223">
        <f t="shared" si="15"/>
        <v>0.13768333333333332</v>
      </c>
      <c r="G32" s="290">
        <f>C32+E32-F32</f>
        <v>15.02</v>
      </c>
      <c r="H32" s="104"/>
      <c r="I32" s="104"/>
      <c r="J32" s="104"/>
      <c r="K32" s="101"/>
    </row>
    <row r="33" spans="1:13" ht="18" customHeight="1">
      <c r="B33" s="153" t="s">
        <v>290</v>
      </c>
      <c r="C33" s="223">
        <f t="shared" ref="C33:C40" si="17">G32</f>
        <v>15.02</v>
      </c>
      <c r="D33" s="223">
        <v>0</v>
      </c>
      <c r="E33" s="223">
        <f t="shared" si="16"/>
        <v>0.13768333333333332</v>
      </c>
      <c r="F33" s="223">
        <f t="shared" si="15"/>
        <v>0.13768333333333332</v>
      </c>
      <c r="G33" s="290">
        <f>C33+E33-F33</f>
        <v>15.02</v>
      </c>
      <c r="H33" s="104"/>
      <c r="I33" s="104"/>
      <c r="J33" s="104"/>
      <c r="K33" s="101"/>
    </row>
    <row r="34" spans="1:13" ht="18" customHeight="1">
      <c r="B34" s="153" t="s">
        <v>291</v>
      </c>
      <c r="C34" s="223">
        <f t="shared" si="17"/>
        <v>15.02</v>
      </c>
      <c r="D34" s="223">
        <v>0</v>
      </c>
      <c r="E34" s="223">
        <f t="shared" si="16"/>
        <v>0.13768333333333332</v>
      </c>
      <c r="F34" s="223">
        <f>D34+E34</f>
        <v>0.13768333333333332</v>
      </c>
      <c r="G34" s="290">
        <f t="shared" ref="G34:G40" si="18">C34+E34-F34</f>
        <v>15.02</v>
      </c>
      <c r="I34" s="104"/>
      <c r="J34" s="104"/>
      <c r="K34" s="101"/>
    </row>
    <row r="35" spans="1:13" ht="18" customHeight="1">
      <c r="B35" s="153" t="s">
        <v>292</v>
      </c>
      <c r="C35" s="223">
        <f t="shared" si="17"/>
        <v>15.02</v>
      </c>
      <c r="D35" s="223">
        <v>0</v>
      </c>
      <c r="E35" s="223">
        <f t="shared" si="16"/>
        <v>0.13768333333333332</v>
      </c>
      <c r="F35" s="223">
        <f t="shared" si="15"/>
        <v>0.13768333333333332</v>
      </c>
      <c r="G35" s="290">
        <f t="shared" si="18"/>
        <v>15.02</v>
      </c>
      <c r="I35" s="104"/>
      <c r="J35" s="104"/>
      <c r="K35" s="101"/>
    </row>
    <row r="36" spans="1:13" ht="18" customHeight="1">
      <c r="B36" s="153" t="s">
        <v>293</v>
      </c>
      <c r="C36" s="223">
        <f>G35</f>
        <v>15.02</v>
      </c>
      <c r="D36" s="223">
        <v>0</v>
      </c>
      <c r="E36" s="223">
        <f t="shared" si="16"/>
        <v>0.13768333333333332</v>
      </c>
      <c r="F36" s="223">
        <f t="shared" si="15"/>
        <v>0.13768333333333332</v>
      </c>
      <c r="G36" s="290">
        <f t="shared" si="18"/>
        <v>15.02</v>
      </c>
      <c r="H36" s="104"/>
      <c r="I36" s="104"/>
      <c r="J36" s="104"/>
      <c r="K36" s="101"/>
    </row>
    <row r="37" spans="1:13" ht="18" customHeight="1">
      <c r="B37" s="153" t="s">
        <v>294</v>
      </c>
      <c r="C37" s="223">
        <f t="shared" si="17"/>
        <v>15.02</v>
      </c>
      <c r="D37" s="223">
        <v>0</v>
      </c>
      <c r="E37" s="223">
        <f t="shared" si="16"/>
        <v>0.13768333333333332</v>
      </c>
      <c r="F37" s="223">
        <f t="shared" si="15"/>
        <v>0.13768333333333332</v>
      </c>
      <c r="G37" s="290">
        <f t="shared" si="18"/>
        <v>15.02</v>
      </c>
      <c r="I37" s="104"/>
      <c r="J37" s="104"/>
      <c r="K37" s="299" t="s">
        <v>871</v>
      </c>
      <c r="L37" s="109"/>
    </row>
    <row r="38" spans="1:13" ht="18" customHeight="1">
      <c r="B38" s="153" t="s">
        <v>295</v>
      </c>
      <c r="C38" s="223">
        <f>G37</f>
        <v>15.02</v>
      </c>
      <c r="D38" s="223">
        <v>0</v>
      </c>
      <c r="E38" s="223">
        <f>(C38*$C$23)/12</f>
        <v>0.13768333333333332</v>
      </c>
      <c r="F38" s="223">
        <f>D38+E38</f>
        <v>0.13768333333333332</v>
      </c>
      <c r="G38" s="290">
        <f>C38+E38-F38</f>
        <v>15.02</v>
      </c>
      <c r="H38" s="342" t="s">
        <v>883</v>
      </c>
      <c r="I38" s="104"/>
      <c r="J38" s="104"/>
      <c r="K38" s="179" t="s">
        <v>724</v>
      </c>
      <c r="M38" s="125">
        <v>46082</v>
      </c>
    </row>
    <row r="39" spans="1:13" ht="18" customHeight="1">
      <c r="B39" s="337" t="s">
        <v>296</v>
      </c>
      <c r="C39" s="336">
        <f t="shared" si="17"/>
        <v>15.02</v>
      </c>
      <c r="D39" s="336">
        <v>0</v>
      </c>
      <c r="E39" s="336">
        <f t="shared" si="16"/>
        <v>0.13768333333333332</v>
      </c>
      <c r="F39" s="336">
        <f t="shared" si="15"/>
        <v>0.13768333333333332</v>
      </c>
      <c r="G39" s="338">
        <f t="shared" si="18"/>
        <v>15.02</v>
      </c>
      <c r="H39" s="342" t="s">
        <v>299</v>
      </c>
      <c r="I39" s="104"/>
      <c r="J39" s="104"/>
      <c r="K39" s="101" t="s">
        <v>725</v>
      </c>
      <c r="M39" s="125">
        <v>49399</v>
      </c>
    </row>
    <row r="40" spans="1:13" ht="18" customHeight="1">
      <c r="B40" s="153" t="s">
        <v>297</v>
      </c>
      <c r="C40" s="223">
        <f t="shared" si="17"/>
        <v>15.02</v>
      </c>
      <c r="D40" s="223">
        <f>$C$22*$I$40/12</f>
        <v>2.7912166666666668E-2</v>
      </c>
      <c r="E40" s="223">
        <f>(C40*$C$23)/12</f>
        <v>0.13768333333333332</v>
      </c>
      <c r="F40" s="223">
        <f>D40+E40</f>
        <v>0.16559550000000001</v>
      </c>
      <c r="G40" s="290">
        <f t="shared" si="18"/>
        <v>14.992087833333333</v>
      </c>
      <c r="H40" s="342" t="s">
        <v>773</v>
      </c>
      <c r="I40" s="339">
        <v>2.23E-2</v>
      </c>
      <c r="J40" s="104"/>
      <c r="K40" s="101" t="s">
        <v>726</v>
      </c>
      <c r="M40" s="303">
        <f>(M39-M38)/30-2</f>
        <v>108.56666666666666</v>
      </c>
    </row>
    <row r="41" spans="1:13" ht="18" customHeight="1">
      <c r="B41" s="150" t="s">
        <v>300</v>
      </c>
      <c r="C41" s="150"/>
      <c r="D41" s="150"/>
      <c r="E41" s="150"/>
      <c r="F41" s="150"/>
      <c r="G41" s="151"/>
      <c r="H41" s="128"/>
      <c r="I41" s="339">
        <v>8.8900000000000007E-2</v>
      </c>
      <c r="J41" s="104"/>
      <c r="K41" s="101" t="s">
        <v>727</v>
      </c>
      <c r="M41" s="300">
        <f>C22</f>
        <v>15.02</v>
      </c>
    </row>
    <row r="42" spans="1:13" ht="18" customHeight="1">
      <c r="A42" s="357"/>
      <c r="B42" s="224" t="s">
        <v>286</v>
      </c>
      <c r="C42" s="225">
        <f>G40</f>
        <v>14.992087833333333</v>
      </c>
      <c r="D42" s="225">
        <f t="shared" ref="D42:D53" si="19">$C$22*$I$41/12</f>
        <v>0.11127316666666666</v>
      </c>
      <c r="E42" s="225">
        <f t="shared" si="16"/>
        <v>0.13742747180555556</v>
      </c>
      <c r="F42" s="225">
        <f>D42+E42</f>
        <v>0.24870063847222224</v>
      </c>
      <c r="G42" s="291">
        <f>C42+E42-F42</f>
        <v>14.880814666666666</v>
      </c>
      <c r="J42" s="104"/>
      <c r="K42" s="179" t="s">
        <v>728</v>
      </c>
      <c r="M42" s="335">
        <f>M41/M40</f>
        <v>0.13834817316548972</v>
      </c>
    </row>
    <row r="43" spans="1:13" ht="18" customHeight="1">
      <c r="A43" s="357"/>
      <c r="B43" s="224" t="s">
        <v>287</v>
      </c>
      <c r="C43" s="225">
        <f t="shared" ref="C43:C53" si="20">G42</f>
        <v>14.880814666666666</v>
      </c>
      <c r="D43" s="225">
        <f t="shared" si="19"/>
        <v>0.11127316666666666</v>
      </c>
      <c r="E43" s="225">
        <f t="shared" si="16"/>
        <v>0.13640746777777776</v>
      </c>
      <c r="F43" s="225">
        <f t="shared" ref="F43:F53" si="21">D43+E43</f>
        <v>0.24768063444444444</v>
      </c>
      <c r="G43" s="291">
        <f t="shared" ref="G43:G53" si="22">C43+E43-F43</f>
        <v>14.769541499999999</v>
      </c>
      <c r="H43" s="104"/>
      <c r="I43" s="104"/>
      <c r="J43" s="104"/>
    </row>
    <row r="44" spans="1:13" ht="18" customHeight="1">
      <c r="A44" s="357"/>
      <c r="B44" s="224" t="s">
        <v>288</v>
      </c>
      <c r="C44" s="225">
        <f t="shared" si="20"/>
        <v>14.769541499999999</v>
      </c>
      <c r="D44" s="225">
        <f t="shared" si="19"/>
        <v>0.11127316666666666</v>
      </c>
      <c r="E44" s="225">
        <f t="shared" si="16"/>
        <v>0.13538746374999999</v>
      </c>
      <c r="F44" s="225">
        <f t="shared" si="21"/>
        <v>0.24666063041666664</v>
      </c>
      <c r="G44" s="291">
        <f t="shared" si="22"/>
        <v>14.658268333333332</v>
      </c>
      <c r="H44" s="104"/>
      <c r="I44" s="104"/>
      <c r="J44" s="104"/>
    </row>
    <row r="45" spans="1:13" ht="18" customHeight="1">
      <c r="A45" s="357"/>
      <c r="B45" s="224" t="s">
        <v>289</v>
      </c>
      <c r="C45" s="225">
        <f t="shared" si="20"/>
        <v>14.658268333333332</v>
      </c>
      <c r="D45" s="225">
        <f t="shared" si="19"/>
        <v>0.11127316666666666</v>
      </c>
      <c r="E45" s="225">
        <f t="shared" si="16"/>
        <v>0.13436745972222222</v>
      </c>
      <c r="F45" s="225">
        <f t="shared" si="21"/>
        <v>0.24564062638888889</v>
      </c>
      <c r="G45" s="291">
        <f t="shared" si="22"/>
        <v>14.546995166666665</v>
      </c>
      <c r="H45" s="104"/>
      <c r="I45" s="104"/>
      <c r="J45" s="104"/>
    </row>
    <row r="46" spans="1:13" ht="18" customHeight="1">
      <c r="A46" s="357"/>
      <c r="B46" s="224" t="s">
        <v>290</v>
      </c>
      <c r="C46" s="225">
        <f t="shared" si="20"/>
        <v>14.546995166666665</v>
      </c>
      <c r="D46" s="225">
        <f t="shared" si="19"/>
        <v>0.11127316666666666</v>
      </c>
      <c r="E46" s="225">
        <f t="shared" si="16"/>
        <v>0.13334745569444442</v>
      </c>
      <c r="F46" s="225">
        <f t="shared" si="21"/>
        <v>0.2446206223611111</v>
      </c>
      <c r="G46" s="291">
        <f t="shared" si="22"/>
        <v>14.435721999999998</v>
      </c>
      <c r="H46" s="104"/>
      <c r="I46" s="104"/>
      <c r="J46" s="104"/>
    </row>
    <row r="47" spans="1:13" ht="18" customHeight="1">
      <c r="A47" s="357"/>
      <c r="B47" s="224" t="s">
        <v>291</v>
      </c>
      <c r="C47" s="225">
        <f t="shared" si="20"/>
        <v>14.435721999999998</v>
      </c>
      <c r="D47" s="225">
        <f t="shared" si="19"/>
        <v>0.11127316666666666</v>
      </c>
      <c r="E47" s="225">
        <f t="shared" si="16"/>
        <v>0.13232745166666665</v>
      </c>
      <c r="F47" s="225">
        <f t="shared" si="21"/>
        <v>0.2436006183333333</v>
      </c>
      <c r="G47" s="291">
        <f t="shared" si="22"/>
        <v>14.324448833333332</v>
      </c>
      <c r="H47" s="104"/>
      <c r="I47" s="104"/>
      <c r="J47" s="104"/>
      <c r="K47" s="100">
        <f>100/9</f>
        <v>11.111111111111111</v>
      </c>
    </row>
    <row r="48" spans="1:13" ht="18" customHeight="1">
      <c r="A48" s="357"/>
      <c r="B48" s="224" t="s">
        <v>292</v>
      </c>
      <c r="C48" s="225">
        <f t="shared" si="20"/>
        <v>14.324448833333332</v>
      </c>
      <c r="D48" s="225">
        <f t="shared" si="19"/>
        <v>0.11127316666666666</v>
      </c>
      <c r="E48" s="225">
        <f t="shared" si="16"/>
        <v>0.13130744763888888</v>
      </c>
      <c r="F48" s="225">
        <f t="shared" si="21"/>
        <v>0.24258061430555555</v>
      </c>
      <c r="G48" s="291">
        <f t="shared" si="22"/>
        <v>14.213175666666665</v>
      </c>
      <c r="H48" s="104"/>
      <c r="I48" s="104"/>
      <c r="J48" s="104"/>
      <c r="K48" s="100">
        <f>K47*0.2</f>
        <v>2.2222222222222223</v>
      </c>
    </row>
    <row r="49" spans="1:12" ht="18" customHeight="1">
      <c r="A49" s="357"/>
      <c r="B49" s="224" t="s">
        <v>293</v>
      </c>
      <c r="C49" s="225">
        <f t="shared" si="20"/>
        <v>14.213175666666665</v>
      </c>
      <c r="D49" s="225">
        <f t="shared" si="19"/>
        <v>0.11127316666666666</v>
      </c>
      <c r="E49" s="225">
        <f t="shared" si="16"/>
        <v>0.13028744361111108</v>
      </c>
      <c r="F49" s="225">
        <f t="shared" si="21"/>
        <v>0.24156061027777775</v>
      </c>
      <c r="G49" s="291">
        <f t="shared" si="22"/>
        <v>14.101902499999998</v>
      </c>
      <c r="H49" s="104"/>
      <c r="I49" s="104"/>
      <c r="J49" s="104"/>
    </row>
    <row r="50" spans="1:12" ht="18" customHeight="1">
      <c r="A50" s="357"/>
      <c r="B50" s="224" t="s">
        <v>294</v>
      </c>
      <c r="C50" s="225">
        <f t="shared" si="20"/>
        <v>14.101902499999998</v>
      </c>
      <c r="D50" s="225">
        <f t="shared" si="19"/>
        <v>0.11127316666666666</v>
      </c>
      <c r="E50" s="225">
        <f t="shared" si="16"/>
        <v>0.12926743958333331</v>
      </c>
      <c r="F50" s="225">
        <f t="shared" si="21"/>
        <v>0.24054060624999996</v>
      </c>
      <c r="G50" s="291">
        <f t="shared" si="22"/>
        <v>13.990629333333331</v>
      </c>
      <c r="H50" s="104"/>
      <c r="I50" s="104"/>
      <c r="J50" s="104"/>
    </row>
    <row r="51" spans="1:12" ht="18" customHeight="1">
      <c r="A51" s="357"/>
      <c r="B51" s="224" t="s">
        <v>295</v>
      </c>
      <c r="C51" s="225">
        <f t="shared" si="20"/>
        <v>13.990629333333331</v>
      </c>
      <c r="D51" s="225">
        <f t="shared" si="19"/>
        <v>0.11127316666666666</v>
      </c>
      <c r="E51" s="225">
        <f t="shared" si="16"/>
        <v>0.12824743555555554</v>
      </c>
      <c r="F51" s="225">
        <f t="shared" si="21"/>
        <v>0.23952060222222221</v>
      </c>
      <c r="G51" s="291">
        <f t="shared" si="22"/>
        <v>13.879356166666664</v>
      </c>
      <c r="H51" s="104"/>
      <c r="I51" s="104"/>
      <c r="J51" s="104"/>
    </row>
    <row r="52" spans="1:12" ht="18" customHeight="1">
      <c r="A52" s="357"/>
      <c r="B52" s="224" t="s">
        <v>296</v>
      </c>
      <c r="C52" s="225">
        <f t="shared" si="20"/>
        <v>13.879356166666664</v>
      </c>
      <c r="D52" s="225">
        <f t="shared" si="19"/>
        <v>0.11127316666666666</v>
      </c>
      <c r="E52" s="225">
        <f t="shared" si="16"/>
        <v>0.12722743152777774</v>
      </c>
      <c r="F52" s="225">
        <f t="shared" si="21"/>
        <v>0.23850059819444441</v>
      </c>
      <c r="G52" s="291">
        <f t="shared" si="22"/>
        <v>13.768082999999997</v>
      </c>
      <c r="H52" s="104"/>
      <c r="I52" s="104"/>
      <c r="J52" s="104"/>
    </row>
    <row r="53" spans="1:12" ht="18" customHeight="1">
      <c r="A53" s="357"/>
      <c r="B53" s="224" t="s">
        <v>297</v>
      </c>
      <c r="C53" s="225">
        <f t="shared" si="20"/>
        <v>13.768082999999997</v>
      </c>
      <c r="D53" s="225">
        <f t="shared" si="19"/>
        <v>0.11127316666666666</v>
      </c>
      <c r="E53" s="225">
        <f t="shared" si="16"/>
        <v>0.12620742749999997</v>
      </c>
      <c r="F53" s="225">
        <f t="shared" si="21"/>
        <v>0.23748059416666661</v>
      </c>
      <c r="G53" s="291">
        <f t="shared" si="22"/>
        <v>13.656809833333332</v>
      </c>
      <c r="H53" s="104"/>
      <c r="I53" s="104"/>
      <c r="J53" s="104"/>
    </row>
    <row r="54" spans="1:12" ht="18" customHeight="1">
      <c r="B54" s="130" t="s">
        <v>301</v>
      </c>
      <c r="C54" s="228"/>
      <c r="D54" s="228"/>
      <c r="E54" s="228"/>
      <c r="F54" s="228"/>
      <c r="G54" s="229"/>
      <c r="H54" s="104"/>
      <c r="I54" s="339">
        <v>0.1111</v>
      </c>
      <c r="J54" s="104"/>
      <c r="L54" s="109">
        <v>0.09</v>
      </c>
    </row>
    <row r="55" spans="1:12" ht="18" customHeight="1">
      <c r="B55" s="228" t="s">
        <v>286</v>
      </c>
      <c r="C55" s="229">
        <f>G53</f>
        <v>13.656809833333332</v>
      </c>
      <c r="D55" s="229">
        <f>$C$22*$I$54/12</f>
        <v>0.13906016666666668</v>
      </c>
      <c r="E55" s="229">
        <f t="shared" si="16"/>
        <v>0.1251874234722222</v>
      </c>
      <c r="F55" s="229">
        <f t="shared" ref="F55:F66" si="23">D55+E55</f>
        <v>0.26424759013888888</v>
      </c>
      <c r="G55" s="293">
        <f t="shared" ref="G55:G66" si="24">C55+E55-F55</f>
        <v>13.517749666666667</v>
      </c>
      <c r="H55" s="104"/>
      <c r="I55" s="104"/>
      <c r="J55" s="104"/>
    </row>
    <row r="56" spans="1:12" ht="18" customHeight="1">
      <c r="B56" s="228" t="s">
        <v>287</v>
      </c>
      <c r="C56" s="229">
        <f t="shared" ref="C56:C66" si="25">G55</f>
        <v>13.517749666666667</v>
      </c>
      <c r="D56" s="229">
        <f t="shared" ref="D56:D66" si="26">$C$22*$I$54/12</f>
        <v>0.13906016666666668</v>
      </c>
      <c r="E56" s="229">
        <f t="shared" si="16"/>
        <v>0.12391270527777777</v>
      </c>
      <c r="F56" s="229">
        <f t="shared" si="23"/>
        <v>0.26297287194444446</v>
      </c>
      <c r="G56" s="293">
        <f t="shared" si="24"/>
        <v>13.3786895</v>
      </c>
      <c r="H56" s="104"/>
      <c r="I56" s="104"/>
      <c r="J56" s="104"/>
    </row>
    <row r="57" spans="1:12" ht="18" customHeight="1">
      <c r="B57" s="228" t="s">
        <v>288</v>
      </c>
      <c r="C57" s="229">
        <f t="shared" si="25"/>
        <v>13.3786895</v>
      </c>
      <c r="D57" s="229">
        <f t="shared" si="26"/>
        <v>0.13906016666666668</v>
      </c>
      <c r="E57" s="229">
        <f t="shared" si="16"/>
        <v>0.12263798708333334</v>
      </c>
      <c r="F57" s="229">
        <f t="shared" si="23"/>
        <v>0.26169815375000005</v>
      </c>
      <c r="G57" s="293">
        <f t="shared" si="24"/>
        <v>13.239629333333333</v>
      </c>
      <c r="H57" s="104"/>
      <c r="I57" s="104"/>
      <c r="J57" s="104"/>
    </row>
    <row r="58" spans="1:12" ht="18" customHeight="1">
      <c r="B58" s="228" t="s">
        <v>289</v>
      </c>
      <c r="C58" s="229">
        <f t="shared" si="25"/>
        <v>13.239629333333333</v>
      </c>
      <c r="D58" s="229">
        <f t="shared" si="26"/>
        <v>0.13906016666666668</v>
      </c>
      <c r="E58" s="229">
        <f t="shared" si="16"/>
        <v>0.12136326888888889</v>
      </c>
      <c r="F58" s="229">
        <f t="shared" si="23"/>
        <v>0.26042343555555558</v>
      </c>
      <c r="G58" s="293">
        <f t="shared" si="24"/>
        <v>13.100569166666666</v>
      </c>
      <c r="H58" s="104"/>
      <c r="I58" s="104"/>
      <c r="J58" s="104"/>
    </row>
    <row r="59" spans="1:12" ht="18" customHeight="1">
      <c r="B59" s="228" t="s">
        <v>290</v>
      </c>
      <c r="C59" s="229">
        <f t="shared" si="25"/>
        <v>13.100569166666666</v>
      </c>
      <c r="D59" s="229">
        <f t="shared" si="26"/>
        <v>0.13906016666666668</v>
      </c>
      <c r="E59" s="229">
        <f t="shared" si="16"/>
        <v>0.12008855069444445</v>
      </c>
      <c r="F59" s="229">
        <f t="shared" si="23"/>
        <v>0.25914871736111111</v>
      </c>
      <c r="G59" s="293">
        <f t="shared" si="24"/>
        <v>12.961509</v>
      </c>
      <c r="H59" s="104"/>
      <c r="I59" s="104"/>
      <c r="J59" s="104"/>
    </row>
    <row r="60" spans="1:12" ht="18" customHeight="1">
      <c r="B60" s="228" t="s">
        <v>291</v>
      </c>
      <c r="C60" s="229">
        <f t="shared" si="25"/>
        <v>12.961509</v>
      </c>
      <c r="D60" s="229">
        <f t="shared" si="26"/>
        <v>0.13906016666666668</v>
      </c>
      <c r="E60" s="229">
        <f t="shared" si="16"/>
        <v>0.11881383249999999</v>
      </c>
      <c r="F60" s="229">
        <f t="shared" si="23"/>
        <v>0.25787399916666665</v>
      </c>
      <c r="G60" s="293">
        <f t="shared" si="24"/>
        <v>12.822448833333334</v>
      </c>
      <c r="H60" s="104"/>
      <c r="I60" s="104"/>
      <c r="J60" s="104"/>
    </row>
    <row r="61" spans="1:12" ht="18" customHeight="1">
      <c r="B61" s="228" t="s">
        <v>292</v>
      </c>
      <c r="C61" s="229">
        <f t="shared" si="25"/>
        <v>12.822448833333334</v>
      </c>
      <c r="D61" s="229">
        <f t="shared" si="26"/>
        <v>0.13906016666666668</v>
      </c>
      <c r="E61" s="229">
        <f t="shared" si="16"/>
        <v>0.11753911430555557</v>
      </c>
      <c r="F61" s="229">
        <f t="shared" si="23"/>
        <v>0.25659928097222223</v>
      </c>
      <c r="G61" s="293">
        <f t="shared" si="24"/>
        <v>12.683388666666668</v>
      </c>
      <c r="H61" s="104"/>
      <c r="I61" s="104"/>
      <c r="J61" s="104"/>
    </row>
    <row r="62" spans="1:12" ht="18" customHeight="1">
      <c r="B62" s="228" t="s">
        <v>293</v>
      </c>
      <c r="C62" s="229">
        <f t="shared" si="25"/>
        <v>12.683388666666668</v>
      </c>
      <c r="D62" s="229">
        <f t="shared" si="26"/>
        <v>0.13906016666666668</v>
      </c>
      <c r="E62" s="229">
        <f t="shared" si="16"/>
        <v>0.11626439611111111</v>
      </c>
      <c r="F62" s="229">
        <f t="shared" si="23"/>
        <v>0.25532456277777782</v>
      </c>
      <c r="G62" s="293">
        <f t="shared" si="24"/>
        <v>12.544328500000001</v>
      </c>
      <c r="H62" s="104"/>
      <c r="I62" s="104"/>
      <c r="J62" s="104"/>
    </row>
    <row r="63" spans="1:12" ht="18" customHeight="1">
      <c r="B63" s="228" t="s">
        <v>294</v>
      </c>
      <c r="C63" s="229">
        <f t="shared" si="25"/>
        <v>12.544328500000001</v>
      </c>
      <c r="D63" s="229">
        <f t="shared" si="26"/>
        <v>0.13906016666666668</v>
      </c>
      <c r="E63" s="229">
        <f t="shared" si="16"/>
        <v>0.11498967791666669</v>
      </c>
      <c r="F63" s="229">
        <f t="shared" si="23"/>
        <v>0.25404984458333335</v>
      </c>
      <c r="G63" s="293">
        <f t="shared" si="24"/>
        <v>12.405268333333334</v>
      </c>
      <c r="H63" s="104"/>
      <c r="I63" s="104"/>
      <c r="J63" s="104"/>
    </row>
    <row r="64" spans="1:12" ht="18" customHeight="1">
      <c r="B64" s="228" t="s">
        <v>295</v>
      </c>
      <c r="C64" s="229">
        <f t="shared" si="25"/>
        <v>12.405268333333334</v>
      </c>
      <c r="D64" s="229">
        <f t="shared" si="26"/>
        <v>0.13906016666666668</v>
      </c>
      <c r="E64" s="229">
        <f t="shared" si="16"/>
        <v>0.11371495972222223</v>
      </c>
      <c r="F64" s="229">
        <f t="shared" si="23"/>
        <v>0.25277512638888888</v>
      </c>
      <c r="G64" s="293">
        <f t="shared" si="24"/>
        <v>12.266208166666667</v>
      </c>
      <c r="H64" s="104"/>
      <c r="I64" s="104"/>
      <c r="J64" s="104"/>
    </row>
    <row r="65" spans="2:12" ht="18" customHeight="1">
      <c r="B65" s="228" t="s">
        <v>296</v>
      </c>
      <c r="C65" s="229">
        <f t="shared" si="25"/>
        <v>12.266208166666667</v>
      </c>
      <c r="D65" s="229">
        <f t="shared" si="26"/>
        <v>0.13906016666666668</v>
      </c>
      <c r="E65" s="229">
        <f t="shared" si="16"/>
        <v>0.11244024152777778</v>
      </c>
      <c r="F65" s="229">
        <f t="shared" si="23"/>
        <v>0.25150040819444447</v>
      </c>
      <c r="G65" s="293">
        <f t="shared" si="24"/>
        <v>12.127148000000002</v>
      </c>
      <c r="H65" s="104"/>
      <c r="I65" s="104"/>
      <c r="J65" s="104"/>
    </row>
    <row r="66" spans="2:12" ht="18" customHeight="1">
      <c r="B66" s="228" t="s">
        <v>297</v>
      </c>
      <c r="C66" s="229">
        <f t="shared" si="25"/>
        <v>12.127148000000002</v>
      </c>
      <c r="D66" s="229">
        <f t="shared" si="26"/>
        <v>0.13906016666666668</v>
      </c>
      <c r="E66" s="229">
        <f t="shared" si="16"/>
        <v>0.11116552333333335</v>
      </c>
      <c r="F66" s="229">
        <f t="shared" si="23"/>
        <v>0.25022569000000006</v>
      </c>
      <c r="G66" s="293">
        <f t="shared" si="24"/>
        <v>11.988087833333335</v>
      </c>
      <c r="H66" s="104"/>
      <c r="I66" s="104"/>
      <c r="J66" s="104"/>
    </row>
    <row r="67" spans="2:12" ht="18" customHeight="1">
      <c r="B67" s="134" t="s">
        <v>302</v>
      </c>
      <c r="C67" s="134"/>
      <c r="D67" s="134"/>
      <c r="E67" s="134"/>
      <c r="F67" s="134"/>
      <c r="G67" s="152"/>
      <c r="H67" s="128"/>
      <c r="I67" s="339">
        <v>0.1111</v>
      </c>
      <c r="J67" s="128"/>
      <c r="L67" s="109">
        <v>0.1</v>
      </c>
    </row>
    <row r="68" spans="2:12" ht="18" customHeight="1">
      <c r="B68" s="226" t="s">
        <v>286</v>
      </c>
      <c r="C68" s="227">
        <f>G66</f>
        <v>11.988087833333335</v>
      </c>
      <c r="D68" s="227">
        <f>$C$22*$I$67/12</f>
        <v>0.13906016666666668</v>
      </c>
      <c r="E68" s="227">
        <f t="shared" si="16"/>
        <v>0.10989080513888889</v>
      </c>
      <c r="F68" s="227">
        <f t="shared" ref="F68:F91" si="27">D68+E68</f>
        <v>0.24895097180555559</v>
      </c>
      <c r="G68" s="294">
        <f t="shared" ref="G68:G92" si="28">C68+E68-F68</f>
        <v>11.849027666666668</v>
      </c>
      <c r="H68" s="104"/>
      <c r="I68" s="104"/>
      <c r="J68" s="104"/>
    </row>
    <row r="69" spans="2:12" ht="18" customHeight="1">
      <c r="B69" s="226" t="s">
        <v>287</v>
      </c>
      <c r="C69" s="227">
        <f t="shared" ref="C69:C79" si="29">G68</f>
        <v>11.849027666666668</v>
      </c>
      <c r="D69" s="227">
        <f t="shared" ref="D69:D79" si="30">$C$22*$I$67/12</f>
        <v>0.13906016666666668</v>
      </c>
      <c r="E69" s="227">
        <f t="shared" si="16"/>
        <v>0.10861608694444445</v>
      </c>
      <c r="F69" s="227">
        <f t="shared" si="27"/>
        <v>0.24767625361111112</v>
      </c>
      <c r="G69" s="294">
        <f t="shared" si="28"/>
        <v>11.709967500000001</v>
      </c>
      <c r="H69" s="104"/>
      <c r="I69" s="104"/>
      <c r="J69" s="104"/>
    </row>
    <row r="70" spans="2:12" ht="18" customHeight="1">
      <c r="B70" s="226" t="s">
        <v>288</v>
      </c>
      <c r="C70" s="227">
        <f t="shared" si="29"/>
        <v>11.709967500000001</v>
      </c>
      <c r="D70" s="227">
        <f t="shared" si="30"/>
        <v>0.13906016666666668</v>
      </c>
      <c r="E70" s="227">
        <f t="shared" si="16"/>
        <v>0.10734136875000001</v>
      </c>
      <c r="F70" s="227">
        <f t="shared" si="27"/>
        <v>0.24640153541666671</v>
      </c>
      <c r="G70" s="294">
        <f t="shared" si="28"/>
        <v>11.570907333333334</v>
      </c>
      <c r="H70" s="104"/>
      <c r="I70" s="104"/>
      <c r="J70" s="104"/>
    </row>
    <row r="71" spans="2:12" ht="18" customHeight="1">
      <c r="B71" s="226" t="s">
        <v>289</v>
      </c>
      <c r="C71" s="227">
        <f t="shared" si="29"/>
        <v>11.570907333333334</v>
      </c>
      <c r="D71" s="227">
        <f t="shared" si="30"/>
        <v>0.13906016666666668</v>
      </c>
      <c r="E71" s="227">
        <f t="shared" si="16"/>
        <v>0.10606665055555557</v>
      </c>
      <c r="F71" s="227">
        <f t="shared" si="27"/>
        <v>0.24512681722222224</v>
      </c>
      <c r="G71" s="294">
        <f t="shared" si="28"/>
        <v>11.431847166666669</v>
      </c>
      <c r="H71" s="104"/>
      <c r="I71" s="104"/>
      <c r="J71" s="104"/>
    </row>
    <row r="72" spans="2:12" ht="18" customHeight="1">
      <c r="B72" s="226" t="s">
        <v>290</v>
      </c>
      <c r="C72" s="227">
        <f t="shared" si="29"/>
        <v>11.431847166666669</v>
      </c>
      <c r="D72" s="227">
        <f t="shared" si="30"/>
        <v>0.13906016666666668</v>
      </c>
      <c r="E72" s="227">
        <f t="shared" si="16"/>
        <v>0.10479193236111113</v>
      </c>
      <c r="F72" s="227">
        <f t="shared" si="27"/>
        <v>0.24385209902777782</v>
      </c>
      <c r="G72" s="294">
        <f t="shared" si="28"/>
        <v>11.292787000000002</v>
      </c>
      <c r="H72" s="104"/>
      <c r="I72" s="104"/>
      <c r="J72" s="104"/>
    </row>
    <row r="73" spans="2:12" ht="18" customHeight="1">
      <c r="B73" s="226" t="s">
        <v>291</v>
      </c>
      <c r="C73" s="227">
        <f t="shared" si="29"/>
        <v>11.292787000000002</v>
      </c>
      <c r="D73" s="227">
        <f t="shared" si="30"/>
        <v>0.13906016666666668</v>
      </c>
      <c r="E73" s="227">
        <f t="shared" si="16"/>
        <v>0.10351721416666669</v>
      </c>
      <c r="F73" s="227">
        <f t="shared" si="27"/>
        <v>0.24257738083333336</v>
      </c>
      <c r="G73" s="294">
        <f t="shared" si="28"/>
        <v>11.153726833333335</v>
      </c>
      <c r="H73" s="104"/>
      <c r="I73" s="104"/>
      <c r="J73" s="104"/>
    </row>
    <row r="74" spans="2:12" ht="18" customHeight="1">
      <c r="B74" s="226" t="s">
        <v>292</v>
      </c>
      <c r="C74" s="227">
        <f t="shared" si="29"/>
        <v>11.153726833333335</v>
      </c>
      <c r="D74" s="227">
        <f t="shared" si="30"/>
        <v>0.13906016666666668</v>
      </c>
      <c r="E74" s="227">
        <f t="shared" si="16"/>
        <v>0.10224249597222224</v>
      </c>
      <c r="F74" s="227">
        <f t="shared" si="27"/>
        <v>0.24130266263888892</v>
      </c>
      <c r="G74" s="294">
        <f t="shared" si="28"/>
        <v>11.014666666666669</v>
      </c>
      <c r="H74" s="104"/>
      <c r="I74" s="104"/>
      <c r="J74" s="104"/>
    </row>
    <row r="75" spans="2:12" ht="18" customHeight="1">
      <c r="B75" s="226" t="s">
        <v>293</v>
      </c>
      <c r="C75" s="227">
        <f t="shared" si="29"/>
        <v>11.014666666666669</v>
      </c>
      <c r="D75" s="227">
        <f t="shared" si="30"/>
        <v>0.13906016666666668</v>
      </c>
      <c r="E75" s="227">
        <f t="shared" si="16"/>
        <v>0.10096777777777781</v>
      </c>
      <c r="F75" s="227">
        <f t="shared" si="27"/>
        <v>0.24002794444444447</v>
      </c>
      <c r="G75" s="294">
        <f t="shared" si="28"/>
        <v>10.875606500000002</v>
      </c>
      <c r="H75" s="104"/>
      <c r="I75" s="104"/>
      <c r="J75" s="104"/>
    </row>
    <row r="76" spans="2:12" ht="18" customHeight="1">
      <c r="B76" s="226" t="s">
        <v>294</v>
      </c>
      <c r="C76" s="227">
        <f t="shared" si="29"/>
        <v>10.875606500000002</v>
      </c>
      <c r="D76" s="227">
        <f t="shared" si="30"/>
        <v>0.13906016666666668</v>
      </c>
      <c r="E76" s="227">
        <f t="shared" si="16"/>
        <v>9.9693059583333354E-2</v>
      </c>
      <c r="F76" s="227">
        <f t="shared" si="27"/>
        <v>0.23875322625000003</v>
      </c>
      <c r="G76" s="294">
        <f t="shared" si="28"/>
        <v>10.736546333333337</v>
      </c>
      <c r="H76" s="104"/>
      <c r="I76" s="104"/>
      <c r="J76" s="104"/>
    </row>
    <row r="77" spans="2:12" ht="18" customHeight="1">
      <c r="B77" s="226" t="s">
        <v>295</v>
      </c>
      <c r="C77" s="227">
        <f t="shared" si="29"/>
        <v>10.736546333333337</v>
      </c>
      <c r="D77" s="227">
        <f t="shared" si="30"/>
        <v>0.13906016666666668</v>
      </c>
      <c r="E77" s="227">
        <f t="shared" si="16"/>
        <v>9.8418341388888927E-2</v>
      </c>
      <c r="F77" s="227">
        <f t="shared" si="27"/>
        <v>0.23747850805555559</v>
      </c>
      <c r="G77" s="294">
        <f t="shared" si="28"/>
        <v>10.59748616666667</v>
      </c>
      <c r="H77" s="104"/>
      <c r="I77" s="104"/>
      <c r="J77" s="104"/>
    </row>
    <row r="78" spans="2:12" ht="18" customHeight="1">
      <c r="B78" s="226" t="s">
        <v>296</v>
      </c>
      <c r="C78" s="227">
        <f t="shared" si="29"/>
        <v>10.59748616666667</v>
      </c>
      <c r="D78" s="227">
        <f t="shared" si="30"/>
        <v>0.13906016666666668</v>
      </c>
      <c r="E78" s="227">
        <f t="shared" si="16"/>
        <v>9.7143623194444473E-2</v>
      </c>
      <c r="F78" s="227">
        <f t="shared" si="27"/>
        <v>0.23620378986111115</v>
      </c>
      <c r="G78" s="294">
        <f t="shared" si="28"/>
        <v>10.458426000000003</v>
      </c>
      <c r="H78" s="104"/>
      <c r="I78" s="104"/>
      <c r="J78" s="104"/>
    </row>
    <row r="79" spans="2:12" ht="18" customHeight="1">
      <c r="B79" s="226" t="s">
        <v>297</v>
      </c>
      <c r="C79" s="227">
        <f t="shared" si="29"/>
        <v>10.458426000000003</v>
      </c>
      <c r="D79" s="227">
        <f t="shared" si="30"/>
        <v>0.13906016666666668</v>
      </c>
      <c r="E79" s="227">
        <f t="shared" si="16"/>
        <v>9.5868905000000018E-2</v>
      </c>
      <c r="F79" s="227">
        <f t="shared" si="27"/>
        <v>0.23492907166666671</v>
      </c>
      <c r="G79" s="294">
        <f t="shared" si="28"/>
        <v>10.319365833333336</v>
      </c>
      <c r="H79" s="104"/>
      <c r="I79" s="104"/>
      <c r="J79" s="104"/>
    </row>
    <row r="80" spans="2:12" ht="18" customHeight="1">
      <c r="B80" s="217" t="s">
        <v>303</v>
      </c>
      <c r="C80" s="218"/>
      <c r="D80" s="218"/>
      <c r="E80" s="217"/>
      <c r="F80" s="218"/>
      <c r="G80" s="218"/>
      <c r="H80" s="128"/>
      <c r="I80" s="339">
        <v>0.1111</v>
      </c>
      <c r="J80" s="128"/>
      <c r="L80" s="109">
        <v>0.1</v>
      </c>
    </row>
    <row r="81" spans="2:12" ht="18" customHeight="1">
      <c r="B81" s="216" t="s">
        <v>286</v>
      </c>
      <c r="C81" s="232">
        <f>G79</f>
        <v>10.319365833333336</v>
      </c>
      <c r="D81" s="232">
        <f>$C$22*$I$80/12</f>
        <v>0.13906016666666668</v>
      </c>
      <c r="E81" s="232">
        <f t="shared" si="16"/>
        <v>9.4594186805555577E-2</v>
      </c>
      <c r="F81" s="232">
        <f>D81+E81</f>
        <v>0.23365435347222224</v>
      </c>
      <c r="G81" s="295">
        <f>C81+E81-F81</f>
        <v>10.180305666666669</v>
      </c>
      <c r="H81" s="104"/>
      <c r="I81" s="104"/>
      <c r="J81" s="104"/>
    </row>
    <row r="82" spans="2:12" ht="18" customHeight="1">
      <c r="B82" s="216" t="s">
        <v>287</v>
      </c>
      <c r="C82" s="232">
        <f t="shared" ref="C82:C92" si="31">G81</f>
        <v>10.180305666666669</v>
      </c>
      <c r="D82" s="232">
        <f t="shared" ref="D82:D92" si="32">$C$22*$I$80/12</f>
        <v>0.13906016666666668</v>
      </c>
      <c r="E82" s="232">
        <f t="shared" si="16"/>
        <v>9.3319468611111137E-2</v>
      </c>
      <c r="F82" s="232">
        <f t="shared" si="27"/>
        <v>0.23237963527777783</v>
      </c>
      <c r="G82" s="295">
        <f t="shared" si="28"/>
        <v>10.041245500000002</v>
      </c>
      <c r="H82" s="104"/>
      <c r="I82" s="104"/>
      <c r="J82" s="104"/>
    </row>
    <row r="83" spans="2:12" ht="18" customHeight="1">
      <c r="B83" s="216" t="s">
        <v>288</v>
      </c>
      <c r="C83" s="232">
        <f t="shared" si="31"/>
        <v>10.041245500000002</v>
      </c>
      <c r="D83" s="232">
        <f t="shared" si="32"/>
        <v>0.13906016666666668</v>
      </c>
      <c r="E83" s="232">
        <f t="shared" si="16"/>
        <v>9.2044750416666696E-2</v>
      </c>
      <c r="F83" s="232">
        <f t="shared" si="27"/>
        <v>0.23110491708333336</v>
      </c>
      <c r="G83" s="295">
        <f t="shared" si="28"/>
        <v>9.9021853333333354</v>
      </c>
      <c r="H83" s="104"/>
      <c r="I83" s="104"/>
      <c r="J83" s="104"/>
    </row>
    <row r="84" spans="2:12" ht="18" customHeight="1">
      <c r="B84" s="216" t="s">
        <v>289</v>
      </c>
      <c r="C84" s="232">
        <f t="shared" si="31"/>
        <v>9.9021853333333354</v>
      </c>
      <c r="D84" s="232">
        <f t="shared" si="32"/>
        <v>0.13906016666666668</v>
      </c>
      <c r="E84" s="232">
        <f t="shared" si="16"/>
        <v>9.0770032222222241E-2</v>
      </c>
      <c r="F84" s="232">
        <f t="shared" si="27"/>
        <v>0.22983019888888892</v>
      </c>
      <c r="G84" s="295">
        <f t="shared" si="28"/>
        <v>9.7631251666666685</v>
      </c>
      <c r="H84" s="104"/>
      <c r="I84" s="104"/>
      <c r="J84" s="104"/>
    </row>
    <row r="85" spans="2:12" ht="18" customHeight="1">
      <c r="B85" s="216" t="s">
        <v>290</v>
      </c>
      <c r="C85" s="232">
        <f t="shared" si="31"/>
        <v>9.7631251666666685</v>
      </c>
      <c r="D85" s="232">
        <f t="shared" si="32"/>
        <v>0.13906016666666668</v>
      </c>
      <c r="E85" s="232">
        <f t="shared" si="16"/>
        <v>8.9495314027777786E-2</v>
      </c>
      <c r="F85" s="232">
        <f t="shared" si="27"/>
        <v>0.22855548069444448</v>
      </c>
      <c r="G85" s="295">
        <f t="shared" si="28"/>
        <v>9.6240650000000016</v>
      </c>
      <c r="H85" s="104"/>
      <c r="I85" s="104"/>
      <c r="J85" s="104"/>
    </row>
    <row r="86" spans="2:12" ht="18" customHeight="1">
      <c r="B86" s="216" t="s">
        <v>291</v>
      </c>
      <c r="C86" s="232">
        <f t="shared" si="31"/>
        <v>9.6240650000000016</v>
      </c>
      <c r="D86" s="232">
        <f t="shared" si="32"/>
        <v>0.13906016666666668</v>
      </c>
      <c r="E86" s="232">
        <f t="shared" si="16"/>
        <v>8.8220595833333346E-2</v>
      </c>
      <c r="F86" s="232">
        <f t="shared" si="27"/>
        <v>0.22728076250000001</v>
      </c>
      <c r="G86" s="295">
        <f t="shared" si="28"/>
        <v>9.4850048333333348</v>
      </c>
      <c r="H86" s="104"/>
      <c r="I86" s="104"/>
      <c r="J86" s="104"/>
    </row>
    <row r="87" spans="2:12" ht="18" customHeight="1">
      <c r="B87" s="216" t="s">
        <v>292</v>
      </c>
      <c r="C87" s="232">
        <f t="shared" si="31"/>
        <v>9.4850048333333348</v>
      </c>
      <c r="D87" s="232">
        <f t="shared" si="32"/>
        <v>0.13906016666666668</v>
      </c>
      <c r="E87" s="232">
        <f t="shared" si="16"/>
        <v>8.6945877638888905E-2</v>
      </c>
      <c r="F87" s="232">
        <f t="shared" si="27"/>
        <v>0.2260060443055556</v>
      </c>
      <c r="G87" s="295">
        <f t="shared" si="28"/>
        <v>9.3459446666666679</v>
      </c>
      <c r="H87" s="104"/>
      <c r="I87" s="104"/>
      <c r="J87" s="104"/>
    </row>
    <row r="88" spans="2:12" ht="18" customHeight="1">
      <c r="B88" s="216" t="s">
        <v>293</v>
      </c>
      <c r="C88" s="232">
        <f t="shared" si="31"/>
        <v>9.3459446666666679</v>
      </c>
      <c r="D88" s="232">
        <f t="shared" si="32"/>
        <v>0.13906016666666668</v>
      </c>
      <c r="E88" s="232">
        <f t="shared" si="16"/>
        <v>8.5671159444444464E-2</v>
      </c>
      <c r="F88" s="232">
        <f t="shared" si="27"/>
        <v>0.22473132611111113</v>
      </c>
      <c r="G88" s="295">
        <f t="shared" si="28"/>
        <v>9.206884500000001</v>
      </c>
      <c r="H88" s="104"/>
      <c r="I88" s="104"/>
      <c r="J88" s="104"/>
    </row>
    <row r="89" spans="2:12" ht="18" customHeight="1">
      <c r="B89" s="216" t="s">
        <v>294</v>
      </c>
      <c r="C89" s="232">
        <f t="shared" si="31"/>
        <v>9.206884500000001</v>
      </c>
      <c r="D89" s="232">
        <f t="shared" si="32"/>
        <v>0.13906016666666668</v>
      </c>
      <c r="E89" s="232">
        <f t="shared" si="16"/>
        <v>8.4396441250000009E-2</v>
      </c>
      <c r="F89" s="232">
        <f t="shared" si="27"/>
        <v>0.22345660791666669</v>
      </c>
      <c r="G89" s="295">
        <f t="shared" si="28"/>
        <v>9.0678243333333342</v>
      </c>
      <c r="H89" s="104"/>
      <c r="I89" s="104"/>
      <c r="J89" s="104"/>
    </row>
    <row r="90" spans="2:12" ht="18" customHeight="1">
      <c r="B90" s="216" t="s">
        <v>295</v>
      </c>
      <c r="C90" s="232">
        <f t="shared" si="31"/>
        <v>9.0678243333333342</v>
      </c>
      <c r="D90" s="232">
        <f t="shared" si="32"/>
        <v>0.13906016666666668</v>
      </c>
      <c r="E90" s="232">
        <f t="shared" si="16"/>
        <v>8.3121723055555555E-2</v>
      </c>
      <c r="F90" s="232">
        <f t="shared" si="27"/>
        <v>0.22218188972222225</v>
      </c>
      <c r="G90" s="295">
        <f t="shared" si="28"/>
        <v>8.9287641666666673</v>
      </c>
      <c r="H90" s="104"/>
      <c r="I90" s="104"/>
      <c r="J90" s="104"/>
    </row>
    <row r="91" spans="2:12" ht="18" customHeight="1">
      <c r="B91" s="216" t="s">
        <v>296</v>
      </c>
      <c r="C91" s="232">
        <f t="shared" si="31"/>
        <v>8.9287641666666673</v>
      </c>
      <c r="D91" s="232">
        <f t="shared" si="32"/>
        <v>0.13906016666666668</v>
      </c>
      <c r="E91" s="232">
        <f t="shared" si="16"/>
        <v>8.1847004861111114E-2</v>
      </c>
      <c r="F91" s="232">
        <f t="shared" si="27"/>
        <v>0.22090717152777778</v>
      </c>
      <c r="G91" s="295">
        <f t="shared" si="28"/>
        <v>8.7897040000000004</v>
      </c>
      <c r="H91" s="104"/>
      <c r="I91" s="104"/>
      <c r="J91" s="104"/>
    </row>
    <row r="92" spans="2:12" ht="18" customHeight="1">
      <c r="B92" s="216" t="s">
        <v>297</v>
      </c>
      <c r="C92" s="232">
        <f t="shared" si="31"/>
        <v>8.7897040000000004</v>
      </c>
      <c r="D92" s="232">
        <f t="shared" si="32"/>
        <v>0.13906016666666668</v>
      </c>
      <c r="E92" s="232">
        <f t="shared" si="16"/>
        <v>8.0572286666666673E-2</v>
      </c>
      <c r="F92" s="232">
        <f>D92+E92</f>
        <v>0.21963245333333337</v>
      </c>
      <c r="G92" s="295">
        <f t="shared" si="28"/>
        <v>8.6506438333333335</v>
      </c>
      <c r="H92" s="104"/>
      <c r="I92" s="104"/>
      <c r="J92" s="104"/>
    </row>
    <row r="93" spans="2:12" ht="18" customHeight="1">
      <c r="B93" s="118" t="s">
        <v>304</v>
      </c>
      <c r="C93" s="146"/>
      <c r="D93" s="146"/>
      <c r="E93" s="118"/>
      <c r="F93" s="146"/>
      <c r="G93" s="146"/>
      <c r="H93" s="128"/>
      <c r="I93" s="339">
        <v>0.1111</v>
      </c>
      <c r="J93" s="128"/>
      <c r="L93" s="109">
        <v>0.1</v>
      </c>
    </row>
    <row r="94" spans="2:12" ht="18" customHeight="1">
      <c r="B94" s="149" t="s">
        <v>286</v>
      </c>
      <c r="C94" s="297">
        <f>G92</f>
        <v>8.6506438333333335</v>
      </c>
      <c r="D94" s="297">
        <f>$C$22*$I$93/12</f>
        <v>0.13906016666666668</v>
      </c>
      <c r="E94" s="297">
        <f t="shared" si="16"/>
        <v>7.9297568472222232E-2</v>
      </c>
      <c r="F94" s="297">
        <f t="shared" ref="F94:F105" si="33">D94+E94</f>
        <v>0.2183577351388889</v>
      </c>
      <c r="G94" s="296">
        <f>C94+E94-F94</f>
        <v>8.5115836666666667</v>
      </c>
      <c r="H94" s="104"/>
      <c r="I94" s="104"/>
      <c r="J94" s="104"/>
    </row>
    <row r="95" spans="2:12" ht="18" customHeight="1">
      <c r="B95" s="149" t="s">
        <v>287</v>
      </c>
      <c r="C95" s="297">
        <f t="shared" ref="C95:C105" si="34">G94</f>
        <v>8.5115836666666667</v>
      </c>
      <c r="D95" s="297">
        <f t="shared" ref="D95:D105" si="35">$C$22*$I$93/12</f>
        <v>0.13906016666666668</v>
      </c>
      <c r="E95" s="297">
        <f t="shared" ref="E95:E105" si="36">(C95*$C$23)/12</f>
        <v>7.8022850277777778E-2</v>
      </c>
      <c r="F95" s="297">
        <f t="shared" si="33"/>
        <v>0.21708301694444446</v>
      </c>
      <c r="G95" s="296">
        <f t="shared" ref="G95:G105" si="37">C95+E95-F95</f>
        <v>8.3725234999999998</v>
      </c>
      <c r="H95" s="104"/>
      <c r="I95" s="104"/>
      <c r="J95" s="104"/>
    </row>
    <row r="96" spans="2:12" ht="18" customHeight="1">
      <c r="B96" s="149" t="s">
        <v>288</v>
      </c>
      <c r="C96" s="297">
        <f t="shared" si="34"/>
        <v>8.3725234999999998</v>
      </c>
      <c r="D96" s="297">
        <f t="shared" si="35"/>
        <v>0.13906016666666668</v>
      </c>
      <c r="E96" s="297">
        <f t="shared" si="36"/>
        <v>7.6748132083333323E-2</v>
      </c>
      <c r="F96" s="297">
        <f t="shared" si="33"/>
        <v>0.21580829875000002</v>
      </c>
      <c r="G96" s="296">
        <f t="shared" si="37"/>
        <v>8.2334633333333329</v>
      </c>
      <c r="H96" s="104"/>
      <c r="I96" s="104"/>
      <c r="J96" s="104"/>
    </row>
    <row r="97" spans="2:12" ht="18" customHeight="1">
      <c r="B97" s="149" t="s">
        <v>289</v>
      </c>
      <c r="C97" s="297">
        <f t="shared" si="34"/>
        <v>8.2334633333333329</v>
      </c>
      <c r="D97" s="297">
        <f t="shared" si="35"/>
        <v>0.13906016666666668</v>
      </c>
      <c r="E97" s="297">
        <f t="shared" si="36"/>
        <v>7.5473413888888882E-2</v>
      </c>
      <c r="F97" s="297">
        <f t="shared" si="33"/>
        <v>0.21453358055555555</v>
      </c>
      <c r="G97" s="296">
        <f t="shared" si="37"/>
        <v>8.094403166666666</v>
      </c>
      <c r="H97" s="104"/>
      <c r="I97" s="104"/>
      <c r="J97" s="104"/>
    </row>
    <row r="98" spans="2:12" ht="18" customHeight="1">
      <c r="B98" s="149" t="s">
        <v>290</v>
      </c>
      <c r="C98" s="297">
        <f t="shared" si="34"/>
        <v>8.094403166666666</v>
      </c>
      <c r="D98" s="297">
        <f t="shared" si="35"/>
        <v>0.13906016666666668</v>
      </c>
      <c r="E98" s="297">
        <f t="shared" si="36"/>
        <v>7.4198695694444441E-2</v>
      </c>
      <c r="F98" s="297">
        <f t="shared" si="33"/>
        <v>0.21325886236111113</v>
      </c>
      <c r="G98" s="296">
        <f t="shared" si="37"/>
        <v>7.9553430000000001</v>
      </c>
      <c r="H98" s="104"/>
      <c r="I98" s="104"/>
      <c r="J98" s="104"/>
    </row>
    <row r="99" spans="2:12" ht="18" customHeight="1">
      <c r="B99" s="149" t="s">
        <v>291</v>
      </c>
      <c r="C99" s="297">
        <f t="shared" si="34"/>
        <v>7.9553430000000001</v>
      </c>
      <c r="D99" s="297">
        <f t="shared" si="35"/>
        <v>0.13906016666666668</v>
      </c>
      <c r="E99" s="297">
        <f t="shared" si="36"/>
        <v>7.2923977500000001E-2</v>
      </c>
      <c r="F99" s="297">
        <f t="shared" si="33"/>
        <v>0.21198414416666667</v>
      </c>
      <c r="G99" s="296">
        <f t="shared" si="37"/>
        <v>7.8162828333333332</v>
      </c>
      <c r="H99" s="104"/>
      <c r="I99" s="104"/>
      <c r="J99" s="104"/>
    </row>
    <row r="100" spans="2:12" ht="18" customHeight="1">
      <c r="B100" s="149" t="s">
        <v>292</v>
      </c>
      <c r="C100" s="297">
        <f t="shared" si="34"/>
        <v>7.8162828333333332</v>
      </c>
      <c r="D100" s="297">
        <f t="shared" si="35"/>
        <v>0.13906016666666668</v>
      </c>
      <c r="E100" s="297">
        <f t="shared" si="36"/>
        <v>7.164925930555556E-2</v>
      </c>
      <c r="F100" s="297">
        <f t="shared" si="33"/>
        <v>0.21070942597222225</v>
      </c>
      <c r="G100" s="296">
        <f t="shared" si="37"/>
        <v>7.6772226666666663</v>
      </c>
      <c r="H100" s="104"/>
      <c r="I100" s="104"/>
      <c r="J100" s="104"/>
    </row>
    <row r="101" spans="2:12" ht="18" customHeight="1">
      <c r="B101" s="149" t="s">
        <v>293</v>
      </c>
      <c r="C101" s="297">
        <f t="shared" si="34"/>
        <v>7.6772226666666663</v>
      </c>
      <c r="D101" s="297">
        <f t="shared" si="35"/>
        <v>0.13906016666666668</v>
      </c>
      <c r="E101" s="297">
        <f t="shared" si="36"/>
        <v>7.0374541111111105E-2</v>
      </c>
      <c r="F101" s="297">
        <f t="shared" si="33"/>
        <v>0.20943470777777778</v>
      </c>
      <c r="G101" s="296">
        <f t="shared" si="37"/>
        <v>7.5381624999999994</v>
      </c>
      <c r="H101" s="104"/>
      <c r="I101" s="104"/>
      <c r="J101" s="104"/>
    </row>
    <row r="102" spans="2:12" ht="18" customHeight="1">
      <c r="B102" s="149" t="s">
        <v>294</v>
      </c>
      <c r="C102" s="297">
        <f t="shared" si="34"/>
        <v>7.5381624999999994</v>
      </c>
      <c r="D102" s="297">
        <f t="shared" si="35"/>
        <v>0.13906016666666668</v>
      </c>
      <c r="E102" s="297">
        <f t="shared" si="36"/>
        <v>6.9099822916666664E-2</v>
      </c>
      <c r="F102" s="297">
        <f t="shared" si="33"/>
        <v>0.20815998958333334</v>
      </c>
      <c r="G102" s="296">
        <f t="shared" si="37"/>
        <v>7.3991023333333326</v>
      </c>
      <c r="H102" s="104"/>
      <c r="I102" s="104"/>
      <c r="J102" s="104"/>
    </row>
    <row r="103" spans="2:12" ht="18" customHeight="1">
      <c r="B103" s="149" t="s">
        <v>295</v>
      </c>
      <c r="C103" s="297">
        <f t="shared" si="34"/>
        <v>7.3991023333333326</v>
      </c>
      <c r="D103" s="297">
        <f t="shared" si="35"/>
        <v>0.13906016666666668</v>
      </c>
      <c r="E103" s="297">
        <f t="shared" si="36"/>
        <v>6.782510472222221E-2</v>
      </c>
      <c r="F103" s="297">
        <f t="shared" si="33"/>
        <v>0.2068852713888889</v>
      </c>
      <c r="G103" s="296">
        <f t="shared" si="37"/>
        <v>7.2600421666666657</v>
      </c>
      <c r="H103" s="104"/>
      <c r="I103" s="104"/>
      <c r="J103" s="104"/>
    </row>
    <row r="104" spans="2:12" ht="18" customHeight="1">
      <c r="B104" s="149" t="s">
        <v>296</v>
      </c>
      <c r="C104" s="297">
        <f t="shared" si="34"/>
        <v>7.2600421666666657</v>
      </c>
      <c r="D104" s="297">
        <f t="shared" si="35"/>
        <v>0.13906016666666668</v>
      </c>
      <c r="E104" s="297">
        <f t="shared" si="36"/>
        <v>6.6550386527777769E-2</v>
      </c>
      <c r="F104" s="297">
        <f t="shared" si="33"/>
        <v>0.20561055319444443</v>
      </c>
      <c r="G104" s="296">
        <f t="shared" si="37"/>
        <v>7.1209819999999997</v>
      </c>
      <c r="H104" s="104"/>
      <c r="I104" s="104"/>
      <c r="J104" s="104"/>
    </row>
    <row r="105" spans="2:12" ht="18" customHeight="1">
      <c r="B105" s="149" t="s">
        <v>297</v>
      </c>
      <c r="C105" s="297">
        <f t="shared" si="34"/>
        <v>7.1209819999999997</v>
      </c>
      <c r="D105" s="297">
        <f t="shared" si="35"/>
        <v>0.13906016666666668</v>
      </c>
      <c r="E105" s="297">
        <f t="shared" si="36"/>
        <v>6.5275668333333328E-2</v>
      </c>
      <c r="F105" s="297">
        <f t="shared" si="33"/>
        <v>0.20433583500000002</v>
      </c>
      <c r="G105" s="296">
        <f t="shared" si="37"/>
        <v>6.9819218333333328</v>
      </c>
      <c r="H105" s="104"/>
      <c r="I105" s="104"/>
      <c r="J105" s="104"/>
    </row>
    <row r="106" spans="2:12" ht="18" customHeight="1">
      <c r="B106" s="131" t="s">
        <v>305</v>
      </c>
      <c r="C106" s="222"/>
      <c r="D106" s="222"/>
      <c r="E106" s="131"/>
      <c r="F106" s="222"/>
      <c r="G106" s="222"/>
      <c r="H106" s="128"/>
      <c r="I106" s="339">
        <v>0.1111</v>
      </c>
      <c r="J106" s="128"/>
      <c r="L106" s="109">
        <v>0.1</v>
      </c>
    </row>
    <row r="107" spans="2:12" ht="18" customHeight="1">
      <c r="B107" s="230" t="s">
        <v>286</v>
      </c>
      <c r="C107" s="231">
        <f>G105</f>
        <v>6.9819218333333328</v>
      </c>
      <c r="D107" s="231">
        <f>$C$22*$I$106/12</f>
        <v>0.13906016666666668</v>
      </c>
      <c r="E107" s="231">
        <f>(C107*$C$23)/12</f>
        <v>6.4000950138888887E-2</v>
      </c>
      <c r="F107" s="231">
        <f t="shared" ref="F107:F117" si="38">D107+E107</f>
        <v>0.20306111680555555</v>
      </c>
      <c r="G107" s="292">
        <f t="shared" ref="G107:G117" si="39">C107+E107-F107</f>
        <v>6.842861666666666</v>
      </c>
      <c r="H107" s="104"/>
      <c r="I107" s="104"/>
      <c r="J107" s="104"/>
    </row>
    <row r="108" spans="2:12" ht="18" customHeight="1">
      <c r="B108" s="230" t="s">
        <v>287</v>
      </c>
      <c r="C108" s="231">
        <f t="shared" ref="C108:C118" si="40">G107</f>
        <v>6.842861666666666</v>
      </c>
      <c r="D108" s="231">
        <f t="shared" ref="D108:D118" si="41">$C$22*$I$106/12</f>
        <v>0.13906016666666668</v>
      </c>
      <c r="E108" s="231">
        <f t="shared" ref="E108:E117" si="42">(C108*$C$23)/12</f>
        <v>6.2726231944444447E-2</v>
      </c>
      <c r="F108" s="231">
        <f t="shared" si="38"/>
        <v>0.20178639861111114</v>
      </c>
      <c r="G108" s="292">
        <f t="shared" si="39"/>
        <v>6.7038014999999991</v>
      </c>
      <c r="H108" s="104"/>
      <c r="I108" s="104"/>
      <c r="J108" s="104"/>
    </row>
    <row r="109" spans="2:12" ht="18" customHeight="1">
      <c r="B109" s="230" t="s">
        <v>288</v>
      </c>
      <c r="C109" s="231">
        <f t="shared" si="40"/>
        <v>6.7038014999999991</v>
      </c>
      <c r="D109" s="231">
        <f t="shared" si="41"/>
        <v>0.13906016666666668</v>
      </c>
      <c r="E109" s="231">
        <f t="shared" si="42"/>
        <v>6.1451513749999992E-2</v>
      </c>
      <c r="F109" s="231">
        <f t="shared" si="38"/>
        <v>0.20051168041666667</v>
      </c>
      <c r="G109" s="292">
        <f t="shared" si="39"/>
        <v>6.5647413333333322</v>
      </c>
      <c r="H109" s="104"/>
      <c r="I109" s="104"/>
      <c r="J109" s="104"/>
    </row>
    <row r="110" spans="2:12" ht="18" customHeight="1">
      <c r="B110" s="230" t="s">
        <v>289</v>
      </c>
      <c r="C110" s="231">
        <f t="shared" si="40"/>
        <v>6.5647413333333322</v>
      </c>
      <c r="D110" s="231">
        <f t="shared" si="41"/>
        <v>0.13906016666666668</v>
      </c>
      <c r="E110" s="231">
        <f t="shared" si="42"/>
        <v>6.0176795555555544E-2</v>
      </c>
      <c r="F110" s="231">
        <f t="shared" si="38"/>
        <v>0.19923696222222223</v>
      </c>
      <c r="G110" s="292">
        <f t="shared" si="39"/>
        <v>6.4256811666666662</v>
      </c>
      <c r="H110" s="104"/>
      <c r="I110" s="104"/>
      <c r="J110" s="104"/>
    </row>
    <row r="111" spans="2:12" ht="18" customHeight="1">
      <c r="B111" s="230" t="s">
        <v>290</v>
      </c>
      <c r="C111" s="231">
        <f t="shared" si="40"/>
        <v>6.4256811666666662</v>
      </c>
      <c r="D111" s="231">
        <f t="shared" si="41"/>
        <v>0.13906016666666668</v>
      </c>
      <c r="E111" s="231">
        <f t="shared" si="42"/>
        <v>5.890207736111111E-2</v>
      </c>
      <c r="F111" s="231">
        <f t="shared" si="38"/>
        <v>0.19796224402777779</v>
      </c>
      <c r="G111" s="292">
        <f t="shared" si="39"/>
        <v>6.2866209999999993</v>
      </c>
      <c r="H111" s="104"/>
      <c r="I111" s="104"/>
      <c r="J111" s="104"/>
    </row>
    <row r="112" spans="2:12" ht="18" customHeight="1">
      <c r="B112" s="230" t="s">
        <v>291</v>
      </c>
      <c r="C112" s="231">
        <f t="shared" si="40"/>
        <v>6.2866209999999993</v>
      </c>
      <c r="D112" s="231">
        <f t="shared" si="41"/>
        <v>0.13906016666666668</v>
      </c>
      <c r="E112" s="231">
        <f t="shared" si="42"/>
        <v>5.7627359166666663E-2</v>
      </c>
      <c r="F112" s="231">
        <f t="shared" si="38"/>
        <v>0.19668752583333335</v>
      </c>
      <c r="G112" s="292">
        <f t="shared" si="39"/>
        <v>6.1475608333333325</v>
      </c>
      <c r="H112" s="104"/>
      <c r="I112" s="104"/>
      <c r="J112" s="104"/>
    </row>
    <row r="113" spans="2:10" ht="18" customHeight="1">
      <c r="B113" s="230" t="s">
        <v>292</v>
      </c>
      <c r="C113" s="231">
        <f t="shared" si="40"/>
        <v>6.1475608333333325</v>
      </c>
      <c r="D113" s="231">
        <f t="shared" si="41"/>
        <v>0.13906016666666668</v>
      </c>
      <c r="E113" s="231">
        <f t="shared" si="42"/>
        <v>5.6352640972222208E-2</v>
      </c>
      <c r="F113" s="231">
        <f t="shared" si="38"/>
        <v>0.19541280763888888</v>
      </c>
      <c r="G113" s="292">
        <f t="shared" si="39"/>
        <v>6.0085006666666656</v>
      </c>
      <c r="H113" s="104"/>
      <c r="I113" s="104"/>
      <c r="J113" s="104"/>
    </row>
    <row r="114" spans="2:10" ht="18" customHeight="1">
      <c r="B114" s="230" t="s">
        <v>293</v>
      </c>
      <c r="C114" s="231">
        <f t="shared" si="40"/>
        <v>6.0085006666666656</v>
      </c>
      <c r="D114" s="231">
        <f t="shared" si="41"/>
        <v>0.13906016666666668</v>
      </c>
      <c r="E114" s="231">
        <f t="shared" si="42"/>
        <v>5.5077922777777767E-2</v>
      </c>
      <c r="F114" s="231">
        <f t="shared" si="38"/>
        <v>0.19413808944444444</v>
      </c>
      <c r="G114" s="292">
        <f t="shared" si="39"/>
        <v>5.8694404999999987</v>
      </c>
      <c r="H114" s="104"/>
      <c r="I114" s="104"/>
      <c r="J114" s="104"/>
    </row>
    <row r="115" spans="2:10" ht="18" customHeight="1">
      <c r="B115" s="230" t="s">
        <v>294</v>
      </c>
      <c r="C115" s="231">
        <f t="shared" si="40"/>
        <v>5.8694404999999987</v>
      </c>
      <c r="D115" s="231">
        <f t="shared" si="41"/>
        <v>0.13906016666666668</v>
      </c>
      <c r="E115" s="231">
        <f t="shared" si="42"/>
        <v>5.3803204583333319E-2</v>
      </c>
      <c r="F115" s="231">
        <f t="shared" si="38"/>
        <v>0.19286337125</v>
      </c>
      <c r="G115" s="292">
        <f t="shared" si="39"/>
        <v>5.7303803333333327</v>
      </c>
      <c r="H115" s="104"/>
      <c r="I115" s="104"/>
      <c r="J115" s="104"/>
    </row>
    <row r="116" spans="2:10" ht="18" customHeight="1">
      <c r="B116" s="230" t="s">
        <v>295</v>
      </c>
      <c r="C116" s="231">
        <f t="shared" si="40"/>
        <v>5.7303803333333327</v>
      </c>
      <c r="D116" s="231">
        <f t="shared" si="41"/>
        <v>0.13906016666666668</v>
      </c>
      <c r="E116" s="231">
        <f t="shared" si="42"/>
        <v>5.2528486388888886E-2</v>
      </c>
      <c r="F116" s="231">
        <f t="shared" si="38"/>
        <v>0.19158865305555556</v>
      </c>
      <c r="G116" s="292">
        <f t="shared" si="39"/>
        <v>5.5913201666666659</v>
      </c>
      <c r="H116" s="104"/>
      <c r="I116" s="104"/>
      <c r="J116" s="104"/>
    </row>
    <row r="117" spans="2:10" ht="18" customHeight="1">
      <c r="B117" s="230" t="s">
        <v>296</v>
      </c>
      <c r="C117" s="231">
        <f t="shared" si="40"/>
        <v>5.5913201666666659</v>
      </c>
      <c r="D117" s="231">
        <f t="shared" si="41"/>
        <v>0.13906016666666668</v>
      </c>
      <c r="E117" s="231">
        <f t="shared" si="42"/>
        <v>5.1253768194444438E-2</v>
      </c>
      <c r="F117" s="231">
        <f t="shared" si="38"/>
        <v>0.19031393486111112</v>
      </c>
      <c r="G117" s="292">
        <f t="shared" si="39"/>
        <v>5.452259999999999</v>
      </c>
      <c r="H117" s="104"/>
      <c r="I117" s="104"/>
      <c r="J117" s="104"/>
    </row>
    <row r="118" spans="2:10" ht="18" customHeight="1">
      <c r="B118" s="230" t="s">
        <v>297</v>
      </c>
      <c r="C118" s="231">
        <f t="shared" si="40"/>
        <v>5.452259999999999</v>
      </c>
      <c r="D118" s="231">
        <f t="shared" si="41"/>
        <v>0.13906016666666668</v>
      </c>
      <c r="E118" s="231">
        <f>(C118*$C$23)/12</f>
        <v>4.997904999999999E-2</v>
      </c>
      <c r="F118" s="231">
        <f>D118+E118</f>
        <v>0.18903921666666668</v>
      </c>
      <c r="G118" s="292">
        <f>C118+E118-F118</f>
        <v>5.3131998333333321</v>
      </c>
      <c r="H118" s="104"/>
      <c r="I118" s="104"/>
      <c r="J118" s="104"/>
    </row>
    <row r="119" spans="2:10" ht="18" customHeight="1">
      <c r="B119" s="330" t="s">
        <v>868</v>
      </c>
      <c r="C119" s="328"/>
      <c r="D119" s="328"/>
      <c r="E119" s="328"/>
      <c r="F119" s="328"/>
      <c r="G119" s="329"/>
      <c r="H119" s="104"/>
      <c r="I119" s="339">
        <v>0.1111</v>
      </c>
      <c r="J119" s="104"/>
    </row>
    <row r="120" spans="2:10" ht="18" customHeight="1">
      <c r="B120" s="327" t="s">
        <v>286</v>
      </c>
      <c r="C120" s="328">
        <f>G118</f>
        <v>5.3131998333333321</v>
      </c>
      <c r="D120" s="328">
        <f>$C$22*$I$119/12</f>
        <v>0.13906016666666668</v>
      </c>
      <c r="E120" s="328">
        <f>(C120*$C$23)/12</f>
        <v>4.8704331805555549E-2</v>
      </c>
      <c r="F120" s="328">
        <f>D120+E120</f>
        <v>0.18776449847222224</v>
      </c>
      <c r="G120" s="329">
        <f>C120+E120-F120</f>
        <v>5.1741396666666652</v>
      </c>
      <c r="H120" s="104"/>
      <c r="I120" s="104"/>
      <c r="J120" s="104"/>
    </row>
    <row r="121" spans="2:10" ht="18" customHeight="1">
      <c r="B121" s="327" t="s">
        <v>287</v>
      </c>
      <c r="C121" s="328">
        <f>G120</f>
        <v>5.1741396666666652</v>
      </c>
      <c r="D121" s="328">
        <f t="shared" ref="D121:D131" si="43">$C$22*$I$119/12</f>
        <v>0.13906016666666668</v>
      </c>
      <c r="E121" s="328">
        <f t="shared" ref="E121:E131" si="44">(C121*$C$23)/12</f>
        <v>4.7429613611111095E-2</v>
      </c>
      <c r="F121" s="328">
        <f t="shared" ref="F121:F131" si="45">D121+E121</f>
        <v>0.18648978027777777</v>
      </c>
      <c r="G121" s="329">
        <f t="shared" ref="G121:G131" si="46">C121+E121-F121</f>
        <v>5.0350794999999993</v>
      </c>
      <c r="H121" s="104"/>
      <c r="I121" s="104"/>
      <c r="J121" s="104"/>
    </row>
    <row r="122" spans="2:10" ht="18" customHeight="1">
      <c r="B122" s="327" t="s">
        <v>288</v>
      </c>
      <c r="C122" s="328">
        <f t="shared" ref="C122:C131" si="47">G121</f>
        <v>5.0350794999999993</v>
      </c>
      <c r="D122" s="328">
        <f t="shared" si="43"/>
        <v>0.13906016666666668</v>
      </c>
      <c r="E122" s="328">
        <f t="shared" si="44"/>
        <v>4.6154895416666654E-2</v>
      </c>
      <c r="F122" s="328">
        <f t="shared" si="45"/>
        <v>0.18521506208333333</v>
      </c>
      <c r="G122" s="329">
        <f t="shared" si="46"/>
        <v>4.8960193333333324</v>
      </c>
      <c r="H122" s="104"/>
      <c r="I122" s="104"/>
      <c r="J122" s="104"/>
    </row>
    <row r="123" spans="2:10" ht="18" customHeight="1">
      <c r="B123" s="327" t="s">
        <v>289</v>
      </c>
      <c r="C123" s="328">
        <f t="shared" si="47"/>
        <v>4.8960193333333324</v>
      </c>
      <c r="D123" s="328">
        <f t="shared" si="43"/>
        <v>0.13906016666666668</v>
      </c>
      <c r="E123" s="328">
        <f t="shared" si="44"/>
        <v>4.4880177222222213E-2</v>
      </c>
      <c r="F123" s="328">
        <f t="shared" si="45"/>
        <v>0.18394034388888889</v>
      </c>
      <c r="G123" s="329">
        <f t="shared" si="46"/>
        <v>4.7569591666666655</v>
      </c>
      <c r="H123" s="104"/>
      <c r="I123" s="104"/>
      <c r="J123" s="104"/>
    </row>
    <row r="124" spans="2:10" ht="18" customHeight="1">
      <c r="B124" s="327" t="s">
        <v>290</v>
      </c>
      <c r="C124" s="328">
        <f t="shared" si="47"/>
        <v>4.7569591666666655</v>
      </c>
      <c r="D124" s="328">
        <f t="shared" si="43"/>
        <v>0.13906016666666668</v>
      </c>
      <c r="E124" s="328">
        <f t="shared" si="44"/>
        <v>4.3605459027777765E-2</v>
      </c>
      <c r="F124" s="328">
        <f t="shared" si="45"/>
        <v>0.18266562569444444</v>
      </c>
      <c r="G124" s="329">
        <f t="shared" si="46"/>
        <v>4.6178989999999986</v>
      </c>
      <c r="H124" s="104"/>
      <c r="I124" s="104"/>
      <c r="J124" s="104"/>
    </row>
    <row r="125" spans="2:10" ht="18" customHeight="1">
      <c r="B125" s="327" t="s">
        <v>291</v>
      </c>
      <c r="C125" s="328">
        <f t="shared" si="47"/>
        <v>4.6178989999999986</v>
      </c>
      <c r="D125" s="328">
        <f t="shared" si="43"/>
        <v>0.13906016666666668</v>
      </c>
      <c r="E125" s="328">
        <f t="shared" si="44"/>
        <v>4.2330740833333325E-2</v>
      </c>
      <c r="F125" s="328">
        <f t="shared" si="45"/>
        <v>0.1813909075</v>
      </c>
      <c r="G125" s="329">
        <f t="shared" si="46"/>
        <v>4.4788388333333318</v>
      </c>
      <c r="H125" s="104"/>
      <c r="I125" s="104"/>
      <c r="J125" s="104"/>
    </row>
    <row r="126" spans="2:10" ht="18" customHeight="1">
      <c r="B126" s="327" t="s">
        <v>292</v>
      </c>
      <c r="C126" s="328">
        <f t="shared" si="47"/>
        <v>4.4788388333333318</v>
      </c>
      <c r="D126" s="328">
        <f t="shared" si="43"/>
        <v>0.13906016666666668</v>
      </c>
      <c r="E126" s="328">
        <f t="shared" si="44"/>
        <v>4.1056022638888877E-2</v>
      </c>
      <c r="F126" s="328">
        <f t="shared" si="45"/>
        <v>0.18011618930555556</v>
      </c>
      <c r="G126" s="329">
        <f t="shared" si="46"/>
        <v>4.3397786666666658</v>
      </c>
      <c r="H126" s="104"/>
      <c r="I126" s="104"/>
      <c r="J126" s="104"/>
    </row>
    <row r="127" spans="2:10" ht="18" customHeight="1">
      <c r="B127" s="327" t="s">
        <v>293</v>
      </c>
      <c r="C127" s="328">
        <f t="shared" si="47"/>
        <v>4.3397786666666658</v>
      </c>
      <c r="D127" s="328">
        <f t="shared" si="43"/>
        <v>0.13906016666666668</v>
      </c>
      <c r="E127" s="328">
        <f t="shared" si="44"/>
        <v>3.9781304444444436E-2</v>
      </c>
      <c r="F127" s="328">
        <f t="shared" si="45"/>
        <v>0.17884147111111112</v>
      </c>
      <c r="G127" s="329">
        <f t="shared" si="46"/>
        <v>4.2007184999999989</v>
      </c>
      <c r="H127" s="104"/>
      <c r="I127" s="104"/>
      <c r="J127" s="104"/>
    </row>
    <row r="128" spans="2:10" ht="18" customHeight="1">
      <c r="B128" s="327" t="s">
        <v>294</v>
      </c>
      <c r="C128" s="328">
        <f t="shared" si="47"/>
        <v>4.2007184999999989</v>
      </c>
      <c r="D128" s="328">
        <f t="shared" si="43"/>
        <v>0.13906016666666668</v>
      </c>
      <c r="E128" s="328">
        <f t="shared" si="44"/>
        <v>3.8506586249999988E-2</v>
      </c>
      <c r="F128" s="328">
        <f t="shared" si="45"/>
        <v>0.17756675291666668</v>
      </c>
      <c r="G128" s="329">
        <f t="shared" si="46"/>
        <v>4.061658333333332</v>
      </c>
      <c r="H128" s="104"/>
      <c r="I128" s="104"/>
      <c r="J128" s="104"/>
    </row>
    <row r="129" spans="2:10" ht="18" customHeight="1">
      <c r="B129" s="327" t="s">
        <v>295</v>
      </c>
      <c r="C129" s="328">
        <f t="shared" si="47"/>
        <v>4.061658333333332</v>
      </c>
      <c r="D129" s="328">
        <f t="shared" si="43"/>
        <v>0.13906016666666668</v>
      </c>
      <c r="E129" s="328">
        <f t="shared" si="44"/>
        <v>3.7231868055555541E-2</v>
      </c>
      <c r="F129" s="328">
        <f t="shared" si="45"/>
        <v>0.17629203472222221</v>
      </c>
      <c r="G129" s="329">
        <f t="shared" si="46"/>
        <v>3.9225981666666656</v>
      </c>
      <c r="H129" s="104"/>
      <c r="I129" s="104"/>
      <c r="J129" s="104"/>
    </row>
    <row r="130" spans="2:10" ht="18" customHeight="1">
      <c r="B130" s="327" t="s">
        <v>296</v>
      </c>
      <c r="C130" s="328">
        <f t="shared" si="47"/>
        <v>3.9225981666666656</v>
      </c>
      <c r="D130" s="328">
        <f t="shared" si="43"/>
        <v>0.13906016666666668</v>
      </c>
      <c r="E130" s="328">
        <f t="shared" si="44"/>
        <v>3.59571498611111E-2</v>
      </c>
      <c r="F130" s="328">
        <f t="shared" si="45"/>
        <v>0.17501731652777777</v>
      </c>
      <c r="G130" s="329">
        <f t="shared" si="46"/>
        <v>3.7835379999999992</v>
      </c>
      <c r="H130" s="104"/>
      <c r="I130" s="104"/>
      <c r="J130" s="104"/>
    </row>
    <row r="131" spans="2:10" ht="18" customHeight="1">
      <c r="B131" s="327" t="s">
        <v>297</v>
      </c>
      <c r="C131" s="328">
        <f t="shared" si="47"/>
        <v>3.7835379999999992</v>
      </c>
      <c r="D131" s="328">
        <f t="shared" si="43"/>
        <v>0.13906016666666668</v>
      </c>
      <c r="E131" s="328">
        <f t="shared" si="44"/>
        <v>3.4682431666666659E-2</v>
      </c>
      <c r="F131" s="328">
        <f t="shared" si="45"/>
        <v>0.17374259833333333</v>
      </c>
      <c r="G131" s="329">
        <f t="shared" si="46"/>
        <v>3.6444778333333323</v>
      </c>
      <c r="H131" s="104"/>
      <c r="I131" s="104"/>
      <c r="J131" s="104"/>
    </row>
    <row r="132" spans="2:10" ht="18" customHeight="1">
      <c r="B132" s="334" t="s">
        <v>869</v>
      </c>
      <c r="C132" s="332"/>
      <c r="D132" s="332"/>
      <c r="E132" s="332"/>
      <c r="F132" s="332"/>
      <c r="G132" s="333"/>
      <c r="H132" s="104"/>
      <c r="I132" s="339">
        <v>0.1111</v>
      </c>
      <c r="J132" s="104"/>
    </row>
    <row r="133" spans="2:10" ht="18" customHeight="1">
      <c r="B133" s="331" t="s">
        <v>286</v>
      </c>
      <c r="C133" s="332">
        <f>G131</f>
        <v>3.6444778333333323</v>
      </c>
      <c r="D133" s="332">
        <f>$C$22*$I$132/12</f>
        <v>0.13906016666666668</v>
      </c>
      <c r="E133" s="332">
        <f>(C133*$C$23)/12</f>
        <v>3.3407713472222211E-2</v>
      </c>
      <c r="F133" s="332">
        <f t="shared" ref="F133:F144" si="48">D133+E133</f>
        <v>0.17246788013888889</v>
      </c>
      <c r="G133" s="333">
        <f t="shared" ref="G133:G144" si="49">C133+E133-F133</f>
        <v>3.5054176666666654</v>
      </c>
      <c r="H133" s="104"/>
      <c r="I133" s="104"/>
      <c r="J133" s="104"/>
    </row>
    <row r="134" spans="2:10" ht="18" customHeight="1">
      <c r="B134" s="331" t="s">
        <v>287</v>
      </c>
      <c r="C134" s="332">
        <f>G133</f>
        <v>3.5054176666666654</v>
      </c>
      <c r="D134" s="332">
        <f t="shared" ref="D134:D144" si="50">$C$22*$I$132/12</f>
        <v>0.13906016666666668</v>
      </c>
      <c r="E134" s="332">
        <f t="shared" ref="E134:E144" si="51">(C134*$C$23)/12</f>
        <v>3.2132995277777764E-2</v>
      </c>
      <c r="F134" s="332">
        <f t="shared" si="48"/>
        <v>0.17119316194444445</v>
      </c>
      <c r="G134" s="333">
        <f t="shared" si="49"/>
        <v>3.3663574999999986</v>
      </c>
      <c r="H134" s="104"/>
      <c r="I134" s="104"/>
      <c r="J134" s="104"/>
    </row>
    <row r="135" spans="2:10" ht="18" customHeight="1">
      <c r="B135" s="331" t="s">
        <v>288</v>
      </c>
      <c r="C135" s="332">
        <f t="shared" ref="C135:C144" si="52">G134</f>
        <v>3.3663574999999986</v>
      </c>
      <c r="D135" s="332">
        <f t="shared" si="50"/>
        <v>0.13906016666666668</v>
      </c>
      <c r="E135" s="332">
        <f t="shared" si="51"/>
        <v>3.0858277083333319E-2</v>
      </c>
      <c r="F135" s="332">
        <f t="shared" si="48"/>
        <v>0.16991844375000001</v>
      </c>
      <c r="G135" s="333">
        <f t="shared" si="49"/>
        <v>3.2272973333333321</v>
      </c>
      <c r="H135" s="104"/>
      <c r="I135" s="104"/>
      <c r="J135" s="104"/>
    </row>
    <row r="136" spans="2:10" ht="18" customHeight="1">
      <c r="B136" s="331" t="s">
        <v>289</v>
      </c>
      <c r="C136" s="332">
        <f t="shared" si="52"/>
        <v>3.2272973333333321</v>
      </c>
      <c r="D136" s="332">
        <f t="shared" si="50"/>
        <v>0.13906016666666668</v>
      </c>
      <c r="E136" s="332">
        <f t="shared" si="51"/>
        <v>2.9583558888888879E-2</v>
      </c>
      <c r="F136" s="332">
        <f t="shared" si="48"/>
        <v>0.16864372555555557</v>
      </c>
      <c r="G136" s="333">
        <f t="shared" si="49"/>
        <v>3.0882371666666657</v>
      </c>
      <c r="H136" s="104"/>
      <c r="I136" s="104"/>
      <c r="J136" s="104"/>
    </row>
    <row r="137" spans="2:10" ht="18" customHeight="1">
      <c r="B137" s="331" t="s">
        <v>290</v>
      </c>
      <c r="C137" s="332">
        <f t="shared" si="52"/>
        <v>3.0882371666666657</v>
      </c>
      <c r="D137" s="332">
        <f t="shared" si="50"/>
        <v>0.13906016666666668</v>
      </c>
      <c r="E137" s="332">
        <f t="shared" si="51"/>
        <v>2.8308840694444434E-2</v>
      </c>
      <c r="F137" s="332">
        <f t="shared" si="48"/>
        <v>0.1673690073611111</v>
      </c>
      <c r="G137" s="333">
        <f t="shared" si="49"/>
        <v>2.9491769999999988</v>
      </c>
      <c r="H137" s="104"/>
      <c r="I137" s="104"/>
      <c r="J137" s="104"/>
    </row>
    <row r="138" spans="2:10" ht="18" customHeight="1">
      <c r="B138" s="331" t="s">
        <v>291</v>
      </c>
      <c r="C138" s="332">
        <f t="shared" si="52"/>
        <v>2.9491769999999988</v>
      </c>
      <c r="D138" s="332">
        <f t="shared" si="50"/>
        <v>0.13906016666666668</v>
      </c>
      <c r="E138" s="332">
        <f t="shared" si="51"/>
        <v>2.703412249999999E-2</v>
      </c>
      <c r="F138" s="332">
        <f t="shared" si="48"/>
        <v>0.16609428916666666</v>
      </c>
      <c r="G138" s="333">
        <f t="shared" si="49"/>
        <v>2.810116833333332</v>
      </c>
      <c r="H138" s="104"/>
      <c r="I138" s="104"/>
      <c r="J138" s="104"/>
    </row>
    <row r="139" spans="2:10" ht="18" customHeight="1">
      <c r="B139" s="331" t="s">
        <v>292</v>
      </c>
      <c r="C139" s="332">
        <f t="shared" si="52"/>
        <v>2.810116833333332</v>
      </c>
      <c r="D139" s="332">
        <f t="shared" si="50"/>
        <v>0.13906016666666668</v>
      </c>
      <c r="E139" s="332">
        <f t="shared" si="51"/>
        <v>2.5759404305555542E-2</v>
      </c>
      <c r="F139" s="332">
        <f t="shared" si="48"/>
        <v>0.16481957097222222</v>
      </c>
      <c r="G139" s="333">
        <f t="shared" si="49"/>
        <v>2.6710566666666651</v>
      </c>
      <c r="H139" s="104"/>
      <c r="I139" s="104"/>
      <c r="J139" s="104"/>
    </row>
    <row r="140" spans="2:10" ht="18" customHeight="1">
      <c r="B140" s="331" t="s">
        <v>293</v>
      </c>
      <c r="C140" s="332">
        <f t="shared" si="52"/>
        <v>2.6710566666666651</v>
      </c>
      <c r="D140" s="332">
        <f t="shared" si="50"/>
        <v>0.13906016666666668</v>
      </c>
      <c r="E140" s="332">
        <f t="shared" si="51"/>
        <v>2.4484686111111098E-2</v>
      </c>
      <c r="F140" s="332">
        <f t="shared" si="48"/>
        <v>0.16354485277777778</v>
      </c>
      <c r="G140" s="333">
        <f t="shared" si="49"/>
        <v>2.5319964999999987</v>
      </c>
      <c r="H140" s="104"/>
      <c r="I140" s="104"/>
      <c r="J140" s="104"/>
    </row>
    <row r="141" spans="2:10" ht="18" customHeight="1">
      <c r="B141" s="331" t="s">
        <v>294</v>
      </c>
      <c r="C141" s="332">
        <f t="shared" si="52"/>
        <v>2.5319964999999987</v>
      </c>
      <c r="D141" s="332">
        <f t="shared" si="50"/>
        <v>0.13906016666666668</v>
      </c>
      <c r="E141" s="332">
        <f t="shared" si="51"/>
        <v>2.3209967916666654E-2</v>
      </c>
      <c r="F141" s="332">
        <f t="shared" si="48"/>
        <v>0.16227013458333334</v>
      </c>
      <c r="G141" s="333">
        <f t="shared" si="49"/>
        <v>2.3929363333333322</v>
      </c>
      <c r="H141" s="104"/>
      <c r="I141" s="104"/>
      <c r="J141" s="104"/>
    </row>
    <row r="142" spans="2:10" ht="18" customHeight="1">
      <c r="B142" s="331" t="s">
        <v>295</v>
      </c>
      <c r="C142" s="332">
        <f t="shared" si="52"/>
        <v>2.3929363333333322</v>
      </c>
      <c r="D142" s="332">
        <f t="shared" si="50"/>
        <v>0.13906016666666668</v>
      </c>
      <c r="E142" s="332">
        <f t="shared" si="51"/>
        <v>2.1935249722222213E-2</v>
      </c>
      <c r="F142" s="332">
        <f t="shared" si="48"/>
        <v>0.1609954163888889</v>
      </c>
      <c r="G142" s="333">
        <f t="shared" si="49"/>
        <v>2.2538761666666653</v>
      </c>
      <c r="H142" s="104"/>
      <c r="I142" s="104"/>
      <c r="J142" s="104"/>
    </row>
    <row r="143" spans="2:10" ht="18" customHeight="1">
      <c r="B143" s="331" t="s">
        <v>296</v>
      </c>
      <c r="C143" s="332">
        <f t="shared" si="52"/>
        <v>2.2538761666666653</v>
      </c>
      <c r="D143" s="332">
        <f t="shared" si="50"/>
        <v>0.13906016666666668</v>
      </c>
      <c r="E143" s="332">
        <f t="shared" si="51"/>
        <v>2.0660531527777765E-2</v>
      </c>
      <c r="F143" s="332">
        <f t="shared" si="48"/>
        <v>0.15972069819444445</v>
      </c>
      <c r="G143" s="333">
        <f t="shared" si="49"/>
        <v>2.1148159999999985</v>
      </c>
      <c r="H143" s="104"/>
      <c r="I143" s="104"/>
      <c r="J143" s="104"/>
    </row>
    <row r="144" spans="2:10" ht="18" customHeight="1">
      <c r="B144" s="331" t="s">
        <v>297</v>
      </c>
      <c r="C144" s="332">
        <f t="shared" si="52"/>
        <v>2.1148159999999985</v>
      </c>
      <c r="D144" s="332">
        <f t="shared" si="50"/>
        <v>0.13906016666666668</v>
      </c>
      <c r="E144" s="332">
        <f t="shared" si="51"/>
        <v>1.9385813333333318E-2</v>
      </c>
      <c r="F144" s="332">
        <f t="shared" si="48"/>
        <v>0.15844597999999999</v>
      </c>
      <c r="G144" s="333">
        <f t="shared" si="49"/>
        <v>1.9757558333333318</v>
      </c>
      <c r="H144" s="104"/>
      <c r="I144" s="104"/>
      <c r="J144" s="104"/>
    </row>
    <row r="145" spans="2:10" ht="18" customHeight="1">
      <c r="B145" s="118" t="s">
        <v>870</v>
      </c>
      <c r="C145" s="297"/>
      <c r="D145" s="297"/>
      <c r="E145" s="297"/>
      <c r="F145" s="297"/>
      <c r="G145" s="296"/>
      <c r="H145" s="104"/>
      <c r="I145" s="339">
        <v>0.13</v>
      </c>
      <c r="J145" s="104"/>
    </row>
    <row r="146" spans="2:10" ht="18" customHeight="1">
      <c r="B146" s="149" t="s">
        <v>286</v>
      </c>
      <c r="C146" s="297">
        <f>G144</f>
        <v>1.9757558333333318</v>
      </c>
      <c r="D146" s="297">
        <f>$C$22*$I$145/12</f>
        <v>0.16271666666666668</v>
      </c>
      <c r="E146" s="297">
        <f>(C146*$C$23)/12</f>
        <v>1.8111095138888877E-2</v>
      </c>
      <c r="F146" s="297">
        <f>D146+E146</f>
        <v>0.18082776180555554</v>
      </c>
      <c r="G146" s="296">
        <f t="shared" ref="G146:G156" si="53">C146+E146-F146</f>
        <v>1.8130391666666652</v>
      </c>
      <c r="H146" s="104"/>
      <c r="I146" s="104"/>
      <c r="J146" s="104"/>
    </row>
    <row r="147" spans="2:10" ht="18" customHeight="1">
      <c r="B147" s="149" t="s">
        <v>287</v>
      </c>
      <c r="C147" s="297">
        <f>G146</f>
        <v>1.8130391666666652</v>
      </c>
      <c r="D147" s="297">
        <f t="shared" ref="D147:D155" si="54">$C$22*$I$145/12</f>
        <v>0.16271666666666668</v>
      </c>
      <c r="E147" s="297">
        <f t="shared" ref="E147:E157" si="55">(C147*$C$23)/12</f>
        <v>1.6619525694444432E-2</v>
      </c>
      <c r="F147" s="297">
        <f t="shared" ref="F147:F157" si="56">D147+E147</f>
        <v>0.17933619236111112</v>
      </c>
      <c r="G147" s="296">
        <f t="shared" si="53"/>
        <v>1.6503224999999984</v>
      </c>
      <c r="H147" s="104"/>
      <c r="I147" s="104"/>
      <c r="J147" s="104"/>
    </row>
    <row r="148" spans="2:10" ht="18" customHeight="1">
      <c r="B148" s="149" t="s">
        <v>288</v>
      </c>
      <c r="C148" s="297">
        <f t="shared" ref="C148:C157" si="57">G147</f>
        <v>1.6503224999999984</v>
      </c>
      <c r="D148" s="297">
        <f t="shared" si="54"/>
        <v>0.16271666666666668</v>
      </c>
      <c r="E148" s="297">
        <f t="shared" si="55"/>
        <v>1.5127956249999984E-2</v>
      </c>
      <c r="F148" s="297">
        <f t="shared" si="56"/>
        <v>0.17784462291666667</v>
      </c>
      <c r="G148" s="296">
        <f t="shared" si="53"/>
        <v>1.4876058333333317</v>
      </c>
      <c r="H148" s="104"/>
      <c r="I148" s="104"/>
      <c r="J148" s="104"/>
    </row>
    <row r="149" spans="2:10" ht="18" customHeight="1">
      <c r="B149" s="149" t="s">
        <v>289</v>
      </c>
      <c r="C149" s="297">
        <f t="shared" si="57"/>
        <v>1.4876058333333317</v>
      </c>
      <c r="D149" s="297">
        <f t="shared" si="54"/>
        <v>0.16271666666666668</v>
      </c>
      <c r="E149" s="297">
        <f t="shared" si="55"/>
        <v>1.3636386805555541E-2</v>
      </c>
      <c r="F149" s="297">
        <f t="shared" si="56"/>
        <v>0.17635305347222222</v>
      </c>
      <c r="G149" s="296">
        <f t="shared" si="53"/>
        <v>1.3248891666666651</v>
      </c>
      <c r="H149" s="104"/>
      <c r="I149" s="104"/>
      <c r="J149" s="104"/>
    </row>
    <row r="150" spans="2:10" ht="18" customHeight="1">
      <c r="B150" s="149" t="s">
        <v>290</v>
      </c>
      <c r="C150" s="297">
        <f t="shared" si="57"/>
        <v>1.3248891666666651</v>
      </c>
      <c r="D150" s="297">
        <f t="shared" si="54"/>
        <v>0.16271666666666668</v>
      </c>
      <c r="E150" s="297">
        <f t="shared" si="55"/>
        <v>1.2144817361111096E-2</v>
      </c>
      <c r="F150" s="297">
        <f t="shared" si="56"/>
        <v>0.17486148402777776</v>
      </c>
      <c r="G150" s="296">
        <f t="shared" si="53"/>
        <v>1.1621724999999985</v>
      </c>
      <c r="H150" s="104"/>
      <c r="I150" s="104"/>
      <c r="J150" s="104"/>
    </row>
    <row r="151" spans="2:10" ht="18" customHeight="1">
      <c r="B151" s="149" t="s">
        <v>291</v>
      </c>
      <c r="C151" s="297">
        <f t="shared" si="57"/>
        <v>1.1621724999999985</v>
      </c>
      <c r="D151" s="297">
        <f t="shared" si="54"/>
        <v>0.16271666666666668</v>
      </c>
      <c r="E151" s="297">
        <f t="shared" si="55"/>
        <v>1.0653247916666652E-2</v>
      </c>
      <c r="F151" s="297">
        <f t="shared" si="56"/>
        <v>0.17336991458333334</v>
      </c>
      <c r="G151" s="296">
        <f t="shared" si="53"/>
        <v>0.99945583333333166</v>
      </c>
      <c r="H151" s="104"/>
      <c r="I151" s="104"/>
      <c r="J151" s="104"/>
    </row>
    <row r="152" spans="2:10" ht="18" customHeight="1">
      <c r="B152" s="149" t="s">
        <v>292</v>
      </c>
      <c r="C152" s="297">
        <f t="shared" si="57"/>
        <v>0.99945583333333166</v>
      </c>
      <c r="D152" s="297">
        <f t="shared" si="54"/>
        <v>0.16271666666666668</v>
      </c>
      <c r="E152" s="297">
        <f t="shared" si="55"/>
        <v>9.161678472222207E-3</v>
      </c>
      <c r="F152" s="297">
        <f t="shared" si="56"/>
        <v>0.17187834513888889</v>
      </c>
      <c r="G152" s="296">
        <f t="shared" si="53"/>
        <v>0.83673916666666492</v>
      </c>
      <c r="H152" s="104"/>
      <c r="I152" s="104"/>
      <c r="J152" s="104"/>
    </row>
    <row r="153" spans="2:10" ht="18" customHeight="1">
      <c r="B153" s="149" t="s">
        <v>293</v>
      </c>
      <c r="C153" s="297">
        <f t="shared" si="57"/>
        <v>0.83673916666666492</v>
      </c>
      <c r="D153" s="297">
        <f t="shared" si="54"/>
        <v>0.16271666666666668</v>
      </c>
      <c r="E153" s="297">
        <f t="shared" si="55"/>
        <v>7.6701090277777615E-3</v>
      </c>
      <c r="F153" s="297">
        <f t="shared" si="56"/>
        <v>0.17038677569444444</v>
      </c>
      <c r="G153" s="296">
        <f t="shared" si="53"/>
        <v>0.67402249999999819</v>
      </c>
      <c r="H153" s="104"/>
      <c r="I153" s="104"/>
      <c r="J153" s="104"/>
    </row>
    <row r="154" spans="2:10" ht="18" customHeight="1">
      <c r="B154" s="149" t="s">
        <v>294</v>
      </c>
      <c r="C154" s="297">
        <f t="shared" si="57"/>
        <v>0.67402249999999819</v>
      </c>
      <c r="D154" s="297">
        <f t="shared" si="54"/>
        <v>0.16271666666666668</v>
      </c>
      <c r="E154" s="297">
        <f t="shared" si="55"/>
        <v>6.1785395833333168E-3</v>
      </c>
      <c r="F154" s="297">
        <f t="shared" si="56"/>
        <v>0.16889520624999999</v>
      </c>
      <c r="G154" s="296">
        <f t="shared" si="53"/>
        <v>0.51130583333333157</v>
      </c>
      <c r="H154" s="104"/>
      <c r="I154" s="104"/>
      <c r="J154" s="104"/>
    </row>
    <row r="155" spans="2:10" ht="18" customHeight="1">
      <c r="B155" s="149" t="s">
        <v>295</v>
      </c>
      <c r="C155" s="297">
        <f t="shared" si="57"/>
        <v>0.51130583333333157</v>
      </c>
      <c r="D155" s="297">
        <f t="shared" si="54"/>
        <v>0.16271666666666668</v>
      </c>
      <c r="E155" s="297">
        <f t="shared" si="55"/>
        <v>4.686970138888873E-3</v>
      </c>
      <c r="F155" s="297">
        <f t="shared" si="56"/>
        <v>0.16740363680555556</v>
      </c>
      <c r="G155" s="296">
        <f t="shared" si="53"/>
        <v>0.34858916666666484</v>
      </c>
      <c r="H155" s="104"/>
      <c r="I155" s="104"/>
      <c r="J155" s="104"/>
    </row>
    <row r="156" spans="2:10" ht="18" customHeight="1">
      <c r="B156" s="149" t="s">
        <v>296</v>
      </c>
      <c r="C156" s="297">
        <f t="shared" si="57"/>
        <v>0.34858916666666484</v>
      </c>
      <c r="D156" s="297">
        <f>G155</f>
        <v>0.34858916666666484</v>
      </c>
      <c r="E156" s="297">
        <f t="shared" si="55"/>
        <v>3.1954006944444279E-3</v>
      </c>
      <c r="F156" s="297">
        <f t="shared" si="56"/>
        <v>0.35178456736110925</v>
      </c>
      <c r="G156" s="296">
        <f t="shared" si="53"/>
        <v>0</v>
      </c>
      <c r="H156" s="104"/>
      <c r="I156" s="104"/>
      <c r="J156" s="104"/>
    </row>
    <row r="157" spans="2:10" ht="18" customHeight="1">
      <c r="B157" s="149" t="s">
        <v>297</v>
      </c>
      <c r="C157" s="297">
        <f t="shared" si="57"/>
        <v>0</v>
      </c>
      <c r="D157" s="336">
        <f>C157</f>
        <v>0</v>
      </c>
      <c r="E157" s="297">
        <f t="shared" si="55"/>
        <v>0</v>
      </c>
      <c r="F157" s="297">
        <f t="shared" si="56"/>
        <v>0</v>
      </c>
      <c r="G157" s="296">
        <f>C157+E157-F157</f>
        <v>0</v>
      </c>
      <c r="H157" s="104"/>
      <c r="I157" s="104"/>
      <c r="J157" s="104"/>
    </row>
    <row r="158" spans="2:10" ht="18" customHeight="1">
      <c r="B158" s="135" t="s">
        <v>225</v>
      </c>
      <c r="C158" s="298"/>
      <c r="D158" s="298">
        <f>SUM(D27:D157)</f>
        <v>15.020000000000012</v>
      </c>
      <c r="E158" s="147">
        <f>SUM(E27:E118)</f>
        <v>8.4890035999999984</v>
      </c>
      <c r="F158" s="298"/>
      <c r="G158" s="147"/>
      <c r="H158" s="302"/>
      <c r="I158" s="302"/>
      <c r="J158" s="302"/>
    </row>
  </sheetData>
  <mergeCells count="5">
    <mergeCell ref="D8:E8"/>
    <mergeCell ref="A42:A53"/>
    <mergeCell ref="D24:E24"/>
    <mergeCell ref="F24:F25"/>
    <mergeCell ref="F8:O8"/>
  </mergeCells>
  <pageMargins left="0.7" right="0.7" top="0.75" bottom="0.75" header="0.3" footer="0.3"/>
  <pageSetup orientation="portrait" r:id="rId1"/>
  <ignoredErrors>
    <ignoredError sqref="C33 C56 M14" formula="1"/>
    <ignoredError sqref="E14" formulaRange="1"/>
  </ignoredError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sheetPr>
  <dimension ref="B1:O139"/>
  <sheetViews>
    <sheetView showGridLines="0" topLeftCell="C22" workbookViewId="0">
      <selection activeCell="F18" sqref="F18"/>
    </sheetView>
  </sheetViews>
  <sheetFormatPr defaultColWidth="13.7109375" defaultRowHeight="18" customHeight="1"/>
  <cols>
    <col min="1" max="1" width="3.5703125" style="94" customWidth="1"/>
    <col min="2" max="2" width="38.7109375" style="94" customWidth="1"/>
    <col min="3" max="3" width="7.140625" style="94" customWidth="1"/>
    <col min="4" max="6" width="12.7109375" style="94" customWidth="1"/>
    <col min="7" max="7" width="17.5703125" style="94" customWidth="1"/>
    <col min="8" max="8" width="15.7109375" style="100" customWidth="1"/>
    <col min="9" max="9" width="13" style="94" customWidth="1"/>
    <col min="10" max="12" width="12.7109375" style="94" customWidth="1"/>
    <col min="13" max="16384" width="13.7109375" style="94"/>
  </cols>
  <sheetData>
    <row r="1" spans="2:15" ht="15.75" customHeight="1"/>
    <row r="2" spans="2:15" ht="18" customHeight="1">
      <c r="B2" s="132" t="str">
        <f>"Financial Model of " &amp; B4</f>
        <v>Financial Model of 20,000 M.T of glass Toughening pa. set up by SSRM Glasses Private Limited</v>
      </c>
      <c r="C2" s="133"/>
      <c r="D2" s="133"/>
      <c r="E2" s="133"/>
      <c r="F2" s="133"/>
      <c r="G2" s="133"/>
      <c r="H2" s="133"/>
      <c r="I2" s="133"/>
      <c r="J2" s="133"/>
      <c r="K2" s="133"/>
      <c r="L2" s="133"/>
      <c r="M2" s="133"/>
      <c r="N2" s="133"/>
      <c r="O2" s="133"/>
    </row>
    <row r="3" spans="2:15" ht="12" customHeight="1">
      <c r="C3" s="100"/>
      <c r="D3" s="100"/>
      <c r="E3" s="100"/>
      <c r="F3" s="100"/>
      <c r="G3" s="100"/>
      <c r="I3" s="100"/>
      <c r="J3" s="100"/>
      <c r="K3" s="100"/>
      <c r="L3" s="100"/>
      <c r="M3" s="100"/>
      <c r="N3" s="100"/>
      <c r="O3" s="100"/>
    </row>
    <row r="4" spans="2:15" ht="18" customHeight="1">
      <c r="B4" s="137" t="str">
        <f>'Common Assumption'!B4</f>
        <v>20,000 M.T of glass Toughening pa. set up by SSRM Glasses Private Limited</v>
      </c>
      <c r="C4" s="137"/>
      <c r="D4" s="138"/>
      <c r="E4" s="138"/>
      <c r="F4" s="138"/>
      <c r="G4" s="138"/>
      <c r="H4" s="138"/>
      <c r="I4" s="138"/>
      <c r="J4" s="138"/>
      <c r="K4" s="138"/>
      <c r="L4" s="138"/>
      <c r="M4" s="138"/>
      <c r="N4" s="138"/>
      <c r="O4" s="138"/>
    </row>
    <row r="5" spans="2:15" ht="13.5" customHeight="1">
      <c r="C5" s="100"/>
      <c r="D5" s="100"/>
      <c r="F5" s="125"/>
      <c r="H5" s="94"/>
    </row>
    <row r="6" spans="2:15" ht="18" customHeight="1">
      <c r="B6" s="137" t="s">
        <v>306</v>
      </c>
      <c r="C6" s="137"/>
      <c r="D6" s="138"/>
      <c r="E6" s="138"/>
      <c r="F6" s="138"/>
      <c r="G6" s="138"/>
      <c r="H6" s="138"/>
      <c r="I6" s="138"/>
      <c r="J6" s="138"/>
      <c r="K6" s="138"/>
      <c r="L6" s="138"/>
      <c r="M6" s="138"/>
      <c r="N6" s="138"/>
      <c r="O6" s="138"/>
    </row>
    <row r="7" spans="2:15" ht="12.75" customHeight="1">
      <c r="C7" s="100"/>
      <c r="D7" s="100"/>
      <c r="F7" s="125"/>
      <c r="H7" s="94"/>
    </row>
    <row r="8" spans="2:15" ht="18" customHeight="1">
      <c r="C8" s="100"/>
      <c r="D8" s="354" t="str">
        <f>'Loan Schedule'!D8:E8</f>
        <v>Implementation period</v>
      </c>
      <c r="E8" s="354"/>
      <c r="F8" s="355" t="s">
        <v>43</v>
      </c>
      <c r="G8" s="355"/>
      <c r="H8" s="355"/>
      <c r="I8" s="355"/>
      <c r="J8" s="355"/>
      <c r="K8" s="355"/>
      <c r="L8" s="355"/>
      <c r="M8" s="355"/>
      <c r="N8" s="355"/>
      <c r="O8" s="355"/>
    </row>
    <row r="9" spans="2:15" ht="18" customHeight="1">
      <c r="B9" s="135" t="s">
        <v>44</v>
      </c>
      <c r="C9" s="183" t="s">
        <v>45</v>
      </c>
      <c r="D9" s="184">
        <f>EOMONTH('Common Assumption'!E11,1)</f>
        <v>45747</v>
      </c>
      <c r="E9" s="184">
        <f>'Common Assumption'!E13</f>
        <v>46053</v>
      </c>
      <c r="F9" s="184">
        <f>DATE(YEAR(E9),MONTH(E9)+2,DAY(E9))</f>
        <v>46112</v>
      </c>
      <c r="G9" s="184">
        <f t="shared" ref="G9:L9" si="0">DATE(YEAR(F9)+1,MONTH(F9),DAY(F9))</f>
        <v>46477</v>
      </c>
      <c r="H9" s="184">
        <f t="shared" si="0"/>
        <v>46843</v>
      </c>
      <c r="I9" s="184">
        <f t="shared" si="0"/>
        <v>47208</v>
      </c>
      <c r="J9" s="184">
        <f t="shared" si="0"/>
        <v>47573</v>
      </c>
      <c r="K9" s="184">
        <f t="shared" si="0"/>
        <v>47938</v>
      </c>
      <c r="L9" s="184">
        <f t="shared" si="0"/>
        <v>48304</v>
      </c>
      <c r="M9" s="184">
        <f t="shared" ref="M9" si="1">DATE(YEAR(L9)+1,MONTH(L9),DAY(L9))</f>
        <v>48669</v>
      </c>
      <c r="N9" s="184">
        <f t="shared" ref="N9" si="2">DATE(YEAR(M9)+1,MONTH(M9),DAY(M9))</f>
        <v>49034</v>
      </c>
      <c r="O9" s="184">
        <f t="shared" ref="O9" si="3">DATE(YEAR(N9)+1,MONTH(N9),DAY(N9))</f>
        <v>49399</v>
      </c>
    </row>
    <row r="10" spans="2:15" s="126" customFormat="1" ht="18" customHeight="1">
      <c r="B10" s="185" t="s">
        <v>46</v>
      </c>
      <c r="C10" s="186"/>
      <c r="D10" s="187">
        <v>0</v>
      </c>
      <c r="E10" s="187">
        <v>0</v>
      </c>
      <c r="F10" s="188">
        <v>1</v>
      </c>
      <c r="G10" s="188">
        <f t="shared" ref="G10:L10" si="4">F10+1</f>
        <v>2</v>
      </c>
      <c r="H10" s="188">
        <f t="shared" si="4"/>
        <v>3</v>
      </c>
      <c r="I10" s="188">
        <f t="shared" si="4"/>
        <v>4</v>
      </c>
      <c r="J10" s="188">
        <f t="shared" si="4"/>
        <v>5</v>
      </c>
      <c r="K10" s="188">
        <f t="shared" si="4"/>
        <v>6</v>
      </c>
      <c r="L10" s="188">
        <f t="shared" si="4"/>
        <v>7</v>
      </c>
      <c r="M10" s="188">
        <f t="shared" ref="M10" si="5">L10+1</f>
        <v>8</v>
      </c>
      <c r="N10" s="188">
        <f t="shared" ref="N10" si="6">M10+1</f>
        <v>9</v>
      </c>
      <c r="O10" s="188">
        <f t="shared" ref="O10" si="7">N10+1</f>
        <v>10</v>
      </c>
    </row>
    <row r="11" spans="2:15" s="126" customFormat="1" ht="18" customHeight="1">
      <c r="B11" s="185" t="s">
        <v>47</v>
      </c>
      <c r="C11" s="186">
        <f>'Common Assumption'!E12</f>
        <v>11</v>
      </c>
      <c r="D11" s="187">
        <f>MONTH(D9-'Common Assumption'!E11)</f>
        <v>1</v>
      </c>
      <c r="E11" s="187">
        <f>C11-D11</f>
        <v>10</v>
      </c>
      <c r="F11" s="186">
        <f>MONTH(F9-E9)</f>
        <v>2</v>
      </c>
      <c r="G11" s="186">
        <f t="shared" ref="G11:L11" si="8">MONTH(G9-F9)</f>
        <v>12</v>
      </c>
      <c r="H11" s="186">
        <f t="shared" si="8"/>
        <v>12</v>
      </c>
      <c r="I11" s="186">
        <f t="shared" si="8"/>
        <v>12</v>
      </c>
      <c r="J11" s="186">
        <f t="shared" si="8"/>
        <v>12</v>
      </c>
      <c r="K11" s="186">
        <f t="shared" si="8"/>
        <v>12</v>
      </c>
      <c r="L11" s="186">
        <f t="shared" si="8"/>
        <v>12</v>
      </c>
      <c r="M11" s="186">
        <f t="shared" ref="M11" si="9">MONTH(M9-L9)</f>
        <v>12</v>
      </c>
      <c r="N11" s="186">
        <f t="shared" ref="N11" si="10">MONTH(N9-M9)</f>
        <v>12</v>
      </c>
      <c r="O11" s="186">
        <f t="shared" ref="O11" si="11">MONTH(O9-N9)</f>
        <v>12</v>
      </c>
    </row>
    <row r="12" spans="2:15" ht="18" customHeight="1">
      <c r="B12" s="94" t="s">
        <v>307</v>
      </c>
      <c r="F12" s="102">
        <f>'Revenue &amp; Expense Modelling'!F17</f>
        <v>300</v>
      </c>
      <c r="G12" s="102">
        <f>'Revenue &amp; Expense Modelling'!G17</f>
        <v>300</v>
      </c>
      <c r="H12" s="102">
        <f>'Revenue &amp; Expense Modelling'!H17</f>
        <v>300</v>
      </c>
      <c r="I12" s="102">
        <f>'Revenue &amp; Expense Modelling'!I17</f>
        <v>300</v>
      </c>
      <c r="J12" s="102">
        <f>'Revenue &amp; Expense Modelling'!J17</f>
        <v>300</v>
      </c>
      <c r="K12" s="102">
        <f>'Revenue &amp; Expense Modelling'!K17</f>
        <v>300</v>
      </c>
      <c r="L12" s="102">
        <f>'Revenue &amp; Expense Modelling'!L17</f>
        <v>300</v>
      </c>
      <c r="M12" s="102">
        <f>'Revenue &amp; Expense Modelling'!M17</f>
        <v>300</v>
      </c>
      <c r="N12" s="102">
        <f>'Revenue &amp; Expense Modelling'!N17</f>
        <v>300</v>
      </c>
      <c r="O12" s="102">
        <f>'Revenue &amp; Expense Modelling'!O17</f>
        <v>300</v>
      </c>
    </row>
    <row r="13" spans="2:15" ht="18" customHeight="1">
      <c r="B13" s="94" t="s">
        <v>50</v>
      </c>
      <c r="F13" s="102">
        <f>'Revenue &amp; Expense Modelling'!F18</f>
        <v>59</v>
      </c>
      <c r="G13" s="102">
        <f>'Revenue &amp; Expense Modelling'!G18</f>
        <v>300</v>
      </c>
      <c r="H13" s="102">
        <f>'Revenue &amp; Expense Modelling'!H18</f>
        <v>300</v>
      </c>
      <c r="I13" s="102">
        <f>'Revenue &amp; Expense Modelling'!I18</f>
        <v>300</v>
      </c>
      <c r="J13" s="102">
        <f>'Revenue &amp; Expense Modelling'!J18</f>
        <v>300</v>
      </c>
      <c r="K13" s="102">
        <f>'Revenue &amp; Expense Modelling'!K18</f>
        <v>300</v>
      </c>
      <c r="L13" s="102">
        <f>'Revenue &amp; Expense Modelling'!L18</f>
        <v>300</v>
      </c>
      <c r="M13" s="102">
        <f>'Revenue &amp; Expense Modelling'!M18</f>
        <v>300</v>
      </c>
      <c r="N13" s="102">
        <f>'Revenue &amp; Expense Modelling'!N18</f>
        <v>300</v>
      </c>
      <c r="O13" s="102">
        <f>'Revenue &amp; Expense Modelling'!O18</f>
        <v>300</v>
      </c>
    </row>
    <row r="14" spans="2:15" ht="18" customHeight="1">
      <c r="H14" s="94"/>
    </row>
    <row r="15" spans="2:15" ht="45">
      <c r="B15" s="135" t="s">
        <v>308</v>
      </c>
      <c r="C15" s="233" t="s">
        <v>316</v>
      </c>
      <c r="D15" s="183" t="s">
        <v>309</v>
      </c>
      <c r="E15" s="233" t="s">
        <v>885</v>
      </c>
      <c r="F15" s="183" t="s">
        <v>310</v>
      </c>
      <c r="G15" s="183" t="s">
        <v>311</v>
      </c>
      <c r="H15" s="183" t="s">
        <v>312</v>
      </c>
    </row>
    <row r="16" spans="2:15" ht="15">
      <c r="B16" s="111" t="s">
        <v>201</v>
      </c>
      <c r="C16" s="310"/>
      <c r="D16" s="104">
        <f>'TPC and MoF'!D8</f>
        <v>8.01</v>
      </c>
      <c r="E16" s="104"/>
      <c r="F16" s="104">
        <f>D16+E16</f>
        <v>8.01</v>
      </c>
      <c r="G16" s="301"/>
      <c r="H16" s="301"/>
    </row>
    <row r="17" spans="2:15" ht="18" customHeight="1">
      <c r="B17" s="111" t="s">
        <v>63</v>
      </c>
      <c r="C17" s="102">
        <v>30</v>
      </c>
      <c r="D17" s="104">
        <f>'TPC and MoF'!D9</f>
        <v>10.89</v>
      </c>
      <c r="E17" s="104">
        <f>('TPC and MoF'!$D$14+'TPC and MoF'!$D$16)*'Depreciation Schedule'!$D17/SUM($D$17:$D$19)</f>
        <v>0.60594532847996352</v>
      </c>
      <c r="F17" s="104">
        <f>D17+E17</f>
        <v>11.495945328479964</v>
      </c>
      <c r="G17" s="192">
        <v>3.1699999999999999E-2</v>
      </c>
      <c r="H17" s="192">
        <v>0.1</v>
      </c>
      <c r="L17" s="104"/>
    </row>
    <row r="18" spans="2:15" ht="18" customHeight="1">
      <c r="B18" s="111" t="s">
        <v>64</v>
      </c>
      <c r="C18" s="102">
        <v>15</v>
      </c>
      <c r="D18" s="104">
        <f>'TPC and MoF'!D10</f>
        <v>20.030638</v>
      </c>
      <c r="E18" s="104">
        <f>('TPC and MoF'!$D$14+'TPC and MoF'!$D$16)*'Depreciation Schedule'!$D18/SUM($D$17:$D$19)</f>
        <v>1.1145520222748613</v>
      </c>
      <c r="F18" s="104">
        <f>D18+E18</f>
        <v>21.145190022274861</v>
      </c>
      <c r="G18" s="192">
        <v>6.3299999999999995E-2</v>
      </c>
      <c r="H18" s="192">
        <v>0.15</v>
      </c>
      <c r="L18" s="104"/>
    </row>
    <row r="19" spans="2:15" ht="18" customHeight="1">
      <c r="B19" s="111" t="str">
        <f>'TPC and MoF'!B11</f>
        <v>Office Equipment &amp; Accessories</v>
      </c>
      <c r="C19" s="102">
        <v>10</v>
      </c>
      <c r="D19" s="104">
        <f>'TPC and MoF'!D11</f>
        <v>1</v>
      </c>
      <c r="E19" s="104">
        <f>('TPC and MoF'!$D$14+'TPC and MoF'!$D$16)*'Depreciation Schedule'!$D19/SUM($D$17:$D$19)</f>
        <v>5.564236257850904E-2</v>
      </c>
      <c r="F19" s="104">
        <f>D19+E19</f>
        <v>1.055642362578509</v>
      </c>
      <c r="G19" s="192">
        <v>9.5000000000000001E-2</v>
      </c>
      <c r="H19" s="192">
        <v>0.1</v>
      </c>
      <c r="L19" s="104"/>
    </row>
    <row r="20" spans="2:15" ht="18" customHeight="1">
      <c r="B20" s="135" t="s">
        <v>310</v>
      </c>
      <c r="C20" s="147"/>
      <c r="D20" s="147">
        <f>SUM(D16:D19)</f>
        <v>39.930638000000002</v>
      </c>
      <c r="E20" s="147">
        <f>SUM(E16:E19)</f>
        <v>1.7761397133333336</v>
      </c>
      <c r="F20" s="147">
        <f>SUM(F16:F19)</f>
        <v>41.706777713333338</v>
      </c>
      <c r="G20" s="136"/>
      <c r="H20" s="136"/>
    </row>
    <row r="21" spans="2:15" ht="18" customHeight="1">
      <c r="G21" s="108"/>
      <c r="H21" s="94"/>
    </row>
    <row r="22" spans="2:15" ht="18" customHeight="1">
      <c r="H22" s="94"/>
    </row>
    <row r="23" spans="2:15" ht="18" customHeight="1">
      <c r="B23" s="135" t="s">
        <v>313</v>
      </c>
      <c r="C23" s="135"/>
      <c r="D23" s="135"/>
      <c r="E23" s="135"/>
      <c r="F23" s="135"/>
      <c r="G23" s="135"/>
      <c r="H23" s="135"/>
      <c r="I23" s="135"/>
      <c r="J23" s="135"/>
      <c r="K23" s="135"/>
      <c r="L23" s="135"/>
      <c r="M23" s="135"/>
      <c r="N23" s="135"/>
      <c r="O23" s="135"/>
    </row>
    <row r="24" spans="2:15" ht="18" customHeight="1">
      <c r="B24" s="135" t="s">
        <v>2</v>
      </c>
      <c r="C24" s="183"/>
      <c r="D24" s="268">
        <f t="shared" ref="D24:O24" si="12">D9</f>
        <v>45747</v>
      </c>
      <c r="E24" s="268">
        <f t="shared" si="12"/>
        <v>46053</v>
      </c>
      <c r="F24" s="184">
        <f t="shared" si="12"/>
        <v>46112</v>
      </c>
      <c r="G24" s="184">
        <f t="shared" si="12"/>
        <v>46477</v>
      </c>
      <c r="H24" s="184">
        <f t="shared" si="12"/>
        <v>46843</v>
      </c>
      <c r="I24" s="184">
        <f t="shared" si="12"/>
        <v>47208</v>
      </c>
      <c r="J24" s="184">
        <f t="shared" si="12"/>
        <v>47573</v>
      </c>
      <c r="K24" s="184">
        <f t="shared" si="12"/>
        <v>47938</v>
      </c>
      <c r="L24" s="184">
        <f t="shared" si="12"/>
        <v>48304</v>
      </c>
      <c r="M24" s="184">
        <f t="shared" si="12"/>
        <v>48669</v>
      </c>
      <c r="N24" s="184">
        <f t="shared" si="12"/>
        <v>49034</v>
      </c>
      <c r="O24" s="184">
        <f t="shared" si="12"/>
        <v>49399</v>
      </c>
    </row>
    <row r="25" spans="2:15" ht="18" customHeight="1">
      <c r="B25" s="94" t="s">
        <v>201</v>
      </c>
      <c r="D25" s="104">
        <f>F16</f>
        <v>8.01</v>
      </c>
      <c r="E25" s="104">
        <f>D25</f>
        <v>8.01</v>
      </c>
      <c r="F25" s="104">
        <f t="shared" ref="F25:L25" si="13">E25</f>
        <v>8.01</v>
      </c>
      <c r="G25" s="104">
        <f t="shared" si="13"/>
        <v>8.01</v>
      </c>
      <c r="H25" s="104">
        <f t="shared" si="13"/>
        <v>8.01</v>
      </c>
      <c r="I25" s="104">
        <f t="shared" si="13"/>
        <v>8.01</v>
      </c>
      <c r="J25" s="104">
        <f t="shared" si="13"/>
        <v>8.01</v>
      </c>
      <c r="K25" s="104">
        <f t="shared" si="13"/>
        <v>8.01</v>
      </c>
      <c r="L25" s="104">
        <f t="shared" si="13"/>
        <v>8.01</v>
      </c>
      <c r="M25" s="104">
        <f t="shared" ref="M25:M27" si="14">L25</f>
        <v>8.01</v>
      </c>
      <c r="N25" s="104">
        <f t="shared" ref="N25:N27" si="15">M25</f>
        <v>8.01</v>
      </c>
      <c r="O25" s="104">
        <f t="shared" ref="O25:O27" si="16">N25</f>
        <v>8.01</v>
      </c>
    </row>
    <row r="26" spans="2:15" ht="18" customHeight="1">
      <c r="B26" s="118" t="s">
        <v>314</v>
      </c>
      <c r="C26" s="118"/>
      <c r="D26" s="146"/>
      <c r="E26" s="146"/>
      <c r="F26" s="146">
        <v>0</v>
      </c>
      <c r="G26" s="146">
        <f>F26</f>
        <v>0</v>
      </c>
      <c r="H26" s="146">
        <f t="shared" ref="H26:L27" si="17">G26</f>
        <v>0</v>
      </c>
      <c r="I26" s="146">
        <f t="shared" si="17"/>
        <v>0</v>
      </c>
      <c r="J26" s="146">
        <f t="shared" si="17"/>
        <v>0</v>
      </c>
      <c r="K26" s="146">
        <f t="shared" si="17"/>
        <v>0</v>
      </c>
      <c r="L26" s="146">
        <f t="shared" si="17"/>
        <v>0</v>
      </c>
      <c r="M26" s="146">
        <f t="shared" si="14"/>
        <v>0</v>
      </c>
      <c r="N26" s="146">
        <f t="shared" si="15"/>
        <v>0</v>
      </c>
      <c r="O26" s="146">
        <f t="shared" si="16"/>
        <v>0</v>
      </c>
    </row>
    <row r="27" spans="2:15" ht="18" customHeight="1">
      <c r="B27" s="94" t="s">
        <v>63</v>
      </c>
      <c r="D27" s="104">
        <f>F17</f>
        <v>11.495945328479964</v>
      </c>
      <c r="E27" s="104">
        <f>D27</f>
        <v>11.495945328479964</v>
      </c>
      <c r="F27" s="104">
        <f>E27</f>
        <v>11.495945328479964</v>
      </c>
      <c r="G27" s="104">
        <f>F27</f>
        <v>11.495945328479964</v>
      </c>
      <c r="H27" s="104">
        <f t="shared" si="17"/>
        <v>11.495945328479964</v>
      </c>
      <c r="I27" s="104">
        <f t="shared" si="17"/>
        <v>11.495945328479964</v>
      </c>
      <c r="J27" s="104">
        <f t="shared" si="17"/>
        <v>11.495945328479964</v>
      </c>
      <c r="K27" s="104">
        <f t="shared" si="17"/>
        <v>11.495945328479964</v>
      </c>
      <c r="L27" s="104">
        <f t="shared" si="17"/>
        <v>11.495945328479964</v>
      </c>
      <c r="M27" s="104">
        <f t="shared" si="14"/>
        <v>11.495945328479964</v>
      </c>
      <c r="N27" s="104">
        <f t="shared" si="15"/>
        <v>11.495945328479964</v>
      </c>
      <c r="O27" s="104">
        <f t="shared" si="16"/>
        <v>11.495945328479964</v>
      </c>
    </row>
    <row r="28" spans="2:15" ht="18" customHeight="1">
      <c r="B28" s="118" t="str">
        <f>"SLM Depreciation " &amp; B27</f>
        <v>SLM Depreciation Building &amp; Civil Works</v>
      </c>
      <c r="C28" s="118"/>
      <c r="D28" s="146"/>
      <c r="E28" s="146"/>
      <c r="F28" s="146">
        <f t="shared" ref="F28:L28" si="18">(F27-F27*5%)/$C$17*F11/12</f>
        <v>6.0673044789199819E-2</v>
      </c>
      <c r="G28" s="146">
        <f t="shared" si="18"/>
        <v>0.3640382687351989</v>
      </c>
      <c r="H28" s="146">
        <f t="shared" si="18"/>
        <v>0.3640382687351989</v>
      </c>
      <c r="I28" s="146">
        <f t="shared" si="18"/>
        <v>0.3640382687351989</v>
      </c>
      <c r="J28" s="146">
        <f t="shared" si="18"/>
        <v>0.3640382687351989</v>
      </c>
      <c r="K28" s="146">
        <f t="shared" si="18"/>
        <v>0.3640382687351989</v>
      </c>
      <c r="L28" s="146">
        <f t="shared" si="18"/>
        <v>0.3640382687351989</v>
      </c>
      <c r="M28" s="146">
        <f t="shared" ref="M28:O28" si="19">(M27-M27*5%)/$C$17*M11/12</f>
        <v>0.3640382687351989</v>
      </c>
      <c r="N28" s="146">
        <f t="shared" si="19"/>
        <v>0.3640382687351989</v>
      </c>
      <c r="O28" s="146">
        <f t="shared" si="19"/>
        <v>0.3640382687351989</v>
      </c>
    </row>
    <row r="29" spans="2:15" ht="18" customHeight="1">
      <c r="B29" s="94" t="s">
        <v>64</v>
      </c>
      <c r="D29" s="104">
        <f>F18</f>
        <v>21.145190022274861</v>
      </c>
      <c r="E29" s="104">
        <f>D29</f>
        <v>21.145190022274861</v>
      </c>
      <c r="F29" s="104">
        <f t="shared" ref="F29:L29" si="20">E29</f>
        <v>21.145190022274861</v>
      </c>
      <c r="G29" s="104">
        <f t="shared" si="20"/>
        <v>21.145190022274861</v>
      </c>
      <c r="H29" s="104">
        <f t="shared" si="20"/>
        <v>21.145190022274861</v>
      </c>
      <c r="I29" s="104">
        <f t="shared" si="20"/>
        <v>21.145190022274861</v>
      </c>
      <c r="J29" s="104">
        <f t="shared" si="20"/>
        <v>21.145190022274861</v>
      </c>
      <c r="K29" s="104">
        <f t="shared" si="20"/>
        <v>21.145190022274861</v>
      </c>
      <c r="L29" s="104">
        <f t="shared" si="20"/>
        <v>21.145190022274861</v>
      </c>
      <c r="M29" s="104">
        <f t="shared" ref="M29" si="21">L29</f>
        <v>21.145190022274861</v>
      </c>
      <c r="N29" s="104">
        <f t="shared" ref="N29" si="22">M29</f>
        <v>21.145190022274861</v>
      </c>
      <c r="O29" s="104">
        <f t="shared" ref="O29" si="23">N29</f>
        <v>21.145190022274861</v>
      </c>
    </row>
    <row r="30" spans="2:15" ht="18" customHeight="1">
      <c r="B30" s="118" t="str">
        <f>"SLM Depreciation " &amp; B29</f>
        <v>SLM Depreciation Plant &amp; Machinery</v>
      </c>
      <c r="C30" s="118"/>
      <c r="D30" s="118"/>
      <c r="E30" s="118"/>
      <c r="F30" s="146">
        <f>(F29-F29*5%)/$C$18*F11/12</f>
        <v>0.22319922801290129</v>
      </c>
      <c r="G30" s="146">
        <f t="shared" ref="G30:L30" si="24">(G29-G29*5%)/($C$18-0.5)*G11/12</f>
        <v>1.3853745187007667</v>
      </c>
      <c r="H30" s="146">
        <f t="shared" si="24"/>
        <v>1.3853745187007667</v>
      </c>
      <c r="I30" s="146">
        <f t="shared" si="24"/>
        <v>1.3853745187007667</v>
      </c>
      <c r="J30" s="146">
        <f t="shared" si="24"/>
        <v>1.3853745187007667</v>
      </c>
      <c r="K30" s="146">
        <f t="shared" si="24"/>
        <v>1.3853745187007667</v>
      </c>
      <c r="L30" s="146">
        <f t="shared" si="24"/>
        <v>1.3853745187007667</v>
      </c>
      <c r="M30" s="146">
        <f t="shared" ref="M30:O30" si="25">(M29-M29*5%)/($C$18-0.5)*M11/12</f>
        <v>1.3853745187007667</v>
      </c>
      <c r="N30" s="146">
        <f t="shared" si="25"/>
        <v>1.3853745187007667</v>
      </c>
      <c r="O30" s="146">
        <f t="shared" si="25"/>
        <v>1.3853745187007667</v>
      </c>
    </row>
    <row r="31" spans="2:15" ht="18" customHeight="1">
      <c r="B31" s="94" t="str">
        <f>B19</f>
        <v>Office Equipment &amp; Accessories</v>
      </c>
      <c r="D31" s="104">
        <f>F19</f>
        <v>1.055642362578509</v>
      </c>
      <c r="E31" s="104">
        <f>F19</f>
        <v>1.055642362578509</v>
      </c>
      <c r="F31" s="104">
        <f>F19</f>
        <v>1.055642362578509</v>
      </c>
      <c r="G31" s="104">
        <f t="shared" ref="G31:L31" si="26">F31</f>
        <v>1.055642362578509</v>
      </c>
      <c r="H31" s="104">
        <f t="shared" si="26"/>
        <v>1.055642362578509</v>
      </c>
      <c r="I31" s="104">
        <f t="shared" si="26"/>
        <v>1.055642362578509</v>
      </c>
      <c r="J31" s="104">
        <f t="shared" si="26"/>
        <v>1.055642362578509</v>
      </c>
      <c r="K31" s="104">
        <f t="shared" si="26"/>
        <v>1.055642362578509</v>
      </c>
      <c r="L31" s="104">
        <f t="shared" si="26"/>
        <v>1.055642362578509</v>
      </c>
      <c r="M31" s="104">
        <f t="shared" ref="M31" si="27">L31</f>
        <v>1.055642362578509</v>
      </c>
      <c r="N31" s="104">
        <f t="shared" ref="N31" si="28">M31</f>
        <v>1.055642362578509</v>
      </c>
      <c r="O31" s="104">
        <f t="shared" ref="O31" si="29">N31</f>
        <v>1.055642362578509</v>
      </c>
    </row>
    <row r="32" spans="2:15" ht="18" customHeight="1">
      <c r="B32" s="118" t="str">
        <f>"SLM Depreciation " &amp; B31</f>
        <v>SLM Depreciation Office Equipment &amp; Accessories</v>
      </c>
      <c r="C32" s="118"/>
      <c r="D32" s="118"/>
      <c r="E32" s="118"/>
      <c r="F32" s="146">
        <f t="shared" ref="F32:L32" si="30">(F31-F31*5%)/$C$19*F11/12</f>
        <v>1.6714337407493059E-2</v>
      </c>
      <c r="G32" s="146">
        <f t="shared" si="30"/>
        <v>0.10028602444495834</v>
      </c>
      <c r="H32" s="146">
        <f t="shared" si="30"/>
        <v>0.10028602444495834</v>
      </c>
      <c r="I32" s="146">
        <f t="shared" si="30"/>
        <v>0.10028602444495834</v>
      </c>
      <c r="J32" s="146">
        <f t="shared" si="30"/>
        <v>0.10028602444495834</v>
      </c>
      <c r="K32" s="146">
        <f t="shared" si="30"/>
        <v>0.10028602444495834</v>
      </c>
      <c r="L32" s="146">
        <f t="shared" si="30"/>
        <v>0.10028602444495834</v>
      </c>
      <c r="M32" s="146">
        <f t="shared" ref="M32:O32" si="31">(M31-M31*5%)/$C$19*M11/12</f>
        <v>0.10028602444495834</v>
      </c>
      <c r="N32" s="146">
        <f t="shared" si="31"/>
        <v>0.10028602444495834</v>
      </c>
      <c r="O32" s="146">
        <f t="shared" si="31"/>
        <v>0.10028602444495834</v>
      </c>
    </row>
    <row r="33" spans="2:15" ht="18" customHeight="1">
      <c r="B33" s="135" t="s">
        <v>315</v>
      </c>
      <c r="C33" s="135"/>
      <c r="D33" s="147">
        <f t="shared" ref="D33:L33" si="32">D26+D28+D30+D32</f>
        <v>0</v>
      </c>
      <c r="E33" s="147">
        <f t="shared" si="32"/>
        <v>0</v>
      </c>
      <c r="F33" s="147">
        <f t="shared" si="32"/>
        <v>0.30058661020959415</v>
      </c>
      <c r="G33" s="147">
        <f t="shared" si="32"/>
        <v>1.8496988118809239</v>
      </c>
      <c r="H33" s="147">
        <f t="shared" si="32"/>
        <v>1.8496988118809239</v>
      </c>
      <c r="I33" s="147">
        <f t="shared" si="32"/>
        <v>1.8496988118809239</v>
      </c>
      <c r="J33" s="147">
        <f t="shared" si="32"/>
        <v>1.8496988118809239</v>
      </c>
      <c r="K33" s="147">
        <f t="shared" si="32"/>
        <v>1.8496988118809239</v>
      </c>
      <c r="L33" s="147">
        <f t="shared" si="32"/>
        <v>1.8496988118809239</v>
      </c>
      <c r="M33" s="147">
        <f t="shared" ref="M33:O33" si="33">M26+M28+M30+M32</f>
        <v>1.8496988118809239</v>
      </c>
      <c r="N33" s="147">
        <f t="shared" si="33"/>
        <v>1.8496988118809239</v>
      </c>
      <c r="O33" s="147">
        <f t="shared" si="33"/>
        <v>1.8496988118809239</v>
      </c>
    </row>
    <row r="34" spans="2:15" ht="18" customHeight="1">
      <c r="H34" s="94"/>
    </row>
    <row r="35" spans="2:15" ht="18" customHeight="1">
      <c r="H35" s="94"/>
    </row>
    <row r="36" spans="2:15" ht="18" customHeight="1">
      <c r="B36" s="139" t="s">
        <v>705</v>
      </c>
      <c r="C36" s="139"/>
      <c r="D36" s="139"/>
      <c r="E36" s="139"/>
      <c r="F36" s="139"/>
      <c r="G36" s="139"/>
      <c r="H36" s="139"/>
      <c r="I36" s="139"/>
      <c r="J36" s="139"/>
      <c r="K36" s="139"/>
      <c r="L36" s="139"/>
      <c r="M36" s="139"/>
      <c r="N36" s="139"/>
      <c r="O36" s="139"/>
    </row>
    <row r="37" spans="2:15" ht="18" customHeight="1">
      <c r="B37" s="266" t="s">
        <v>2</v>
      </c>
      <c r="C37" s="267"/>
      <c r="D37" s="268">
        <f t="shared" ref="D37:L37" si="34">D9</f>
        <v>45747</v>
      </c>
      <c r="E37" s="268">
        <f t="shared" si="34"/>
        <v>46053</v>
      </c>
      <c r="F37" s="269">
        <f t="shared" si="34"/>
        <v>46112</v>
      </c>
      <c r="G37" s="269">
        <f t="shared" si="34"/>
        <v>46477</v>
      </c>
      <c r="H37" s="269">
        <f t="shared" si="34"/>
        <v>46843</v>
      </c>
      <c r="I37" s="269">
        <f t="shared" si="34"/>
        <v>47208</v>
      </c>
      <c r="J37" s="269">
        <f t="shared" si="34"/>
        <v>47573</v>
      </c>
      <c r="K37" s="269">
        <f t="shared" si="34"/>
        <v>47938</v>
      </c>
      <c r="L37" s="269">
        <f t="shared" si="34"/>
        <v>48304</v>
      </c>
      <c r="M37" s="269">
        <f t="shared" ref="M37:O37" si="35">M9</f>
        <v>48669</v>
      </c>
      <c r="N37" s="269">
        <f t="shared" si="35"/>
        <v>49034</v>
      </c>
      <c r="O37" s="269">
        <f t="shared" si="35"/>
        <v>49399</v>
      </c>
    </row>
    <row r="38" spans="2:15" ht="18" customHeight="1">
      <c r="B38" s="243" t="s">
        <v>201</v>
      </c>
      <c r="C38" s="242"/>
      <c r="D38" s="104">
        <f>F16</f>
        <v>8.01</v>
      </c>
      <c r="E38" s="104">
        <f>D38</f>
        <v>8.01</v>
      </c>
      <c r="F38" s="104">
        <f t="shared" ref="F38:L38" si="36">E38</f>
        <v>8.01</v>
      </c>
      <c r="G38" s="104">
        <f t="shared" si="36"/>
        <v>8.01</v>
      </c>
      <c r="H38" s="104">
        <f t="shared" si="36"/>
        <v>8.01</v>
      </c>
      <c r="I38" s="104">
        <f t="shared" si="36"/>
        <v>8.01</v>
      </c>
      <c r="J38" s="104">
        <f t="shared" si="36"/>
        <v>8.01</v>
      </c>
      <c r="K38" s="104">
        <f t="shared" si="36"/>
        <v>8.01</v>
      </c>
      <c r="L38" s="104">
        <f t="shared" si="36"/>
        <v>8.01</v>
      </c>
      <c r="M38" s="104">
        <f t="shared" ref="M38" si="37">L38</f>
        <v>8.01</v>
      </c>
      <c r="N38" s="104">
        <f t="shared" ref="N38" si="38">M38</f>
        <v>8.01</v>
      </c>
      <c r="O38" s="104">
        <f t="shared" ref="O38" si="39">N38</f>
        <v>8.01</v>
      </c>
    </row>
    <row r="39" spans="2:15" ht="18" customHeight="1">
      <c r="B39" s="270" t="str">
        <f>"Depreciation " &amp; B38</f>
        <v>Depreciation Land</v>
      </c>
      <c r="C39" s="270"/>
      <c r="D39" s="270"/>
      <c r="E39" s="270"/>
      <c r="F39" s="271">
        <v>0</v>
      </c>
      <c r="G39" s="271">
        <v>0</v>
      </c>
      <c r="H39" s="271">
        <v>0</v>
      </c>
      <c r="I39" s="271">
        <v>0</v>
      </c>
      <c r="J39" s="271">
        <v>0</v>
      </c>
      <c r="K39" s="271">
        <v>0</v>
      </c>
      <c r="L39" s="271">
        <v>0</v>
      </c>
      <c r="M39" s="271">
        <v>1</v>
      </c>
      <c r="N39" s="271">
        <v>2</v>
      </c>
      <c r="O39" s="271">
        <v>3</v>
      </c>
    </row>
    <row r="40" spans="2:15" ht="18" customHeight="1">
      <c r="B40" s="242" t="str">
        <f>"WDV " &amp; "of "&amp; B38</f>
        <v>WDV of Land</v>
      </c>
      <c r="C40" s="242"/>
      <c r="D40" s="242"/>
      <c r="E40" s="242"/>
      <c r="F40" s="244">
        <f>F38-F39</f>
        <v>8.01</v>
      </c>
      <c r="G40" s="244">
        <f t="shared" ref="G40:L40" si="40">G38-G39</f>
        <v>8.01</v>
      </c>
      <c r="H40" s="244">
        <f t="shared" si="40"/>
        <v>8.01</v>
      </c>
      <c r="I40" s="244">
        <f t="shared" si="40"/>
        <v>8.01</v>
      </c>
      <c r="J40" s="244">
        <f t="shared" si="40"/>
        <v>8.01</v>
      </c>
      <c r="K40" s="244">
        <f t="shared" si="40"/>
        <v>8.01</v>
      </c>
      <c r="L40" s="244">
        <f t="shared" si="40"/>
        <v>8.01</v>
      </c>
      <c r="M40" s="244">
        <f t="shared" ref="M40:O40" si="41">M38-M39</f>
        <v>7.01</v>
      </c>
      <c r="N40" s="244">
        <f t="shared" si="41"/>
        <v>6.01</v>
      </c>
      <c r="O40" s="244">
        <f t="shared" si="41"/>
        <v>5.01</v>
      </c>
    </row>
    <row r="41" spans="2:15" ht="18" customHeight="1">
      <c r="B41" s="243" t="s">
        <v>63</v>
      </c>
      <c r="C41" s="242"/>
      <c r="D41" s="104">
        <f>F17</f>
        <v>11.495945328479964</v>
      </c>
      <c r="E41" s="104">
        <f>D41</f>
        <v>11.495945328479964</v>
      </c>
      <c r="F41" s="104">
        <f>E41</f>
        <v>11.495945328479964</v>
      </c>
      <c r="G41" s="104">
        <f t="shared" ref="G41:L41" si="42">F43</f>
        <v>11.304346239671965</v>
      </c>
      <c r="H41" s="104">
        <f t="shared" si="42"/>
        <v>10.173911615704768</v>
      </c>
      <c r="I41" s="104">
        <f t="shared" si="42"/>
        <v>9.1565204541342915</v>
      </c>
      <c r="J41" s="104">
        <f t="shared" si="42"/>
        <v>8.2408684087208623</v>
      </c>
      <c r="K41" s="104">
        <f t="shared" si="42"/>
        <v>7.4167815678487763</v>
      </c>
      <c r="L41" s="104">
        <f t="shared" si="42"/>
        <v>6.6751034110638985</v>
      </c>
      <c r="M41" s="104">
        <f t="shared" ref="M41" si="43">L43</f>
        <v>6.0075930699575082</v>
      </c>
      <c r="N41" s="104">
        <f t="shared" ref="N41" si="44">M43</f>
        <v>5.4068337629617576</v>
      </c>
      <c r="O41" s="104">
        <f t="shared" ref="O41" si="45">N43</f>
        <v>4.8661503866655815</v>
      </c>
    </row>
    <row r="42" spans="2:15" ht="18" customHeight="1">
      <c r="B42" s="311" t="s">
        <v>815</v>
      </c>
      <c r="C42" s="311"/>
      <c r="D42" s="312">
        <v>0</v>
      </c>
      <c r="E42" s="312">
        <v>0</v>
      </c>
      <c r="F42" s="313">
        <f t="shared" ref="F42:L42" si="46">F41*$H$17*F11/12</f>
        <v>0.19159908880799939</v>
      </c>
      <c r="G42" s="313">
        <f t="shared" si="46"/>
        <v>1.1304346239671965</v>
      </c>
      <c r="H42" s="313">
        <f t="shared" si="46"/>
        <v>1.0173911615704767</v>
      </c>
      <c r="I42" s="313">
        <f t="shared" si="46"/>
        <v>0.91565204541342915</v>
      </c>
      <c r="J42" s="313">
        <f t="shared" si="46"/>
        <v>0.82408684087208639</v>
      </c>
      <c r="K42" s="313">
        <f t="shared" si="46"/>
        <v>0.7416781567848777</v>
      </c>
      <c r="L42" s="313">
        <f t="shared" si="46"/>
        <v>0.66751034110638985</v>
      </c>
      <c r="M42" s="313">
        <f t="shared" ref="M42:O42" si="47">M41*$H$17*M11/12</f>
        <v>0.60075930699575086</v>
      </c>
      <c r="N42" s="313">
        <f t="shared" si="47"/>
        <v>0.5406833762961758</v>
      </c>
      <c r="O42" s="313">
        <f t="shared" si="47"/>
        <v>0.4866150386665582</v>
      </c>
    </row>
    <row r="43" spans="2:15" ht="18" customHeight="1">
      <c r="B43" s="242" t="s">
        <v>816</v>
      </c>
      <c r="C43" s="242"/>
      <c r="D43" s="104"/>
      <c r="E43" s="104"/>
      <c r="F43" s="244">
        <f>F41-F42</f>
        <v>11.304346239671965</v>
      </c>
      <c r="G43" s="244">
        <f t="shared" ref="G43:L43" si="48">G41-G42</f>
        <v>10.173911615704768</v>
      </c>
      <c r="H43" s="244">
        <f t="shared" si="48"/>
        <v>9.1565204541342915</v>
      </c>
      <c r="I43" s="244">
        <f t="shared" si="48"/>
        <v>8.2408684087208623</v>
      </c>
      <c r="J43" s="244">
        <f t="shared" si="48"/>
        <v>7.4167815678487763</v>
      </c>
      <c r="K43" s="244">
        <f t="shared" si="48"/>
        <v>6.6751034110638985</v>
      </c>
      <c r="L43" s="244">
        <f t="shared" si="48"/>
        <v>6.0075930699575082</v>
      </c>
      <c r="M43" s="244">
        <f t="shared" ref="M43:O43" si="49">M41-M42</f>
        <v>5.4068337629617576</v>
      </c>
      <c r="N43" s="244">
        <f t="shared" si="49"/>
        <v>4.8661503866655815</v>
      </c>
      <c r="O43" s="244">
        <f t="shared" si="49"/>
        <v>4.3795353479990231</v>
      </c>
    </row>
    <row r="44" spans="2:15" ht="18" customHeight="1">
      <c r="B44" s="243" t="s">
        <v>64</v>
      </c>
      <c r="C44" s="242"/>
      <c r="D44" s="244"/>
      <c r="E44" s="244"/>
      <c r="F44" s="244">
        <f>F18</f>
        <v>21.145190022274861</v>
      </c>
      <c r="G44" s="244">
        <f t="shared" ref="G44:L44" si="50">F46</f>
        <v>20.61656027171799</v>
      </c>
      <c r="H44" s="244">
        <f t="shared" si="50"/>
        <v>17.52407623096029</v>
      </c>
      <c r="I44" s="244">
        <f t="shared" si="50"/>
        <v>14.895464796316247</v>
      </c>
      <c r="J44" s="244">
        <f t="shared" si="50"/>
        <v>12.661145076868809</v>
      </c>
      <c r="K44" s="244">
        <f t="shared" si="50"/>
        <v>10.761973315338487</v>
      </c>
      <c r="L44" s="244">
        <f t="shared" si="50"/>
        <v>9.1476773180377133</v>
      </c>
      <c r="M44" s="244">
        <f t="shared" ref="M44" si="51">L46</f>
        <v>7.7755257203320562</v>
      </c>
      <c r="N44" s="244">
        <f t="shared" ref="N44" si="52">M46</f>
        <v>6.6091968622822481</v>
      </c>
      <c r="O44" s="244">
        <f t="shared" ref="O44" si="53">N46</f>
        <v>5.6178173329399108</v>
      </c>
    </row>
    <row r="45" spans="2:15" ht="18" customHeight="1">
      <c r="B45" s="270" t="str">
        <f>"Depreciation " &amp; B44</f>
        <v>Depreciation Plant &amp; Machinery</v>
      </c>
      <c r="C45" s="270"/>
      <c r="D45" s="270"/>
      <c r="E45" s="270"/>
      <c r="F45" s="271">
        <f t="shared" ref="F45:L45" si="54">F44*$H$18*F11/12</f>
        <v>0.52862975055687145</v>
      </c>
      <c r="G45" s="271">
        <f t="shared" si="54"/>
        <v>3.0924840407576983</v>
      </c>
      <c r="H45" s="271">
        <f t="shared" si="54"/>
        <v>2.6286114346440432</v>
      </c>
      <c r="I45" s="271">
        <f t="shared" si="54"/>
        <v>2.2343197194474369</v>
      </c>
      <c r="J45" s="271">
        <f t="shared" si="54"/>
        <v>1.8991717615303214</v>
      </c>
      <c r="K45" s="271">
        <f t="shared" si="54"/>
        <v>1.6142959973007731</v>
      </c>
      <c r="L45" s="271">
        <f t="shared" si="54"/>
        <v>1.3721515977056569</v>
      </c>
      <c r="M45" s="271">
        <f t="shared" ref="M45:O45" si="55">M44*$H$18*M11/12</f>
        <v>1.1663288580498083</v>
      </c>
      <c r="N45" s="271">
        <f t="shared" si="55"/>
        <v>0.9913795293423372</v>
      </c>
      <c r="O45" s="271">
        <f t="shared" si="55"/>
        <v>0.84267259994098664</v>
      </c>
    </row>
    <row r="46" spans="2:15" ht="18" customHeight="1">
      <c r="B46" s="242" t="str">
        <f>"WDV " &amp; "of "&amp; B44</f>
        <v>WDV of Plant &amp; Machinery</v>
      </c>
      <c r="C46" s="242"/>
      <c r="D46" s="242"/>
      <c r="E46" s="242"/>
      <c r="F46" s="244">
        <f>F44-F45</f>
        <v>20.61656027171799</v>
      </c>
      <c r="G46" s="244">
        <f t="shared" ref="G46:L46" si="56">G44-G45</f>
        <v>17.52407623096029</v>
      </c>
      <c r="H46" s="244">
        <f t="shared" si="56"/>
        <v>14.895464796316247</v>
      </c>
      <c r="I46" s="244">
        <f t="shared" si="56"/>
        <v>12.661145076868809</v>
      </c>
      <c r="J46" s="244">
        <f t="shared" si="56"/>
        <v>10.761973315338487</v>
      </c>
      <c r="K46" s="244">
        <f t="shared" si="56"/>
        <v>9.1476773180377133</v>
      </c>
      <c r="L46" s="244">
        <f t="shared" si="56"/>
        <v>7.7755257203320562</v>
      </c>
      <c r="M46" s="244">
        <f t="shared" ref="M46:O46" si="57">M44-M45</f>
        <v>6.6091968622822481</v>
      </c>
      <c r="N46" s="244">
        <f t="shared" si="57"/>
        <v>5.6178173329399108</v>
      </c>
      <c r="O46" s="244">
        <f t="shared" si="57"/>
        <v>4.7751447329989238</v>
      </c>
    </row>
    <row r="47" spans="2:15" ht="18" customHeight="1">
      <c r="B47" s="242" t="s">
        <v>730</v>
      </c>
      <c r="C47" s="242"/>
      <c r="D47" s="242"/>
      <c r="E47" s="242"/>
      <c r="F47" s="244">
        <f>F19</f>
        <v>1.055642362578509</v>
      </c>
      <c r="G47" s="244">
        <f t="shared" ref="G47:L47" si="58">F49</f>
        <v>1.0380483232022004</v>
      </c>
      <c r="H47" s="244">
        <f t="shared" si="58"/>
        <v>0.93424349088198033</v>
      </c>
      <c r="I47" s="244">
        <f t="shared" si="58"/>
        <v>0.84081914179378225</v>
      </c>
      <c r="J47" s="244">
        <f t="shared" si="58"/>
        <v>0.75673722761440398</v>
      </c>
      <c r="K47" s="244">
        <f t="shared" si="58"/>
        <v>0.68106350485296363</v>
      </c>
      <c r="L47" s="244">
        <f t="shared" si="58"/>
        <v>0.61295715436766729</v>
      </c>
      <c r="M47" s="244">
        <f t="shared" ref="M47" si="59">L49</f>
        <v>0.55166143893090058</v>
      </c>
      <c r="N47" s="244">
        <f t="shared" ref="N47" si="60">M49</f>
        <v>0.49649529503781054</v>
      </c>
      <c r="O47" s="244">
        <f t="shared" ref="O47" si="61">N49</f>
        <v>0.44684576553402949</v>
      </c>
    </row>
    <row r="48" spans="2:15" ht="18" customHeight="1">
      <c r="B48" s="270" t="str">
        <f>"Depreciation " &amp; B47</f>
        <v>Depreciation Office Equipment &amp; Accessories</v>
      </c>
      <c r="C48" s="270"/>
      <c r="D48" s="270"/>
      <c r="E48" s="270"/>
      <c r="F48" s="271">
        <f t="shared" ref="F48:L48" si="62">F47*$H$19*F11/12</f>
        <v>1.7594039376308483E-2</v>
      </c>
      <c r="G48" s="271">
        <f t="shared" si="62"/>
        <v>0.10380483232022004</v>
      </c>
      <c r="H48" s="271">
        <f t="shared" si="62"/>
        <v>9.3424349088198036E-2</v>
      </c>
      <c r="I48" s="271">
        <f t="shared" si="62"/>
        <v>8.4081914179378228E-2</v>
      </c>
      <c r="J48" s="271">
        <f t="shared" si="62"/>
        <v>7.567372276144041E-2</v>
      </c>
      <c r="K48" s="271">
        <f t="shared" si="62"/>
        <v>6.8106350485296369E-2</v>
      </c>
      <c r="L48" s="271">
        <f t="shared" si="62"/>
        <v>6.1295715436766735E-2</v>
      </c>
      <c r="M48" s="271">
        <f t="shared" ref="M48:O48" si="63">M47*$H$19*M11/12</f>
        <v>5.5166143893090068E-2</v>
      </c>
      <c r="N48" s="271">
        <f t="shared" si="63"/>
        <v>4.9649529503781063E-2</v>
      </c>
      <c r="O48" s="271">
        <f t="shared" si="63"/>
        <v>4.4684576553402945E-2</v>
      </c>
    </row>
    <row r="49" spans="2:15" ht="18" customHeight="1">
      <c r="B49" s="242" t="str">
        <f>"WDV " &amp; "of "&amp; B47</f>
        <v>WDV of Office Equipment &amp; Accessories</v>
      </c>
      <c r="C49" s="242"/>
      <c r="D49" s="242"/>
      <c r="E49" s="242"/>
      <c r="F49" s="244">
        <f>F47-F48</f>
        <v>1.0380483232022004</v>
      </c>
      <c r="G49" s="244">
        <f t="shared" ref="G49:L49" si="64">G47-G48</f>
        <v>0.93424349088198033</v>
      </c>
      <c r="H49" s="244">
        <f t="shared" si="64"/>
        <v>0.84081914179378225</v>
      </c>
      <c r="I49" s="244">
        <f t="shared" si="64"/>
        <v>0.75673722761440398</v>
      </c>
      <c r="J49" s="244">
        <f t="shared" si="64"/>
        <v>0.68106350485296363</v>
      </c>
      <c r="K49" s="244">
        <f t="shared" si="64"/>
        <v>0.61295715436766729</v>
      </c>
      <c r="L49" s="244">
        <f t="shared" si="64"/>
        <v>0.55166143893090058</v>
      </c>
      <c r="M49" s="244">
        <f t="shared" ref="M49:O49" si="65">M47-M48</f>
        <v>0.49649529503781054</v>
      </c>
      <c r="N49" s="244">
        <f t="shared" si="65"/>
        <v>0.44684576553402949</v>
      </c>
      <c r="O49" s="244">
        <f t="shared" si="65"/>
        <v>0.40216118898062653</v>
      </c>
    </row>
    <row r="50" spans="2:15" ht="18" customHeight="1">
      <c r="B50" s="272" t="s">
        <v>706</v>
      </c>
      <c r="C50" s="272"/>
      <c r="D50" s="272"/>
      <c r="E50" s="272"/>
      <c r="F50" s="273">
        <f t="shared" ref="F50:L50" si="66">F40+F43+F46+F49</f>
        <v>40.968954834592147</v>
      </c>
      <c r="G50" s="273">
        <f t="shared" si="66"/>
        <v>36.642231337547038</v>
      </c>
      <c r="H50" s="273">
        <f t="shared" si="66"/>
        <v>32.90280439224432</v>
      </c>
      <c r="I50" s="273">
        <f t="shared" si="66"/>
        <v>29.668750713204076</v>
      </c>
      <c r="J50" s="273">
        <f t="shared" si="66"/>
        <v>26.86981838804023</v>
      </c>
      <c r="K50" s="273">
        <f t="shared" si="66"/>
        <v>24.445737883469281</v>
      </c>
      <c r="L50" s="273">
        <f t="shared" si="66"/>
        <v>22.344780229220465</v>
      </c>
      <c r="M50" s="273">
        <f t="shared" ref="M50:O50" si="67">M40+M43+M46+M49</f>
        <v>19.522525920281815</v>
      </c>
      <c r="N50" s="273">
        <f t="shared" si="67"/>
        <v>16.940813485139522</v>
      </c>
      <c r="O50" s="273">
        <f t="shared" si="67"/>
        <v>14.566841269978573</v>
      </c>
    </row>
    <row r="51" spans="2:15" ht="18" customHeight="1">
      <c r="B51" s="274" t="s">
        <v>707</v>
      </c>
      <c r="C51" s="274"/>
      <c r="D51" s="274"/>
      <c r="E51" s="274"/>
      <c r="F51" s="275">
        <f>F39+F42+F45+F48</f>
        <v>0.73782287874117924</v>
      </c>
      <c r="G51" s="275">
        <f t="shared" ref="G51:L51" si="68">G39+G42+G45+G48</f>
        <v>4.3267234970451147</v>
      </c>
      <c r="H51" s="275">
        <f t="shared" si="68"/>
        <v>3.7394269453027178</v>
      </c>
      <c r="I51" s="275">
        <f t="shared" si="68"/>
        <v>3.2340536790402443</v>
      </c>
      <c r="J51" s="275">
        <f t="shared" si="68"/>
        <v>2.7989323251638485</v>
      </c>
      <c r="K51" s="275">
        <f t="shared" si="68"/>
        <v>2.4240805045709473</v>
      </c>
      <c r="L51" s="275">
        <f t="shared" si="68"/>
        <v>2.1009576542488131</v>
      </c>
      <c r="M51" s="275">
        <f t="shared" ref="M51:O51" si="69">M39+M42+M45+M48</f>
        <v>2.8222543089386494</v>
      </c>
      <c r="N51" s="275">
        <f t="shared" si="69"/>
        <v>3.5817124351422942</v>
      </c>
      <c r="O51" s="275">
        <f t="shared" si="69"/>
        <v>4.3739722151609479</v>
      </c>
    </row>
    <row r="52" spans="2:15" ht="18" customHeight="1">
      <c r="H52" s="94"/>
    </row>
    <row r="53" spans="2:15" ht="18" customHeight="1">
      <c r="H53" s="94"/>
    </row>
    <row r="54" spans="2:15" ht="18" customHeight="1">
      <c r="H54" s="94"/>
    </row>
    <row r="55" spans="2:15" ht="18" customHeight="1">
      <c r="H55" s="94"/>
    </row>
    <row r="56" spans="2:15" ht="18" customHeight="1">
      <c r="H56" s="94"/>
    </row>
    <row r="57" spans="2:15" ht="18" customHeight="1">
      <c r="H57" s="94"/>
    </row>
    <row r="58" spans="2:15" ht="18" customHeight="1">
      <c r="H58" s="94"/>
    </row>
    <row r="59" spans="2:15" ht="18" customHeight="1">
      <c r="H59" s="94"/>
    </row>
    <row r="60" spans="2:15" ht="18" customHeight="1">
      <c r="H60" s="94"/>
    </row>
    <row r="61" spans="2:15" ht="18" customHeight="1">
      <c r="H61" s="94"/>
    </row>
    <row r="62" spans="2:15" ht="18" customHeight="1">
      <c r="H62" s="94"/>
    </row>
    <row r="63" spans="2:15" ht="18" customHeight="1">
      <c r="H63" s="94"/>
    </row>
    <row r="64" spans="2:15" ht="18" customHeight="1">
      <c r="H64" s="94"/>
    </row>
    <row r="65" spans="8:8" ht="18" customHeight="1">
      <c r="H65" s="94"/>
    </row>
    <row r="66" spans="8:8" ht="18" customHeight="1">
      <c r="H66" s="94"/>
    </row>
    <row r="67" spans="8:8" ht="18" customHeight="1">
      <c r="H67" s="94"/>
    </row>
    <row r="68" spans="8:8" ht="18" customHeight="1">
      <c r="H68" s="94"/>
    </row>
    <row r="69" spans="8:8" ht="18" customHeight="1">
      <c r="H69" s="94"/>
    </row>
    <row r="70" spans="8:8" ht="18" customHeight="1">
      <c r="H70" s="94"/>
    </row>
    <row r="71" spans="8:8" ht="18" customHeight="1">
      <c r="H71" s="94"/>
    </row>
    <row r="72" spans="8:8" ht="18" customHeight="1">
      <c r="H72" s="94"/>
    </row>
    <row r="73" spans="8:8" ht="18" customHeight="1">
      <c r="H73" s="94"/>
    </row>
    <row r="74" spans="8:8" ht="18" customHeight="1">
      <c r="H74" s="94"/>
    </row>
    <row r="75" spans="8:8" ht="18" customHeight="1">
      <c r="H75" s="94"/>
    </row>
    <row r="76" spans="8:8" ht="18" customHeight="1">
      <c r="H76" s="94"/>
    </row>
    <row r="77" spans="8:8" ht="18" customHeight="1">
      <c r="H77" s="94"/>
    </row>
    <row r="78" spans="8:8" ht="18" customHeight="1">
      <c r="H78" s="94"/>
    </row>
    <row r="79" spans="8:8" ht="18" customHeight="1">
      <c r="H79" s="94"/>
    </row>
    <row r="80" spans="8:8" ht="18" customHeight="1">
      <c r="H80" s="94"/>
    </row>
    <row r="81" spans="8:8" ht="18" customHeight="1">
      <c r="H81" s="94"/>
    </row>
    <row r="82" spans="8:8" ht="18" customHeight="1">
      <c r="H82" s="94"/>
    </row>
    <row r="83" spans="8:8" ht="18" customHeight="1">
      <c r="H83" s="94"/>
    </row>
    <row r="84" spans="8:8" ht="18" customHeight="1">
      <c r="H84" s="94"/>
    </row>
    <row r="85" spans="8:8" ht="18" customHeight="1">
      <c r="H85" s="94"/>
    </row>
    <row r="86" spans="8:8" ht="18" customHeight="1">
      <c r="H86" s="94"/>
    </row>
    <row r="87" spans="8:8" ht="18" customHeight="1">
      <c r="H87" s="94"/>
    </row>
    <row r="88" spans="8:8" ht="18" customHeight="1">
      <c r="H88" s="94"/>
    </row>
    <row r="89" spans="8:8" ht="18" customHeight="1">
      <c r="H89" s="94"/>
    </row>
    <row r="90" spans="8:8" ht="18" customHeight="1">
      <c r="H90" s="94"/>
    </row>
    <row r="91" spans="8:8" ht="18" customHeight="1">
      <c r="H91" s="94"/>
    </row>
    <row r="92" spans="8:8" ht="18" customHeight="1">
      <c r="H92" s="94"/>
    </row>
    <row r="93" spans="8:8" ht="18" customHeight="1">
      <c r="H93" s="94"/>
    </row>
    <row r="94" spans="8:8" ht="18" customHeight="1">
      <c r="H94" s="94"/>
    </row>
    <row r="95" spans="8:8" ht="18" customHeight="1">
      <c r="H95" s="94"/>
    </row>
    <row r="96" spans="8:8" ht="18" customHeight="1">
      <c r="H96" s="94"/>
    </row>
    <row r="97" spans="8:8" ht="18" customHeight="1">
      <c r="H97" s="94"/>
    </row>
    <row r="98" spans="8:8" ht="18" customHeight="1">
      <c r="H98" s="94"/>
    </row>
    <row r="99" spans="8:8" ht="18" customHeight="1">
      <c r="H99" s="94"/>
    </row>
    <row r="100" spans="8:8" ht="18" customHeight="1">
      <c r="H100" s="94"/>
    </row>
    <row r="101" spans="8:8" ht="18" customHeight="1">
      <c r="H101" s="94"/>
    </row>
    <row r="102" spans="8:8" ht="18" customHeight="1">
      <c r="H102" s="94"/>
    </row>
    <row r="103" spans="8:8" ht="18" customHeight="1">
      <c r="H103" s="94"/>
    </row>
    <row r="104" spans="8:8" ht="18" customHeight="1">
      <c r="H104" s="94"/>
    </row>
    <row r="105" spans="8:8" ht="18" customHeight="1">
      <c r="H105" s="94"/>
    </row>
    <row r="106" spans="8:8" ht="18" customHeight="1">
      <c r="H106" s="94"/>
    </row>
    <row r="107" spans="8:8" ht="18" customHeight="1">
      <c r="H107" s="94"/>
    </row>
    <row r="108" spans="8:8" ht="18" customHeight="1">
      <c r="H108" s="94"/>
    </row>
    <row r="109" spans="8:8" ht="18" customHeight="1">
      <c r="H109" s="94"/>
    </row>
    <row r="110" spans="8:8" ht="18" customHeight="1">
      <c r="H110" s="94"/>
    </row>
    <row r="111" spans="8:8" ht="18" customHeight="1">
      <c r="H111" s="94"/>
    </row>
    <row r="112" spans="8:8" ht="18" customHeight="1">
      <c r="H112" s="94"/>
    </row>
    <row r="113" spans="8:8" ht="18" customHeight="1">
      <c r="H113" s="94"/>
    </row>
    <row r="114" spans="8:8" ht="18" customHeight="1">
      <c r="H114" s="94"/>
    </row>
    <row r="115" spans="8:8" ht="18" customHeight="1">
      <c r="H115" s="94"/>
    </row>
    <row r="116" spans="8:8" ht="18" customHeight="1">
      <c r="H116" s="94"/>
    </row>
    <row r="117" spans="8:8" ht="18" customHeight="1">
      <c r="H117" s="94"/>
    </row>
    <row r="118" spans="8:8" ht="18" customHeight="1">
      <c r="H118" s="94"/>
    </row>
    <row r="119" spans="8:8" ht="18" customHeight="1">
      <c r="H119" s="94"/>
    </row>
    <row r="120" spans="8:8" ht="18" customHeight="1">
      <c r="H120" s="94"/>
    </row>
    <row r="121" spans="8:8" ht="18" customHeight="1">
      <c r="H121" s="94"/>
    </row>
    <row r="122" spans="8:8" ht="18" customHeight="1">
      <c r="H122" s="94"/>
    </row>
    <row r="123" spans="8:8" ht="18" customHeight="1">
      <c r="H123" s="94"/>
    </row>
    <row r="124" spans="8:8" ht="18" customHeight="1">
      <c r="H124" s="94"/>
    </row>
    <row r="125" spans="8:8" ht="18" customHeight="1">
      <c r="H125" s="94"/>
    </row>
    <row r="126" spans="8:8" ht="18" customHeight="1">
      <c r="H126" s="94"/>
    </row>
    <row r="127" spans="8:8" ht="18" customHeight="1">
      <c r="H127" s="94"/>
    </row>
    <row r="128" spans="8:8" ht="18" customHeight="1">
      <c r="H128" s="94"/>
    </row>
    <row r="129" spans="8:8" ht="18" customHeight="1">
      <c r="H129" s="94"/>
    </row>
    <row r="130" spans="8:8" ht="18" customHeight="1">
      <c r="H130" s="94"/>
    </row>
    <row r="131" spans="8:8" ht="18" customHeight="1">
      <c r="H131" s="94"/>
    </row>
    <row r="132" spans="8:8" ht="18" customHeight="1">
      <c r="H132" s="94"/>
    </row>
    <row r="133" spans="8:8" ht="18" customHeight="1">
      <c r="H133" s="94"/>
    </row>
    <row r="134" spans="8:8" ht="18" customHeight="1">
      <c r="H134" s="94"/>
    </row>
    <row r="135" spans="8:8" ht="18" customHeight="1">
      <c r="H135" s="94"/>
    </row>
    <row r="136" spans="8:8" ht="18" customHeight="1">
      <c r="H136" s="94"/>
    </row>
    <row r="137" spans="8:8" ht="18" customHeight="1">
      <c r="H137" s="94"/>
    </row>
    <row r="138" spans="8:8" ht="18" customHeight="1">
      <c r="H138" s="94"/>
    </row>
    <row r="139" spans="8:8" ht="18" customHeight="1">
      <c r="H139" s="94"/>
    </row>
  </sheetData>
  <mergeCells count="2">
    <mergeCell ref="D8:E8"/>
    <mergeCell ref="F8:O8"/>
  </mergeCells>
  <pageMargins left="0.7" right="0.7" top="0.75" bottom="0.75" header="0.3" footer="0.3"/>
  <pageSetup orientation="portrait" r:id="rId1"/>
  <ignoredErrors>
    <ignoredError sqref="H30:L32 H28:L28 F28:G28 G30 B31 G41 M28:O30" formula="1"/>
  </ignoredError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B1:O188"/>
  <sheetViews>
    <sheetView showGridLines="0" topLeftCell="A52" workbookViewId="0">
      <selection activeCell="F68" sqref="F68"/>
    </sheetView>
  </sheetViews>
  <sheetFormatPr defaultColWidth="13.7109375" defaultRowHeight="18" customHeight="1"/>
  <cols>
    <col min="1" max="1" width="4.140625" style="94" customWidth="1"/>
    <col min="2" max="2" width="38.7109375" style="94" customWidth="1"/>
    <col min="3" max="3" width="7.140625" style="94" customWidth="1"/>
    <col min="4" max="6" width="12.7109375" style="94" customWidth="1"/>
    <col min="7" max="7" width="17.5703125" style="94" customWidth="1"/>
    <col min="8" max="8" width="15.7109375" style="100" customWidth="1"/>
    <col min="9" max="9" width="13" style="94" customWidth="1"/>
    <col min="10" max="12" width="12.7109375" style="94" customWidth="1"/>
    <col min="13" max="16384" width="13.7109375" style="94"/>
  </cols>
  <sheetData>
    <row r="1" spans="2:15" ht="15.75" customHeight="1"/>
    <row r="2" spans="2:15" ht="18" customHeight="1">
      <c r="B2" s="132" t="str">
        <f>"Financial Model of " &amp; B4</f>
        <v>Financial Model of 20,000 M.T of glass Toughening pa. set up by SSRM Glasses Private Limited</v>
      </c>
      <c r="C2" s="133"/>
      <c r="D2" s="133"/>
      <c r="E2" s="133"/>
      <c r="F2" s="133"/>
      <c r="G2" s="133"/>
      <c r="H2" s="133"/>
      <c r="I2" s="133"/>
      <c r="J2" s="133"/>
      <c r="K2" s="133"/>
      <c r="L2" s="133"/>
    </row>
    <row r="3" spans="2:15" ht="12" customHeight="1">
      <c r="C3" s="100"/>
      <c r="D3" s="100"/>
      <c r="E3" s="100"/>
      <c r="F3" s="100"/>
      <c r="G3" s="100"/>
      <c r="I3" s="100"/>
      <c r="J3" s="100"/>
      <c r="K3" s="100"/>
      <c r="L3" s="100"/>
    </row>
    <row r="4" spans="2:15" ht="18" customHeight="1">
      <c r="B4" s="137" t="str">
        <f>'Common Assumption'!B4</f>
        <v>20,000 M.T of glass Toughening pa. set up by SSRM Glasses Private Limited</v>
      </c>
      <c r="C4" s="137"/>
      <c r="D4" s="138"/>
      <c r="E4" s="138"/>
      <c r="F4" s="138"/>
      <c r="G4" s="138"/>
      <c r="H4" s="138"/>
      <c r="I4" s="138"/>
      <c r="J4" s="138"/>
      <c r="K4" s="138"/>
      <c r="L4" s="138"/>
      <c r="M4" s="138"/>
      <c r="N4" s="138"/>
      <c r="O4" s="138"/>
    </row>
    <row r="5" spans="2:15" ht="13.5" customHeight="1">
      <c r="C5" s="100"/>
      <c r="D5" s="100"/>
      <c r="F5" s="125"/>
      <c r="H5" s="94"/>
    </row>
    <row r="6" spans="2:15" ht="18" customHeight="1">
      <c r="B6" s="137" t="s">
        <v>317</v>
      </c>
      <c r="C6" s="137"/>
      <c r="D6" s="138"/>
      <c r="E6" s="138"/>
      <c r="F6" s="138"/>
      <c r="G6" s="138"/>
      <c r="H6" s="138"/>
      <c r="I6" s="138"/>
      <c r="J6" s="138"/>
      <c r="K6" s="138"/>
      <c r="L6" s="138"/>
      <c r="M6" s="138"/>
      <c r="N6" s="138"/>
      <c r="O6" s="138"/>
    </row>
    <row r="7" spans="2:15" ht="12.75" customHeight="1">
      <c r="C7" s="100"/>
      <c r="D7" s="100"/>
      <c r="F7" s="125"/>
      <c r="H7" s="94"/>
    </row>
    <row r="8" spans="2:15" ht="18" customHeight="1">
      <c r="C8" s="100"/>
      <c r="D8" s="354" t="str">
        <f>'Depreciation Schedule'!D8:E8</f>
        <v>Implementation period</v>
      </c>
      <c r="E8" s="354"/>
      <c r="F8" s="355" t="s">
        <v>43</v>
      </c>
      <c r="G8" s="355"/>
      <c r="H8" s="355"/>
      <c r="I8" s="355"/>
      <c r="J8" s="355"/>
      <c r="K8" s="355"/>
      <c r="L8" s="355"/>
      <c r="M8" s="355"/>
      <c r="N8" s="355"/>
      <c r="O8" s="355"/>
    </row>
    <row r="9" spans="2:15" ht="18" customHeight="1">
      <c r="B9" s="135" t="s">
        <v>44</v>
      </c>
      <c r="C9" s="183" t="s">
        <v>45</v>
      </c>
      <c r="D9" s="184">
        <f>EOMONTH('Common Assumption'!E11,1)</f>
        <v>45747</v>
      </c>
      <c r="E9" s="184">
        <f>'Common Assumption'!E13</f>
        <v>46053</v>
      </c>
      <c r="F9" s="184">
        <f>DATE(YEAR(E9),MONTH(E9)+2,DAY(E9))</f>
        <v>46112</v>
      </c>
      <c r="G9" s="184">
        <f>DATE(YEAR(F9)+1,MONTH(F9),DAY(F9))</f>
        <v>46477</v>
      </c>
      <c r="H9" s="184">
        <f t="shared" ref="H9:L9" si="0">DATE(YEAR(G9)+1,MONTH(G9),DAY(G9))</f>
        <v>46843</v>
      </c>
      <c r="I9" s="184">
        <f t="shared" si="0"/>
        <v>47208</v>
      </c>
      <c r="J9" s="184">
        <f t="shared" si="0"/>
        <v>47573</v>
      </c>
      <c r="K9" s="184">
        <f t="shared" si="0"/>
        <v>47938</v>
      </c>
      <c r="L9" s="184">
        <f t="shared" si="0"/>
        <v>48304</v>
      </c>
      <c r="M9" s="184">
        <f t="shared" ref="M9" si="1">DATE(YEAR(L9)+1,MONTH(L9),DAY(L9))</f>
        <v>48669</v>
      </c>
      <c r="N9" s="184">
        <f t="shared" ref="N9" si="2">DATE(YEAR(M9)+1,MONTH(M9),DAY(M9))</f>
        <v>49034</v>
      </c>
      <c r="O9" s="184">
        <f t="shared" ref="O9" si="3">DATE(YEAR(N9)+1,MONTH(N9),DAY(N9))</f>
        <v>49399</v>
      </c>
    </row>
    <row r="10" spans="2:15" s="126" customFormat="1" ht="18" customHeight="1">
      <c r="B10" s="185" t="s">
        <v>46</v>
      </c>
      <c r="C10" s="186"/>
      <c r="D10" s="187">
        <v>0</v>
      </c>
      <c r="E10" s="187">
        <v>0</v>
      </c>
      <c r="F10" s="188">
        <v>1</v>
      </c>
      <c r="G10" s="188">
        <f t="shared" ref="G10:L10" si="4">F10+1</f>
        <v>2</v>
      </c>
      <c r="H10" s="188">
        <f t="shared" si="4"/>
        <v>3</v>
      </c>
      <c r="I10" s="188">
        <f t="shared" si="4"/>
        <v>4</v>
      </c>
      <c r="J10" s="188">
        <f t="shared" si="4"/>
        <v>5</v>
      </c>
      <c r="K10" s="188">
        <f t="shared" si="4"/>
        <v>6</v>
      </c>
      <c r="L10" s="188">
        <f t="shared" si="4"/>
        <v>7</v>
      </c>
      <c r="M10" s="188">
        <f t="shared" ref="M10" si="5">L10+1</f>
        <v>8</v>
      </c>
      <c r="N10" s="188">
        <f t="shared" ref="N10" si="6">M10+1</f>
        <v>9</v>
      </c>
      <c r="O10" s="188">
        <f t="shared" ref="O10" si="7">N10+1</f>
        <v>10</v>
      </c>
    </row>
    <row r="11" spans="2:15" s="126" customFormat="1" ht="18" customHeight="1">
      <c r="B11" s="185" t="s">
        <v>47</v>
      </c>
      <c r="C11" s="186">
        <f>'Common Assumption'!E12</f>
        <v>11</v>
      </c>
      <c r="D11" s="187">
        <f>MONTH(D9-'Common Assumption'!E11)</f>
        <v>1</v>
      </c>
      <c r="E11" s="187">
        <f>C11-D11</f>
        <v>10</v>
      </c>
      <c r="F11" s="186">
        <f>MONTH(F9-E9)</f>
        <v>2</v>
      </c>
      <c r="G11" s="186">
        <f t="shared" ref="G11:L11" si="8">MONTH(G9-F9)</f>
        <v>12</v>
      </c>
      <c r="H11" s="186">
        <f t="shared" si="8"/>
        <v>12</v>
      </c>
      <c r="I11" s="186">
        <f t="shared" si="8"/>
        <v>12</v>
      </c>
      <c r="J11" s="186">
        <f t="shared" si="8"/>
        <v>12</v>
      </c>
      <c r="K11" s="186">
        <f t="shared" si="8"/>
        <v>12</v>
      </c>
      <c r="L11" s="186">
        <f t="shared" si="8"/>
        <v>12</v>
      </c>
      <c r="M11" s="186">
        <f t="shared" ref="M11" si="9">MONTH(M9-L9)</f>
        <v>12</v>
      </c>
      <c r="N11" s="186">
        <f t="shared" ref="N11" si="10">MONTH(N9-M9)</f>
        <v>12</v>
      </c>
      <c r="O11" s="186">
        <f t="shared" ref="O11" si="11">MONTH(O9-N9)</f>
        <v>12</v>
      </c>
    </row>
    <row r="12" spans="2:15" ht="18" customHeight="1">
      <c r="B12" s="94" t="s">
        <v>319</v>
      </c>
      <c r="F12" s="100">
        <f>'Common Assumption'!D22</f>
        <v>365</v>
      </c>
      <c r="G12" s="100">
        <f t="shared" ref="G12:L12" si="12">F12</f>
        <v>365</v>
      </c>
      <c r="H12" s="100">
        <f t="shared" si="12"/>
        <v>365</v>
      </c>
      <c r="I12" s="100">
        <f t="shared" si="12"/>
        <v>365</v>
      </c>
      <c r="J12" s="100">
        <f t="shared" si="12"/>
        <v>365</v>
      </c>
      <c r="K12" s="100">
        <f t="shared" si="12"/>
        <v>365</v>
      </c>
      <c r="L12" s="100">
        <f t="shared" si="12"/>
        <v>365</v>
      </c>
      <c r="M12" s="100">
        <f t="shared" ref="M12" si="13">L12</f>
        <v>365</v>
      </c>
      <c r="N12" s="100">
        <f t="shared" ref="N12" si="14">M12</f>
        <v>365</v>
      </c>
      <c r="O12" s="100">
        <f t="shared" ref="O12" si="15">N12</f>
        <v>365</v>
      </c>
    </row>
    <row r="13" spans="2:15" ht="18" customHeight="1">
      <c r="B13" s="94" t="s">
        <v>318</v>
      </c>
      <c r="F13" s="102">
        <f>'Revenue &amp; Expense Modelling'!F17</f>
        <v>300</v>
      </c>
      <c r="G13" s="102">
        <f>'Revenue &amp; Expense Modelling'!G17</f>
        <v>300</v>
      </c>
      <c r="H13" s="102">
        <f>'Revenue &amp; Expense Modelling'!H17</f>
        <v>300</v>
      </c>
      <c r="I13" s="102">
        <f>'Revenue &amp; Expense Modelling'!I17</f>
        <v>300</v>
      </c>
      <c r="J13" s="102">
        <f>'Revenue &amp; Expense Modelling'!J17</f>
        <v>300</v>
      </c>
      <c r="K13" s="102">
        <f>'Revenue &amp; Expense Modelling'!K17</f>
        <v>300</v>
      </c>
      <c r="L13" s="102">
        <f>'Revenue &amp; Expense Modelling'!L17</f>
        <v>300</v>
      </c>
      <c r="M13" s="102">
        <f>'Revenue &amp; Expense Modelling'!M17</f>
        <v>300</v>
      </c>
      <c r="N13" s="102">
        <f>'Revenue &amp; Expense Modelling'!N17</f>
        <v>300</v>
      </c>
      <c r="O13" s="102">
        <f>'Revenue &amp; Expense Modelling'!O17</f>
        <v>300</v>
      </c>
    </row>
    <row r="14" spans="2:15" ht="18" customHeight="1">
      <c r="B14" s="94" t="s">
        <v>50</v>
      </c>
      <c r="F14" s="102">
        <f>'Revenue &amp; Expense Modelling'!F18</f>
        <v>59</v>
      </c>
      <c r="G14" s="102">
        <f>'Revenue &amp; Expense Modelling'!G18</f>
        <v>300</v>
      </c>
      <c r="H14" s="102">
        <f>'Revenue &amp; Expense Modelling'!H18</f>
        <v>300</v>
      </c>
      <c r="I14" s="102">
        <f>'Revenue &amp; Expense Modelling'!I18</f>
        <v>300</v>
      </c>
      <c r="J14" s="102">
        <f>'Revenue &amp; Expense Modelling'!J18</f>
        <v>300</v>
      </c>
      <c r="K14" s="102">
        <f>'Revenue &amp; Expense Modelling'!K18</f>
        <v>300</v>
      </c>
      <c r="L14" s="102">
        <f>'Revenue &amp; Expense Modelling'!L18</f>
        <v>300</v>
      </c>
      <c r="M14" s="102">
        <f>'Revenue &amp; Expense Modelling'!M18</f>
        <v>300</v>
      </c>
      <c r="N14" s="102">
        <f>'Revenue &amp; Expense Modelling'!N18</f>
        <v>300</v>
      </c>
      <c r="O14" s="102">
        <f>'Revenue &amp; Expense Modelling'!O18</f>
        <v>300</v>
      </c>
    </row>
    <row r="15" spans="2:15" ht="18" customHeight="1">
      <c r="H15" s="94"/>
    </row>
    <row r="16" spans="2:15" ht="18" customHeight="1">
      <c r="B16" s="95" t="s">
        <v>320</v>
      </c>
      <c r="C16" s="95"/>
      <c r="D16" s="95"/>
      <c r="E16" s="95"/>
      <c r="H16" s="94"/>
    </row>
    <row r="17" spans="2:15" ht="18" customHeight="1">
      <c r="B17" s="94" t="s">
        <v>843</v>
      </c>
      <c r="D17" s="100">
        <v>10</v>
      </c>
      <c r="E17" s="100" t="str">
        <f>'Common Assumption'!E113</f>
        <v>Days</v>
      </c>
      <c r="H17" s="94"/>
    </row>
    <row r="18" spans="2:15" ht="18" customHeight="1">
      <c r="B18" s="94" t="s">
        <v>34</v>
      </c>
      <c r="D18" s="100">
        <f>'Common Assumption'!D114</f>
        <v>15</v>
      </c>
      <c r="E18" s="100" t="str">
        <f>'Common Assumption'!E114</f>
        <v>Days</v>
      </c>
      <c r="H18" s="94"/>
    </row>
    <row r="19" spans="2:15" ht="18" customHeight="1">
      <c r="B19" s="94" t="s">
        <v>35</v>
      </c>
      <c r="D19" s="100">
        <v>2</v>
      </c>
      <c r="E19" s="100" t="str">
        <f>'Common Assumption'!E115</f>
        <v>Days</v>
      </c>
      <c r="H19" s="94"/>
    </row>
    <row r="20" spans="2:15" ht="18" customHeight="1">
      <c r="B20" s="94" t="s">
        <v>325</v>
      </c>
      <c r="D20" s="100">
        <f>'Common Assumption'!D116</f>
        <v>15</v>
      </c>
      <c r="E20" s="100" t="str">
        <f>'Common Assumption'!E116</f>
        <v>Days</v>
      </c>
      <c r="H20" s="94"/>
    </row>
    <row r="21" spans="2:15" ht="18" customHeight="1">
      <c r="B21" s="94" t="s">
        <v>326</v>
      </c>
      <c r="D21" s="100">
        <f>'Common Assumption'!D117</f>
        <v>30</v>
      </c>
      <c r="E21" s="100" t="str">
        <f>'Common Assumption'!E117</f>
        <v>Days</v>
      </c>
      <c r="H21" s="94"/>
    </row>
    <row r="22" spans="2:15" ht="18" customHeight="1">
      <c r="B22" s="94" t="s">
        <v>332</v>
      </c>
      <c r="D22" s="100">
        <v>15</v>
      </c>
      <c r="E22" s="100" t="str">
        <f>'Common Assumption'!E118</f>
        <v>Days</v>
      </c>
      <c r="H22" s="94"/>
    </row>
    <row r="23" spans="2:15" ht="18" customHeight="1">
      <c r="B23" s="94" t="s">
        <v>333</v>
      </c>
      <c r="D23" s="100">
        <f>'Common Assumption'!D119</f>
        <v>60</v>
      </c>
      <c r="E23" s="100" t="str">
        <f>'Common Assumption'!E119</f>
        <v>Days</v>
      </c>
      <c r="H23" s="94"/>
    </row>
    <row r="24" spans="2:15" ht="18" customHeight="1">
      <c r="D24" s="100"/>
      <c r="E24" s="100"/>
      <c r="H24" s="94"/>
    </row>
    <row r="25" spans="2:15" ht="18" customHeight="1">
      <c r="H25" s="94"/>
    </row>
    <row r="26" spans="2:15" ht="18" customHeight="1">
      <c r="B26" s="94" t="s">
        <v>321</v>
      </c>
      <c r="F26" s="104">
        <f>IS!F13</f>
        <v>7.5462644499999998</v>
      </c>
      <c r="G26" s="104">
        <f>IS!G13</f>
        <v>61.871368489999995</v>
      </c>
      <c r="H26" s="104">
        <f>IS!H13</f>
        <v>79.262690877812489</v>
      </c>
      <c r="I26" s="104">
        <f>IS!I13</f>
        <v>97.481109779709357</v>
      </c>
      <c r="J26" s="104">
        <f>IS!J13</f>
        <v>108.23164898455225</v>
      </c>
      <c r="K26" s="104">
        <f>IS!K13</f>
        <v>119.45708945602497</v>
      </c>
      <c r="L26" s="104">
        <f>IS!L13</f>
        <v>131.17448217045597</v>
      </c>
      <c r="M26" s="104">
        <f>IS!M13</f>
        <v>143.40143383969851</v>
      </c>
      <c r="N26" s="104">
        <f>IS!N13</f>
        <v>156.15612404104664</v>
      </c>
      <c r="O26" s="104">
        <f>IS!O13</f>
        <v>169.45732285631235</v>
      </c>
    </row>
    <row r="27" spans="2:15" ht="18" customHeight="1">
      <c r="B27" s="94" t="s">
        <v>842</v>
      </c>
      <c r="F27" s="104">
        <f>IS!F15+IS!F16</f>
        <v>5.3581987594999996</v>
      </c>
      <c r="G27" s="104">
        <f>IS!G15+IS!G16</f>
        <v>43.929785653524995</v>
      </c>
      <c r="H27" s="104">
        <f>IS!H15+IS!H16</f>
        <v>56.276378116921862</v>
      </c>
      <c r="I27" s="104">
        <f>IS!I15+IS!I16</f>
        <v>69.210154920668629</v>
      </c>
      <c r="J27" s="104">
        <f>IS!J15+IS!J16</f>
        <v>76.842137139507088</v>
      </c>
      <c r="K27" s="104">
        <f>IS!K15+IS!K16</f>
        <v>84.81129925765272</v>
      </c>
      <c r="L27" s="104">
        <f>IS!L15+IS!L16</f>
        <v>93.129747468298731</v>
      </c>
      <c r="M27" s="104">
        <f>IS!M15+IS!M16</f>
        <v>101.80861802618594</v>
      </c>
      <c r="N27" s="104">
        <f>IS!N15+IS!N16</f>
        <v>110.86404806914311</v>
      </c>
      <c r="O27" s="104">
        <f>IS!O15+IS!O16</f>
        <v>120.30749922798175</v>
      </c>
    </row>
    <row r="28" spans="2:15" ht="18" customHeight="1">
      <c r="B28" s="94" t="s">
        <v>322</v>
      </c>
      <c r="F28" s="104">
        <f>IS!F17</f>
        <v>0.24213599999999996</v>
      </c>
      <c r="G28" s="104">
        <f>IS!G17</f>
        <v>1.7236800000000001</v>
      </c>
      <c r="H28" s="104">
        <f>IS!H17</f>
        <v>2.26233</v>
      </c>
      <c r="I28" s="104">
        <f>IS!I17</f>
        <v>2.8505357999999998</v>
      </c>
      <c r="J28" s="104">
        <f>IS!J17</f>
        <v>3.2424844725000002</v>
      </c>
      <c r="K28" s="104">
        <f>IS!K17</f>
        <v>3.6665016727500008</v>
      </c>
      <c r="L28" s="104">
        <f>IS!L17</f>
        <v>4.124814381843751</v>
      </c>
      <c r="M28" s="104">
        <f>IS!M17</f>
        <v>4.6197921076650008</v>
      </c>
      <c r="N28" s="104">
        <f>IS!N17</f>
        <v>5.1539555701137667</v>
      </c>
      <c r="O28" s="104">
        <f>IS!O17</f>
        <v>5.7299858985382475</v>
      </c>
    </row>
    <row r="29" spans="2:15" ht="18" customHeight="1">
      <c r="B29" s="94" t="s">
        <v>323</v>
      </c>
      <c r="F29" s="104">
        <f>'Revenue &amp; Expense Modelling'!F90</f>
        <v>0.18865661124999999</v>
      </c>
      <c r="G29" s="104">
        <f>'Revenue &amp; Expense Modelling'!G90</f>
        <v>1.54678421225</v>
      </c>
      <c r="H29" s="104">
        <f>'Revenue &amp; Expense Modelling'!H90</f>
        <v>1.9815672719453123</v>
      </c>
      <c r="I29" s="104">
        <f>'Revenue &amp; Expense Modelling'!I90</f>
        <v>2.4370277444927342</v>
      </c>
      <c r="J29" s="104">
        <f>'Revenue &amp; Expense Modelling'!J90</f>
        <v>2.7057912246138063</v>
      </c>
      <c r="K29" s="104">
        <f>'Revenue &amp; Expense Modelling'!K90</f>
        <v>2.9864272364006244</v>
      </c>
      <c r="L29" s="104">
        <f>'Revenue &amp; Expense Modelling'!L90</f>
        <v>3.2793620542613997</v>
      </c>
      <c r="M29" s="104">
        <f>'Revenue &amp; Expense Modelling'!M90</f>
        <v>3.5850358459924632</v>
      </c>
      <c r="N29" s="104">
        <f>'Revenue &amp; Expense Modelling'!N90</f>
        <v>3.9039031010261662</v>
      </c>
      <c r="O29" s="104">
        <f>'Revenue &amp; Expense Modelling'!O90</f>
        <v>4.2364330714078084</v>
      </c>
    </row>
    <row r="30" spans="2:15" ht="18" customHeight="1">
      <c r="H30" s="94"/>
    </row>
    <row r="31" spans="2:15" s="194" customFormat="1" ht="18" customHeight="1">
      <c r="B31" s="127" t="s">
        <v>324</v>
      </c>
      <c r="C31" s="127"/>
      <c r="D31" s="127"/>
      <c r="E31" s="127"/>
      <c r="F31" s="193"/>
      <c r="G31" s="193"/>
      <c r="H31" s="193"/>
      <c r="I31" s="193"/>
      <c r="J31" s="193"/>
      <c r="K31" s="193"/>
      <c r="L31" s="193"/>
    </row>
    <row r="32" spans="2:15" ht="18" customHeight="1">
      <c r="F32" s="104"/>
      <c r="G32" s="104"/>
      <c r="H32" s="104"/>
      <c r="I32" s="104"/>
      <c r="J32" s="104"/>
      <c r="K32" s="104"/>
      <c r="L32" s="104"/>
    </row>
    <row r="33" spans="2:15" ht="18" customHeight="1">
      <c r="B33" s="127" t="s">
        <v>252</v>
      </c>
      <c r="C33" s="100"/>
      <c r="D33" s="101"/>
      <c r="E33" s="101"/>
      <c r="F33" s="101"/>
      <c r="G33" s="100"/>
      <c r="H33" s="104"/>
      <c r="I33" s="104"/>
      <c r="J33" s="104"/>
      <c r="K33" s="104"/>
      <c r="L33" s="104"/>
    </row>
    <row r="34" spans="2:15" ht="18" customHeight="1">
      <c r="B34" s="94" t="s">
        <v>844</v>
      </c>
      <c r="C34" s="100"/>
      <c r="D34" s="101"/>
      <c r="E34" s="101"/>
      <c r="F34" s="104">
        <f>F27</f>
        <v>5.3581987594999996</v>
      </c>
      <c r="G34" s="104">
        <f t="shared" ref="G34:O34" si="16">G27</f>
        <v>43.929785653524995</v>
      </c>
      <c r="H34" s="104">
        <f t="shared" si="16"/>
        <v>56.276378116921862</v>
      </c>
      <c r="I34" s="104">
        <f t="shared" si="16"/>
        <v>69.210154920668629</v>
      </c>
      <c r="J34" s="104">
        <f t="shared" si="16"/>
        <v>76.842137139507088</v>
      </c>
      <c r="K34" s="104">
        <f t="shared" si="16"/>
        <v>84.81129925765272</v>
      </c>
      <c r="L34" s="104">
        <f t="shared" si="16"/>
        <v>93.129747468298731</v>
      </c>
      <c r="M34" s="104">
        <f t="shared" si="16"/>
        <v>101.80861802618594</v>
      </c>
      <c r="N34" s="104">
        <f t="shared" si="16"/>
        <v>110.86404806914311</v>
      </c>
      <c r="O34" s="104">
        <f t="shared" si="16"/>
        <v>120.30749922798175</v>
      </c>
    </row>
    <row r="35" spans="2:15" ht="18" customHeight="1">
      <c r="B35" s="94" t="s">
        <v>241</v>
      </c>
      <c r="C35" s="100"/>
      <c r="D35" s="101"/>
      <c r="E35" s="101"/>
      <c r="F35" s="102">
        <f>D17</f>
        <v>10</v>
      </c>
      <c r="G35" s="102">
        <f t="shared" ref="G35:L35" si="17">F35</f>
        <v>10</v>
      </c>
      <c r="H35" s="102">
        <f t="shared" si="17"/>
        <v>10</v>
      </c>
      <c r="I35" s="102">
        <f t="shared" si="17"/>
        <v>10</v>
      </c>
      <c r="J35" s="102">
        <f t="shared" si="17"/>
        <v>10</v>
      </c>
      <c r="K35" s="102">
        <f t="shared" si="17"/>
        <v>10</v>
      </c>
      <c r="L35" s="102">
        <f t="shared" si="17"/>
        <v>10</v>
      </c>
      <c r="M35" s="102">
        <f t="shared" ref="M35" si="18">L35</f>
        <v>10</v>
      </c>
      <c r="N35" s="102">
        <f t="shared" ref="N35" si="19">M35</f>
        <v>10</v>
      </c>
      <c r="O35" s="102">
        <f t="shared" ref="O35" si="20">N35</f>
        <v>10</v>
      </c>
    </row>
    <row r="36" spans="2:15" ht="18" customHeight="1">
      <c r="B36" s="118" t="s">
        <v>252</v>
      </c>
      <c r="C36" s="120"/>
      <c r="D36" s="120"/>
      <c r="E36" s="120"/>
      <c r="F36" s="146">
        <f>F34/F14*F35</f>
        <v>0.90816928127118635</v>
      </c>
      <c r="G36" s="146">
        <f>G34/G14*G35</f>
        <v>1.4643261884508332</v>
      </c>
      <c r="H36" s="146">
        <f t="shared" ref="H36:O36" si="21">H34/H14*H35</f>
        <v>1.8758792705640621</v>
      </c>
      <c r="I36" s="146">
        <f t="shared" si="21"/>
        <v>2.3070051640222875</v>
      </c>
      <c r="J36" s="146">
        <f t="shared" si="21"/>
        <v>2.5614045713169031</v>
      </c>
      <c r="K36" s="146">
        <f t="shared" si="21"/>
        <v>2.8270433085884239</v>
      </c>
      <c r="L36" s="146">
        <f t="shared" si="21"/>
        <v>3.1043249156099577</v>
      </c>
      <c r="M36" s="146">
        <f t="shared" si="21"/>
        <v>3.3936206008728647</v>
      </c>
      <c r="N36" s="146">
        <f t="shared" si="21"/>
        <v>3.6954682689714371</v>
      </c>
      <c r="O36" s="146">
        <f t="shared" si="21"/>
        <v>4.0102499742660589</v>
      </c>
    </row>
    <row r="37" spans="2:15" ht="18" customHeight="1">
      <c r="F37" s="104"/>
      <c r="G37" s="104"/>
      <c r="H37" s="104"/>
      <c r="I37" s="104"/>
      <c r="J37" s="104"/>
      <c r="K37" s="104"/>
      <c r="L37" s="104"/>
    </row>
    <row r="38" spans="2:15" ht="18" customHeight="1">
      <c r="B38" s="127" t="s">
        <v>34</v>
      </c>
      <c r="H38" s="94"/>
      <c r="I38" s="104"/>
      <c r="J38" s="104"/>
      <c r="K38" s="104"/>
      <c r="L38" s="104"/>
    </row>
    <row r="39" spans="2:15" ht="18" customHeight="1">
      <c r="B39" s="94" t="s">
        <v>336</v>
      </c>
      <c r="F39" s="104">
        <f>F27</f>
        <v>5.3581987594999996</v>
      </c>
      <c r="G39" s="104">
        <f t="shared" ref="G39:L39" si="22">G27</f>
        <v>43.929785653524995</v>
      </c>
      <c r="H39" s="104">
        <f t="shared" si="22"/>
        <v>56.276378116921862</v>
      </c>
      <c r="I39" s="104">
        <f t="shared" si="22"/>
        <v>69.210154920668629</v>
      </c>
      <c r="J39" s="104">
        <f t="shared" si="22"/>
        <v>76.842137139507088</v>
      </c>
      <c r="K39" s="104">
        <f t="shared" si="22"/>
        <v>84.81129925765272</v>
      </c>
      <c r="L39" s="104">
        <f t="shared" si="22"/>
        <v>93.129747468298731</v>
      </c>
      <c r="M39" s="104">
        <f t="shared" ref="M39:O39" si="23">M27</f>
        <v>101.80861802618594</v>
      </c>
      <c r="N39" s="104">
        <f t="shared" si="23"/>
        <v>110.86404806914311</v>
      </c>
      <c r="O39" s="104">
        <f t="shared" si="23"/>
        <v>120.30749922798175</v>
      </c>
    </row>
    <row r="40" spans="2:15" ht="18" customHeight="1">
      <c r="B40" s="94" t="s">
        <v>241</v>
      </c>
      <c r="F40" s="102">
        <f>D18</f>
        <v>15</v>
      </c>
      <c r="G40" s="102">
        <f t="shared" ref="G40:L40" si="24">F40</f>
        <v>15</v>
      </c>
      <c r="H40" s="102">
        <f t="shared" si="24"/>
        <v>15</v>
      </c>
      <c r="I40" s="102">
        <f t="shared" si="24"/>
        <v>15</v>
      </c>
      <c r="J40" s="102">
        <f t="shared" si="24"/>
        <v>15</v>
      </c>
      <c r="K40" s="102">
        <f t="shared" si="24"/>
        <v>15</v>
      </c>
      <c r="L40" s="102">
        <f t="shared" si="24"/>
        <v>15</v>
      </c>
      <c r="M40" s="102">
        <f t="shared" ref="M40" si="25">L40</f>
        <v>15</v>
      </c>
      <c r="N40" s="102">
        <f t="shared" ref="N40" si="26">M40</f>
        <v>15</v>
      </c>
      <c r="O40" s="102">
        <f t="shared" ref="O40" si="27">N40</f>
        <v>15</v>
      </c>
    </row>
    <row r="41" spans="2:15" ht="18" customHeight="1">
      <c r="B41" s="118" t="s">
        <v>34</v>
      </c>
      <c r="C41" s="120"/>
      <c r="D41" s="120"/>
      <c r="E41" s="120"/>
      <c r="F41" s="146">
        <f>F27/F14*F40</f>
        <v>1.3622539219067795</v>
      </c>
      <c r="G41" s="146">
        <f t="shared" ref="G41:L41" si="28">G27/G14*G40</f>
        <v>2.1964892826762497</v>
      </c>
      <c r="H41" s="146">
        <f t="shared" si="28"/>
        <v>2.8138189058460932</v>
      </c>
      <c r="I41" s="146">
        <f t="shared" si="28"/>
        <v>3.4605077460334317</v>
      </c>
      <c r="J41" s="146">
        <f t="shared" si="28"/>
        <v>3.8421068569753549</v>
      </c>
      <c r="K41" s="146">
        <f t="shared" si="28"/>
        <v>4.2405649628826358</v>
      </c>
      <c r="L41" s="146">
        <f t="shared" si="28"/>
        <v>4.6564873734149366</v>
      </c>
      <c r="M41" s="146">
        <f t="shared" ref="M41:O41" si="29">M27/M14*M40</f>
        <v>5.090430901309297</v>
      </c>
      <c r="N41" s="146">
        <f t="shared" si="29"/>
        <v>5.5432024034571556</v>
      </c>
      <c r="O41" s="146">
        <f t="shared" si="29"/>
        <v>6.0153749613990879</v>
      </c>
    </row>
    <row r="42" spans="2:15" ht="18" customHeight="1">
      <c r="F42" s="104"/>
      <c r="G42" s="104"/>
      <c r="H42" s="104"/>
      <c r="I42" s="104"/>
      <c r="J42" s="104"/>
      <c r="K42" s="104"/>
      <c r="L42" s="104"/>
      <c r="M42" s="104"/>
      <c r="N42" s="104"/>
      <c r="O42" s="104"/>
    </row>
    <row r="43" spans="2:15" ht="18" customHeight="1">
      <c r="B43" s="127" t="s">
        <v>35</v>
      </c>
      <c r="H43" s="104"/>
      <c r="I43" s="104"/>
      <c r="J43" s="104"/>
      <c r="K43" s="104"/>
      <c r="L43" s="104"/>
      <c r="M43" s="104"/>
      <c r="N43" s="104"/>
      <c r="O43" s="104"/>
    </row>
    <row r="44" spans="2:15" ht="18" customHeight="1">
      <c r="B44" s="94" t="s">
        <v>337</v>
      </c>
      <c r="F44" s="104">
        <f>F26</f>
        <v>7.5462644499999998</v>
      </c>
      <c r="G44" s="104">
        <f t="shared" ref="G44:O44" si="30">G26</f>
        <v>61.871368489999995</v>
      </c>
      <c r="H44" s="104">
        <f t="shared" si="30"/>
        <v>79.262690877812489</v>
      </c>
      <c r="I44" s="104">
        <f t="shared" si="30"/>
        <v>97.481109779709357</v>
      </c>
      <c r="J44" s="104">
        <f t="shared" si="30"/>
        <v>108.23164898455225</v>
      </c>
      <c r="K44" s="104">
        <f t="shared" si="30"/>
        <v>119.45708945602497</v>
      </c>
      <c r="L44" s="104">
        <f t="shared" si="30"/>
        <v>131.17448217045597</v>
      </c>
      <c r="M44" s="104">
        <f t="shared" si="30"/>
        <v>143.40143383969851</v>
      </c>
      <c r="N44" s="104">
        <f t="shared" si="30"/>
        <v>156.15612404104664</v>
      </c>
      <c r="O44" s="104">
        <f t="shared" si="30"/>
        <v>169.45732285631235</v>
      </c>
    </row>
    <row r="45" spans="2:15" ht="18" customHeight="1">
      <c r="B45" s="94" t="s">
        <v>241</v>
      </c>
      <c r="F45" s="104">
        <f>D19</f>
        <v>2</v>
      </c>
      <c r="G45" s="104">
        <f t="shared" ref="G45:L45" si="31">F45</f>
        <v>2</v>
      </c>
      <c r="H45" s="104">
        <f t="shared" si="31"/>
        <v>2</v>
      </c>
      <c r="I45" s="104">
        <f t="shared" si="31"/>
        <v>2</v>
      </c>
      <c r="J45" s="104">
        <f t="shared" si="31"/>
        <v>2</v>
      </c>
      <c r="K45" s="104">
        <f t="shared" si="31"/>
        <v>2</v>
      </c>
      <c r="L45" s="104">
        <f t="shared" si="31"/>
        <v>2</v>
      </c>
      <c r="M45" s="104">
        <f t="shared" ref="M45" si="32">L45</f>
        <v>2</v>
      </c>
      <c r="N45" s="104">
        <f t="shared" ref="N45" si="33">M45</f>
        <v>2</v>
      </c>
      <c r="O45" s="104">
        <f t="shared" ref="O45" si="34">N45</f>
        <v>2</v>
      </c>
    </row>
    <row r="46" spans="2:15" ht="18" customHeight="1">
      <c r="B46" s="118" t="s">
        <v>338</v>
      </c>
      <c r="C46" s="120"/>
      <c r="D46" s="120"/>
      <c r="E46" s="120"/>
      <c r="F46" s="146">
        <f t="shared" ref="F46:L46" si="35">F44/F14*F45</f>
        <v>0.25580557457627118</v>
      </c>
      <c r="G46" s="146">
        <f>G44/G14*G45</f>
        <v>0.41247578993333328</v>
      </c>
      <c r="H46" s="146">
        <f t="shared" si="35"/>
        <v>0.52841793918541657</v>
      </c>
      <c r="I46" s="146">
        <f t="shared" si="35"/>
        <v>0.64987406519806235</v>
      </c>
      <c r="J46" s="146">
        <f t="shared" si="35"/>
        <v>0.72154432656368173</v>
      </c>
      <c r="K46" s="146">
        <f t="shared" si="35"/>
        <v>0.79638059637349978</v>
      </c>
      <c r="L46" s="146">
        <f t="shared" si="35"/>
        <v>0.87449654780303987</v>
      </c>
      <c r="M46" s="146">
        <f t="shared" ref="M46:O46" si="36">M44/M14*M45</f>
        <v>0.95600955893132344</v>
      </c>
      <c r="N46" s="146">
        <f t="shared" si="36"/>
        <v>1.0410408269403109</v>
      </c>
      <c r="O46" s="146">
        <f t="shared" si="36"/>
        <v>1.129715485708749</v>
      </c>
    </row>
    <row r="47" spans="2:15" ht="18" customHeight="1">
      <c r="F47" s="104"/>
      <c r="G47" s="104"/>
      <c r="H47" s="104"/>
      <c r="I47" s="104"/>
      <c r="J47" s="104"/>
      <c r="K47" s="104"/>
      <c r="L47" s="104"/>
      <c r="M47" s="104"/>
      <c r="N47" s="104"/>
      <c r="O47" s="104"/>
    </row>
    <row r="48" spans="2:15" ht="18" customHeight="1">
      <c r="B48" s="118" t="s">
        <v>324</v>
      </c>
      <c r="C48" s="118"/>
      <c r="D48" s="118"/>
      <c r="E48" s="118"/>
      <c r="F48" s="146">
        <f>F36+F41+F46</f>
        <v>2.5262287777542372</v>
      </c>
      <c r="G48" s="146">
        <f>G36+G41+G46</f>
        <v>4.0732912610604162</v>
      </c>
      <c r="H48" s="146">
        <f t="shared" ref="H48:L48" si="37">H36+H41+H46</f>
        <v>5.2181161155955724</v>
      </c>
      <c r="I48" s="146">
        <f t="shared" si="37"/>
        <v>6.4173869752537822</v>
      </c>
      <c r="J48" s="146">
        <f t="shared" si="37"/>
        <v>7.1250557548559401</v>
      </c>
      <c r="K48" s="146">
        <f t="shared" si="37"/>
        <v>7.8639888678445597</v>
      </c>
      <c r="L48" s="146">
        <f t="shared" si="37"/>
        <v>8.6353088368279334</v>
      </c>
      <c r="M48" s="146">
        <f t="shared" ref="M48:O48" si="38">M36+M41+M46</f>
        <v>9.4400610611134859</v>
      </c>
      <c r="N48" s="146">
        <f t="shared" si="38"/>
        <v>10.279711499368904</v>
      </c>
      <c r="O48" s="146">
        <f t="shared" si="38"/>
        <v>11.155340421373895</v>
      </c>
    </row>
    <row r="49" spans="2:15" ht="18" customHeight="1">
      <c r="F49" s="104"/>
      <c r="G49" s="104"/>
      <c r="H49" s="104"/>
      <c r="I49" s="104"/>
      <c r="J49" s="104"/>
      <c r="K49" s="104"/>
      <c r="L49" s="104"/>
      <c r="M49" s="104"/>
      <c r="N49" s="104"/>
      <c r="O49" s="104"/>
    </row>
    <row r="50" spans="2:15" s="194" customFormat="1" ht="18" customHeight="1">
      <c r="B50" s="127" t="s">
        <v>330</v>
      </c>
      <c r="C50" s="127"/>
      <c r="D50" s="127"/>
      <c r="E50" s="127"/>
      <c r="F50" s="193"/>
      <c r="G50" s="193"/>
      <c r="H50" s="193"/>
      <c r="I50" s="193"/>
      <c r="J50" s="193"/>
      <c r="K50" s="193"/>
      <c r="L50" s="193"/>
      <c r="M50" s="193"/>
      <c r="N50" s="193"/>
      <c r="O50" s="193"/>
    </row>
    <row r="51" spans="2:15" ht="20.25" customHeight="1">
      <c r="B51" s="94" t="s">
        <v>330</v>
      </c>
      <c r="F51" s="104">
        <f t="shared" ref="F51:L51" si="39">F27/F14*F52</f>
        <v>1.3622539219067795</v>
      </c>
      <c r="G51" s="104">
        <f t="shared" si="39"/>
        <v>2.1964892826762497</v>
      </c>
      <c r="H51" s="104">
        <f t="shared" si="39"/>
        <v>2.8138189058460932</v>
      </c>
      <c r="I51" s="104">
        <f t="shared" si="39"/>
        <v>3.4605077460334317</v>
      </c>
      <c r="J51" s="104">
        <f t="shared" si="39"/>
        <v>3.8421068569753549</v>
      </c>
      <c r="K51" s="104">
        <f t="shared" si="39"/>
        <v>4.2405649628826358</v>
      </c>
      <c r="L51" s="104">
        <f t="shared" si="39"/>
        <v>4.6564873734149366</v>
      </c>
      <c r="M51" s="104">
        <f t="shared" ref="M51:O51" si="40">M27/M14*M52</f>
        <v>5.090430901309297</v>
      </c>
      <c r="N51" s="104">
        <f t="shared" si="40"/>
        <v>5.5432024034571556</v>
      </c>
      <c r="O51" s="104">
        <f t="shared" si="40"/>
        <v>6.0153749613990879</v>
      </c>
    </row>
    <row r="52" spans="2:15" ht="18" customHeight="1">
      <c r="B52" s="94" t="s">
        <v>331</v>
      </c>
      <c r="F52" s="100">
        <f>D22</f>
        <v>15</v>
      </c>
      <c r="G52" s="100">
        <f t="shared" ref="G52:L52" si="41">F52</f>
        <v>15</v>
      </c>
      <c r="H52" s="100">
        <f t="shared" si="41"/>
        <v>15</v>
      </c>
      <c r="I52" s="100">
        <f t="shared" si="41"/>
        <v>15</v>
      </c>
      <c r="J52" s="100">
        <f t="shared" si="41"/>
        <v>15</v>
      </c>
      <c r="K52" s="100">
        <f t="shared" si="41"/>
        <v>15</v>
      </c>
      <c r="L52" s="100">
        <f t="shared" si="41"/>
        <v>15</v>
      </c>
      <c r="M52" s="100">
        <f t="shared" ref="M52" si="42">L52</f>
        <v>15</v>
      </c>
      <c r="N52" s="100">
        <f t="shared" ref="N52" si="43">M52</f>
        <v>15</v>
      </c>
      <c r="O52" s="100">
        <f t="shared" ref="O52" si="44">N52</f>
        <v>15</v>
      </c>
    </row>
    <row r="53" spans="2:15" ht="18" customHeight="1">
      <c r="B53" s="94" t="s">
        <v>325</v>
      </c>
      <c r="F53" s="104">
        <f t="shared" ref="F53:L53" si="45">F28/F14*F54</f>
        <v>6.155999999999999E-2</v>
      </c>
      <c r="G53" s="104">
        <f t="shared" si="45"/>
        <v>8.6183999999999997E-2</v>
      </c>
      <c r="H53" s="104">
        <f t="shared" si="45"/>
        <v>0.11311650000000001</v>
      </c>
      <c r="I53" s="104">
        <f t="shared" si="45"/>
        <v>0.14252678999999999</v>
      </c>
      <c r="J53" s="104">
        <f t="shared" si="45"/>
        <v>0.16212422362500001</v>
      </c>
      <c r="K53" s="104">
        <f t="shared" si="45"/>
        <v>0.18332508363750002</v>
      </c>
      <c r="L53" s="104">
        <f t="shared" si="45"/>
        <v>0.20624071909218755</v>
      </c>
      <c r="M53" s="104">
        <f t="shared" ref="M53:O53" si="46">M28/M14*M54</f>
        <v>0.23098960538325003</v>
      </c>
      <c r="N53" s="104">
        <f t="shared" si="46"/>
        <v>0.25769777850568831</v>
      </c>
      <c r="O53" s="104">
        <f t="shared" si="46"/>
        <v>0.28649929492691234</v>
      </c>
    </row>
    <row r="54" spans="2:15" ht="18" customHeight="1">
      <c r="B54" s="94" t="s">
        <v>331</v>
      </c>
      <c r="F54" s="100">
        <f>D20</f>
        <v>15</v>
      </c>
      <c r="G54" s="100">
        <f t="shared" ref="G54:L54" si="47">F54</f>
        <v>15</v>
      </c>
      <c r="H54" s="100">
        <f t="shared" si="47"/>
        <v>15</v>
      </c>
      <c r="I54" s="100">
        <f t="shared" si="47"/>
        <v>15</v>
      </c>
      <c r="J54" s="100">
        <f t="shared" si="47"/>
        <v>15</v>
      </c>
      <c r="K54" s="100">
        <f t="shared" si="47"/>
        <v>15</v>
      </c>
      <c r="L54" s="100">
        <f t="shared" si="47"/>
        <v>15</v>
      </c>
      <c r="M54" s="100">
        <f t="shared" ref="M54" si="48">L54</f>
        <v>15</v>
      </c>
      <c r="N54" s="100">
        <f t="shared" ref="N54" si="49">M54</f>
        <v>15</v>
      </c>
      <c r="O54" s="100">
        <f t="shared" ref="O54" si="50">N54</f>
        <v>15</v>
      </c>
    </row>
    <row r="55" spans="2:15" ht="18" customHeight="1">
      <c r="B55" s="94" t="s">
        <v>326</v>
      </c>
      <c r="F55" s="104">
        <f t="shared" ref="F55:L55" si="51">F29/F14*F56</f>
        <v>9.5927090466101692E-2</v>
      </c>
      <c r="G55" s="104">
        <f t="shared" si="51"/>
        <v>0.154678421225</v>
      </c>
      <c r="H55" s="104">
        <f t="shared" si="51"/>
        <v>0.19815672719453123</v>
      </c>
      <c r="I55" s="104">
        <f t="shared" si="51"/>
        <v>0.24370277444927343</v>
      </c>
      <c r="J55" s="104">
        <f t="shared" si="51"/>
        <v>0.27057912246138066</v>
      </c>
      <c r="K55" s="104">
        <f t="shared" si="51"/>
        <v>0.29864272364006245</v>
      </c>
      <c r="L55" s="104">
        <f t="shared" si="51"/>
        <v>0.32793620542613994</v>
      </c>
      <c r="M55" s="104">
        <f t="shared" ref="M55:O55" si="52">M29/M14*M56</f>
        <v>0.35850358459924631</v>
      </c>
      <c r="N55" s="104">
        <f t="shared" si="52"/>
        <v>0.3903903101026166</v>
      </c>
      <c r="O55" s="104">
        <f t="shared" si="52"/>
        <v>0.42364330714078086</v>
      </c>
    </row>
    <row r="56" spans="2:15" ht="18" customHeight="1">
      <c r="B56" s="94" t="s">
        <v>331</v>
      </c>
      <c r="F56" s="100">
        <f>D21</f>
        <v>30</v>
      </c>
      <c r="G56" s="100">
        <f t="shared" ref="G56:L56" si="53">F56</f>
        <v>30</v>
      </c>
      <c r="H56" s="100">
        <f t="shared" si="53"/>
        <v>30</v>
      </c>
      <c r="I56" s="100">
        <f t="shared" si="53"/>
        <v>30</v>
      </c>
      <c r="J56" s="100">
        <f t="shared" si="53"/>
        <v>30</v>
      </c>
      <c r="K56" s="100">
        <f t="shared" si="53"/>
        <v>30</v>
      </c>
      <c r="L56" s="100">
        <f t="shared" si="53"/>
        <v>30</v>
      </c>
      <c r="M56" s="100">
        <f t="shared" ref="M56" si="54">L56</f>
        <v>30</v>
      </c>
      <c r="N56" s="100">
        <f t="shared" ref="N56" si="55">M56</f>
        <v>30</v>
      </c>
      <c r="O56" s="100">
        <f t="shared" ref="O56" si="56">N56</f>
        <v>30</v>
      </c>
    </row>
    <row r="57" spans="2:15" ht="18" customHeight="1">
      <c r="B57" s="118" t="s">
        <v>334</v>
      </c>
      <c r="C57" s="118"/>
      <c r="D57" s="118"/>
      <c r="E57" s="118"/>
      <c r="F57" s="146">
        <f>F51+F53+F55</f>
        <v>1.5197410123728812</v>
      </c>
      <c r="G57" s="146">
        <f t="shared" ref="G57:L57" si="57">G51+G53+G55</f>
        <v>2.4373517039012493</v>
      </c>
      <c r="H57" s="146">
        <f t="shared" si="57"/>
        <v>3.1250921330406243</v>
      </c>
      <c r="I57" s="146">
        <f t="shared" si="57"/>
        <v>3.846737310482705</v>
      </c>
      <c r="J57" s="146">
        <f t="shared" si="57"/>
        <v>4.274810203061735</v>
      </c>
      <c r="K57" s="146">
        <f t="shared" si="57"/>
        <v>4.7225327701601989</v>
      </c>
      <c r="L57" s="146">
        <f t="shared" si="57"/>
        <v>5.1906642979332647</v>
      </c>
      <c r="M57" s="146">
        <f t="shared" ref="M57:O57" si="58">M51+M53+M55</f>
        <v>5.6799240912917934</v>
      </c>
      <c r="N57" s="146">
        <f t="shared" si="58"/>
        <v>6.1912904920654608</v>
      </c>
      <c r="O57" s="146">
        <f t="shared" si="58"/>
        <v>6.7255175634667808</v>
      </c>
    </row>
    <row r="58" spans="2:15" ht="18" customHeight="1">
      <c r="H58" s="94"/>
    </row>
    <row r="59" spans="2:15" s="194" customFormat="1" ht="18" customHeight="1">
      <c r="B59" s="127" t="s">
        <v>335</v>
      </c>
      <c r="C59" s="127"/>
      <c r="D59" s="127"/>
      <c r="E59" s="127"/>
      <c r="F59" s="193"/>
      <c r="G59" s="193"/>
      <c r="H59" s="193"/>
      <c r="I59" s="193"/>
      <c r="J59" s="193"/>
      <c r="K59" s="193"/>
      <c r="L59" s="193"/>
      <c r="M59" s="193"/>
      <c r="N59" s="193"/>
      <c r="O59" s="193"/>
    </row>
    <row r="60" spans="2:15" ht="18" customHeight="1">
      <c r="B60" s="94" t="str">
        <f>B59</f>
        <v>Trade Recievables</v>
      </c>
      <c r="F60" s="104">
        <f t="shared" ref="F60:L60" si="59">F26/F14*F61</f>
        <v>7.6741672372881355</v>
      </c>
      <c r="G60" s="104">
        <f t="shared" si="59"/>
        <v>12.374273697999998</v>
      </c>
      <c r="H60" s="104">
        <f t="shared" si="59"/>
        <v>15.852538175562497</v>
      </c>
      <c r="I60" s="104">
        <f t="shared" si="59"/>
        <v>19.49622195594187</v>
      </c>
      <c r="J60" s="104">
        <f t="shared" si="59"/>
        <v>21.64632979691045</v>
      </c>
      <c r="K60" s="104">
        <f t="shared" si="59"/>
        <v>23.891417891204995</v>
      </c>
      <c r="L60" s="104">
        <f t="shared" si="59"/>
        <v>26.234896434091198</v>
      </c>
      <c r="M60" s="104">
        <f t="shared" ref="M60:O60" si="60">M26/M14*M61</f>
        <v>28.680286767939702</v>
      </c>
      <c r="N60" s="104">
        <f t="shared" si="60"/>
        <v>31.231224808209326</v>
      </c>
      <c r="O60" s="104">
        <f t="shared" si="60"/>
        <v>33.891464571262468</v>
      </c>
    </row>
    <row r="61" spans="2:15" ht="18" customHeight="1">
      <c r="B61" s="94" t="s">
        <v>331</v>
      </c>
      <c r="F61" s="100">
        <f>D23</f>
        <v>60</v>
      </c>
      <c r="G61" s="100">
        <f t="shared" ref="G61:L61" si="61">F61</f>
        <v>60</v>
      </c>
      <c r="H61" s="100">
        <f t="shared" si="61"/>
        <v>60</v>
      </c>
      <c r="I61" s="100">
        <f t="shared" si="61"/>
        <v>60</v>
      </c>
      <c r="J61" s="100">
        <f t="shared" si="61"/>
        <v>60</v>
      </c>
      <c r="K61" s="100">
        <f t="shared" si="61"/>
        <v>60</v>
      </c>
      <c r="L61" s="100">
        <f t="shared" si="61"/>
        <v>60</v>
      </c>
      <c r="M61" s="100">
        <f t="shared" ref="M61" si="62">L61</f>
        <v>60</v>
      </c>
      <c r="N61" s="100">
        <f t="shared" ref="N61" si="63">M61</f>
        <v>60</v>
      </c>
      <c r="O61" s="100">
        <f t="shared" ref="O61" si="64">N61</f>
        <v>60</v>
      </c>
    </row>
    <row r="62" spans="2:15" ht="18" customHeight="1">
      <c r="B62" s="118" t="s">
        <v>340</v>
      </c>
      <c r="C62" s="118"/>
      <c r="D62" s="118"/>
      <c r="E62" s="118"/>
      <c r="F62" s="146">
        <f>F60</f>
        <v>7.6741672372881355</v>
      </c>
      <c r="G62" s="146">
        <f t="shared" ref="G62:L62" si="65">G60</f>
        <v>12.374273697999998</v>
      </c>
      <c r="H62" s="146">
        <f t="shared" si="65"/>
        <v>15.852538175562497</v>
      </c>
      <c r="I62" s="146">
        <f t="shared" si="65"/>
        <v>19.49622195594187</v>
      </c>
      <c r="J62" s="146">
        <f t="shared" si="65"/>
        <v>21.64632979691045</v>
      </c>
      <c r="K62" s="146">
        <f t="shared" si="65"/>
        <v>23.891417891204995</v>
      </c>
      <c r="L62" s="146">
        <f t="shared" si="65"/>
        <v>26.234896434091198</v>
      </c>
      <c r="M62" s="146">
        <f t="shared" ref="M62:O62" si="66">M60</f>
        <v>28.680286767939702</v>
      </c>
      <c r="N62" s="146">
        <f t="shared" si="66"/>
        <v>31.231224808209326</v>
      </c>
      <c r="O62" s="146">
        <f t="shared" si="66"/>
        <v>33.891464571262468</v>
      </c>
    </row>
    <row r="63" spans="2:15" ht="18" customHeight="1">
      <c r="H63" s="94"/>
    </row>
    <row r="64" spans="2:15" ht="18" customHeight="1">
      <c r="H64" s="94"/>
    </row>
    <row r="65" spans="2:15" s="194" customFormat="1" ht="18" customHeight="1">
      <c r="B65" s="127" t="s">
        <v>193</v>
      </c>
      <c r="C65" s="127"/>
      <c r="D65" s="127"/>
      <c r="E65" s="127"/>
      <c r="F65" s="193"/>
      <c r="G65" s="193"/>
      <c r="H65" s="193"/>
      <c r="I65" s="193"/>
      <c r="J65" s="193"/>
      <c r="K65" s="193"/>
      <c r="L65" s="193"/>
      <c r="M65" s="193"/>
      <c r="N65" s="193"/>
      <c r="O65" s="193"/>
    </row>
    <row r="66" spans="2:15" ht="18" customHeight="1">
      <c r="B66" s="94" t="s">
        <v>341</v>
      </c>
      <c r="C66" s="100"/>
      <c r="D66" s="100"/>
      <c r="E66" s="100"/>
      <c r="F66" s="104">
        <f>F48+F62</f>
        <v>10.200396015042372</v>
      </c>
      <c r="G66" s="104">
        <f>G48+G62</f>
        <v>16.447564959060415</v>
      </c>
      <c r="H66" s="104">
        <f t="shared" ref="H66:L66" si="67">H48+H62</f>
        <v>21.070654291158071</v>
      </c>
      <c r="I66" s="104">
        <f t="shared" si="67"/>
        <v>25.913608931195654</v>
      </c>
      <c r="J66" s="104">
        <f t="shared" si="67"/>
        <v>28.771385551766389</v>
      </c>
      <c r="K66" s="104">
        <f t="shared" si="67"/>
        <v>31.755406759049556</v>
      </c>
      <c r="L66" s="104">
        <f t="shared" si="67"/>
        <v>34.870205270919129</v>
      </c>
      <c r="M66" s="104">
        <f t="shared" ref="M66:O66" si="68">M48+M62</f>
        <v>38.120347829053188</v>
      </c>
      <c r="N66" s="104">
        <f t="shared" si="68"/>
        <v>41.510936307578234</v>
      </c>
      <c r="O66" s="104">
        <f t="shared" si="68"/>
        <v>45.046804992636361</v>
      </c>
    </row>
    <row r="67" spans="2:15" ht="18" customHeight="1">
      <c r="B67" s="94" t="s">
        <v>342</v>
      </c>
      <c r="C67" s="100"/>
      <c r="D67" s="100"/>
      <c r="E67" s="100"/>
      <c r="F67" s="104">
        <f>F57</f>
        <v>1.5197410123728812</v>
      </c>
      <c r="G67" s="104">
        <f t="shared" ref="G67:L67" si="69">G57</f>
        <v>2.4373517039012493</v>
      </c>
      <c r="H67" s="104">
        <f t="shared" si="69"/>
        <v>3.1250921330406243</v>
      </c>
      <c r="I67" s="104">
        <f t="shared" si="69"/>
        <v>3.846737310482705</v>
      </c>
      <c r="J67" s="104">
        <f t="shared" si="69"/>
        <v>4.274810203061735</v>
      </c>
      <c r="K67" s="104">
        <f t="shared" si="69"/>
        <v>4.7225327701601989</v>
      </c>
      <c r="L67" s="104">
        <f t="shared" si="69"/>
        <v>5.1906642979332647</v>
      </c>
      <c r="M67" s="104">
        <f t="shared" ref="M67:O67" si="70">M57</f>
        <v>5.6799240912917934</v>
      </c>
      <c r="N67" s="104">
        <f t="shared" si="70"/>
        <v>6.1912904920654608</v>
      </c>
      <c r="O67" s="104">
        <f t="shared" si="70"/>
        <v>6.7255175634667808</v>
      </c>
    </row>
    <row r="68" spans="2:15" ht="18" customHeight="1">
      <c r="B68" s="118" t="s">
        <v>193</v>
      </c>
      <c r="C68" s="118"/>
      <c r="D68" s="118"/>
      <c r="E68" s="118"/>
      <c r="F68" s="146">
        <f>F66-F67</f>
        <v>8.6806550026694911</v>
      </c>
      <c r="G68" s="146">
        <f>G66-G67</f>
        <v>14.010213255159165</v>
      </c>
      <c r="H68" s="146">
        <f t="shared" ref="H68:L68" si="71">H66-H67</f>
        <v>17.945562158117447</v>
      </c>
      <c r="I68" s="146">
        <f t="shared" si="71"/>
        <v>22.066871620712948</v>
      </c>
      <c r="J68" s="146">
        <f t="shared" si="71"/>
        <v>24.496575348704653</v>
      </c>
      <c r="K68" s="146">
        <f t="shared" si="71"/>
        <v>27.032873988889357</v>
      </c>
      <c r="L68" s="146">
        <f t="shared" si="71"/>
        <v>29.679540972985865</v>
      </c>
      <c r="M68" s="146">
        <f t="shared" ref="M68:O68" si="72">M66-M67</f>
        <v>32.440423737761392</v>
      </c>
      <c r="N68" s="146">
        <f t="shared" si="72"/>
        <v>35.319645815512771</v>
      </c>
      <c r="O68" s="146">
        <f t="shared" si="72"/>
        <v>38.32128742916958</v>
      </c>
    </row>
    <row r="69" spans="2:15" ht="18" customHeight="1">
      <c r="H69" s="94"/>
    </row>
    <row r="70" spans="2:15" ht="18" customHeight="1">
      <c r="B70" s="94" t="s">
        <v>343</v>
      </c>
      <c r="C70" s="101">
        <v>0.25</v>
      </c>
      <c r="F70" s="104">
        <f>$C$70*F68</f>
        <v>2.1701637506673728</v>
      </c>
      <c r="G70" s="104">
        <f>$C$70*G68</f>
        <v>3.5025533137897913</v>
      </c>
      <c r="H70" s="104">
        <f t="shared" ref="H70:L70" si="73">$C$70*H68</f>
        <v>4.4863905395293617</v>
      </c>
      <c r="I70" s="104">
        <f t="shared" si="73"/>
        <v>5.5167179051782371</v>
      </c>
      <c r="J70" s="104">
        <f t="shared" si="73"/>
        <v>6.1241438371761632</v>
      </c>
      <c r="K70" s="104">
        <f t="shared" si="73"/>
        <v>6.7582184972223391</v>
      </c>
      <c r="L70" s="104">
        <f t="shared" si="73"/>
        <v>7.4198852432464664</v>
      </c>
      <c r="M70" s="104">
        <f t="shared" ref="M70:O70" si="74">$C$70*M68</f>
        <v>8.1101059344403481</v>
      </c>
      <c r="N70" s="104">
        <f t="shared" si="74"/>
        <v>8.8299114538781929</v>
      </c>
      <c r="O70" s="104">
        <f t="shared" si="74"/>
        <v>9.5803218572923949</v>
      </c>
    </row>
    <row r="71" spans="2:15" ht="18" customHeight="1">
      <c r="B71" s="94" t="s">
        <v>344</v>
      </c>
      <c r="F71" s="104">
        <f>F68-F70</f>
        <v>6.5104912520021188</v>
      </c>
      <c r="G71" s="104">
        <f>G68-G70</f>
        <v>10.507659941369374</v>
      </c>
      <c r="H71" s="104">
        <f t="shared" ref="H71:L71" si="75">H68-H70</f>
        <v>13.459171618588085</v>
      </c>
      <c r="I71" s="104">
        <f t="shared" si="75"/>
        <v>16.550153715534712</v>
      </c>
      <c r="J71" s="104">
        <f t="shared" si="75"/>
        <v>18.37243151152849</v>
      </c>
      <c r="K71" s="104">
        <f t="shared" si="75"/>
        <v>20.274655491667019</v>
      </c>
      <c r="L71" s="104">
        <f t="shared" si="75"/>
        <v>22.2596557297394</v>
      </c>
      <c r="M71" s="104">
        <f t="shared" ref="M71:O71" si="76">M68-M70</f>
        <v>24.330317803321044</v>
      </c>
      <c r="N71" s="104">
        <f t="shared" si="76"/>
        <v>26.489734361634579</v>
      </c>
      <c r="O71" s="104">
        <f t="shared" si="76"/>
        <v>28.740965571877183</v>
      </c>
    </row>
    <row r="72" spans="2:15" ht="18" customHeight="1">
      <c r="B72" s="95" t="s">
        <v>350</v>
      </c>
      <c r="C72" s="95"/>
      <c r="D72" s="95"/>
      <c r="E72" s="95"/>
      <c r="F72" s="128">
        <f>F71</f>
        <v>6.5104912520021188</v>
      </c>
      <c r="G72" s="128">
        <v>10</v>
      </c>
      <c r="H72" s="128">
        <f t="shared" ref="H72:L73" si="77">G72</f>
        <v>10</v>
      </c>
      <c r="I72" s="128">
        <f t="shared" si="77"/>
        <v>10</v>
      </c>
      <c r="J72" s="128">
        <f t="shared" si="77"/>
        <v>10</v>
      </c>
      <c r="K72" s="128">
        <f t="shared" si="77"/>
        <v>10</v>
      </c>
      <c r="L72" s="128">
        <f t="shared" si="77"/>
        <v>10</v>
      </c>
      <c r="M72" s="128">
        <f t="shared" ref="M72:M73" si="78">L72</f>
        <v>10</v>
      </c>
      <c r="N72" s="128">
        <f t="shared" ref="N72:N73" si="79">M72</f>
        <v>10</v>
      </c>
      <c r="O72" s="128">
        <f t="shared" ref="O72:O73" si="80">N72</f>
        <v>10</v>
      </c>
    </row>
    <row r="73" spans="2:15" ht="18" customHeight="1">
      <c r="B73" s="94" t="s">
        <v>279</v>
      </c>
      <c r="F73" s="103">
        <f>'Common Assumption'!D122</f>
        <v>0.11</v>
      </c>
      <c r="G73" s="103">
        <f>F73</f>
        <v>0.11</v>
      </c>
      <c r="H73" s="103">
        <f t="shared" si="77"/>
        <v>0.11</v>
      </c>
      <c r="I73" s="103">
        <f t="shared" si="77"/>
        <v>0.11</v>
      </c>
      <c r="J73" s="103">
        <f t="shared" si="77"/>
        <v>0.11</v>
      </c>
      <c r="K73" s="103">
        <f t="shared" si="77"/>
        <v>0.11</v>
      </c>
      <c r="L73" s="103">
        <f t="shared" si="77"/>
        <v>0.11</v>
      </c>
      <c r="M73" s="103">
        <f t="shared" si="78"/>
        <v>0.11</v>
      </c>
      <c r="N73" s="103">
        <f t="shared" si="79"/>
        <v>0.11</v>
      </c>
      <c r="O73" s="103">
        <f t="shared" si="80"/>
        <v>0.11</v>
      </c>
    </row>
    <row r="74" spans="2:15" ht="18" customHeight="1">
      <c r="B74" s="118" t="s">
        <v>345</v>
      </c>
      <c r="C74" s="118"/>
      <c r="D74" s="118"/>
      <c r="E74" s="118"/>
      <c r="F74" s="146">
        <f t="shared" ref="F74:L74" si="81">F72*F73/F13*F14</f>
        <v>0.14084362741831249</v>
      </c>
      <c r="G74" s="146">
        <f t="shared" si="81"/>
        <v>1.1000000000000001</v>
      </c>
      <c r="H74" s="146">
        <f t="shared" si="81"/>
        <v>1.1000000000000001</v>
      </c>
      <c r="I74" s="146">
        <f t="shared" si="81"/>
        <v>1.1000000000000001</v>
      </c>
      <c r="J74" s="146">
        <f t="shared" si="81"/>
        <v>1.1000000000000001</v>
      </c>
      <c r="K74" s="146">
        <f t="shared" si="81"/>
        <v>1.1000000000000001</v>
      </c>
      <c r="L74" s="146">
        <f t="shared" si="81"/>
        <v>1.1000000000000001</v>
      </c>
      <c r="M74" s="146">
        <f t="shared" ref="M74:O74" si="82">M72*M73/M13*M14</f>
        <v>1.1000000000000001</v>
      </c>
      <c r="N74" s="146">
        <f t="shared" si="82"/>
        <v>1.1000000000000001</v>
      </c>
      <c r="O74" s="146">
        <f t="shared" si="82"/>
        <v>1.1000000000000001</v>
      </c>
    </row>
    <row r="75" spans="2:15" ht="18" customHeight="1">
      <c r="H75" s="94"/>
    </row>
    <row r="76" spans="2:15" ht="18" customHeight="1">
      <c r="B76" s="94" t="s">
        <v>415</v>
      </c>
      <c r="D76" s="104">
        <f>D68-C68</f>
        <v>0</v>
      </c>
      <c r="E76" s="104">
        <f>E68-D68</f>
        <v>0</v>
      </c>
      <c r="F76" s="104">
        <f t="shared" ref="F76:L76" si="83">F68-E68</f>
        <v>8.6806550026694911</v>
      </c>
      <c r="G76" s="104">
        <f>G68-F68</f>
        <v>5.3295582524896741</v>
      </c>
      <c r="H76" s="104">
        <f t="shared" si="83"/>
        <v>3.9353489029582818</v>
      </c>
      <c r="I76" s="104">
        <f t="shared" si="83"/>
        <v>4.1213094625955016</v>
      </c>
      <c r="J76" s="104">
        <f t="shared" si="83"/>
        <v>2.4297037279917042</v>
      </c>
      <c r="K76" s="104">
        <f t="shared" si="83"/>
        <v>2.5362986401847039</v>
      </c>
      <c r="L76" s="104">
        <f t="shared" si="83"/>
        <v>2.6466669840965089</v>
      </c>
      <c r="M76" s="104">
        <f t="shared" ref="M76" si="84">M68-L68</f>
        <v>2.760882764775527</v>
      </c>
      <c r="N76" s="104">
        <f t="shared" ref="N76" si="85">N68-M68</f>
        <v>2.8792220777513791</v>
      </c>
      <c r="O76" s="104">
        <f t="shared" ref="O76" si="86">O68-N68</f>
        <v>3.0016416136568083</v>
      </c>
    </row>
    <row r="77" spans="2:15" ht="18" customHeight="1">
      <c r="F77" s="104"/>
      <c r="H77" s="94"/>
    </row>
    <row r="78" spans="2:15" ht="18" customHeight="1">
      <c r="H78" s="94"/>
    </row>
    <row r="79" spans="2:15" ht="18" customHeight="1">
      <c r="H79" s="94"/>
    </row>
    <row r="80" spans="2:15" ht="18" customHeight="1">
      <c r="H80" s="94"/>
    </row>
    <row r="81" spans="8:8" ht="18" customHeight="1">
      <c r="H81" s="94"/>
    </row>
    <row r="82" spans="8:8" ht="18" customHeight="1">
      <c r="H82" s="94"/>
    </row>
    <row r="83" spans="8:8" ht="18" customHeight="1">
      <c r="H83" s="94"/>
    </row>
    <row r="84" spans="8:8" ht="18" customHeight="1">
      <c r="H84" s="94"/>
    </row>
    <row r="85" spans="8:8" ht="18" customHeight="1">
      <c r="H85" s="94"/>
    </row>
    <row r="86" spans="8:8" ht="18" customHeight="1">
      <c r="H86" s="94"/>
    </row>
    <row r="87" spans="8:8" ht="18" customHeight="1">
      <c r="H87" s="94"/>
    </row>
    <row r="88" spans="8:8" ht="18" customHeight="1">
      <c r="H88" s="94"/>
    </row>
    <row r="89" spans="8:8" ht="18" customHeight="1">
      <c r="H89" s="94"/>
    </row>
    <row r="90" spans="8:8" ht="18" customHeight="1">
      <c r="H90" s="94"/>
    </row>
    <row r="91" spans="8:8" ht="18" customHeight="1">
      <c r="H91" s="94"/>
    </row>
    <row r="92" spans="8:8" ht="18" customHeight="1">
      <c r="H92" s="94"/>
    </row>
    <row r="93" spans="8:8" ht="18" customHeight="1">
      <c r="H93" s="94"/>
    </row>
    <row r="94" spans="8:8" ht="18" customHeight="1">
      <c r="H94" s="94"/>
    </row>
    <row r="95" spans="8:8" ht="18" customHeight="1">
      <c r="H95" s="94"/>
    </row>
    <row r="96" spans="8:8" ht="18" customHeight="1">
      <c r="H96" s="94"/>
    </row>
    <row r="97" spans="8:8" ht="18" customHeight="1">
      <c r="H97" s="94"/>
    </row>
    <row r="98" spans="8:8" ht="18" customHeight="1">
      <c r="H98" s="94"/>
    </row>
    <row r="99" spans="8:8" ht="18" customHeight="1">
      <c r="H99" s="94"/>
    </row>
    <row r="100" spans="8:8" ht="18" customHeight="1">
      <c r="H100" s="94"/>
    </row>
    <row r="101" spans="8:8" ht="18" customHeight="1">
      <c r="H101" s="94"/>
    </row>
    <row r="102" spans="8:8" ht="18" customHeight="1">
      <c r="H102" s="94"/>
    </row>
    <row r="103" spans="8:8" ht="18" customHeight="1">
      <c r="H103" s="94"/>
    </row>
    <row r="104" spans="8:8" ht="18" customHeight="1">
      <c r="H104" s="94"/>
    </row>
    <row r="105" spans="8:8" ht="18" customHeight="1">
      <c r="H105" s="94"/>
    </row>
    <row r="106" spans="8:8" ht="18" customHeight="1">
      <c r="H106" s="94"/>
    </row>
    <row r="107" spans="8:8" ht="18" customHeight="1">
      <c r="H107" s="94"/>
    </row>
    <row r="108" spans="8:8" ht="18" customHeight="1">
      <c r="H108" s="94"/>
    </row>
    <row r="109" spans="8:8" ht="18" customHeight="1">
      <c r="H109" s="94"/>
    </row>
    <row r="110" spans="8:8" ht="18" customHeight="1">
      <c r="H110" s="94"/>
    </row>
    <row r="111" spans="8:8" ht="18" customHeight="1">
      <c r="H111" s="94"/>
    </row>
    <row r="112" spans="8:8" ht="18" customHeight="1">
      <c r="H112" s="94"/>
    </row>
    <row r="113" spans="8:8" ht="18" customHeight="1">
      <c r="H113" s="94"/>
    </row>
    <row r="114" spans="8:8" ht="18" customHeight="1">
      <c r="H114" s="94"/>
    </row>
    <row r="115" spans="8:8" ht="18" customHeight="1">
      <c r="H115" s="94"/>
    </row>
    <row r="116" spans="8:8" ht="18" customHeight="1">
      <c r="H116" s="94"/>
    </row>
    <row r="117" spans="8:8" ht="18" customHeight="1">
      <c r="H117" s="94"/>
    </row>
    <row r="118" spans="8:8" ht="18" customHeight="1">
      <c r="H118" s="94"/>
    </row>
    <row r="119" spans="8:8" ht="18" customHeight="1">
      <c r="H119" s="94"/>
    </row>
    <row r="120" spans="8:8" ht="18" customHeight="1">
      <c r="H120" s="94"/>
    </row>
    <row r="121" spans="8:8" ht="18" customHeight="1">
      <c r="H121" s="94"/>
    </row>
    <row r="122" spans="8:8" ht="18" customHeight="1">
      <c r="H122" s="94"/>
    </row>
    <row r="123" spans="8:8" ht="18" customHeight="1">
      <c r="H123" s="94"/>
    </row>
    <row r="124" spans="8:8" ht="18" customHeight="1">
      <c r="H124" s="94"/>
    </row>
    <row r="125" spans="8:8" ht="18" customHeight="1">
      <c r="H125" s="94"/>
    </row>
    <row r="126" spans="8:8" ht="18" customHeight="1">
      <c r="H126" s="94"/>
    </row>
    <row r="127" spans="8:8" ht="18" customHeight="1">
      <c r="H127" s="94"/>
    </row>
    <row r="128" spans="8:8" ht="18" customHeight="1">
      <c r="H128" s="94"/>
    </row>
    <row r="129" spans="8:8" ht="18" customHeight="1">
      <c r="H129" s="94"/>
    </row>
    <row r="130" spans="8:8" ht="18" customHeight="1">
      <c r="H130" s="94"/>
    </row>
    <row r="131" spans="8:8" ht="18" customHeight="1">
      <c r="H131" s="94"/>
    </row>
    <row r="132" spans="8:8" ht="18" customHeight="1">
      <c r="H132" s="94"/>
    </row>
    <row r="133" spans="8:8" ht="18" customHeight="1">
      <c r="H133" s="94"/>
    </row>
    <row r="134" spans="8:8" ht="18" customHeight="1">
      <c r="H134" s="94"/>
    </row>
    <row r="135" spans="8:8" ht="18" customHeight="1">
      <c r="H135" s="94"/>
    </row>
    <row r="136" spans="8:8" ht="18" customHeight="1">
      <c r="H136" s="94"/>
    </row>
    <row r="137" spans="8:8" ht="18" customHeight="1">
      <c r="H137" s="94"/>
    </row>
    <row r="138" spans="8:8" ht="18" customHeight="1">
      <c r="H138" s="94"/>
    </row>
    <row r="139" spans="8:8" ht="18" customHeight="1">
      <c r="H139" s="94"/>
    </row>
    <row r="140" spans="8:8" ht="18" customHeight="1">
      <c r="H140" s="94"/>
    </row>
    <row r="141" spans="8:8" ht="18" customHeight="1">
      <c r="H141" s="94"/>
    </row>
    <row r="142" spans="8:8" ht="18" customHeight="1">
      <c r="H142" s="94"/>
    </row>
    <row r="143" spans="8:8" ht="18" customHeight="1">
      <c r="H143" s="94"/>
    </row>
    <row r="144" spans="8:8" ht="18" customHeight="1">
      <c r="H144" s="94"/>
    </row>
    <row r="145" spans="8:8" ht="18" customHeight="1">
      <c r="H145" s="94"/>
    </row>
    <row r="146" spans="8:8" ht="18" customHeight="1">
      <c r="H146" s="94"/>
    </row>
    <row r="147" spans="8:8" ht="18" customHeight="1">
      <c r="H147" s="94"/>
    </row>
    <row r="148" spans="8:8" ht="18" customHeight="1">
      <c r="H148" s="94"/>
    </row>
    <row r="149" spans="8:8" ht="18" customHeight="1">
      <c r="H149" s="94"/>
    </row>
    <row r="150" spans="8:8" ht="18" customHeight="1">
      <c r="H150" s="94"/>
    </row>
    <row r="151" spans="8:8" ht="18" customHeight="1">
      <c r="H151" s="94"/>
    </row>
    <row r="152" spans="8:8" ht="18" customHeight="1">
      <c r="H152" s="94"/>
    </row>
    <row r="153" spans="8:8" ht="18" customHeight="1">
      <c r="H153" s="94"/>
    </row>
    <row r="154" spans="8:8" ht="18" customHeight="1">
      <c r="H154" s="94"/>
    </row>
    <row r="155" spans="8:8" ht="18" customHeight="1">
      <c r="H155" s="94"/>
    </row>
    <row r="156" spans="8:8" ht="18" customHeight="1">
      <c r="H156" s="94"/>
    </row>
    <row r="157" spans="8:8" ht="18" customHeight="1">
      <c r="H157" s="94"/>
    </row>
    <row r="158" spans="8:8" ht="18" customHeight="1">
      <c r="H158" s="94"/>
    </row>
    <row r="159" spans="8:8" ht="18" customHeight="1">
      <c r="H159" s="94"/>
    </row>
    <row r="160" spans="8:8" ht="18" customHeight="1">
      <c r="H160" s="94"/>
    </row>
    <row r="161" spans="8:8" ht="18" customHeight="1">
      <c r="H161" s="94"/>
    </row>
    <row r="162" spans="8:8" ht="18" customHeight="1">
      <c r="H162" s="94"/>
    </row>
    <row r="163" spans="8:8" ht="18" customHeight="1">
      <c r="H163" s="94"/>
    </row>
    <row r="164" spans="8:8" ht="18" customHeight="1">
      <c r="H164" s="94"/>
    </row>
    <row r="165" spans="8:8" ht="18" customHeight="1">
      <c r="H165" s="94"/>
    </row>
    <row r="166" spans="8:8" ht="18" customHeight="1">
      <c r="H166" s="94"/>
    </row>
    <row r="167" spans="8:8" ht="18" customHeight="1">
      <c r="H167" s="94"/>
    </row>
    <row r="168" spans="8:8" ht="18" customHeight="1">
      <c r="H168" s="94"/>
    </row>
    <row r="169" spans="8:8" ht="18" customHeight="1">
      <c r="H169" s="94"/>
    </row>
    <row r="170" spans="8:8" ht="18" customHeight="1">
      <c r="H170" s="94"/>
    </row>
    <row r="171" spans="8:8" ht="18" customHeight="1">
      <c r="H171" s="94"/>
    </row>
    <row r="172" spans="8:8" ht="18" customHeight="1">
      <c r="H172" s="94"/>
    </row>
    <row r="173" spans="8:8" ht="18" customHeight="1">
      <c r="H173" s="94"/>
    </row>
    <row r="174" spans="8:8" ht="18" customHeight="1">
      <c r="H174" s="94"/>
    </row>
    <row r="175" spans="8:8" ht="18" customHeight="1">
      <c r="H175" s="94"/>
    </row>
    <row r="176" spans="8:8" ht="18" customHeight="1">
      <c r="H176" s="94"/>
    </row>
    <row r="177" spans="8:8" ht="18" customHeight="1">
      <c r="H177" s="94"/>
    </row>
    <row r="178" spans="8:8" ht="18" customHeight="1">
      <c r="H178" s="94"/>
    </row>
    <row r="179" spans="8:8" ht="18" customHeight="1">
      <c r="H179" s="94"/>
    </row>
    <row r="180" spans="8:8" ht="18" customHeight="1">
      <c r="H180" s="94"/>
    </row>
    <row r="181" spans="8:8" ht="18" customHeight="1">
      <c r="H181" s="94"/>
    </row>
    <row r="182" spans="8:8" ht="18" customHeight="1">
      <c r="H182" s="94"/>
    </row>
    <row r="183" spans="8:8" ht="18" customHeight="1">
      <c r="H183" s="94"/>
    </row>
    <row r="184" spans="8:8" ht="18" customHeight="1">
      <c r="H184" s="94"/>
    </row>
    <row r="185" spans="8:8" ht="18" customHeight="1">
      <c r="H185" s="94"/>
    </row>
    <row r="186" spans="8:8" ht="18" customHeight="1">
      <c r="H186" s="94"/>
    </row>
    <row r="187" spans="8:8" ht="18" customHeight="1">
      <c r="H187" s="94"/>
    </row>
    <row r="188" spans="8:8" ht="18" customHeight="1">
      <c r="H188" s="94"/>
    </row>
  </sheetData>
  <mergeCells count="2">
    <mergeCell ref="D8:E8"/>
    <mergeCell ref="F8:O8"/>
  </mergeCells>
  <pageMargins left="0.7" right="0.7" top="0.75" bottom="0.75" header="0.3" footer="0.3"/>
  <pageSetup orientation="portrait" r:id="rId1"/>
  <ignoredErrors>
    <ignoredError sqref="G53:L55" formula="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92D050"/>
  </sheetPr>
  <dimension ref="B1:O43"/>
  <sheetViews>
    <sheetView showGridLines="0" topLeftCell="C4" workbookViewId="0">
      <pane ySplit="6" topLeftCell="A10" activePane="bottomLeft" state="frozen"/>
      <selection activeCell="A4" sqref="A4"/>
      <selection pane="bottomLeft" activeCell="H11" sqref="H11"/>
    </sheetView>
  </sheetViews>
  <sheetFormatPr defaultColWidth="13.7109375" defaultRowHeight="18" customHeight="1"/>
  <cols>
    <col min="1" max="1" width="4.85546875" style="94" customWidth="1"/>
    <col min="2" max="2" width="43.42578125" style="94" customWidth="1"/>
    <col min="3" max="3" width="7.140625" style="94" customWidth="1"/>
    <col min="4" max="12" width="12.7109375" style="94" customWidth="1"/>
    <col min="13" max="16384" width="13.7109375" style="94"/>
  </cols>
  <sheetData>
    <row r="1" spans="2:15" ht="15.75" customHeight="1"/>
    <row r="2" spans="2:15" s="242" customFormat="1" ht="18" customHeight="1">
      <c r="B2" s="246" t="str">
        <f>"Financial Model of " &amp; B4</f>
        <v>Financial Model of 20,000 M.T of glass Toughening pa. set up by SSRM Glasses Private Limited</v>
      </c>
      <c r="C2" s="247"/>
      <c r="D2" s="247"/>
      <c r="E2" s="247"/>
      <c r="F2" s="247"/>
      <c r="G2" s="247"/>
      <c r="H2" s="247"/>
      <c r="I2" s="247"/>
      <c r="J2" s="247"/>
      <c r="K2" s="247"/>
      <c r="L2" s="247"/>
    </row>
    <row r="3" spans="2:15" s="242" customFormat="1" ht="12" customHeight="1">
      <c r="C3" s="241"/>
      <c r="D3" s="241"/>
      <c r="E3" s="241"/>
      <c r="F3" s="241"/>
      <c r="G3" s="241"/>
      <c r="H3" s="241"/>
      <c r="I3" s="241"/>
      <c r="J3" s="241"/>
      <c r="K3" s="241"/>
      <c r="L3" s="241"/>
    </row>
    <row r="4" spans="2:15" s="242" customFormat="1" ht="18" customHeight="1">
      <c r="B4" s="248" t="str">
        <f>'Common Assumption'!B4</f>
        <v>20,000 M.T of glass Toughening pa. set up by SSRM Glasses Private Limited</v>
      </c>
      <c r="C4" s="248"/>
      <c r="D4" s="249"/>
      <c r="E4" s="249"/>
      <c r="F4" s="249"/>
      <c r="G4" s="249"/>
      <c r="H4" s="249"/>
      <c r="I4" s="249"/>
      <c r="J4" s="249"/>
      <c r="K4" s="249"/>
      <c r="L4" s="249"/>
      <c r="M4" s="249"/>
      <c r="N4" s="249"/>
      <c r="O4" s="249"/>
    </row>
    <row r="5" spans="2:15" s="242" customFormat="1" ht="13.5" customHeight="1">
      <c r="C5" s="241"/>
      <c r="D5" s="241"/>
      <c r="F5" s="250"/>
    </row>
    <row r="6" spans="2:15" s="242" customFormat="1" ht="18" customHeight="1">
      <c r="B6" s="248" t="s">
        <v>678</v>
      </c>
      <c r="C6" s="248"/>
      <c r="D6" s="249"/>
      <c r="E6" s="249"/>
      <c r="F6" s="249"/>
      <c r="G6" s="249"/>
      <c r="H6" s="249"/>
      <c r="I6" s="249"/>
      <c r="J6" s="249"/>
      <c r="K6" s="249"/>
      <c r="L6" s="249"/>
      <c r="M6" s="249"/>
      <c r="N6" s="249"/>
      <c r="O6" s="249"/>
    </row>
    <row r="7" spans="2:15" s="242" customFormat="1" ht="12.75" customHeight="1">
      <c r="C7" s="241"/>
      <c r="D7" s="241"/>
      <c r="F7" s="250"/>
    </row>
    <row r="8" spans="2:15" s="242" customFormat="1" ht="18" customHeight="1">
      <c r="B8" s="94"/>
      <c r="C8" s="100"/>
      <c r="D8" s="354" t="str">
        <f>'Loan Schedule'!D8:E8</f>
        <v>Implementation period</v>
      </c>
      <c r="E8" s="354"/>
      <c r="F8" s="355" t="s">
        <v>43</v>
      </c>
      <c r="G8" s="355"/>
      <c r="H8" s="355"/>
      <c r="I8" s="355"/>
      <c r="J8" s="355"/>
      <c r="K8" s="355"/>
      <c r="L8" s="355"/>
      <c r="M8" s="355"/>
      <c r="N8" s="355"/>
      <c r="O8" s="355"/>
    </row>
    <row r="9" spans="2:15" s="242" customFormat="1" ht="18" customHeight="1">
      <c r="B9" s="135" t="s">
        <v>44</v>
      </c>
      <c r="C9" s="183" t="s">
        <v>45</v>
      </c>
      <c r="D9" s="184">
        <f>EOMONTH('Common Assumption'!E11,1)</f>
        <v>45747</v>
      </c>
      <c r="E9" s="184">
        <f>'Common Assumption'!E13</f>
        <v>46053</v>
      </c>
      <c r="F9" s="184">
        <f>DATE(YEAR(E9),MONTH(E9)+2,DAY(E9))</f>
        <v>46112</v>
      </c>
      <c r="G9" s="184">
        <f t="shared" ref="G9:L9" si="0">DATE(YEAR(F9)+1,MONTH(F9),DAY(F9))</f>
        <v>46477</v>
      </c>
      <c r="H9" s="184">
        <f t="shared" si="0"/>
        <v>46843</v>
      </c>
      <c r="I9" s="184">
        <f t="shared" si="0"/>
        <v>47208</v>
      </c>
      <c r="J9" s="184">
        <f t="shared" si="0"/>
        <v>47573</v>
      </c>
      <c r="K9" s="184">
        <f t="shared" si="0"/>
        <v>47938</v>
      </c>
      <c r="L9" s="184">
        <f t="shared" si="0"/>
        <v>48304</v>
      </c>
      <c r="M9" s="184">
        <f t="shared" ref="M9" si="1">DATE(YEAR(L9)+1,MONTH(L9),DAY(L9))</f>
        <v>48669</v>
      </c>
      <c r="N9" s="184">
        <f t="shared" ref="N9" si="2">DATE(YEAR(M9)+1,MONTH(M9),DAY(M9))</f>
        <v>49034</v>
      </c>
      <c r="O9" s="184">
        <f t="shared" ref="O9" si="3">DATE(YEAR(N9)+1,MONTH(N9),DAY(N9))</f>
        <v>49399</v>
      </c>
    </row>
    <row r="10" spans="2:15" s="251" customFormat="1" ht="18" customHeight="1">
      <c r="B10" s="185" t="s">
        <v>46</v>
      </c>
      <c r="C10" s="186"/>
      <c r="D10" s="187">
        <v>0</v>
      </c>
      <c r="E10" s="187">
        <v>0</v>
      </c>
      <c r="F10" s="188">
        <v>1</v>
      </c>
      <c r="G10" s="188">
        <f t="shared" ref="G10:L10" si="4">F10+1</f>
        <v>2</v>
      </c>
      <c r="H10" s="188">
        <f t="shared" si="4"/>
        <v>3</v>
      </c>
      <c r="I10" s="188">
        <f t="shared" si="4"/>
        <v>4</v>
      </c>
      <c r="J10" s="188">
        <f t="shared" si="4"/>
        <v>5</v>
      </c>
      <c r="K10" s="188">
        <f t="shared" si="4"/>
        <v>6</v>
      </c>
      <c r="L10" s="188">
        <f t="shared" si="4"/>
        <v>7</v>
      </c>
      <c r="M10" s="188">
        <f t="shared" ref="M10" si="5">L10+1</f>
        <v>8</v>
      </c>
      <c r="N10" s="188">
        <f t="shared" ref="N10" si="6">M10+1</f>
        <v>9</v>
      </c>
      <c r="O10" s="188">
        <f t="shared" ref="O10" si="7">N10+1</f>
        <v>10</v>
      </c>
    </row>
    <row r="11" spans="2:15" s="251" customFormat="1" ht="18" customHeight="1">
      <c r="B11" s="185" t="s">
        <v>47</v>
      </c>
      <c r="C11" s="186">
        <f>'Common Assumption'!E12</f>
        <v>11</v>
      </c>
      <c r="D11" s="187">
        <f>MONTH(D9-'Common Assumption'!E11)</f>
        <v>1</v>
      </c>
      <c r="E11" s="187">
        <f>C11-D11</f>
        <v>10</v>
      </c>
      <c r="F11" s="186">
        <f>MONTH(F9-E9)</f>
        <v>2</v>
      </c>
      <c r="G11" s="186">
        <f t="shared" ref="G11:L11" si="8">MONTH(G9-F9)</f>
        <v>12</v>
      </c>
      <c r="H11" s="186">
        <f t="shared" si="8"/>
        <v>12</v>
      </c>
      <c r="I11" s="186">
        <f t="shared" si="8"/>
        <v>12</v>
      </c>
      <c r="J11" s="186">
        <f t="shared" si="8"/>
        <v>12</v>
      </c>
      <c r="K11" s="186">
        <f t="shared" si="8"/>
        <v>12</v>
      </c>
      <c r="L11" s="186">
        <f t="shared" si="8"/>
        <v>12</v>
      </c>
      <c r="M11" s="186">
        <f t="shared" ref="M11" si="9">MONTH(M9-L9)</f>
        <v>12</v>
      </c>
      <c r="N11" s="186">
        <f t="shared" ref="N11" si="10">MONTH(N9-M9)</f>
        <v>12</v>
      </c>
      <c r="O11" s="186">
        <f t="shared" ref="O11" si="11">MONTH(O9-N9)</f>
        <v>12</v>
      </c>
    </row>
    <row r="12" spans="2:15" ht="18" customHeight="1" thickBot="1"/>
    <row r="13" spans="2:15" ht="21" customHeight="1">
      <c r="B13" s="252" t="s">
        <v>679</v>
      </c>
      <c r="C13" s="253">
        <f>'Common Assumption'!D130</f>
        <v>0.16692000000000001</v>
      </c>
    </row>
    <row r="14" spans="2:15" ht="18" customHeight="1" thickBot="1">
      <c r="B14" s="254" t="s">
        <v>680</v>
      </c>
      <c r="C14" s="255">
        <f>'Common Assumption'!D135</f>
        <v>0.2782</v>
      </c>
    </row>
    <row r="16" spans="2:15" ht="18" customHeight="1">
      <c r="B16" s="94" t="s">
        <v>681</v>
      </c>
      <c r="F16" s="104">
        <f>IS!F41</f>
        <v>1.533817451681621</v>
      </c>
      <c r="G16" s="104">
        <f>IS!G41</f>
        <v>5.9595393274125001</v>
      </c>
      <c r="H16" s="104">
        <f>IS!H41</f>
        <v>8.5707460687304096</v>
      </c>
      <c r="I16" s="104">
        <f>IS!I41</f>
        <v>11.507037889951107</v>
      </c>
      <c r="J16" s="104">
        <f>IS!J41</f>
        <v>12.768941066733438</v>
      </c>
      <c r="K16" s="104">
        <f>IS!K41</f>
        <v>14.341875532291251</v>
      </c>
      <c r="L16" s="104">
        <f>IS!L41</f>
        <v>15.880183297931881</v>
      </c>
      <c r="M16" s="104">
        <f>IS!M41</f>
        <v>17.372061567347579</v>
      </c>
      <c r="N16" s="104">
        <f>IS!N41</f>
        <v>18.799566265895194</v>
      </c>
      <c r="O16" s="104">
        <f>IS!O41</f>
        <v>20.163311893353423</v>
      </c>
    </row>
    <row r="17" spans="2:15" ht="18" customHeight="1">
      <c r="B17" s="94" t="s">
        <v>682</v>
      </c>
      <c r="F17" s="318">
        <f>+IS!F42</f>
        <v>7.5099999999999986E-2</v>
      </c>
      <c r="G17" s="318">
        <f>+IS!G42</f>
        <v>0.43140256249999992</v>
      </c>
      <c r="H17" s="318">
        <f>+IS!H42</f>
        <v>0.38675936749999995</v>
      </c>
      <c r="I17" s="318">
        <f>+IS!I42</f>
        <v>0.33669770750000005</v>
      </c>
      <c r="J17" s="318">
        <f>+IS!J42</f>
        <v>0.28663604750000005</v>
      </c>
      <c r="K17" s="318">
        <f>+IS!K42</f>
        <v>0.23657438749999996</v>
      </c>
      <c r="L17" s="318">
        <f>+IS!L42</f>
        <v>0.1865127275</v>
      </c>
      <c r="M17" s="318">
        <f>+IS!M42</f>
        <v>0</v>
      </c>
      <c r="N17" s="318">
        <f>+IS!N42</f>
        <v>0</v>
      </c>
      <c r="O17" s="318">
        <f>+IS!O42</f>
        <v>0</v>
      </c>
    </row>
    <row r="18" spans="2:15" ht="18" customHeight="1">
      <c r="B18" s="94" t="s">
        <v>683</v>
      </c>
      <c r="F18" s="104">
        <f>'Depreciation Schedule'!F33</f>
        <v>0.30058661020959415</v>
      </c>
      <c r="G18" s="104">
        <f>'Depreciation Schedule'!G33</f>
        <v>1.8496988118809239</v>
      </c>
      <c r="H18" s="104">
        <f>'Depreciation Schedule'!H33</f>
        <v>1.8496988118809239</v>
      </c>
      <c r="I18" s="104">
        <f>'Depreciation Schedule'!I33</f>
        <v>1.8496988118809239</v>
      </c>
      <c r="J18" s="104">
        <f>'Depreciation Schedule'!J33</f>
        <v>1.8496988118809239</v>
      </c>
      <c r="K18" s="104">
        <f>'Depreciation Schedule'!K33</f>
        <v>1.8496988118809239</v>
      </c>
      <c r="L18" s="104">
        <f>'Depreciation Schedule'!L33</f>
        <v>1.8496988118809239</v>
      </c>
      <c r="M18" s="104">
        <f>'Depreciation Schedule'!M33</f>
        <v>1.8496988118809239</v>
      </c>
      <c r="N18" s="104">
        <f>'Depreciation Schedule'!N33</f>
        <v>1.8496988118809239</v>
      </c>
      <c r="O18" s="104">
        <f>'Depreciation Schedule'!O33</f>
        <v>1.8496988118809239</v>
      </c>
    </row>
    <row r="19" spans="2:15" ht="18" customHeight="1">
      <c r="B19" s="94" t="s">
        <v>684</v>
      </c>
      <c r="F19" s="104">
        <f>'Depreciation Schedule'!F51</f>
        <v>0.73782287874117924</v>
      </c>
      <c r="G19" s="104">
        <f>'Depreciation Schedule'!G51</f>
        <v>4.3267234970451147</v>
      </c>
      <c r="H19" s="104">
        <f>'Depreciation Schedule'!H51</f>
        <v>3.7394269453027178</v>
      </c>
      <c r="I19" s="104">
        <f>'Depreciation Schedule'!I51</f>
        <v>3.2340536790402443</v>
      </c>
      <c r="J19" s="104">
        <f>'Depreciation Schedule'!J51</f>
        <v>2.7989323251638485</v>
      </c>
      <c r="K19" s="104">
        <f>'Depreciation Schedule'!K51</f>
        <v>2.4240805045709473</v>
      </c>
      <c r="L19" s="104">
        <f>'Depreciation Schedule'!L51</f>
        <v>2.1009576542488131</v>
      </c>
      <c r="M19" s="104">
        <f>'Depreciation Schedule'!M51</f>
        <v>2.8222543089386494</v>
      </c>
      <c r="N19" s="104">
        <f>'Depreciation Schedule'!N51</f>
        <v>3.5817124351422942</v>
      </c>
      <c r="O19" s="104">
        <f>'Depreciation Schedule'!O51</f>
        <v>4.3739722151609479</v>
      </c>
    </row>
    <row r="20" spans="2:15" ht="18.75" customHeight="1">
      <c r="B20" s="121" t="s">
        <v>685</v>
      </c>
      <c r="C20" s="121"/>
      <c r="D20" s="121"/>
      <c r="E20" s="121"/>
      <c r="F20" s="190">
        <f t="shared" ref="F20:L20" si="12">F16+F17+F18-F19</f>
        <v>1.171681183150036</v>
      </c>
      <c r="G20" s="190">
        <f t="shared" si="12"/>
        <v>3.9139172047483095</v>
      </c>
      <c r="H20" s="190">
        <f t="shared" si="12"/>
        <v>7.067777302808615</v>
      </c>
      <c r="I20" s="190">
        <f t="shared" si="12"/>
        <v>10.459380730291787</v>
      </c>
      <c r="J20" s="190">
        <f t="shared" si="12"/>
        <v>12.106343600950513</v>
      </c>
      <c r="K20" s="190">
        <f t="shared" si="12"/>
        <v>14.004068227101227</v>
      </c>
      <c r="L20" s="190">
        <f t="shared" si="12"/>
        <v>15.815437183063992</v>
      </c>
      <c r="M20" s="190">
        <f t="shared" ref="M20:O20" si="13">M16+M17+M18-M19</f>
        <v>16.399506070289853</v>
      </c>
      <c r="N20" s="190">
        <f t="shared" si="13"/>
        <v>17.067552642633824</v>
      </c>
      <c r="O20" s="190">
        <f t="shared" si="13"/>
        <v>17.6390384900734</v>
      </c>
    </row>
    <row r="21" spans="2:15" ht="18" customHeight="1">
      <c r="B21" s="94" t="s">
        <v>686</v>
      </c>
      <c r="F21" s="104">
        <f>E24</f>
        <v>0</v>
      </c>
      <c r="G21" s="104">
        <f t="shared" ref="G21:L21" si="14">F24</f>
        <v>0</v>
      </c>
      <c r="H21" s="104">
        <f t="shared" si="14"/>
        <v>0</v>
      </c>
      <c r="I21" s="104">
        <f t="shared" si="14"/>
        <v>0</v>
      </c>
      <c r="J21" s="104">
        <f t="shared" si="14"/>
        <v>0</v>
      </c>
      <c r="K21" s="104">
        <f t="shared" si="14"/>
        <v>0</v>
      </c>
      <c r="L21" s="104">
        <f t="shared" si="14"/>
        <v>0</v>
      </c>
      <c r="M21" s="104">
        <f t="shared" ref="M21:M22" si="15">L24</f>
        <v>0</v>
      </c>
      <c r="N21" s="104">
        <f t="shared" ref="N21:N22" si="16">M24</f>
        <v>0</v>
      </c>
      <c r="O21" s="104">
        <f t="shared" ref="O21:O22" si="17">N24</f>
        <v>0</v>
      </c>
    </row>
    <row r="22" spans="2:15" ht="18" customHeight="1">
      <c r="B22" s="94" t="s">
        <v>687</v>
      </c>
      <c r="F22" s="104">
        <f>E25</f>
        <v>0</v>
      </c>
      <c r="G22" s="104">
        <f t="shared" ref="G22:L22" si="18">F25</f>
        <v>0</v>
      </c>
      <c r="H22" s="104">
        <f t="shared" si="18"/>
        <v>0</v>
      </c>
      <c r="I22" s="104">
        <f t="shared" si="18"/>
        <v>0</v>
      </c>
      <c r="J22" s="104">
        <f t="shared" si="18"/>
        <v>0</v>
      </c>
      <c r="K22" s="104">
        <f t="shared" si="18"/>
        <v>0</v>
      </c>
      <c r="L22" s="104">
        <f t="shared" si="18"/>
        <v>0</v>
      </c>
      <c r="M22" s="104">
        <f t="shared" si="15"/>
        <v>0</v>
      </c>
      <c r="N22" s="104">
        <f t="shared" si="16"/>
        <v>0</v>
      </c>
      <c r="O22" s="104">
        <f t="shared" si="17"/>
        <v>0</v>
      </c>
    </row>
    <row r="23" spans="2:15" ht="18.75" customHeight="1">
      <c r="B23" s="121" t="s">
        <v>688</v>
      </c>
      <c r="C23" s="121"/>
      <c r="D23" s="121"/>
      <c r="E23" s="121"/>
      <c r="F23" s="190">
        <f t="shared" ref="F23:L23" si="19">IF((F20+F21+F22)&gt;0,(F20+F21+F22),0)</f>
        <v>1.171681183150036</v>
      </c>
      <c r="G23" s="190">
        <f t="shared" si="19"/>
        <v>3.9139172047483095</v>
      </c>
      <c r="H23" s="190">
        <f t="shared" si="19"/>
        <v>7.067777302808615</v>
      </c>
      <c r="I23" s="190">
        <f t="shared" si="19"/>
        <v>10.459380730291787</v>
      </c>
      <c r="J23" s="190">
        <f t="shared" si="19"/>
        <v>12.106343600950513</v>
      </c>
      <c r="K23" s="190">
        <f t="shared" si="19"/>
        <v>14.004068227101227</v>
      </c>
      <c r="L23" s="190">
        <f t="shared" si="19"/>
        <v>15.815437183063992</v>
      </c>
      <c r="M23" s="190">
        <f t="shared" ref="M23:O23" si="20">IF((M20+M21+M22)&gt;0,(M20+M21+M22),0)</f>
        <v>16.399506070289853</v>
      </c>
      <c r="N23" s="190">
        <f t="shared" si="20"/>
        <v>17.067552642633824</v>
      </c>
      <c r="O23" s="190">
        <f t="shared" si="20"/>
        <v>17.6390384900734</v>
      </c>
    </row>
    <row r="24" spans="2:15" ht="18" customHeight="1">
      <c r="B24" s="94" t="s">
        <v>689</v>
      </c>
      <c r="E24" s="256">
        <v>0</v>
      </c>
      <c r="F24" s="104">
        <f>IF((F20+F21)&lt;0,(F20+F21),0)</f>
        <v>0</v>
      </c>
      <c r="G24" s="104">
        <f t="shared" ref="G24:L24" si="21">IF(G20+G21&lt;0,G20+G21,0)</f>
        <v>0</v>
      </c>
      <c r="H24" s="104">
        <f t="shared" si="21"/>
        <v>0</v>
      </c>
      <c r="I24" s="104">
        <f t="shared" si="21"/>
        <v>0</v>
      </c>
      <c r="J24" s="104">
        <f t="shared" si="21"/>
        <v>0</v>
      </c>
      <c r="K24" s="104">
        <f t="shared" si="21"/>
        <v>0</v>
      </c>
      <c r="L24" s="104">
        <f t="shared" si="21"/>
        <v>0</v>
      </c>
      <c r="M24" s="104">
        <f t="shared" ref="M24:O24" si="22">IF(M20+M21&lt;0,M20+M21,0)</f>
        <v>0</v>
      </c>
      <c r="N24" s="104">
        <f t="shared" si="22"/>
        <v>0</v>
      </c>
      <c r="O24" s="104">
        <f t="shared" si="22"/>
        <v>0</v>
      </c>
    </row>
    <row r="25" spans="2:15" ht="15">
      <c r="B25" s="94" t="s">
        <v>690</v>
      </c>
      <c r="E25" s="256">
        <v>0</v>
      </c>
      <c r="F25" s="104">
        <f>IF(F20+F21&gt;0,IF(F20+F21+F22&lt;0,F20+F21+F22,0),F22)</f>
        <v>0</v>
      </c>
      <c r="G25" s="104">
        <f t="shared" ref="G25:L25" si="23">IF(G20+G21&gt;0,IF(G20+G21+G22&lt;0,G20+G21+G22,0),G22)</f>
        <v>0</v>
      </c>
      <c r="H25" s="104">
        <f t="shared" si="23"/>
        <v>0</v>
      </c>
      <c r="I25" s="104">
        <f t="shared" si="23"/>
        <v>0</v>
      </c>
      <c r="J25" s="104">
        <f t="shared" si="23"/>
        <v>0</v>
      </c>
      <c r="K25" s="104">
        <f t="shared" si="23"/>
        <v>0</v>
      </c>
      <c r="L25" s="104">
        <f t="shared" si="23"/>
        <v>0</v>
      </c>
      <c r="M25" s="104">
        <f t="shared" ref="M25:O25" si="24">IF(M20+M21&gt;0,IF(M20+M21+M22&lt;0,M20+M21+M22,0),M22)</f>
        <v>0</v>
      </c>
      <c r="N25" s="104">
        <f t="shared" si="24"/>
        <v>0</v>
      </c>
      <c r="O25" s="104">
        <f t="shared" si="24"/>
        <v>0</v>
      </c>
    </row>
    <row r="26" spans="2:15" ht="15"/>
    <row r="27" spans="2:15" ht="15">
      <c r="B27" s="95" t="s">
        <v>691</v>
      </c>
      <c r="C27" s="95"/>
      <c r="D27" s="95"/>
      <c r="E27" s="95"/>
      <c r="F27" s="128">
        <f>F23*(25%*(1+4%)*(1+(IF(F23&lt;1,0,7%))))</f>
        <v>0.32596170515234002</v>
      </c>
      <c r="G27" s="128">
        <f t="shared" ref="G27:L27" si="25">G23*(25%*(1+4%)*(1+(IF(G23&lt;1,0,IF(G23&gt;10,12%,7%)))))</f>
        <v>1.0888517663609798</v>
      </c>
      <c r="H27" s="128">
        <f t="shared" si="25"/>
        <v>1.9662556456413567</v>
      </c>
      <c r="I27" s="128">
        <f t="shared" si="25"/>
        <v>3.0457716686609686</v>
      </c>
      <c r="J27" s="128">
        <f t="shared" si="25"/>
        <v>3.5253672565967897</v>
      </c>
      <c r="K27" s="128">
        <f t="shared" si="25"/>
        <v>4.0779846677318776</v>
      </c>
      <c r="L27" s="128">
        <f t="shared" si="25"/>
        <v>4.605455307708235</v>
      </c>
      <c r="M27" s="128">
        <f t="shared" ref="M27:O27" si="26">M23*(25%*(1+4%)*(1+(IF(M23&lt;1,0,IF(M23&gt;10,12%,7%)))))</f>
        <v>4.7755361676684052</v>
      </c>
      <c r="N27" s="128">
        <f t="shared" si="26"/>
        <v>4.9700713295349699</v>
      </c>
      <c r="O27" s="128">
        <f t="shared" si="26"/>
        <v>5.1364880083093745</v>
      </c>
    </row>
    <row r="28" spans="2:15" ht="15">
      <c r="I28" s="288"/>
    </row>
    <row r="29" spans="2:15" ht="15">
      <c r="B29" s="95" t="s">
        <v>692</v>
      </c>
    </row>
    <row r="30" spans="2:15" ht="15"/>
    <row r="31" spans="2:15" ht="18" customHeight="1">
      <c r="B31" s="94" t="s">
        <v>693</v>
      </c>
      <c r="F31" s="104">
        <f t="shared" ref="F31:L31" si="27">MAX(SUM(F16:F17,MIN(F24,F25))*$C$13,0)</f>
        <v>0.2685605010346962</v>
      </c>
      <c r="G31" s="104">
        <f t="shared" si="27"/>
        <v>1.0667760202641945</v>
      </c>
      <c r="H31" s="104">
        <f t="shared" si="27"/>
        <v>1.4951868074155801</v>
      </c>
      <c r="I31" s="104">
        <f t="shared" si="27"/>
        <v>1.9769563459265391</v>
      </c>
      <c r="J31" s="104">
        <f t="shared" si="27"/>
        <v>2.1792369319078455</v>
      </c>
      <c r="K31" s="104">
        <f t="shared" si="27"/>
        <v>2.4334348606115559</v>
      </c>
      <c r="L31" s="104">
        <f t="shared" si="27"/>
        <v>2.6818529005650897</v>
      </c>
      <c r="M31" s="104">
        <f t="shared" ref="M31:O31" si="28">MAX(SUM(M16:M17,MIN(M24,M25))*$C$13,0)</f>
        <v>2.899744516821658</v>
      </c>
      <c r="N31" s="104">
        <f t="shared" si="28"/>
        <v>3.1380236011032259</v>
      </c>
      <c r="O31" s="104">
        <f t="shared" si="28"/>
        <v>3.3656600212385537</v>
      </c>
    </row>
    <row r="32" spans="2:15" ht="18" customHeight="1">
      <c r="B32" s="94" t="s">
        <v>691</v>
      </c>
      <c r="F32" s="104">
        <f>F27</f>
        <v>0.32596170515234002</v>
      </c>
      <c r="G32" s="104">
        <f t="shared" ref="G32:L32" si="29">G27</f>
        <v>1.0888517663609798</v>
      </c>
      <c r="H32" s="104">
        <f t="shared" si="29"/>
        <v>1.9662556456413567</v>
      </c>
      <c r="I32" s="104">
        <f t="shared" si="29"/>
        <v>3.0457716686609686</v>
      </c>
      <c r="J32" s="104">
        <f t="shared" si="29"/>
        <v>3.5253672565967897</v>
      </c>
      <c r="K32" s="104">
        <f t="shared" si="29"/>
        <v>4.0779846677318776</v>
      </c>
      <c r="L32" s="104">
        <f t="shared" si="29"/>
        <v>4.605455307708235</v>
      </c>
      <c r="M32" s="104">
        <f t="shared" ref="M32:O32" si="30">M27</f>
        <v>4.7755361676684052</v>
      </c>
      <c r="N32" s="104">
        <f t="shared" si="30"/>
        <v>4.9700713295349699</v>
      </c>
      <c r="O32" s="104">
        <f t="shared" si="30"/>
        <v>5.1364880083093745</v>
      </c>
    </row>
    <row r="33" spans="2:15" ht="10.5" customHeight="1"/>
    <row r="34" spans="2:15" ht="18" customHeight="1">
      <c r="B34" s="94" t="s">
        <v>694</v>
      </c>
      <c r="F34" s="104">
        <f t="shared" ref="F34:L34" si="31">MAX(F31,F32)</f>
        <v>0.32596170515234002</v>
      </c>
      <c r="G34" s="104">
        <f t="shared" si="31"/>
        <v>1.0888517663609798</v>
      </c>
      <c r="H34" s="104">
        <f t="shared" si="31"/>
        <v>1.9662556456413567</v>
      </c>
      <c r="I34" s="104">
        <f t="shared" si="31"/>
        <v>3.0457716686609686</v>
      </c>
      <c r="J34" s="104">
        <f t="shared" si="31"/>
        <v>3.5253672565967897</v>
      </c>
      <c r="K34" s="104">
        <f t="shared" si="31"/>
        <v>4.0779846677318776</v>
      </c>
      <c r="L34" s="104">
        <f t="shared" si="31"/>
        <v>4.605455307708235</v>
      </c>
      <c r="M34" s="104">
        <f t="shared" ref="M34:O34" si="32">MAX(M31,M32)</f>
        <v>4.7755361676684052</v>
      </c>
      <c r="N34" s="104">
        <f t="shared" si="32"/>
        <v>4.9700713295349699</v>
      </c>
      <c r="O34" s="104">
        <f t="shared" si="32"/>
        <v>5.1364880083093745</v>
      </c>
    </row>
    <row r="35" spans="2:15" ht="18" customHeight="1">
      <c r="B35" s="94" t="s">
        <v>695</v>
      </c>
      <c r="F35" s="104">
        <f t="shared" ref="F35:L35" si="33">IF((F32-F31)&lt;0,0,MIN((F32-F31),E41))</f>
        <v>0</v>
      </c>
      <c r="G35" s="104">
        <f t="shared" si="33"/>
        <v>0</v>
      </c>
      <c r="H35" s="104">
        <f t="shared" si="33"/>
        <v>0</v>
      </c>
      <c r="I35" s="104">
        <f t="shared" si="33"/>
        <v>0</v>
      </c>
      <c r="J35" s="104">
        <f t="shared" si="33"/>
        <v>0</v>
      </c>
      <c r="K35" s="104">
        <f t="shared" si="33"/>
        <v>0</v>
      </c>
      <c r="L35" s="104">
        <f t="shared" si="33"/>
        <v>0</v>
      </c>
      <c r="M35" s="104">
        <f t="shared" ref="M35" si="34">IF((M32-M31)&lt;0,0,MIN((M32-M31),L41))</f>
        <v>0</v>
      </c>
      <c r="N35" s="104">
        <f t="shared" ref="N35" si="35">IF((N32-N31)&lt;0,0,MIN((N32-N31),M41))</f>
        <v>0</v>
      </c>
      <c r="O35" s="104">
        <f t="shared" ref="O35" si="36">IF((O32-O31)&lt;0,0,MIN((O32-O31),N41))</f>
        <v>0</v>
      </c>
    </row>
    <row r="36" spans="2:15" ht="18.75" customHeight="1">
      <c r="B36" s="206" t="s">
        <v>696</v>
      </c>
      <c r="C36" s="206"/>
      <c r="D36" s="206"/>
      <c r="E36" s="206"/>
      <c r="F36" s="207">
        <f t="shared" ref="F36:L36" si="37">F34-F35</f>
        <v>0.32596170515234002</v>
      </c>
      <c r="G36" s="207">
        <f t="shared" si="37"/>
        <v>1.0888517663609798</v>
      </c>
      <c r="H36" s="207">
        <f t="shared" si="37"/>
        <v>1.9662556456413567</v>
      </c>
      <c r="I36" s="207">
        <f t="shared" si="37"/>
        <v>3.0457716686609686</v>
      </c>
      <c r="J36" s="207">
        <f t="shared" si="37"/>
        <v>3.5253672565967897</v>
      </c>
      <c r="K36" s="207">
        <f t="shared" si="37"/>
        <v>4.0779846677318776</v>
      </c>
      <c r="L36" s="207">
        <f t="shared" si="37"/>
        <v>4.605455307708235</v>
      </c>
      <c r="M36" s="207">
        <f t="shared" ref="M36:O36" si="38">M34-M35</f>
        <v>4.7755361676684052</v>
      </c>
      <c r="N36" s="207">
        <f t="shared" si="38"/>
        <v>4.9700713295349699</v>
      </c>
      <c r="O36" s="207">
        <f t="shared" si="38"/>
        <v>5.1364880083093745</v>
      </c>
    </row>
    <row r="37" spans="2:15" ht="15"/>
    <row r="38" spans="2:15" ht="18" customHeight="1">
      <c r="B38" s="94" t="s">
        <v>697</v>
      </c>
      <c r="F38" s="104">
        <f>E41</f>
        <v>0</v>
      </c>
      <c r="G38" s="104">
        <f t="shared" ref="G38:L38" si="39">F41</f>
        <v>0</v>
      </c>
      <c r="H38" s="104">
        <f t="shared" si="39"/>
        <v>0</v>
      </c>
      <c r="I38" s="104">
        <f t="shared" si="39"/>
        <v>0</v>
      </c>
      <c r="J38" s="104">
        <f t="shared" si="39"/>
        <v>0</v>
      </c>
      <c r="K38" s="104">
        <f t="shared" si="39"/>
        <v>0</v>
      </c>
      <c r="L38" s="104">
        <f t="shared" si="39"/>
        <v>0</v>
      </c>
      <c r="M38" s="104">
        <f t="shared" ref="M38" si="40">L41</f>
        <v>0</v>
      </c>
      <c r="N38" s="104">
        <f t="shared" ref="N38" si="41">M41</f>
        <v>0</v>
      </c>
      <c r="O38" s="104">
        <f t="shared" ref="O38" si="42">N41</f>
        <v>0</v>
      </c>
    </row>
    <row r="39" spans="2:15" ht="18" customHeight="1">
      <c r="B39" s="94" t="s">
        <v>698</v>
      </c>
      <c r="F39" s="104">
        <f>IF(F31&gt;F32,F31,0)</f>
        <v>0</v>
      </c>
      <c r="G39" s="104">
        <f t="shared" ref="G39:L39" si="43">IF(G31&gt;G32,G31,0)</f>
        <v>0</v>
      </c>
      <c r="H39" s="104">
        <f t="shared" si="43"/>
        <v>0</v>
      </c>
      <c r="I39" s="104">
        <f t="shared" si="43"/>
        <v>0</v>
      </c>
      <c r="J39" s="104">
        <f t="shared" si="43"/>
        <v>0</v>
      </c>
      <c r="K39" s="104">
        <f t="shared" si="43"/>
        <v>0</v>
      </c>
      <c r="L39" s="104">
        <f t="shared" si="43"/>
        <v>0</v>
      </c>
      <c r="M39" s="104">
        <f t="shared" ref="M39:O39" si="44">IF(M31&gt;M32,M31,0)</f>
        <v>0</v>
      </c>
      <c r="N39" s="104">
        <f t="shared" si="44"/>
        <v>0</v>
      </c>
      <c r="O39" s="104">
        <f t="shared" si="44"/>
        <v>0</v>
      </c>
    </row>
    <row r="40" spans="2:15" ht="18" customHeight="1">
      <c r="B40" s="94" t="s">
        <v>699</v>
      </c>
      <c r="F40" s="104">
        <f t="shared" ref="F40:L40" si="45">-F35</f>
        <v>0</v>
      </c>
      <c r="G40" s="104">
        <f>-G35</f>
        <v>0</v>
      </c>
      <c r="H40" s="104">
        <f t="shared" si="45"/>
        <v>0</v>
      </c>
      <c r="I40" s="104">
        <f t="shared" si="45"/>
        <v>0</v>
      </c>
      <c r="J40" s="104">
        <f t="shared" si="45"/>
        <v>0</v>
      </c>
      <c r="K40" s="104">
        <f t="shared" si="45"/>
        <v>0</v>
      </c>
      <c r="L40" s="104">
        <f t="shared" si="45"/>
        <v>0</v>
      </c>
      <c r="M40" s="104">
        <f t="shared" ref="M40:O40" si="46">-M35</f>
        <v>0</v>
      </c>
      <c r="N40" s="104">
        <f t="shared" si="46"/>
        <v>0</v>
      </c>
      <c r="O40" s="104">
        <f t="shared" si="46"/>
        <v>0</v>
      </c>
    </row>
    <row r="41" spans="2:15" ht="18.75" customHeight="1">
      <c r="B41" s="121" t="s">
        <v>700</v>
      </c>
      <c r="C41" s="121"/>
      <c r="D41" s="121"/>
      <c r="E41" s="257">
        <v>0</v>
      </c>
      <c r="F41" s="190">
        <f>SUM(F38:F40)</f>
        <v>0</v>
      </c>
      <c r="G41" s="190">
        <f t="shared" ref="G41:L41" si="47">SUM(G38:G40)</f>
        <v>0</v>
      </c>
      <c r="H41" s="190">
        <f t="shared" si="47"/>
        <v>0</v>
      </c>
      <c r="I41" s="190">
        <f t="shared" si="47"/>
        <v>0</v>
      </c>
      <c r="J41" s="190">
        <f t="shared" si="47"/>
        <v>0</v>
      </c>
      <c r="K41" s="190">
        <f t="shared" si="47"/>
        <v>0</v>
      </c>
      <c r="L41" s="190">
        <f t="shared" si="47"/>
        <v>0</v>
      </c>
      <c r="M41" s="190">
        <f t="shared" ref="M41:O41" si="48">SUM(M38:M40)</f>
        <v>0</v>
      </c>
      <c r="N41" s="190">
        <f t="shared" si="48"/>
        <v>0</v>
      </c>
      <c r="O41" s="190">
        <f t="shared" si="48"/>
        <v>0</v>
      </c>
    </row>
    <row r="42" spans="2:15" ht="18" customHeight="1">
      <c r="F42" s="104"/>
      <c r="G42" s="104"/>
      <c r="H42" s="104"/>
      <c r="I42" s="104"/>
      <c r="J42" s="104"/>
      <c r="K42" s="104"/>
      <c r="L42" s="104"/>
    </row>
    <row r="43" spans="2:15" ht="18" customHeight="1">
      <c r="F43" s="104"/>
      <c r="G43" s="104"/>
      <c r="H43" s="104"/>
      <c r="I43" s="104"/>
      <c r="J43" s="104"/>
      <c r="K43" s="104"/>
      <c r="L43" s="104"/>
    </row>
  </sheetData>
  <mergeCells count="2">
    <mergeCell ref="D8:E8"/>
    <mergeCell ref="F8:O8"/>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B1:P23"/>
  <sheetViews>
    <sheetView showGridLines="0" topLeftCell="A13" zoomScaleNormal="100" workbookViewId="0">
      <selection activeCell="K24" sqref="K24"/>
    </sheetView>
  </sheetViews>
  <sheetFormatPr defaultColWidth="13.7109375" defaultRowHeight="18" customHeight="1"/>
  <cols>
    <col min="1" max="1" width="4.85546875" style="94" customWidth="1"/>
    <col min="2" max="2" width="43.42578125" style="94" customWidth="1"/>
    <col min="3" max="3" width="7.140625" style="94" customWidth="1"/>
    <col min="4" max="12" width="12.7109375" style="94" customWidth="1"/>
    <col min="13" max="16384" width="13.7109375" style="94"/>
  </cols>
  <sheetData>
    <row r="1" spans="2:16" ht="15.75" customHeight="1"/>
    <row r="2" spans="2:16" ht="18" customHeight="1">
      <c r="B2" s="132" t="str">
        <f>"Financial Model of " &amp; B4</f>
        <v>Financial Model of 20,000 M.T of glass Toughening pa. set up by SSRM Glasses Private Limited</v>
      </c>
      <c r="C2" s="133"/>
      <c r="D2" s="133"/>
      <c r="E2" s="133"/>
      <c r="F2" s="133"/>
      <c r="G2" s="133"/>
      <c r="H2" s="133"/>
      <c r="I2" s="133"/>
      <c r="J2" s="133"/>
      <c r="K2" s="133"/>
      <c r="L2" s="133"/>
      <c r="M2" s="133"/>
      <c r="N2" s="133"/>
      <c r="O2" s="133"/>
    </row>
    <row r="3" spans="2:16" ht="12" customHeight="1">
      <c r="C3" s="100"/>
      <c r="D3" s="100"/>
      <c r="E3" s="100"/>
      <c r="F3" s="100"/>
      <c r="G3" s="100"/>
      <c r="H3" s="100"/>
      <c r="I3" s="100"/>
      <c r="J3" s="100"/>
      <c r="K3" s="100"/>
      <c r="L3" s="100"/>
      <c r="M3" s="100"/>
      <c r="N3" s="100"/>
      <c r="O3" s="100"/>
    </row>
    <row r="4" spans="2:16" ht="18" customHeight="1">
      <c r="B4" s="137" t="str">
        <f>'Common Assumption'!B4</f>
        <v>20,000 M.T of glass Toughening pa. set up by SSRM Glasses Private Limited</v>
      </c>
      <c r="C4" s="137"/>
      <c r="D4" s="138"/>
      <c r="E4" s="138"/>
      <c r="F4" s="138"/>
      <c r="G4" s="138"/>
      <c r="H4" s="138"/>
      <c r="I4" s="138"/>
      <c r="J4" s="138"/>
      <c r="K4" s="138"/>
      <c r="L4" s="138"/>
      <c r="M4" s="138"/>
      <c r="N4" s="138"/>
      <c r="O4" s="138"/>
    </row>
    <row r="5" spans="2:16" ht="13.5" customHeight="1">
      <c r="C5" s="100"/>
      <c r="D5" s="100"/>
      <c r="F5" s="125"/>
    </row>
    <row r="6" spans="2:16" ht="18" customHeight="1">
      <c r="B6" s="137" t="s">
        <v>402</v>
      </c>
      <c r="C6" s="137"/>
      <c r="D6" s="138"/>
      <c r="E6" s="138"/>
      <c r="F6" s="138"/>
      <c r="G6" s="138"/>
      <c r="H6" s="138"/>
      <c r="I6" s="138"/>
      <c r="J6" s="138"/>
      <c r="K6" s="138"/>
      <c r="L6" s="138"/>
      <c r="M6" s="138"/>
      <c r="N6" s="138"/>
      <c r="O6" s="138"/>
    </row>
    <row r="7" spans="2:16" ht="12.75" customHeight="1">
      <c r="C7" s="100"/>
      <c r="D7" s="100"/>
      <c r="F7" s="125"/>
    </row>
    <row r="8" spans="2:16" ht="18" customHeight="1">
      <c r="C8" s="100"/>
      <c r="D8" s="354" t="str">
        <f>'Tax Calculations'!D8:E8</f>
        <v>Implementation period</v>
      </c>
      <c r="E8" s="354"/>
      <c r="F8" s="355" t="s">
        <v>43</v>
      </c>
      <c r="G8" s="355"/>
      <c r="H8" s="355"/>
      <c r="I8" s="355"/>
      <c r="J8" s="355"/>
      <c r="K8" s="355"/>
      <c r="L8" s="355"/>
      <c r="M8" s="355"/>
      <c r="N8" s="355"/>
      <c r="O8" s="355"/>
    </row>
    <row r="9" spans="2:16" ht="18" customHeight="1">
      <c r="B9" s="135" t="s">
        <v>44</v>
      </c>
      <c r="C9" s="183" t="s">
        <v>45</v>
      </c>
      <c r="D9" s="184">
        <f>EOMONTH('Common Assumption'!E11,1)</f>
        <v>45747</v>
      </c>
      <c r="E9" s="184">
        <f>'Common Assumption'!E13</f>
        <v>46053</v>
      </c>
      <c r="F9" s="184">
        <f>DATE(YEAR(E9),MONTH(E9)+2,DAY(E9))</f>
        <v>46112</v>
      </c>
      <c r="G9" s="184">
        <f t="shared" ref="G9:L9" si="0">DATE(YEAR(F9)+1,MONTH(F9),DAY(F9))</f>
        <v>46477</v>
      </c>
      <c r="H9" s="184">
        <f t="shared" si="0"/>
        <v>46843</v>
      </c>
      <c r="I9" s="184">
        <f t="shared" si="0"/>
        <v>47208</v>
      </c>
      <c r="J9" s="184">
        <f t="shared" si="0"/>
        <v>47573</v>
      </c>
      <c r="K9" s="184">
        <f t="shared" si="0"/>
        <v>47938</v>
      </c>
      <c r="L9" s="184">
        <f t="shared" si="0"/>
        <v>48304</v>
      </c>
      <c r="M9" s="184">
        <f t="shared" ref="M9" si="1">DATE(YEAR(L9)+1,MONTH(L9),DAY(L9))</f>
        <v>48669</v>
      </c>
      <c r="N9" s="184">
        <f t="shared" ref="N9" si="2">DATE(YEAR(M9)+1,MONTH(M9),DAY(M9))</f>
        <v>49034</v>
      </c>
      <c r="O9" s="184">
        <f t="shared" ref="O9" si="3">DATE(YEAR(N9)+1,MONTH(N9),DAY(N9))</f>
        <v>49399</v>
      </c>
    </row>
    <row r="10" spans="2:16" s="126" customFormat="1" ht="18" customHeight="1">
      <c r="B10" s="185" t="s">
        <v>46</v>
      </c>
      <c r="C10" s="186"/>
      <c r="D10" s="187">
        <v>0</v>
      </c>
      <c r="E10" s="187">
        <v>0</v>
      </c>
      <c r="F10" s="188">
        <v>1</v>
      </c>
      <c r="G10" s="188">
        <f t="shared" ref="G10:L10" si="4">F10+1</f>
        <v>2</v>
      </c>
      <c r="H10" s="188">
        <f t="shared" si="4"/>
        <v>3</v>
      </c>
      <c r="I10" s="188">
        <f t="shared" si="4"/>
        <v>4</v>
      </c>
      <c r="J10" s="188">
        <f t="shared" si="4"/>
        <v>5</v>
      </c>
      <c r="K10" s="188">
        <f t="shared" si="4"/>
        <v>6</v>
      </c>
      <c r="L10" s="188">
        <f t="shared" si="4"/>
        <v>7</v>
      </c>
      <c r="M10" s="188">
        <f t="shared" ref="M10" si="5">L10+1</f>
        <v>8</v>
      </c>
      <c r="N10" s="188">
        <f t="shared" ref="N10" si="6">M10+1</f>
        <v>9</v>
      </c>
      <c r="O10" s="188">
        <f t="shared" ref="O10" si="7">N10+1</f>
        <v>10</v>
      </c>
    </row>
    <row r="11" spans="2:16" s="126" customFormat="1" ht="18" customHeight="1">
      <c r="B11" s="185" t="s">
        <v>47</v>
      </c>
      <c r="C11" s="186">
        <f>'Common Assumption'!E12</f>
        <v>11</v>
      </c>
      <c r="D11" s="187">
        <f>MONTH(D9-'Common Assumption'!E11)</f>
        <v>1</v>
      </c>
      <c r="E11" s="187">
        <f>C11-D11</f>
        <v>10</v>
      </c>
      <c r="F11" s="186">
        <f>MONTH(F9-E9)</f>
        <v>2</v>
      </c>
      <c r="G11" s="186">
        <f t="shared" ref="G11:L11" si="8">MONTH(G9-F9)</f>
        <v>12</v>
      </c>
      <c r="H11" s="186">
        <f t="shared" si="8"/>
        <v>12</v>
      </c>
      <c r="I11" s="186">
        <f t="shared" si="8"/>
        <v>12</v>
      </c>
      <c r="J11" s="186">
        <f t="shared" si="8"/>
        <v>12</v>
      </c>
      <c r="K11" s="186">
        <f t="shared" si="8"/>
        <v>12</v>
      </c>
      <c r="L11" s="186">
        <f t="shared" si="8"/>
        <v>12</v>
      </c>
      <c r="M11" s="186">
        <f t="shared" ref="M11" si="9">MONTH(M9-L9)</f>
        <v>12</v>
      </c>
      <c r="N11" s="186">
        <f t="shared" ref="N11" si="10">MONTH(N9-M9)</f>
        <v>12</v>
      </c>
      <c r="O11" s="186">
        <f t="shared" ref="O11" si="11">MONTH(O9-N9)</f>
        <v>12</v>
      </c>
    </row>
    <row r="12" spans="2:16" ht="7.5" customHeight="1"/>
    <row r="13" spans="2:16" ht="18" customHeight="1">
      <c r="B13" s="94" t="s">
        <v>403</v>
      </c>
      <c r="F13" s="104">
        <f>IS!F52</f>
        <v>1.5835423567388751</v>
      </c>
      <c r="G13" s="104">
        <f>IS!G52</f>
        <v>7.1517889354324442</v>
      </c>
      <c r="H13" s="104">
        <f>IS!H52</f>
        <v>8.840948602469977</v>
      </c>
      <c r="I13" s="104">
        <f>IS!I52</f>
        <v>10.647662740671063</v>
      </c>
      <c r="J13" s="104">
        <f>IS!J52</f>
        <v>11.379908669517572</v>
      </c>
      <c r="K13" s="104">
        <f>IS!K52</f>
        <v>12.350164063940296</v>
      </c>
      <c r="L13" s="104">
        <f>IS!L52</f>
        <v>13.310939529604569</v>
      </c>
      <c r="M13" s="104">
        <f>IS!M52</f>
        <v>14.446224211560097</v>
      </c>
      <c r="N13" s="104">
        <f>IS!N52</f>
        <v>15.679193748241147</v>
      </c>
      <c r="O13" s="104">
        <f>IS!O52</f>
        <v>16.876522696924972</v>
      </c>
    </row>
    <row r="14" spans="2:16" ht="18" customHeight="1">
      <c r="B14" s="94" t="s">
        <v>267</v>
      </c>
      <c r="F14" s="104">
        <f>IS!F37</f>
        <v>0.27536666666666665</v>
      </c>
      <c r="G14" s="104">
        <f>IS!G37</f>
        <v>1.5818093958333332</v>
      </c>
      <c r="H14" s="104">
        <f>IS!H37</f>
        <v>1.4181176808333333</v>
      </c>
      <c r="I14" s="104">
        <f>IS!I37</f>
        <v>1.2345582608333336</v>
      </c>
      <c r="J14" s="104">
        <f>IS!J37</f>
        <v>1.0509988408333335</v>
      </c>
      <c r="K14" s="104">
        <f>IS!K37</f>
        <v>0.86743942083333325</v>
      </c>
      <c r="L14" s="104">
        <f>IS!L37</f>
        <v>0.68388000083333333</v>
      </c>
      <c r="M14" s="104">
        <f>IS!M37</f>
        <v>0.50032058083333319</v>
      </c>
      <c r="N14" s="104">
        <f>IS!N37</f>
        <v>0.31676116083333317</v>
      </c>
      <c r="O14" s="104">
        <f>IS!O37</f>
        <v>0.11718572708333319</v>
      </c>
    </row>
    <row r="15" spans="2:16" ht="18" customHeight="1">
      <c r="B15" s="94" t="s">
        <v>866</v>
      </c>
      <c r="F15" s="104">
        <f>F18</f>
        <v>0.14084362741831249</v>
      </c>
      <c r="G15" s="104">
        <f t="shared" ref="G15:L15" si="12">G18</f>
        <v>1.1000000000000001</v>
      </c>
      <c r="H15" s="104">
        <f t="shared" si="12"/>
        <v>1.1000000000000001</v>
      </c>
      <c r="I15" s="104">
        <f t="shared" si="12"/>
        <v>1.1000000000000001</v>
      </c>
      <c r="J15" s="104">
        <f t="shared" si="12"/>
        <v>1.1000000000000001</v>
      </c>
      <c r="K15" s="104">
        <f t="shared" si="12"/>
        <v>1.1000000000000001</v>
      </c>
      <c r="L15" s="104">
        <f t="shared" si="12"/>
        <v>1.1000000000000001</v>
      </c>
      <c r="M15" s="104">
        <f t="shared" ref="M15:O15" si="13">M18</f>
        <v>1.1000000000000001</v>
      </c>
      <c r="N15" s="104">
        <f t="shared" si="13"/>
        <v>1.1000000000000001</v>
      </c>
      <c r="O15" s="104">
        <f t="shared" si="13"/>
        <v>1.1000000000000001</v>
      </c>
    </row>
    <row r="16" spans="2:16" ht="18" customHeight="1">
      <c r="B16" s="118" t="s">
        <v>404</v>
      </c>
      <c r="C16" s="118"/>
      <c r="D16" s="118"/>
      <c r="E16" s="118"/>
      <c r="F16" s="146">
        <f>SUM(F13:F15)</f>
        <v>1.9997526508238541</v>
      </c>
      <c r="G16" s="146">
        <f t="shared" ref="G16:L16" si="14">SUM(G13:G15)</f>
        <v>9.8335983312657778</v>
      </c>
      <c r="H16" s="146">
        <f t="shared" si="14"/>
        <v>11.35906628330331</v>
      </c>
      <c r="I16" s="146">
        <f t="shared" si="14"/>
        <v>12.982221001504396</v>
      </c>
      <c r="J16" s="146">
        <f t="shared" si="14"/>
        <v>13.530907510350906</v>
      </c>
      <c r="K16" s="146">
        <f t="shared" si="14"/>
        <v>14.317603484773629</v>
      </c>
      <c r="L16" s="146">
        <f t="shared" si="14"/>
        <v>15.094819530437903</v>
      </c>
      <c r="M16" s="146">
        <f t="shared" ref="M16:O16" si="15">SUM(M13:M15)</f>
        <v>16.04654479239343</v>
      </c>
      <c r="N16" s="146">
        <f t="shared" si="15"/>
        <v>17.095954909074482</v>
      </c>
      <c r="O16" s="146">
        <f t="shared" si="15"/>
        <v>18.093708424008305</v>
      </c>
      <c r="P16" s="344">
        <f>SUM(F16:O16)</f>
        <v>130.354176917936</v>
      </c>
    </row>
    <row r="17" spans="2:16" ht="18" customHeight="1">
      <c r="B17" s="94" t="s">
        <v>267</v>
      </c>
      <c r="F17" s="104">
        <f>IS!F37</f>
        <v>0.27536666666666665</v>
      </c>
      <c r="G17" s="104">
        <f>IS!G37</f>
        <v>1.5818093958333332</v>
      </c>
      <c r="H17" s="104">
        <f>IS!H37</f>
        <v>1.4181176808333333</v>
      </c>
      <c r="I17" s="104">
        <f>IS!I37</f>
        <v>1.2345582608333336</v>
      </c>
      <c r="J17" s="104">
        <f>IS!J37</f>
        <v>1.0509988408333335</v>
      </c>
      <c r="K17" s="104">
        <f>IS!K37</f>
        <v>0.86743942083333325</v>
      </c>
      <c r="L17" s="104">
        <f>IS!L37</f>
        <v>0.68388000083333333</v>
      </c>
      <c r="M17" s="104">
        <f>IS!M37</f>
        <v>0.50032058083333319</v>
      </c>
      <c r="N17" s="104">
        <f>IS!N37</f>
        <v>0.31676116083333317</v>
      </c>
      <c r="O17" s="104">
        <f>IS!O37</f>
        <v>0.11718572708333319</v>
      </c>
      <c r="P17" s="95"/>
    </row>
    <row r="18" spans="2:16" ht="18" customHeight="1">
      <c r="B18" s="94" t="s">
        <v>866</v>
      </c>
      <c r="F18" s="104">
        <f>'Working Capital Assessment'!F74</f>
        <v>0.14084362741831249</v>
      </c>
      <c r="G18" s="104">
        <f>'Working Capital Assessment'!G74</f>
        <v>1.1000000000000001</v>
      </c>
      <c r="H18" s="104">
        <f>'Working Capital Assessment'!H74</f>
        <v>1.1000000000000001</v>
      </c>
      <c r="I18" s="104">
        <f>'Working Capital Assessment'!I74</f>
        <v>1.1000000000000001</v>
      </c>
      <c r="J18" s="104">
        <f>'Working Capital Assessment'!J74</f>
        <v>1.1000000000000001</v>
      </c>
      <c r="K18" s="104">
        <f>'Working Capital Assessment'!K74</f>
        <v>1.1000000000000001</v>
      </c>
      <c r="L18" s="104">
        <f>'Working Capital Assessment'!L74</f>
        <v>1.1000000000000001</v>
      </c>
      <c r="M18" s="104">
        <f>'Working Capital Assessment'!M74</f>
        <v>1.1000000000000001</v>
      </c>
      <c r="N18" s="104">
        <f>'Working Capital Assessment'!N74</f>
        <v>1.1000000000000001</v>
      </c>
      <c r="O18" s="104">
        <f>'Working Capital Assessment'!O74</f>
        <v>1.1000000000000001</v>
      </c>
      <c r="P18" s="95"/>
    </row>
    <row r="19" spans="2:16" ht="18" customHeight="1">
      <c r="B19" s="94" t="s">
        <v>405</v>
      </c>
      <c r="F19" s="104">
        <f>'Loan Schedule'!F14</f>
        <v>2.7912166666666668E-2</v>
      </c>
      <c r="G19" s="104">
        <f>'Loan Schedule'!G14</f>
        <v>1.335278</v>
      </c>
      <c r="H19" s="104">
        <f>'Loan Schedule'!H14</f>
        <v>1.668722</v>
      </c>
      <c r="I19" s="104">
        <f>'Loan Schedule'!I14</f>
        <v>1.668722</v>
      </c>
      <c r="J19" s="104">
        <f>'Loan Schedule'!J14</f>
        <v>1.668722</v>
      </c>
      <c r="K19" s="104">
        <f>'Loan Schedule'!K14</f>
        <v>1.668722</v>
      </c>
      <c r="L19" s="104">
        <f>'Loan Schedule'!L14</f>
        <v>1.668722</v>
      </c>
      <c r="M19" s="104">
        <f>'Loan Schedule'!M14</f>
        <v>1.668722</v>
      </c>
      <c r="N19" s="104">
        <f>'Loan Schedule'!N14</f>
        <v>1.668722</v>
      </c>
      <c r="O19" s="104">
        <f>'Loan Schedule'!O14</f>
        <v>1.9757558333333312</v>
      </c>
      <c r="P19" s="95"/>
    </row>
    <row r="20" spans="2:16" ht="18" customHeight="1">
      <c r="B20" s="118" t="s">
        <v>404</v>
      </c>
      <c r="C20" s="118"/>
      <c r="D20" s="118"/>
      <c r="E20" s="118"/>
      <c r="F20" s="146">
        <f>SUM(F17:F19)</f>
        <v>0.4441224607516458</v>
      </c>
      <c r="G20" s="146">
        <f t="shared" ref="G20:L20" si="16">SUM(G17:G19)</f>
        <v>4.0170873958333333</v>
      </c>
      <c r="H20" s="146">
        <f t="shared" si="16"/>
        <v>4.1868396808333337</v>
      </c>
      <c r="I20" s="146">
        <f t="shared" si="16"/>
        <v>4.0032802608333338</v>
      </c>
      <c r="J20" s="146">
        <f t="shared" si="16"/>
        <v>3.8197208408333339</v>
      </c>
      <c r="K20" s="146">
        <f t="shared" si="16"/>
        <v>3.636161420833333</v>
      </c>
      <c r="L20" s="146">
        <f t="shared" si="16"/>
        <v>3.4526020008333331</v>
      </c>
      <c r="M20" s="146">
        <f t="shared" ref="M20:O20" si="17">SUM(M17:M19)</f>
        <v>3.2690425808333332</v>
      </c>
      <c r="N20" s="146">
        <f t="shared" si="17"/>
        <v>3.0854831608333333</v>
      </c>
      <c r="O20" s="146">
        <f t="shared" si="17"/>
        <v>3.1929415604166644</v>
      </c>
      <c r="P20" s="344">
        <f>SUM(F20:O20)</f>
        <v>33.107281362834975</v>
      </c>
    </row>
    <row r="21" spans="2:16" ht="18" customHeight="1">
      <c r="B21" s="94" t="s">
        <v>406</v>
      </c>
      <c r="F21" s="104">
        <f>F16/F20</f>
        <v>4.5027055092854669</v>
      </c>
      <c r="G21" s="104">
        <f t="shared" ref="G21:L21" si="18">G16/G20</f>
        <v>2.4479423428689993</v>
      </c>
      <c r="H21" s="104">
        <f t="shared" si="18"/>
        <v>2.7130406581611557</v>
      </c>
      <c r="I21" s="104">
        <f t="shared" si="18"/>
        <v>3.2428958643035353</v>
      </c>
      <c r="J21" s="104">
        <f t="shared" si="18"/>
        <v>3.5423812561650236</v>
      </c>
      <c r="K21" s="104">
        <f t="shared" si="18"/>
        <v>3.9375599231489371</v>
      </c>
      <c r="L21" s="104">
        <f t="shared" si="18"/>
        <v>4.3720126231736414</v>
      </c>
      <c r="M21" s="104">
        <f t="shared" ref="M21:O21" si="19">M16/M20</f>
        <v>4.9086374360724596</v>
      </c>
      <c r="N21" s="104">
        <f t="shared" si="19"/>
        <v>5.5407707700654489</v>
      </c>
      <c r="O21" s="104">
        <f t="shared" si="19"/>
        <v>5.6667834602169034</v>
      </c>
    </row>
    <row r="22" spans="2:16" ht="18" customHeight="1">
      <c r="B22" s="135" t="s">
        <v>407</v>
      </c>
      <c r="C22" s="135"/>
      <c r="D22" s="135"/>
      <c r="E22" s="135"/>
      <c r="F22" s="360">
        <f>P16/P20</f>
        <v>3.9373265200889263</v>
      </c>
      <c r="G22" s="360"/>
      <c r="H22" s="360"/>
      <c r="I22" s="360"/>
      <c r="J22" s="360"/>
      <c r="K22" s="360"/>
      <c r="L22" s="360"/>
      <c r="M22" s="360"/>
      <c r="N22" s="360"/>
      <c r="O22" s="360"/>
      <c r="P22" s="108"/>
    </row>
    <row r="23" spans="2:16" ht="18" customHeight="1">
      <c r="B23" s="135" t="s">
        <v>408</v>
      </c>
      <c r="C23" s="135"/>
      <c r="D23" s="135"/>
      <c r="E23" s="135"/>
      <c r="F23" s="360">
        <f>MAX(F21:O21)</f>
        <v>5.6667834602169034</v>
      </c>
      <c r="G23" s="360"/>
      <c r="H23" s="360"/>
      <c r="I23" s="360"/>
      <c r="J23" s="360"/>
      <c r="K23" s="360"/>
      <c r="L23" s="360"/>
      <c r="M23" s="360"/>
      <c r="N23" s="360"/>
      <c r="O23" s="360"/>
    </row>
  </sheetData>
  <mergeCells count="4">
    <mergeCell ref="D8:E8"/>
    <mergeCell ref="F8:O8"/>
    <mergeCell ref="F22:O22"/>
    <mergeCell ref="F23:O23"/>
  </mergeCells>
  <pageMargins left="0.7" right="0.7" top="0.75" bottom="0.75" header="0.3" footer="0.3"/>
  <pageSetup scale="32" orientation="portrait" r:id="rId1"/>
  <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92D050"/>
  </sheetPr>
  <dimension ref="B1:O81"/>
  <sheetViews>
    <sheetView showGridLines="0" topLeftCell="A28" zoomScaleNormal="100" workbookViewId="0">
      <selection activeCell="D35" sqref="D35"/>
    </sheetView>
  </sheetViews>
  <sheetFormatPr defaultColWidth="13.7109375" defaultRowHeight="18" customHeight="1"/>
  <cols>
    <col min="1" max="1" width="4.85546875" style="94" customWidth="1"/>
    <col min="2" max="2" width="43.42578125" style="94" customWidth="1"/>
    <col min="3" max="3" width="7.140625" style="94" customWidth="1"/>
    <col min="4" max="4" width="16.42578125" style="94" customWidth="1"/>
    <col min="5" max="12" width="12.7109375" style="94" customWidth="1"/>
    <col min="13" max="16384" width="13.7109375" style="94"/>
  </cols>
  <sheetData>
    <row r="1" spans="2:15" ht="15.75" customHeight="1"/>
    <row r="2" spans="2:15" ht="18" customHeight="1">
      <c r="B2" s="132" t="str">
        <f>"Financial Model of " &amp; B4</f>
        <v>Financial Model of 20,000 M.T of glass Toughening pa. set up by SSRM Glasses Private Limited</v>
      </c>
      <c r="C2" s="133"/>
      <c r="D2" s="133"/>
      <c r="E2" s="133"/>
      <c r="F2" s="133"/>
      <c r="G2" s="133"/>
      <c r="H2" s="133"/>
      <c r="I2" s="133"/>
      <c r="J2" s="133"/>
      <c r="K2" s="133"/>
      <c r="L2" s="133"/>
      <c r="M2" s="133"/>
      <c r="N2" s="133"/>
      <c r="O2" s="133"/>
    </row>
    <row r="3" spans="2:15" ht="12" customHeight="1">
      <c r="C3" s="100"/>
      <c r="D3" s="100"/>
      <c r="E3" s="100"/>
      <c r="F3" s="100"/>
      <c r="G3" s="100"/>
      <c r="H3" s="100"/>
      <c r="I3" s="100"/>
      <c r="J3" s="100"/>
      <c r="K3" s="100"/>
      <c r="L3" s="100"/>
      <c r="M3" s="100"/>
      <c r="N3" s="100"/>
      <c r="O3" s="100"/>
    </row>
    <row r="4" spans="2:15" ht="18" customHeight="1">
      <c r="B4" s="137" t="str">
        <f>'Common Assumption'!B4</f>
        <v>20,000 M.T of glass Toughening pa. set up by SSRM Glasses Private Limited</v>
      </c>
      <c r="C4" s="137"/>
      <c r="D4" s="138"/>
      <c r="E4" s="138"/>
      <c r="F4" s="138"/>
      <c r="G4" s="138"/>
      <c r="H4" s="138"/>
      <c r="I4" s="138"/>
      <c r="J4" s="138"/>
      <c r="K4" s="138"/>
      <c r="L4" s="138"/>
      <c r="M4" s="138"/>
      <c r="N4" s="138"/>
      <c r="O4" s="138"/>
    </row>
    <row r="5" spans="2:15" ht="13.5" customHeight="1">
      <c r="C5" s="100"/>
      <c r="D5" s="100"/>
      <c r="F5" s="125"/>
    </row>
    <row r="6" spans="2:15" ht="18" customHeight="1">
      <c r="B6" s="137" t="s">
        <v>402</v>
      </c>
      <c r="C6" s="137"/>
      <c r="D6" s="138"/>
      <c r="E6" s="138"/>
      <c r="F6" s="138"/>
      <c r="G6" s="138"/>
      <c r="H6" s="138"/>
      <c r="I6" s="138"/>
      <c r="J6" s="138"/>
      <c r="K6" s="138"/>
      <c r="L6" s="138"/>
      <c r="M6" s="138"/>
      <c r="N6" s="138"/>
      <c r="O6" s="138"/>
    </row>
    <row r="7" spans="2:15" ht="12.75" customHeight="1">
      <c r="C7" s="100"/>
      <c r="D7" s="100"/>
      <c r="F7" s="125"/>
    </row>
    <row r="8" spans="2:15" ht="18" customHeight="1">
      <c r="C8" s="100"/>
      <c r="D8" s="354" t="str">
        <f>DSCR!D8</f>
        <v>Implementation period</v>
      </c>
      <c r="E8" s="354"/>
      <c r="F8" s="355" t="s">
        <v>43</v>
      </c>
      <c r="G8" s="355"/>
      <c r="H8" s="355"/>
      <c r="I8" s="355"/>
      <c r="J8" s="355"/>
      <c r="K8" s="355"/>
      <c r="L8" s="355"/>
      <c r="M8" s="355"/>
      <c r="N8" s="355"/>
      <c r="O8" s="355"/>
    </row>
    <row r="9" spans="2:15" ht="18" customHeight="1">
      <c r="B9" s="139" t="s">
        <v>44</v>
      </c>
      <c r="C9" s="140" t="s">
        <v>45</v>
      </c>
      <c r="D9" s="184">
        <f>EOMONTH('Common Assumption'!E11,1)</f>
        <v>45747</v>
      </c>
      <c r="E9" s="184">
        <f>'Common Assumption'!E13</f>
        <v>46053</v>
      </c>
      <c r="F9" s="184">
        <f>DATE(YEAR(E9),MONTH(E9)+2,DAY(E9))</f>
        <v>46112</v>
      </c>
      <c r="G9" s="184">
        <f t="shared" ref="G9:L9" si="0">DATE(YEAR(F9)+1,MONTH(F9),DAY(F9))</f>
        <v>46477</v>
      </c>
      <c r="H9" s="184">
        <f t="shared" si="0"/>
        <v>46843</v>
      </c>
      <c r="I9" s="184">
        <f t="shared" si="0"/>
        <v>47208</v>
      </c>
      <c r="J9" s="184">
        <f t="shared" si="0"/>
        <v>47573</v>
      </c>
      <c r="K9" s="184">
        <f t="shared" si="0"/>
        <v>47938</v>
      </c>
      <c r="L9" s="184">
        <f t="shared" si="0"/>
        <v>48304</v>
      </c>
      <c r="M9" s="184">
        <f t="shared" ref="M9" si="1">DATE(YEAR(L9)+1,MONTH(L9),DAY(L9))</f>
        <v>48669</v>
      </c>
      <c r="N9" s="184">
        <f t="shared" ref="N9" si="2">DATE(YEAR(M9)+1,MONTH(M9),DAY(M9))</f>
        <v>49034</v>
      </c>
      <c r="O9" s="184">
        <f t="shared" ref="O9" si="3">DATE(YEAR(N9)+1,MONTH(N9),DAY(N9))</f>
        <v>49399</v>
      </c>
    </row>
    <row r="10" spans="2:15" s="126" customFormat="1" ht="18" customHeight="1">
      <c r="B10" s="141" t="s">
        <v>46</v>
      </c>
      <c r="C10" s="142"/>
      <c r="D10" s="187">
        <v>0</v>
      </c>
      <c r="E10" s="187">
        <v>0</v>
      </c>
      <c r="F10" s="188">
        <v>1</v>
      </c>
      <c r="G10" s="188">
        <f t="shared" ref="G10:L10" si="4">F10+1</f>
        <v>2</v>
      </c>
      <c r="H10" s="188">
        <f t="shared" si="4"/>
        <v>3</v>
      </c>
      <c r="I10" s="188">
        <f t="shared" si="4"/>
        <v>4</v>
      </c>
      <c r="J10" s="188">
        <f t="shared" si="4"/>
        <v>5</v>
      </c>
      <c r="K10" s="188">
        <f t="shared" si="4"/>
        <v>6</v>
      </c>
      <c r="L10" s="188">
        <f t="shared" si="4"/>
        <v>7</v>
      </c>
      <c r="M10" s="188">
        <f t="shared" ref="M10" si="5">L10+1</f>
        <v>8</v>
      </c>
      <c r="N10" s="188">
        <f t="shared" ref="N10" si="6">M10+1</f>
        <v>9</v>
      </c>
      <c r="O10" s="188">
        <f t="shared" ref="O10" si="7">N10+1</f>
        <v>10</v>
      </c>
    </row>
    <row r="11" spans="2:15" s="126" customFormat="1" ht="18" customHeight="1">
      <c r="B11" s="141" t="s">
        <v>47</v>
      </c>
      <c r="C11" s="142">
        <f>'Common Assumption'!E12</f>
        <v>11</v>
      </c>
      <c r="D11" s="187">
        <f>MONTH(D9-'Common Assumption'!E11)</f>
        <v>1</v>
      </c>
      <c r="E11" s="187">
        <f>C11-D11</f>
        <v>10</v>
      </c>
      <c r="F11" s="186">
        <f>MONTH(F9-E9)</f>
        <v>2</v>
      </c>
      <c r="G11" s="186">
        <f t="shared" ref="G11:L11" si="8">MONTH(G9-F9)</f>
        <v>12</v>
      </c>
      <c r="H11" s="186">
        <f t="shared" si="8"/>
        <v>12</v>
      </c>
      <c r="I11" s="186">
        <f t="shared" si="8"/>
        <v>12</v>
      </c>
      <c r="J11" s="186">
        <f t="shared" si="8"/>
        <v>12</v>
      </c>
      <c r="K11" s="186">
        <f t="shared" si="8"/>
        <v>12</v>
      </c>
      <c r="L11" s="186">
        <f t="shared" si="8"/>
        <v>12</v>
      </c>
      <c r="M11" s="186">
        <f t="shared" ref="M11" si="9">MONTH(M9-L9)</f>
        <v>12</v>
      </c>
      <c r="N11" s="186">
        <f t="shared" ref="N11" si="10">MONTH(N9-M9)</f>
        <v>12</v>
      </c>
      <c r="O11" s="186">
        <f t="shared" ref="O11" si="11">MONTH(O9-N9)</f>
        <v>12</v>
      </c>
    </row>
    <row r="12" spans="2:15" ht="7.5" customHeight="1"/>
    <row r="13" spans="2:15" ht="18" customHeight="1">
      <c r="B13" s="94" t="s">
        <v>265</v>
      </c>
      <c r="D13" s="104">
        <f>IS!D35</f>
        <v>0</v>
      </c>
      <c r="E13" s="104">
        <f>IS!E35</f>
        <v>0</v>
      </c>
      <c r="F13" s="104">
        <f>IS!F35</f>
        <v>1.9500277457666</v>
      </c>
      <c r="G13" s="104">
        <f>IS!G35</f>
        <v>8.6413487232458337</v>
      </c>
      <c r="H13" s="104">
        <f>IS!H35</f>
        <v>11.088863749563743</v>
      </c>
      <c r="I13" s="104">
        <f>IS!I35</f>
        <v>13.84159615078444</v>
      </c>
      <c r="J13" s="104">
        <f>IS!J35</f>
        <v>14.919939907566771</v>
      </c>
      <c r="K13" s="104">
        <f>IS!K35</f>
        <v>16.309314953124584</v>
      </c>
      <c r="L13" s="104">
        <f>IS!L35</f>
        <v>17.664063298765214</v>
      </c>
      <c r="M13" s="104">
        <f>IS!M35</f>
        <v>18.972382148180913</v>
      </c>
      <c r="N13" s="104">
        <f>IS!N35</f>
        <v>20.216327426728526</v>
      </c>
      <c r="O13" s="104">
        <f>IS!O35</f>
        <v>21.380497620436756</v>
      </c>
    </row>
    <row r="14" spans="2:15" ht="18" customHeight="1">
      <c r="B14" s="94" t="s">
        <v>409</v>
      </c>
      <c r="D14" s="104">
        <f>IS!D44</f>
        <v>0</v>
      </c>
      <c r="E14" s="104">
        <v>0</v>
      </c>
      <c r="F14" s="104">
        <f>IS!F44</f>
        <v>0.32596170515234002</v>
      </c>
      <c r="G14" s="104">
        <f>IS!G44</f>
        <v>1.0888517663609798</v>
      </c>
      <c r="H14" s="104">
        <f>IS!H44</f>
        <v>1.9662556456413567</v>
      </c>
      <c r="I14" s="104">
        <f>IS!I44</f>
        <v>3.0457716686609686</v>
      </c>
      <c r="J14" s="104">
        <f>IS!J44</f>
        <v>3.5253672565967897</v>
      </c>
      <c r="K14" s="104">
        <f>IS!K44</f>
        <v>4.0779846677318776</v>
      </c>
      <c r="L14" s="104">
        <f>IS!L44</f>
        <v>4.605455307708235</v>
      </c>
      <c r="M14" s="104">
        <f>IS!M44</f>
        <v>4.7755361676684052</v>
      </c>
      <c r="N14" s="104">
        <f>IS!N44</f>
        <v>4.9700713295349699</v>
      </c>
      <c r="O14" s="104">
        <f>IS!O44</f>
        <v>5.1364880083093745</v>
      </c>
    </row>
    <row r="15" spans="2:15" ht="18" customHeight="1">
      <c r="B15" s="94" t="s">
        <v>410</v>
      </c>
      <c r="D15" s="104">
        <f>IS!D21</f>
        <v>0</v>
      </c>
      <c r="E15" s="104">
        <f>IS!E21</f>
        <v>0</v>
      </c>
      <c r="F15" s="104">
        <f>IS!F21</f>
        <v>0.30058661020959415</v>
      </c>
      <c r="G15" s="104">
        <f>IS!G21</f>
        <v>1.8496988118809239</v>
      </c>
      <c r="H15" s="104">
        <f>IS!H21</f>
        <v>1.8496988118809239</v>
      </c>
      <c r="I15" s="104">
        <f>IS!I21</f>
        <v>1.8496988118809239</v>
      </c>
      <c r="J15" s="104">
        <f>IS!J21</f>
        <v>1.8496988118809239</v>
      </c>
      <c r="K15" s="104">
        <f>IS!K21</f>
        <v>1.8496988118809239</v>
      </c>
      <c r="L15" s="104">
        <f>IS!L21</f>
        <v>1.8496988118809239</v>
      </c>
      <c r="M15" s="104">
        <f>IS!M21</f>
        <v>1.8496988118809239</v>
      </c>
      <c r="N15" s="104">
        <f>IS!N21</f>
        <v>1.8496988118809239</v>
      </c>
      <c r="O15" s="104">
        <f>IS!O21</f>
        <v>1.8496988118809239</v>
      </c>
    </row>
    <row r="16" spans="2:15" ht="18" customHeight="1">
      <c r="B16" s="118" t="s">
        <v>411</v>
      </c>
      <c r="C16" s="118"/>
      <c r="D16" s="146">
        <f>D13-D14+D15</f>
        <v>0</v>
      </c>
      <c r="E16" s="146">
        <f t="shared" ref="E16:L16" si="12">E13-E14+E15</f>
        <v>0</v>
      </c>
      <c r="F16" s="146">
        <f t="shared" si="12"/>
        <v>1.9246526508238542</v>
      </c>
      <c r="G16" s="146">
        <f t="shared" si="12"/>
        <v>9.4021957687657771</v>
      </c>
      <c r="H16" s="146">
        <f t="shared" si="12"/>
        <v>10.972306915803308</v>
      </c>
      <c r="I16" s="146">
        <f t="shared" si="12"/>
        <v>12.645523294004395</v>
      </c>
      <c r="J16" s="146">
        <f t="shared" si="12"/>
        <v>13.244271462850906</v>
      </c>
      <c r="K16" s="146">
        <f t="shared" si="12"/>
        <v>14.08102909727363</v>
      </c>
      <c r="L16" s="146">
        <f t="shared" si="12"/>
        <v>14.908306802937902</v>
      </c>
      <c r="M16" s="146">
        <f t="shared" ref="M16:O16" si="13">M13-M14+M15</f>
        <v>16.04654479239343</v>
      </c>
      <c r="N16" s="146">
        <f t="shared" si="13"/>
        <v>17.095954909074479</v>
      </c>
      <c r="O16" s="146">
        <f t="shared" si="13"/>
        <v>18.093708424008305</v>
      </c>
    </row>
    <row r="17" spans="2:15" ht="18" customHeight="1">
      <c r="B17" s="94" t="s">
        <v>412</v>
      </c>
      <c r="D17" s="104">
        <f>'Working Capital Assessment'!D76</f>
        <v>0</v>
      </c>
      <c r="E17" s="104">
        <f>'Working Capital Assessment'!E76</f>
        <v>0</v>
      </c>
      <c r="F17" s="104">
        <f>'Working Capital Assessment'!F76</f>
        <v>8.6806550026694911</v>
      </c>
      <c r="G17" s="104">
        <f>'Working Capital Assessment'!G76</f>
        <v>5.3295582524896741</v>
      </c>
      <c r="H17" s="104">
        <f>'Working Capital Assessment'!H76</f>
        <v>3.9353489029582818</v>
      </c>
      <c r="I17" s="104">
        <f>'Working Capital Assessment'!I76</f>
        <v>4.1213094625955016</v>
      </c>
      <c r="J17" s="104">
        <f>'Working Capital Assessment'!J76</f>
        <v>2.4297037279917042</v>
      </c>
      <c r="K17" s="104">
        <f>'Working Capital Assessment'!K76</f>
        <v>2.5362986401847039</v>
      </c>
      <c r="L17" s="104">
        <f>'Working Capital Assessment'!L76</f>
        <v>2.6466669840965089</v>
      </c>
      <c r="M17" s="104">
        <f>'Working Capital Assessment'!M76</f>
        <v>2.760882764775527</v>
      </c>
      <c r="N17" s="104">
        <f>'Working Capital Assessment'!N76</f>
        <v>2.8792220777513791</v>
      </c>
      <c r="O17" s="104">
        <f>'Working Capital Assessment'!O76</f>
        <v>3.0016416136568083</v>
      </c>
    </row>
    <row r="18" spans="2:15" ht="18" customHeight="1">
      <c r="B18" s="94" t="s">
        <v>413</v>
      </c>
      <c r="D18" s="104">
        <f>CFS!D24</f>
        <v>32.206777713333324</v>
      </c>
      <c r="E18" s="104">
        <f>CFS!E24</f>
        <v>9.5000000000000142</v>
      </c>
      <c r="F18" s="104">
        <f>CFS!F24</f>
        <v>0</v>
      </c>
      <c r="G18" s="104">
        <f>CFS!G24</f>
        <v>0</v>
      </c>
      <c r="H18" s="104">
        <f>CFS!H24</f>
        <v>0</v>
      </c>
      <c r="I18" s="104">
        <f>CFS!I24</f>
        <v>0</v>
      </c>
      <c r="J18" s="104">
        <f>CFS!J24</f>
        <v>0</v>
      </c>
      <c r="K18" s="104">
        <f>CFS!K24</f>
        <v>0</v>
      </c>
      <c r="L18" s="104">
        <f>CFS!L24</f>
        <v>0</v>
      </c>
      <c r="M18" s="104">
        <f>CFS!M24</f>
        <v>0</v>
      </c>
      <c r="N18" s="104">
        <f>CFS!N24</f>
        <v>0</v>
      </c>
      <c r="O18" s="104">
        <f>CFS!O24</f>
        <v>0</v>
      </c>
    </row>
    <row r="19" spans="2:15" ht="18" customHeight="1">
      <c r="B19" s="135" t="s">
        <v>414</v>
      </c>
      <c r="C19" s="135"/>
      <c r="D19" s="147">
        <f>D16-D17-D18</f>
        <v>-32.206777713333324</v>
      </c>
      <c r="E19" s="147">
        <f>E16-E17-E18</f>
        <v>-9.5000000000000142</v>
      </c>
      <c r="F19" s="147">
        <f t="shared" ref="F19:L19" si="14">F16-F17-F18</f>
        <v>-6.7560023518456367</v>
      </c>
      <c r="G19" s="147">
        <f t="shared" si="14"/>
        <v>4.072637516276103</v>
      </c>
      <c r="H19" s="147">
        <f t="shared" si="14"/>
        <v>7.0369580128450266</v>
      </c>
      <c r="I19" s="147">
        <f t="shared" si="14"/>
        <v>8.5242138314088933</v>
      </c>
      <c r="J19" s="147">
        <f t="shared" si="14"/>
        <v>10.814567734859201</v>
      </c>
      <c r="K19" s="147">
        <f t="shared" si="14"/>
        <v>11.544730457088926</v>
      </c>
      <c r="L19" s="147">
        <f t="shared" si="14"/>
        <v>12.261639818841394</v>
      </c>
      <c r="M19" s="147">
        <f t="shared" ref="M19:O19" si="15">M16-M17-M18</f>
        <v>13.285662027617903</v>
      </c>
      <c r="N19" s="147">
        <f t="shared" si="15"/>
        <v>14.2167328313231</v>
      </c>
      <c r="O19" s="147">
        <f t="shared" si="15"/>
        <v>15.092066810351497</v>
      </c>
    </row>
    <row r="20" spans="2:15" ht="18" customHeight="1">
      <c r="F20" s="179"/>
    </row>
    <row r="22" spans="2:15" ht="18" customHeight="1">
      <c r="B22" s="94" t="s">
        <v>416</v>
      </c>
      <c r="D22" s="103">
        <f>D81</f>
        <v>0.12500135859449096</v>
      </c>
    </row>
    <row r="23" spans="2:15" ht="18" customHeight="1">
      <c r="B23" s="94" t="s">
        <v>417</v>
      </c>
      <c r="D23" s="103">
        <v>0.01</v>
      </c>
    </row>
    <row r="24" spans="2:15" ht="18" customHeight="1">
      <c r="B24" s="95" t="s">
        <v>418</v>
      </c>
      <c r="C24" s="95"/>
      <c r="D24" s="113">
        <f>SUM(D22:D23)</f>
        <v>0.13500135859449097</v>
      </c>
    </row>
    <row r="25" spans="2:15" ht="18" customHeight="1">
      <c r="B25" s="94" t="s">
        <v>419</v>
      </c>
      <c r="D25" s="103">
        <v>1.4999999999999999E-2</v>
      </c>
    </row>
    <row r="27" spans="2:15" ht="18" customHeight="1">
      <c r="B27" s="94" t="s">
        <v>420</v>
      </c>
      <c r="D27" s="104">
        <v>0</v>
      </c>
      <c r="E27" s="104">
        <v>0</v>
      </c>
      <c r="F27" s="104">
        <f>F11/12</f>
        <v>0.16666666666666666</v>
      </c>
      <c r="G27" s="104">
        <f t="shared" ref="G27:L27" si="16">F27+1</f>
        <v>1.1666666666666667</v>
      </c>
      <c r="H27" s="104">
        <f t="shared" si="16"/>
        <v>2.166666666666667</v>
      </c>
      <c r="I27" s="104">
        <f t="shared" si="16"/>
        <v>3.166666666666667</v>
      </c>
      <c r="J27" s="104">
        <f t="shared" si="16"/>
        <v>4.166666666666667</v>
      </c>
      <c r="K27" s="104">
        <f t="shared" si="16"/>
        <v>5.166666666666667</v>
      </c>
      <c r="L27" s="104">
        <f t="shared" si="16"/>
        <v>6.166666666666667</v>
      </c>
      <c r="M27" s="104">
        <f t="shared" ref="M27" si="17">L27+1</f>
        <v>7.166666666666667</v>
      </c>
      <c r="N27" s="104">
        <f t="shared" ref="N27" si="18">M27+1</f>
        <v>8.1666666666666679</v>
      </c>
      <c r="O27" s="104">
        <f t="shared" ref="O27" si="19">N27+1</f>
        <v>9.1666666666666679</v>
      </c>
    </row>
    <row r="28" spans="2:15" ht="18" customHeight="1">
      <c r="B28" s="94" t="s">
        <v>421</v>
      </c>
      <c r="D28" s="104">
        <f>1/(1+$D$24)^D27</f>
        <v>1</v>
      </c>
      <c r="E28" s="104">
        <f>1/(1+$D$24)^E27</f>
        <v>1</v>
      </c>
      <c r="F28" s="104">
        <f>1/(1+$D$24)^F27</f>
        <v>0.97911552404737512</v>
      </c>
      <c r="G28" s="104">
        <f t="shared" ref="G28:O28" si="20">1/(1+$D$24)^G27</f>
        <v>0.86265581678232151</v>
      </c>
      <c r="H28" s="104">
        <f t="shared" si="20"/>
        <v>0.76004826800434511</v>
      </c>
      <c r="I28" s="104">
        <f t="shared" si="20"/>
        <v>0.66964524954008653</v>
      </c>
      <c r="J28" s="104">
        <f t="shared" si="20"/>
        <v>0.58999510834888347</v>
      </c>
      <c r="K28" s="104">
        <f t="shared" si="20"/>
        <v>0.51981885649854509</v>
      </c>
      <c r="L28" s="104">
        <f t="shared" si="20"/>
        <v>0.45798963372365803</v>
      </c>
      <c r="M28" s="104">
        <f t="shared" si="20"/>
        <v>0.4035146127849587</v>
      </c>
      <c r="N28" s="104">
        <f t="shared" si="20"/>
        <v>0.35551905707376769</v>
      </c>
      <c r="O28" s="104">
        <f t="shared" si="20"/>
        <v>0.31323227446530855</v>
      </c>
    </row>
    <row r="29" spans="2:15" ht="18" customHeight="1">
      <c r="B29" s="94" t="s">
        <v>422</v>
      </c>
      <c r="D29" s="104">
        <f>D28*D19</f>
        <v>-32.206777713333324</v>
      </c>
      <c r="E29" s="104">
        <f>E28*E19</f>
        <v>-9.5000000000000142</v>
      </c>
      <c r="F29" s="104">
        <f>F28*F19</f>
        <v>-6.6149067831926391</v>
      </c>
      <c r="G29" s="104">
        <f t="shared" ref="G29:K29" si="21">G28*G19</f>
        <v>3.5132844430614867</v>
      </c>
      <c r="H29" s="104">
        <f t="shared" si="21"/>
        <v>5.3484277496821608</v>
      </c>
      <c r="I29" s="104">
        <f t="shared" si="21"/>
        <v>5.7081992982668659</v>
      </c>
      <c r="J29" s="104">
        <f t="shared" si="21"/>
        <v>6.3805420624745937</v>
      </c>
      <c r="K29" s="104">
        <f t="shared" si="21"/>
        <v>6.0011685847878917</v>
      </c>
      <c r="L29" s="104">
        <f>L28*L19</f>
        <v>5.6157039294825903</v>
      </c>
      <c r="M29" s="104">
        <f t="shared" ref="M29:O29" si="22">M28*M19</f>
        <v>5.3609587686660678</v>
      </c>
      <c r="N29" s="104">
        <f t="shared" si="22"/>
        <v>5.054319450861664</v>
      </c>
      <c r="O29" s="104">
        <f t="shared" si="22"/>
        <v>4.7273224133887934</v>
      </c>
    </row>
    <row r="30" spans="2:15" ht="18" customHeight="1">
      <c r="B30" s="94" t="s">
        <v>423</v>
      </c>
      <c r="O30" s="104">
        <f>O19*(1+D25)/(D24-D25)</f>
        <v>127.65228654011263</v>
      </c>
    </row>
    <row r="31" spans="2:15" ht="18" customHeight="1">
      <c r="B31" s="94" t="s">
        <v>424</v>
      </c>
      <c r="O31" s="104">
        <f>O30*O28</f>
        <v>39.984816053656772</v>
      </c>
    </row>
    <row r="32" spans="2:15" ht="18" customHeight="1">
      <c r="B32" s="94" t="s">
        <v>535</v>
      </c>
      <c r="D32" s="104">
        <f>D19+D30</f>
        <v>-32.206777713333324</v>
      </c>
      <c r="E32" s="104">
        <f t="shared" ref="E32:J32" si="23">E19+E30</f>
        <v>-9.5000000000000142</v>
      </c>
      <c r="F32" s="104">
        <f t="shared" si="23"/>
        <v>-6.7560023518456367</v>
      </c>
      <c r="G32" s="104">
        <f t="shared" si="23"/>
        <v>4.072637516276103</v>
      </c>
      <c r="H32" s="104">
        <f t="shared" si="23"/>
        <v>7.0369580128450266</v>
      </c>
      <c r="I32" s="104">
        <f t="shared" si="23"/>
        <v>8.5242138314088933</v>
      </c>
      <c r="J32" s="104">
        <f t="shared" si="23"/>
        <v>10.814567734859201</v>
      </c>
      <c r="K32" s="104">
        <f>K19+K30</f>
        <v>11.544730457088926</v>
      </c>
      <c r="L32" s="104">
        <f t="shared" ref="L32:N32" si="24">L19+L30</f>
        <v>12.261639818841394</v>
      </c>
      <c r="M32" s="104">
        <f t="shared" si="24"/>
        <v>13.285662027617903</v>
      </c>
      <c r="N32" s="104">
        <f t="shared" si="24"/>
        <v>14.2167328313231</v>
      </c>
      <c r="O32" s="104">
        <f>O19+O30</f>
        <v>142.74435335046411</v>
      </c>
    </row>
    <row r="33" spans="2:15" ht="18" customHeight="1">
      <c r="B33" s="94" t="s">
        <v>425</v>
      </c>
      <c r="D33" s="104">
        <f>D29+D31</f>
        <v>-32.206777713333324</v>
      </c>
      <c r="E33" s="104">
        <f t="shared" ref="E33:J33" si="25">E29+E31</f>
        <v>-9.5000000000000142</v>
      </c>
      <c r="F33" s="104">
        <f t="shared" si="25"/>
        <v>-6.6149067831926391</v>
      </c>
      <c r="G33" s="104">
        <f t="shared" si="25"/>
        <v>3.5132844430614867</v>
      </c>
      <c r="H33" s="104">
        <f t="shared" si="25"/>
        <v>5.3484277496821608</v>
      </c>
      <c r="I33" s="104">
        <f t="shared" si="25"/>
        <v>5.7081992982668659</v>
      </c>
      <c r="J33" s="104">
        <f t="shared" si="25"/>
        <v>6.3805420624745937</v>
      </c>
      <c r="K33" s="104">
        <f>K29+K31</f>
        <v>6.0011685847878917</v>
      </c>
      <c r="L33" s="104">
        <f t="shared" ref="L33:N33" si="26">L29+L31</f>
        <v>5.6157039294825903</v>
      </c>
      <c r="M33" s="104">
        <f t="shared" si="26"/>
        <v>5.3609587686660678</v>
      </c>
      <c r="N33" s="104">
        <f t="shared" si="26"/>
        <v>5.054319450861664</v>
      </c>
      <c r="O33" s="104">
        <f>O29+O31</f>
        <v>44.712138467045563</v>
      </c>
    </row>
    <row r="34" spans="2:15" ht="18" customHeight="1">
      <c r="E34" s="104"/>
      <c r="F34" s="104"/>
      <c r="G34" s="104"/>
      <c r="H34" s="104"/>
      <c r="I34" s="104"/>
      <c r="J34" s="104"/>
      <c r="K34" s="104"/>
      <c r="L34" s="104"/>
    </row>
    <row r="35" spans="2:15" ht="18" customHeight="1">
      <c r="B35" s="95" t="s">
        <v>426</v>
      </c>
      <c r="C35" s="95"/>
      <c r="D35" s="195">
        <f>XNPV(D24,D32:O32,D9:O9)</f>
        <v>32.164477905711948</v>
      </c>
      <c r="E35" s="196"/>
      <c r="F35" s="197"/>
      <c r="G35" s="196"/>
      <c r="H35" s="197"/>
      <c r="I35" s="196"/>
      <c r="J35" s="196"/>
      <c r="K35" s="196"/>
      <c r="L35" s="196"/>
    </row>
    <row r="36" spans="2:15" ht="18" customHeight="1">
      <c r="D36" s="100"/>
    </row>
    <row r="37" spans="2:15" ht="18" customHeight="1">
      <c r="B37" s="95" t="s">
        <v>427</v>
      </c>
      <c r="C37" s="95"/>
      <c r="D37" s="113">
        <f>XIRR(D32:O32,D9:O9)</f>
        <v>0.21927639842033389</v>
      </c>
      <c r="E37" s="198"/>
      <c r="F37" s="198"/>
      <c r="G37" s="198"/>
      <c r="H37" s="198"/>
      <c r="I37" s="198"/>
      <c r="J37" s="198"/>
      <c r="K37" s="198"/>
      <c r="L37" s="198"/>
    </row>
    <row r="38" spans="2:15" ht="18" customHeight="1">
      <c r="D38" s="179"/>
    </row>
    <row r="39" spans="2:15" ht="18" customHeight="1">
      <c r="B39" s="95" t="s">
        <v>428</v>
      </c>
      <c r="C39" s="95"/>
      <c r="D39" s="95"/>
      <c r="E39" s="95"/>
      <c r="F39" s="95"/>
      <c r="G39" s="95"/>
      <c r="H39" s="95"/>
      <c r="I39" s="95"/>
      <c r="J39" s="95"/>
      <c r="K39" s="95"/>
      <c r="L39" s="95"/>
    </row>
    <row r="41" spans="2:15" ht="18" customHeight="1">
      <c r="B41" s="94" t="s">
        <v>429</v>
      </c>
      <c r="D41" s="102"/>
      <c r="E41" s="102"/>
      <c r="F41" s="102">
        <f t="shared" ref="F41:O41" si="27">F10</f>
        <v>1</v>
      </c>
      <c r="G41" s="102">
        <f t="shared" si="27"/>
        <v>2</v>
      </c>
      <c r="H41" s="102">
        <f t="shared" si="27"/>
        <v>3</v>
      </c>
      <c r="I41" s="102">
        <f t="shared" si="27"/>
        <v>4</v>
      </c>
      <c r="J41" s="102">
        <f t="shared" si="27"/>
        <v>5</v>
      </c>
      <c r="K41" s="102">
        <f t="shared" si="27"/>
        <v>6</v>
      </c>
      <c r="L41" s="102">
        <f t="shared" si="27"/>
        <v>7</v>
      </c>
      <c r="M41" s="102">
        <f t="shared" si="27"/>
        <v>8</v>
      </c>
      <c r="N41" s="102">
        <f t="shared" si="27"/>
        <v>9</v>
      </c>
      <c r="O41" s="102">
        <f t="shared" si="27"/>
        <v>10</v>
      </c>
    </row>
    <row r="42" spans="2:15" ht="18" customHeight="1">
      <c r="B42" s="94" t="s">
        <v>351</v>
      </c>
      <c r="D42" s="104"/>
      <c r="E42" s="104"/>
      <c r="F42" s="104">
        <f>IS!F52</f>
        <v>1.5835423567388751</v>
      </c>
      <c r="G42" s="104">
        <f>IS!G52</f>
        <v>7.1517889354324442</v>
      </c>
      <c r="H42" s="104">
        <f>IS!H52</f>
        <v>8.840948602469977</v>
      </c>
      <c r="I42" s="104">
        <f>IS!I52</f>
        <v>10.647662740671063</v>
      </c>
      <c r="J42" s="104">
        <f>IS!J52</f>
        <v>11.379908669517572</v>
      </c>
      <c r="K42" s="104">
        <f>IS!K52</f>
        <v>12.350164063940296</v>
      </c>
      <c r="L42" s="104">
        <f>IS!L52</f>
        <v>13.310939529604569</v>
      </c>
      <c r="M42" s="104">
        <f>IS!M52</f>
        <v>14.446224211560097</v>
      </c>
      <c r="N42" s="104">
        <f>IS!N52</f>
        <v>15.679193748241147</v>
      </c>
      <c r="O42" s="104">
        <f>IS!O52</f>
        <v>16.876522696924972</v>
      </c>
    </row>
    <row r="43" spans="2:15" ht="18" customHeight="1">
      <c r="B43" s="94" t="s">
        <v>430</v>
      </c>
      <c r="D43" s="104"/>
      <c r="E43" s="104"/>
      <c r="F43" s="104">
        <f>E43+F42</f>
        <v>1.5835423567388751</v>
      </c>
      <c r="G43" s="104">
        <f t="shared" ref="G43:J43" si="28">F43+G42</f>
        <v>8.7353312921713187</v>
      </c>
      <c r="H43" s="104">
        <f t="shared" si="28"/>
        <v>17.576279894641296</v>
      </c>
      <c r="I43" s="104">
        <f t="shared" si="28"/>
        <v>28.223942635312358</v>
      </c>
      <c r="J43" s="104">
        <f t="shared" si="28"/>
        <v>39.603851304829931</v>
      </c>
      <c r="K43" s="104">
        <f>J43+K42</f>
        <v>51.954015368770229</v>
      </c>
      <c r="L43" s="104">
        <f t="shared" ref="L43:N43" si="29">K43+L42</f>
        <v>65.264954898374796</v>
      </c>
      <c r="M43" s="104">
        <f t="shared" si="29"/>
        <v>79.711179109934889</v>
      </c>
      <c r="N43" s="104">
        <f t="shared" si="29"/>
        <v>95.390372858176036</v>
      </c>
      <c r="O43" s="104">
        <f>N43+O42</f>
        <v>112.266895555101</v>
      </c>
    </row>
    <row r="44" spans="2:15" ht="18" customHeight="1">
      <c r="B44" s="94" t="s">
        <v>431</v>
      </c>
      <c r="F44" s="104">
        <f>'TPC and MoF'!D18-'TPC and MoF'!D12</f>
        <v>41.706777713333331</v>
      </c>
    </row>
    <row r="45" spans="2:15" ht="18" customHeight="1">
      <c r="B45" s="95" t="s">
        <v>432</v>
      </c>
      <c r="C45" s="95"/>
      <c r="D45" s="95"/>
      <c r="E45" s="199"/>
      <c r="F45" s="199">
        <f>(2/12)+4+((F44-J43)/K42)</f>
        <v>4.3369418466250833</v>
      </c>
      <c r="G45" s="199"/>
      <c r="H45" s="199"/>
      <c r="I45" s="199"/>
      <c r="J45" s="199"/>
      <c r="K45" s="199"/>
      <c r="L45" s="199"/>
    </row>
    <row r="49" spans="2:7" ht="18" customHeight="1">
      <c r="B49" s="183" t="s">
        <v>490</v>
      </c>
      <c r="C49" s="135"/>
      <c r="D49" s="183" t="s">
        <v>351</v>
      </c>
      <c r="E49" s="115" t="s">
        <v>430</v>
      </c>
      <c r="F49" s="135"/>
    </row>
    <row r="50" spans="2:7" ht="18" customHeight="1">
      <c r="B50" s="200">
        <f>F9</f>
        <v>46112</v>
      </c>
      <c r="D50" s="104">
        <f t="array" ref="D50:D59">TRANSPOSE(F42:O42)</f>
        <v>1.5835423567388751</v>
      </c>
      <c r="E50" s="108">
        <f>D50</f>
        <v>1.5835423567388751</v>
      </c>
      <c r="G50" s="335"/>
    </row>
    <row r="51" spans="2:7" ht="18" customHeight="1">
      <c r="B51" s="200">
        <f>EDATE(B50,12)</f>
        <v>46477</v>
      </c>
      <c r="D51" s="104">
        <v>7.1517889354324442</v>
      </c>
      <c r="E51" s="108">
        <f t="shared" ref="E51:E59" si="30">D51+E50</f>
        <v>8.7353312921713187</v>
      </c>
      <c r="G51" s="335"/>
    </row>
    <row r="52" spans="2:7" ht="18" customHeight="1">
      <c r="B52" s="200">
        <f t="shared" ref="B52:B59" si="31">EDATE(B51,12)</f>
        <v>46843</v>
      </c>
      <c r="D52" s="104">
        <v>8.840948602469977</v>
      </c>
      <c r="E52" s="108">
        <f t="shared" si="30"/>
        <v>17.576279894641296</v>
      </c>
      <c r="G52" s="335"/>
    </row>
    <row r="53" spans="2:7" ht="18" customHeight="1">
      <c r="B53" s="200">
        <f t="shared" si="31"/>
        <v>47208</v>
      </c>
      <c r="D53" s="104">
        <v>10.647662740671063</v>
      </c>
      <c r="E53" s="108">
        <f t="shared" si="30"/>
        <v>28.223942635312358</v>
      </c>
      <c r="G53" s="335"/>
    </row>
    <row r="54" spans="2:7" ht="18" customHeight="1">
      <c r="B54" s="200">
        <f t="shared" si="31"/>
        <v>47573</v>
      </c>
      <c r="D54" s="104">
        <v>11.379908669517572</v>
      </c>
      <c r="E54" s="108">
        <f t="shared" si="30"/>
        <v>39.603851304829931</v>
      </c>
      <c r="G54" s="335"/>
    </row>
    <row r="55" spans="2:7" ht="18" customHeight="1">
      <c r="B55" s="200">
        <f t="shared" si="31"/>
        <v>47938</v>
      </c>
      <c r="D55" s="104">
        <v>12.350164063940296</v>
      </c>
      <c r="E55" s="108">
        <f t="shared" si="30"/>
        <v>51.954015368770229</v>
      </c>
      <c r="G55" s="335"/>
    </row>
    <row r="56" spans="2:7" ht="18" customHeight="1">
      <c r="B56" s="200">
        <f t="shared" si="31"/>
        <v>48304</v>
      </c>
      <c r="D56" s="104">
        <v>13.310939529604569</v>
      </c>
      <c r="E56" s="108">
        <f t="shared" si="30"/>
        <v>65.264954898374796</v>
      </c>
      <c r="G56" s="335"/>
    </row>
    <row r="57" spans="2:7" ht="18" customHeight="1">
      <c r="B57" s="200">
        <f t="shared" si="31"/>
        <v>48669</v>
      </c>
      <c r="D57" s="104">
        <v>14.446224211560097</v>
      </c>
      <c r="E57" s="108">
        <f t="shared" si="30"/>
        <v>79.711179109934889</v>
      </c>
      <c r="G57" s="335"/>
    </row>
    <row r="58" spans="2:7" ht="18" customHeight="1">
      <c r="B58" s="200">
        <f t="shared" si="31"/>
        <v>49034</v>
      </c>
      <c r="D58" s="104">
        <v>15.679193748241147</v>
      </c>
      <c r="E58" s="108">
        <f t="shared" si="30"/>
        <v>95.390372858176036</v>
      </c>
      <c r="G58" s="335"/>
    </row>
    <row r="59" spans="2:7" ht="18" customHeight="1">
      <c r="B59" s="200">
        <f t="shared" si="31"/>
        <v>49399</v>
      </c>
      <c r="D59" s="104">
        <v>16.876522696924972</v>
      </c>
      <c r="E59" s="108">
        <f t="shared" si="30"/>
        <v>112.266895555101</v>
      </c>
      <c r="G59" s="335"/>
    </row>
    <row r="60" spans="2:7" ht="18" customHeight="1">
      <c r="B60" s="200"/>
      <c r="D60" s="104">
        <f>SUM(D50:D59)</f>
        <v>112.266895555101</v>
      </c>
      <c r="E60" s="108"/>
    </row>
    <row r="61" spans="2:7" ht="18" customHeight="1">
      <c r="B61" s="234" t="s">
        <v>58</v>
      </c>
      <c r="C61" s="235"/>
      <c r="D61" s="236">
        <f>F44</f>
        <v>41.706777713333331</v>
      </c>
      <c r="E61" s="237"/>
      <c r="F61" s="214"/>
    </row>
    <row r="62" spans="2:7" ht="18" customHeight="1">
      <c r="B62" s="210" t="s">
        <v>432</v>
      </c>
      <c r="C62" s="210"/>
      <c r="D62" s="211">
        <f>(2/12+4+((D61-E54)/D55))</f>
        <v>4.3369418466250833</v>
      </c>
      <c r="E62" s="210" t="s">
        <v>328</v>
      </c>
      <c r="F62" s="135"/>
    </row>
    <row r="67" spans="2:4" ht="18" customHeight="1">
      <c r="B67" s="361" t="s">
        <v>714</v>
      </c>
      <c r="C67" s="361"/>
      <c r="D67" s="361"/>
    </row>
    <row r="68" spans="2:4" ht="18" customHeight="1">
      <c r="B68" s="278" t="s">
        <v>711</v>
      </c>
      <c r="C68" s="278"/>
      <c r="D68" s="281">
        <f>'TPC and MoF'!D25</f>
        <v>15.02</v>
      </c>
    </row>
    <row r="69" spans="2:4" ht="18" customHeight="1">
      <c r="B69" s="278" t="s">
        <v>366</v>
      </c>
      <c r="C69" s="278"/>
      <c r="D69" s="281">
        <f>'TPC and MoF'!D24</f>
        <v>28.189331027123121</v>
      </c>
    </row>
    <row r="70" spans="2:4" ht="18" customHeight="1">
      <c r="B70" s="283" t="s">
        <v>713</v>
      </c>
      <c r="C70" s="283"/>
      <c r="D70" s="284">
        <f>SUM(D68:D69)</f>
        <v>43.20933102712312</v>
      </c>
    </row>
    <row r="71" spans="2:4" ht="9" customHeight="1">
      <c r="B71" s="278"/>
      <c r="C71" s="278"/>
      <c r="D71" s="278"/>
    </row>
    <row r="72" spans="2:4" ht="18" customHeight="1">
      <c r="B72" s="278" t="s">
        <v>712</v>
      </c>
      <c r="C72" s="278"/>
      <c r="D72" s="280">
        <f>D68/D70</f>
        <v>0.3476101027940407</v>
      </c>
    </row>
    <row r="73" spans="2:4" ht="18" customHeight="1">
      <c r="B73" s="278" t="s">
        <v>715</v>
      </c>
      <c r="C73" s="278"/>
      <c r="D73" s="280">
        <f>D69/D70</f>
        <v>0.6523898972059593</v>
      </c>
    </row>
    <row r="74" spans="2:4" ht="9" customHeight="1">
      <c r="B74" s="278"/>
      <c r="C74" s="278"/>
      <c r="D74" s="278"/>
    </row>
    <row r="75" spans="2:4" ht="18" customHeight="1">
      <c r="B75" s="278" t="s">
        <v>716</v>
      </c>
      <c r="C75" s="278"/>
      <c r="D75" s="279">
        <f>'Common Assumption'!D123</f>
        <v>0.11</v>
      </c>
    </row>
    <row r="76" spans="2:4" ht="18" customHeight="1">
      <c r="B76" s="278" t="s">
        <v>717</v>
      </c>
      <c r="C76" s="278"/>
      <c r="D76" s="279">
        <f>'Common Assumption'!D135</f>
        <v>0.2782</v>
      </c>
    </row>
    <row r="77" spans="2:4" ht="18" customHeight="1">
      <c r="B77" s="278" t="s">
        <v>718</v>
      </c>
      <c r="C77" s="278"/>
      <c r="D77" s="280">
        <f>D75*(1-D76)</f>
        <v>7.9397999999999996E-2</v>
      </c>
    </row>
    <row r="78" spans="2:4" ht="18" customHeight="1">
      <c r="B78" s="278"/>
      <c r="C78" s="278"/>
      <c r="D78" s="278"/>
    </row>
    <row r="79" spans="2:4" ht="18" customHeight="1">
      <c r="B79" s="278" t="s">
        <v>719</v>
      </c>
      <c r="C79" s="278"/>
      <c r="D79" s="279">
        <v>0.14929999999999999</v>
      </c>
    </row>
    <row r="80" spans="2:4" ht="18" customHeight="1">
      <c r="B80" s="278"/>
      <c r="C80" s="278"/>
      <c r="D80" s="278"/>
    </row>
    <row r="81" spans="2:4" ht="18" customHeight="1">
      <c r="B81" s="282" t="s">
        <v>714</v>
      </c>
      <c r="C81" s="282"/>
      <c r="D81" s="285">
        <f>D72*D77+D73*D79</f>
        <v>0.12500135859449096</v>
      </c>
    </row>
  </sheetData>
  <mergeCells count="3">
    <mergeCell ref="D8:E8"/>
    <mergeCell ref="B67:D67"/>
    <mergeCell ref="F8:O8"/>
  </mergeCells>
  <pageMargins left="0.7" right="0.7" top="0.75" bottom="0.75" header="0.3" footer="0.3"/>
  <pageSetup orientation="portrait" r:id="rId1"/>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92D050"/>
  </sheetPr>
  <dimension ref="B1:O54"/>
  <sheetViews>
    <sheetView showGridLines="0" zoomScaleNormal="100" workbookViewId="0">
      <selection activeCell="B28" sqref="B28"/>
    </sheetView>
  </sheetViews>
  <sheetFormatPr defaultColWidth="13.7109375" defaultRowHeight="18" customHeight="1"/>
  <cols>
    <col min="1" max="1" width="4.85546875" style="94" customWidth="1"/>
    <col min="2" max="2" width="43.42578125" style="94" customWidth="1"/>
    <col min="3" max="3" width="7.140625" style="94" customWidth="1"/>
    <col min="4" max="12" width="12.7109375" style="94" customWidth="1"/>
    <col min="13" max="16384" width="13.7109375" style="94"/>
  </cols>
  <sheetData>
    <row r="1" spans="2:15" ht="15.75" customHeight="1"/>
    <row r="2" spans="2:15" ht="18" customHeight="1">
      <c r="B2" s="132" t="str">
        <f>"Financial Model of " &amp; B4</f>
        <v>Financial Model of 20,000 M.T of glass Toughening pa. set up by SSRM Glasses Private Limited</v>
      </c>
      <c r="C2" s="133"/>
      <c r="D2" s="133"/>
      <c r="E2" s="133"/>
      <c r="F2" s="133"/>
      <c r="G2" s="133"/>
      <c r="H2" s="133"/>
      <c r="I2" s="133"/>
      <c r="J2" s="133"/>
      <c r="K2" s="133"/>
      <c r="L2" s="133"/>
      <c r="M2" s="133"/>
      <c r="N2" s="133"/>
      <c r="O2" s="133"/>
    </row>
    <row r="3" spans="2:15" ht="12" customHeight="1">
      <c r="C3" s="100"/>
      <c r="D3" s="100"/>
      <c r="E3" s="100"/>
      <c r="F3" s="100"/>
      <c r="G3" s="100"/>
      <c r="H3" s="100"/>
      <c r="I3" s="100"/>
      <c r="J3" s="100"/>
      <c r="K3" s="100"/>
      <c r="L3" s="100"/>
      <c r="M3" s="100"/>
      <c r="N3" s="100"/>
      <c r="O3" s="100"/>
    </row>
    <row r="4" spans="2:15" ht="18" customHeight="1">
      <c r="B4" s="137" t="str">
        <f>'Common Assumption'!B4</f>
        <v>20,000 M.T of glass Toughening pa. set up by SSRM Glasses Private Limited</v>
      </c>
      <c r="C4" s="137"/>
      <c r="D4" s="138"/>
      <c r="E4" s="138"/>
      <c r="F4" s="138"/>
      <c r="G4" s="138"/>
      <c r="H4" s="138"/>
      <c r="I4" s="138"/>
      <c r="J4" s="138"/>
      <c r="K4" s="138"/>
      <c r="L4" s="138"/>
      <c r="M4" s="138"/>
      <c r="N4" s="138"/>
      <c r="O4" s="138"/>
    </row>
    <row r="5" spans="2:15" ht="13.5" customHeight="1">
      <c r="C5" s="100"/>
      <c r="D5" s="100"/>
      <c r="F5" s="125"/>
    </row>
    <row r="6" spans="2:15" ht="18" customHeight="1">
      <c r="B6" s="137" t="s">
        <v>433</v>
      </c>
      <c r="C6" s="137"/>
      <c r="D6" s="138"/>
      <c r="E6" s="138"/>
      <c r="F6" s="138"/>
      <c r="G6" s="138"/>
      <c r="H6" s="138"/>
      <c r="I6" s="138"/>
      <c r="J6" s="138"/>
      <c r="K6" s="138"/>
      <c r="L6" s="138"/>
      <c r="M6" s="138"/>
      <c r="N6" s="138"/>
      <c r="O6" s="138"/>
    </row>
    <row r="7" spans="2:15" ht="12.75" customHeight="1">
      <c r="C7" s="100"/>
      <c r="D7" s="100"/>
      <c r="F7" s="125"/>
    </row>
    <row r="8" spans="2:15" ht="18" customHeight="1">
      <c r="C8" s="100"/>
      <c r="D8" s="354" t="str">
        <f>'NPV &amp; IRR, Payback Period'!D8:E8</f>
        <v>Implementation period</v>
      </c>
      <c r="E8" s="354"/>
      <c r="F8" s="355" t="s">
        <v>43</v>
      </c>
      <c r="G8" s="355"/>
      <c r="H8" s="355"/>
      <c r="I8" s="355"/>
      <c r="J8" s="355"/>
      <c r="K8" s="355"/>
      <c r="L8" s="355"/>
      <c r="M8" s="355"/>
      <c r="N8" s="355"/>
      <c r="O8" s="355"/>
    </row>
    <row r="9" spans="2:15" ht="18" customHeight="1">
      <c r="B9" s="139" t="s">
        <v>44</v>
      </c>
      <c r="C9" s="140" t="s">
        <v>45</v>
      </c>
      <c r="D9" s="184">
        <f>EOMONTH('Common Assumption'!E11,1)</f>
        <v>45747</v>
      </c>
      <c r="E9" s="184">
        <f>'Common Assumption'!E13</f>
        <v>46053</v>
      </c>
      <c r="F9" s="184">
        <f>DATE(YEAR(E9),MONTH(E9)+2,DAY(E9))</f>
        <v>46112</v>
      </c>
      <c r="G9" s="184">
        <f t="shared" ref="G9:L9" si="0">DATE(YEAR(F9)+1,MONTH(F9),DAY(F9))</f>
        <v>46477</v>
      </c>
      <c r="H9" s="184">
        <f t="shared" si="0"/>
        <v>46843</v>
      </c>
      <c r="I9" s="184">
        <f t="shared" si="0"/>
        <v>47208</v>
      </c>
      <c r="J9" s="184">
        <f t="shared" si="0"/>
        <v>47573</v>
      </c>
      <c r="K9" s="184">
        <f t="shared" si="0"/>
        <v>47938</v>
      </c>
      <c r="L9" s="184">
        <f t="shared" si="0"/>
        <v>48304</v>
      </c>
      <c r="M9" s="184">
        <f t="shared" ref="M9" si="1">DATE(YEAR(L9)+1,MONTH(L9),DAY(L9))</f>
        <v>48669</v>
      </c>
      <c r="N9" s="184">
        <f t="shared" ref="N9" si="2">DATE(YEAR(M9)+1,MONTH(M9),DAY(M9))</f>
        <v>49034</v>
      </c>
      <c r="O9" s="184">
        <f t="shared" ref="O9" si="3">DATE(YEAR(N9)+1,MONTH(N9),DAY(N9))</f>
        <v>49399</v>
      </c>
    </row>
    <row r="10" spans="2:15" s="126" customFormat="1" ht="18" customHeight="1">
      <c r="B10" s="141" t="s">
        <v>46</v>
      </c>
      <c r="C10" s="142"/>
      <c r="D10" s="187">
        <v>0</v>
      </c>
      <c r="E10" s="187">
        <v>0</v>
      </c>
      <c r="F10" s="188">
        <v>1</v>
      </c>
      <c r="G10" s="188">
        <f t="shared" ref="G10:L10" si="4">F10+1</f>
        <v>2</v>
      </c>
      <c r="H10" s="188">
        <f t="shared" si="4"/>
        <v>3</v>
      </c>
      <c r="I10" s="188">
        <f t="shared" si="4"/>
        <v>4</v>
      </c>
      <c r="J10" s="188">
        <f t="shared" si="4"/>
        <v>5</v>
      </c>
      <c r="K10" s="188">
        <f t="shared" si="4"/>
        <v>6</v>
      </c>
      <c r="L10" s="188">
        <f t="shared" si="4"/>
        <v>7</v>
      </c>
      <c r="M10" s="188">
        <f t="shared" ref="M10" si="5">L10+1</f>
        <v>8</v>
      </c>
      <c r="N10" s="188">
        <f t="shared" ref="N10" si="6">M10+1</f>
        <v>9</v>
      </c>
      <c r="O10" s="188">
        <f t="shared" ref="O10" si="7">N10+1</f>
        <v>10</v>
      </c>
    </row>
    <row r="11" spans="2:15" s="126" customFormat="1" ht="18" customHeight="1">
      <c r="B11" s="141" t="s">
        <v>47</v>
      </c>
      <c r="C11" s="142">
        <f>'Common Assumption'!E12</f>
        <v>11</v>
      </c>
      <c r="D11" s="187">
        <f>MONTH(D9-'Common Assumption'!E11)</f>
        <v>1</v>
      </c>
      <c r="E11" s="187">
        <f>C11-D11</f>
        <v>10</v>
      </c>
      <c r="F11" s="186">
        <f>MONTH(F9-E9)</f>
        <v>2</v>
      </c>
      <c r="G11" s="186">
        <f t="shared" ref="G11:L11" si="8">MONTH(G9-F9)</f>
        <v>12</v>
      </c>
      <c r="H11" s="186">
        <f t="shared" si="8"/>
        <v>12</v>
      </c>
      <c r="I11" s="186">
        <f t="shared" si="8"/>
        <v>12</v>
      </c>
      <c r="J11" s="186">
        <f t="shared" si="8"/>
        <v>12</v>
      </c>
      <c r="K11" s="186">
        <f t="shared" si="8"/>
        <v>12</v>
      </c>
      <c r="L11" s="186">
        <f t="shared" si="8"/>
        <v>12</v>
      </c>
      <c r="M11" s="186">
        <f t="shared" ref="M11" si="9">MONTH(M9-L9)</f>
        <v>12</v>
      </c>
      <c r="N11" s="186">
        <f t="shared" ref="N11" si="10">MONTH(N9-M9)</f>
        <v>12</v>
      </c>
      <c r="O11" s="186">
        <f t="shared" ref="O11" si="11">MONTH(O9-N9)</f>
        <v>12</v>
      </c>
    </row>
    <row r="12" spans="2:15" ht="7.5" customHeight="1"/>
    <row r="13" spans="2:15" ht="18" customHeight="1">
      <c r="B13" s="94" t="s">
        <v>434</v>
      </c>
      <c r="F13" s="104">
        <f>IS!F13</f>
        <v>7.5462644499999998</v>
      </c>
      <c r="G13" s="104">
        <f>IS!G13</f>
        <v>61.871368489999995</v>
      </c>
      <c r="H13" s="104">
        <f>IS!H13</f>
        <v>79.262690877812489</v>
      </c>
      <c r="I13" s="104">
        <f>IS!I13</f>
        <v>97.481109779709357</v>
      </c>
      <c r="J13" s="104">
        <f>IS!J13</f>
        <v>108.23164898455225</v>
      </c>
      <c r="K13" s="104">
        <f>IS!K13</f>
        <v>119.45708945602497</v>
      </c>
      <c r="L13" s="104">
        <f>IS!L13</f>
        <v>131.17448217045597</v>
      </c>
      <c r="M13" s="104">
        <f>IS!M13</f>
        <v>143.40143383969851</v>
      </c>
      <c r="N13" s="104">
        <f>IS!N13</f>
        <v>156.15612404104664</v>
      </c>
      <c r="O13" s="104">
        <f>IS!O13</f>
        <v>169.45732285631235</v>
      </c>
    </row>
    <row r="14" spans="2:15" ht="18" customHeight="1">
      <c r="B14" s="94" t="s">
        <v>435</v>
      </c>
      <c r="F14" s="104">
        <f>SUM(IS!F15:F19)</f>
        <v>5.8187113165</v>
      </c>
      <c r="G14" s="104">
        <f>SUM(IS!G15:G19)</f>
        <v>47.89235720545912</v>
      </c>
      <c r="H14" s="104">
        <f>SUM(IS!H15:H19)</f>
        <v>61.514101199472691</v>
      </c>
      <c r="I14" s="104">
        <f>SUM(IS!I15:I19)</f>
        <v>75.898289669066003</v>
      </c>
      <c r="J14" s="104">
        <f>SUM(IS!J15:J19)</f>
        <v>84.608221143348217</v>
      </c>
      <c r="K14" s="104">
        <f>SUM(IS!K15:K19)</f>
        <v>93.7870993932424</v>
      </c>
      <c r="L14" s="104">
        <f>SUM(IS!L15:L19)</f>
        <v>103.46238096798946</v>
      </c>
      <c r="M14" s="104">
        <f>SUM(IS!M15:M19)</f>
        <v>113.66232488222691</v>
      </c>
      <c r="N14" s="104">
        <f>SUM(IS!N15:N19)</f>
        <v>124.42216697369518</v>
      </c>
      <c r="O14" s="104">
        <f>SUM(IS!O15:O19)</f>
        <v>135.77467023838571</v>
      </c>
    </row>
    <row r="15" spans="2:15" ht="18" customHeight="1">
      <c r="B15" s="95" t="s">
        <v>436</v>
      </c>
      <c r="C15" s="95"/>
      <c r="D15" s="95"/>
      <c r="E15" s="95"/>
      <c r="F15" s="128">
        <f>F13-F14</f>
        <v>1.7275531334999998</v>
      </c>
      <c r="G15" s="128">
        <f t="shared" ref="G15:L15" si="12">G13-G14</f>
        <v>13.979011284540874</v>
      </c>
      <c r="H15" s="128">
        <f t="shared" si="12"/>
        <v>17.748589678339798</v>
      </c>
      <c r="I15" s="128">
        <f t="shared" si="12"/>
        <v>21.582820110643354</v>
      </c>
      <c r="J15" s="128">
        <f t="shared" si="12"/>
        <v>23.623427841204034</v>
      </c>
      <c r="K15" s="128">
        <f t="shared" si="12"/>
        <v>25.669990062782574</v>
      </c>
      <c r="L15" s="128">
        <f t="shared" si="12"/>
        <v>27.712101202466513</v>
      </c>
      <c r="M15" s="128">
        <f t="shared" ref="M15:O15" si="13">M13-M14</f>
        <v>29.739108957471601</v>
      </c>
      <c r="N15" s="128">
        <f t="shared" si="13"/>
        <v>31.733957067351454</v>
      </c>
      <c r="O15" s="128">
        <f t="shared" si="13"/>
        <v>33.682652617926635</v>
      </c>
    </row>
    <row r="16" spans="2:15" ht="18" customHeight="1">
      <c r="B16" s="94" t="s">
        <v>437</v>
      </c>
      <c r="F16" s="104">
        <f>IS!F32+IS!F33+IS!F20+IS!F21</f>
        <v>1.3955848842164502</v>
      </c>
      <c r="G16" s="104">
        <f>IS!G32+IS!G33+IS!G20+IS!G21</f>
        <v>6.3285681374215645</v>
      </c>
      <c r="H16" s="104">
        <f>IS!H32+IS!H33+IS!H20+IS!H21</f>
        <v>7.3929977011979755</v>
      </c>
      <c r="I16" s="104">
        <f>IS!I32+IS!I33+IS!I20+IS!I21</f>
        <v>8.5093689260588867</v>
      </c>
      <c r="J16" s="104">
        <f>IS!J32+IS!J33+IS!J20+IS!J21</f>
        <v>9.1567573059448062</v>
      </c>
      <c r="K16" s="104">
        <f>IS!K32+IS!K33+IS!K20+IS!K21</f>
        <v>9.8339694853750785</v>
      </c>
      <c r="L16" s="104">
        <f>IS!L32+IS!L33+IS!L20+IS!L21</f>
        <v>10.54207626566313</v>
      </c>
      <c r="M16" s="104">
        <f>IS!M32+IS!M33+IS!M20+IS!M21</f>
        <v>11.28218334831335</v>
      </c>
      <c r="N16" s="104">
        <f>IS!N32+IS!N33+IS!N20+IS!N21</f>
        <v>12.055432410779796</v>
      </c>
      <c r="O16" s="104">
        <f>IS!O32+IS!O33+IS!O20+IS!O21</f>
        <v>12.86300221420027</v>
      </c>
    </row>
    <row r="17" spans="2:15" ht="18" customHeight="1">
      <c r="B17" s="94" t="s">
        <v>438</v>
      </c>
      <c r="F17" s="104">
        <f>F15-F16</f>
        <v>0.33196824928354962</v>
      </c>
      <c r="G17" s="104">
        <f t="shared" ref="G17:L17" si="14">G15-G16</f>
        <v>7.6504431471193097</v>
      </c>
      <c r="H17" s="104">
        <f t="shared" si="14"/>
        <v>10.355591977141822</v>
      </c>
      <c r="I17" s="104">
        <f t="shared" si="14"/>
        <v>13.073451184584467</v>
      </c>
      <c r="J17" s="104">
        <f t="shared" si="14"/>
        <v>14.466670535259228</v>
      </c>
      <c r="K17" s="104">
        <f t="shared" si="14"/>
        <v>15.836020577407496</v>
      </c>
      <c r="L17" s="104">
        <f t="shared" si="14"/>
        <v>17.170024936803383</v>
      </c>
      <c r="M17" s="104">
        <f t="shared" ref="M17:O17" si="15">M15-M16</f>
        <v>18.456925609158251</v>
      </c>
      <c r="N17" s="104">
        <f t="shared" si="15"/>
        <v>19.678524656571661</v>
      </c>
      <c r="O17" s="104">
        <f t="shared" si="15"/>
        <v>20.819650403726364</v>
      </c>
    </row>
    <row r="18" spans="2:15" ht="18" customHeight="1">
      <c r="B18" s="135" t="s">
        <v>439</v>
      </c>
      <c r="C18" s="135"/>
      <c r="D18" s="135"/>
      <c r="E18" s="135"/>
      <c r="F18" s="238">
        <f t="shared" ref="F18:L18" si="16">F15/F13</f>
        <v>0.22892825250776891</v>
      </c>
      <c r="G18" s="238">
        <f t="shared" si="16"/>
        <v>0.22593667516502794</v>
      </c>
      <c r="H18" s="238">
        <f t="shared" si="16"/>
        <v>0.22392110943722768</v>
      </c>
      <c r="I18" s="238">
        <f t="shared" si="16"/>
        <v>0.2214051538746003</v>
      </c>
      <c r="J18" s="238">
        <f t="shared" si="16"/>
        <v>0.2182672819165471</v>
      </c>
      <c r="K18" s="238">
        <f t="shared" si="16"/>
        <v>0.21488879546351508</v>
      </c>
      <c r="L18" s="238">
        <f t="shared" si="16"/>
        <v>0.2112613729738666</v>
      </c>
      <c r="M18" s="238">
        <f t="shared" ref="M18:O18" si="17">M15/M13</f>
        <v>0.20738362344908981</v>
      </c>
      <c r="N18" s="238">
        <f t="shared" si="17"/>
        <v>0.20321942070622848</v>
      </c>
      <c r="O18" s="238">
        <f t="shared" si="17"/>
        <v>0.19876776081543027</v>
      </c>
    </row>
    <row r="19" spans="2:15" ht="18" customHeight="1">
      <c r="B19" s="239" t="s">
        <v>440</v>
      </c>
      <c r="C19" s="135"/>
      <c r="D19" s="135"/>
      <c r="E19" s="135"/>
      <c r="F19" s="147">
        <f>(F16/F15)*F13</f>
        <v>6.0961671131835926</v>
      </c>
      <c r="G19" s="147">
        <f t="shared" ref="G19:L19" si="18">(G16/G15)*G13</f>
        <v>28.010362340682722</v>
      </c>
      <c r="H19" s="147">
        <f t="shared" si="18"/>
        <v>33.016081957518487</v>
      </c>
      <c r="I19" s="147">
        <f t="shared" si="18"/>
        <v>38.433472650227614</v>
      </c>
      <c r="J19" s="147">
        <f t="shared" si="18"/>
        <v>41.952038003780274</v>
      </c>
      <c r="K19" s="147">
        <f t="shared" si="18"/>
        <v>45.763063002718262</v>
      </c>
      <c r="L19" s="147">
        <f t="shared" si="18"/>
        <v>49.900633122209257</v>
      </c>
      <c r="M19" s="147">
        <f t="shared" ref="M19:O19" si="19">(M16/M15)*M13</f>
        <v>54.402479620494191</v>
      </c>
      <c r="N19" s="147">
        <f t="shared" si="19"/>
        <v>59.322245722799217</v>
      </c>
      <c r="O19" s="147">
        <f t="shared" si="19"/>
        <v>64.713725009683358</v>
      </c>
    </row>
    <row r="20" spans="2:15" ht="18" customHeight="1">
      <c r="B20" s="135" t="s">
        <v>441</v>
      </c>
      <c r="C20" s="135"/>
      <c r="D20" s="135"/>
      <c r="E20" s="135"/>
      <c r="F20" s="238">
        <f>F19/F13</f>
        <v>0.80783905117234434</v>
      </c>
      <c r="G20" s="238">
        <f t="shared" ref="G20:L20" si="20">G19/G13</f>
        <v>0.45271929527807225</v>
      </c>
      <c r="H20" s="238">
        <f t="shared" si="20"/>
        <v>0.4165400088222399</v>
      </c>
      <c r="I20" s="238">
        <f t="shared" si="20"/>
        <v>0.39426585045123813</v>
      </c>
      <c r="J20" s="238">
        <f t="shared" si="20"/>
        <v>0.38761340511191905</v>
      </c>
      <c r="K20" s="238">
        <f t="shared" si="20"/>
        <v>0.38309206436479221</v>
      </c>
      <c r="L20" s="238">
        <f t="shared" si="20"/>
        <v>0.38041418038430208</v>
      </c>
      <c r="M20" s="238">
        <f t="shared" ref="M20:O20" si="21">M19/M13</f>
        <v>0.37937193627581212</v>
      </c>
      <c r="N20" s="238">
        <f t="shared" si="21"/>
        <v>0.3798906132378515</v>
      </c>
      <c r="O20" s="238">
        <f t="shared" si="21"/>
        <v>0.38188804071073373</v>
      </c>
    </row>
    <row r="22" spans="2:15" ht="18" customHeight="1">
      <c r="B22" s="135" t="s">
        <v>442</v>
      </c>
      <c r="C22" s="135"/>
      <c r="D22" s="135"/>
      <c r="E22" s="135"/>
      <c r="F22" s="135"/>
      <c r="G22" s="135"/>
      <c r="H22" s="135"/>
      <c r="I22" s="135"/>
      <c r="J22" s="135"/>
      <c r="K22" s="135"/>
      <c r="L22" s="135"/>
      <c r="M22" s="135"/>
      <c r="N22" s="135"/>
      <c r="O22" s="135"/>
    </row>
    <row r="24" spans="2:15" ht="18" customHeight="1">
      <c r="B24" s="94" t="s">
        <v>359</v>
      </c>
      <c r="F24" s="103">
        <f>IS!F64</f>
        <v>0.29824217941052861</v>
      </c>
      <c r="G24" s="103">
        <f>IS!G64</f>
        <v>0.16956223518512251</v>
      </c>
      <c r="H24" s="103">
        <f>IS!H64</f>
        <v>0.16323647882949274</v>
      </c>
      <c r="I24" s="103">
        <f>IS!I64</f>
        <v>0.16096754538520341</v>
      </c>
      <c r="J24" s="103">
        <f>IS!J64</f>
        <v>0.15494209759144667</v>
      </c>
      <c r="K24" s="103">
        <f>IS!K64</f>
        <v>0.15201285957741567</v>
      </c>
      <c r="L24" s="103">
        <f>IS!L64</f>
        <v>0.14876187645466582</v>
      </c>
      <c r="M24" s="103">
        <f>IS!M64</f>
        <v>0.14520134424414352</v>
      </c>
      <c r="N24" s="103">
        <f>IS!N64</f>
        <v>0.14130746632011212</v>
      </c>
      <c r="O24" s="103">
        <f>IS!O64</f>
        <v>0.13708582220442148</v>
      </c>
    </row>
    <row r="25" spans="2:15" ht="18" customHeight="1">
      <c r="B25" s="118" t="s">
        <v>443</v>
      </c>
      <c r="C25" s="118"/>
      <c r="D25" s="118"/>
      <c r="E25" s="118"/>
      <c r="F25" s="362">
        <f>AVERAGE(F24:O24)</f>
        <v>0.16713199052025529</v>
      </c>
      <c r="G25" s="362"/>
      <c r="H25" s="362"/>
      <c r="I25" s="362"/>
      <c r="J25" s="362"/>
      <c r="K25" s="362"/>
      <c r="L25" s="362"/>
      <c r="M25" s="362"/>
      <c r="N25" s="362"/>
      <c r="O25" s="362"/>
    </row>
    <row r="26" spans="2:15" ht="18" customHeight="1">
      <c r="B26" s="94" t="s">
        <v>360</v>
      </c>
      <c r="F26" s="103">
        <f>IS!F66</f>
        <v>0.25840967523561942</v>
      </c>
      <c r="G26" s="103">
        <f>IS!G66</f>
        <v>0.13966635835188448</v>
      </c>
      <c r="H26" s="103">
        <f>IS!H66</f>
        <v>0.1399001677429523</v>
      </c>
      <c r="I26" s="103">
        <f>IS!I66</f>
        <v>0.14199259920269763</v>
      </c>
      <c r="J26" s="103">
        <f>IS!J66</f>
        <v>0.13785191344258529</v>
      </c>
      <c r="K26" s="103">
        <f>IS!K66</f>
        <v>0.13652864829867159</v>
      </c>
      <c r="L26" s="103">
        <f>IS!L66</f>
        <v>0.13466081974550106</v>
      </c>
      <c r="M26" s="103">
        <f>IS!M66</f>
        <v>0.13230259726265509</v>
      </c>
      <c r="N26" s="103">
        <f>IS!N66</f>
        <v>0.12946227726179049</v>
      </c>
      <c r="O26" s="103">
        <f>IS!O66</f>
        <v>0.12617039653438811</v>
      </c>
    </row>
    <row r="27" spans="2:15" ht="18" customHeight="1">
      <c r="B27" s="118" t="s">
        <v>443</v>
      </c>
      <c r="C27" s="118"/>
      <c r="D27" s="118"/>
      <c r="E27" s="118"/>
      <c r="F27" s="362">
        <f>AVERAGE(F26:O26)</f>
        <v>0.14769454530787454</v>
      </c>
      <c r="G27" s="362"/>
      <c r="H27" s="362"/>
      <c r="I27" s="362"/>
      <c r="J27" s="362"/>
      <c r="K27" s="362"/>
      <c r="L27" s="362"/>
      <c r="M27" s="362"/>
      <c r="N27" s="362"/>
      <c r="O27" s="362"/>
    </row>
    <row r="28" spans="2:15" ht="18" customHeight="1">
      <c r="B28" s="94" t="s">
        <v>361</v>
      </c>
      <c r="F28" s="103">
        <f>IS!F68</f>
        <v>0.17001203112213764</v>
      </c>
      <c r="G28" s="103">
        <f>IS!G68</f>
        <v>8.5695374984448167E-2</v>
      </c>
      <c r="H28" s="103">
        <f>IS!H68</f>
        <v>8.8203538299834197E-2</v>
      </c>
      <c r="I28" s="103">
        <f>IS!I68</f>
        <v>9.0253013621531736E-2</v>
      </c>
      <c r="J28" s="103">
        <f>IS!J68</f>
        <v>8.8053817409701321E-2</v>
      </c>
      <c r="K28" s="103">
        <f>IS!K68</f>
        <v>8.7901566159661423E-2</v>
      </c>
      <c r="L28" s="103">
        <f>IS!L68</f>
        <v>8.7374011530918214E-2</v>
      </c>
      <c r="M28" s="103">
        <f>IS!M68</f>
        <v>8.7841000347041273E-2</v>
      </c>
      <c r="N28" s="103">
        <f>IS!N68</f>
        <v>8.8561976171520826E-2</v>
      </c>
      <c r="O28" s="103">
        <f>IS!O68</f>
        <v>8.8676155339629192E-2</v>
      </c>
    </row>
    <row r="29" spans="2:15" ht="18" customHeight="1">
      <c r="B29" s="118" t="s">
        <v>443</v>
      </c>
      <c r="C29" s="118"/>
      <c r="D29" s="118"/>
      <c r="E29" s="118"/>
      <c r="F29" s="362">
        <f>AVERAGE(F28:O28)</f>
        <v>9.6257248498642395E-2</v>
      </c>
      <c r="G29" s="362"/>
      <c r="H29" s="362"/>
      <c r="I29" s="362"/>
      <c r="J29" s="362"/>
      <c r="K29" s="362"/>
      <c r="L29" s="362"/>
      <c r="M29" s="362"/>
      <c r="N29" s="362"/>
      <c r="O29" s="362"/>
    </row>
    <row r="30" spans="2:15" ht="18" customHeight="1">
      <c r="B30" s="94" t="s">
        <v>362</v>
      </c>
      <c r="F30" s="103">
        <f>IS!F70</f>
        <v>0</v>
      </c>
      <c r="G30" s="103">
        <f>IS!G70</f>
        <v>7.1989398728267471</v>
      </c>
      <c r="H30" s="103">
        <f>IS!H70</f>
        <v>0.28108837435240153</v>
      </c>
      <c r="I30" s="103">
        <f>IS!I70</f>
        <v>0.22984860468567114</v>
      </c>
      <c r="J30" s="103">
        <f>IS!J70</f>
        <v>0.11028330749554738</v>
      </c>
      <c r="K30" s="103">
        <f>IS!K70</f>
        <v>0.10371680166376218</v>
      </c>
      <c r="L30" s="103">
        <f>IS!L70</f>
        <v>9.808871761223048E-2</v>
      </c>
      <c r="M30" s="103">
        <f>IS!M70</f>
        <v>9.3211358390224985E-2</v>
      </c>
      <c r="N30" s="103">
        <f>IS!N70</f>
        <v>8.8943951673495558E-2</v>
      </c>
      <c r="O30" s="103">
        <f>IS!O70</f>
        <v>8.5178848392583051E-2</v>
      </c>
    </row>
    <row r="31" spans="2:15" ht="18" customHeight="1">
      <c r="B31" s="118" t="s">
        <v>443</v>
      </c>
      <c r="C31" s="118"/>
      <c r="D31" s="118"/>
      <c r="E31" s="118"/>
      <c r="F31" s="362">
        <f>AVERAGE(H30:O30)</f>
        <v>0.13629499553323954</v>
      </c>
      <c r="G31" s="362"/>
      <c r="H31" s="362"/>
      <c r="I31" s="362"/>
      <c r="J31" s="362"/>
      <c r="K31" s="362"/>
      <c r="L31" s="362"/>
      <c r="M31" s="362"/>
      <c r="N31" s="362"/>
      <c r="O31" s="362"/>
    </row>
    <row r="32" spans="2:15" ht="18" customHeight="1">
      <c r="B32" s="94" t="s">
        <v>444</v>
      </c>
      <c r="F32" s="103">
        <f>IS!F61/(BS!F13+BS!F14+BS!F15+BS!F16)</f>
        <v>4.3209988508051508E-2</v>
      </c>
      <c r="G32" s="103">
        <f>IS!G61/(BS!G13+BS!G14+BS!G15+BS!G16)</f>
        <v>0.1772131242954631</v>
      </c>
      <c r="H32" s="103">
        <f>IS!H61/(BS!H13+BS!H14+BS!H15+BS!H16)</f>
        <v>0.20502662998857374</v>
      </c>
      <c r="I32" s="103">
        <f>IS!I61/(BS!I13+BS!I14+BS!I15+BS!I16)</f>
        <v>0.22611727934144463</v>
      </c>
      <c r="J32" s="103">
        <f>IS!J61/(BS!J13+BS!J14+BS!J15+BS!J16)</f>
        <v>0.21599397601862425</v>
      </c>
      <c r="K32" s="103">
        <f>IS!K61/(BS!K13+BS!K14+BS!K15+BS!K16)</f>
        <v>0.20934213218173789</v>
      </c>
      <c r="L32" s="103">
        <f>IS!L61/(BS!L13+BS!L14+BS!L15+BS!L16)</f>
        <v>0.20141466893432561</v>
      </c>
      <c r="M32" s="103">
        <f>IS!M61/(BS!M13+BS!M14+BS!M15+BS!M16)</f>
        <v>0.19236345653733378</v>
      </c>
      <c r="N32" s="103">
        <f>IS!N61/(BS!N13+BS!N14+BS!N15+BS!N16)</f>
        <v>0.18298378032897067</v>
      </c>
      <c r="O32" s="103">
        <f>IS!O61/(BS!O13+BS!O14+BS!O15+BS!O16)</f>
        <v>0.17035119581397193</v>
      </c>
    </row>
    <row r="33" spans="2:15" ht="18" customHeight="1">
      <c r="B33" s="118" t="s">
        <v>443</v>
      </c>
      <c r="C33" s="118"/>
      <c r="D33" s="118"/>
      <c r="E33" s="118"/>
      <c r="F33" s="362">
        <f>AVERAGE(F32:O32)</f>
        <v>0.1824016231948497</v>
      </c>
      <c r="G33" s="362"/>
      <c r="H33" s="362"/>
      <c r="I33" s="362"/>
      <c r="J33" s="362"/>
      <c r="K33" s="362"/>
      <c r="L33" s="362"/>
      <c r="M33" s="362"/>
      <c r="N33" s="362"/>
      <c r="O33" s="362"/>
    </row>
    <row r="34" spans="2:15" ht="18" customHeight="1">
      <c r="B34" s="94" t="s">
        <v>445</v>
      </c>
      <c r="F34" s="103">
        <f>IS!F45/(BS!F13+BS!F16)</f>
        <v>4.2496991582113224E-2</v>
      </c>
      <c r="G34" s="103">
        <f>IS!G45/(BS!G13+BS!G16)</f>
        <v>0.17562794348731814</v>
      </c>
      <c r="H34" s="103">
        <f>IS!H45/(BS!H13+BS!H16)</f>
        <v>0.23158014943450972</v>
      </c>
      <c r="I34" s="103">
        <f>IS!I45/(BS!I13+BS!I16)</f>
        <v>0.29142626316846004</v>
      </c>
      <c r="J34" s="103">
        <f>IS!J45/(BS!J13+BS!J16)</f>
        <v>0.31568138588676858</v>
      </c>
      <c r="K34" s="103">
        <f>IS!K45/(BS!K13+BS!K16)</f>
        <v>0.34782040193687624</v>
      </c>
      <c r="L34" s="103">
        <f>IS!L45/(BS!L13+BS!L16)</f>
        <v>0.37964540212654857</v>
      </c>
      <c r="M34" s="103">
        <f>IS!M45/(BS!M13+BS!M16)</f>
        <v>0.41725089530344434</v>
      </c>
      <c r="N34" s="103">
        <f>IS!N45/(BS!N13+BS!N16)</f>
        <v>0.45809212943259109</v>
      </c>
      <c r="O34" s="103">
        <f>IS!O45/(BS!O13+BS!O16)</f>
        <v>0.49775279457313709</v>
      </c>
    </row>
    <row r="35" spans="2:15" ht="18" customHeight="1">
      <c r="B35" s="118" t="s">
        <v>443</v>
      </c>
      <c r="C35" s="118"/>
      <c r="D35" s="118"/>
      <c r="E35" s="118"/>
      <c r="F35" s="362">
        <f>AVERAGE(F34:O34)</f>
        <v>0.31573743569317669</v>
      </c>
      <c r="G35" s="362"/>
      <c r="H35" s="362"/>
      <c r="I35" s="362"/>
      <c r="J35" s="362"/>
      <c r="K35" s="362"/>
      <c r="L35" s="362"/>
      <c r="M35" s="362"/>
      <c r="N35" s="362"/>
      <c r="O35" s="362"/>
    </row>
    <row r="36" spans="2:15" ht="18" customHeight="1">
      <c r="B36" s="94" t="s">
        <v>446</v>
      </c>
      <c r="F36" s="103">
        <f>IS!F45/(BS!F13+BS!F14+BS!F16)</f>
        <v>4.0764617955989478E-2</v>
      </c>
      <c r="G36" s="103">
        <f>IS!G45/(BS!G13+BS!G14+BS!G16)</f>
        <v>0.14417892486316078</v>
      </c>
      <c r="H36" s="103">
        <f>IS!H45/(BS!H13+BS!H14+BS!H16)</f>
        <v>0.15974293800159473</v>
      </c>
      <c r="I36" s="103">
        <f>IS!I45/(BS!I13+BS!I14+BS!I16)</f>
        <v>0.16737752930475222</v>
      </c>
      <c r="J36" s="103">
        <f>IS!J45/(BS!J13+BS!J14+BS!J16)</f>
        <v>0.15348085935879255</v>
      </c>
      <c r="K36" s="103">
        <f>IS!K45/(BS!K13+BS!K14+BS!K16)</f>
        <v>0.14464593238881956</v>
      </c>
      <c r="L36" s="103">
        <f>IS!L45/(BS!L13+BS!L14+BS!L16)</f>
        <v>0.13635324088326142</v>
      </c>
      <c r="M36" s="103">
        <f>IS!M45/(BS!M13+BS!M14+BS!M16)</f>
        <v>0.13032861450912783</v>
      </c>
      <c r="N36" s="103">
        <f>IS!N45/(BS!N13+BS!N14+BS!N16)</f>
        <v>0.12517472684726186</v>
      </c>
      <c r="O36" s="103">
        <f>IS!O45/(BS!O13+BS!O14+BS!O16)</f>
        <v>0.11972768190654101</v>
      </c>
    </row>
    <row r="37" spans="2:15" ht="18" customHeight="1">
      <c r="B37" s="118" t="s">
        <v>443</v>
      </c>
      <c r="C37" s="118"/>
      <c r="D37" s="118"/>
      <c r="E37" s="118"/>
      <c r="F37" s="362">
        <f>AVERAGE(F36:O36)</f>
        <v>0.13217750660193012</v>
      </c>
      <c r="G37" s="362"/>
      <c r="H37" s="362"/>
      <c r="I37" s="362"/>
      <c r="J37" s="362"/>
      <c r="K37" s="362"/>
      <c r="L37" s="362"/>
      <c r="M37" s="362"/>
      <c r="N37" s="362"/>
      <c r="O37" s="362"/>
    </row>
    <row r="38" spans="2:15" ht="18" customHeight="1">
      <c r="B38" s="94" t="s">
        <v>406</v>
      </c>
      <c r="F38" s="104">
        <f>DSCR!F21</f>
        <v>4.5027055092854669</v>
      </c>
      <c r="G38" s="104">
        <f>DSCR!G21</f>
        <v>2.4479423428689993</v>
      </c>
      <c r="H38" s="104">
        <f>DSCR!H21</f>
        <v>2.7130406581611557</v>
      </c>
      <c r="I38" s="104">
        <f>DSCR!I21</f>
        <v>3.2428958643035353</v>
      </c>
      <c r="J38" s="104">
        <f>DSCR!J21</f>
        <v>3.5423812561650236</v>
      </c>
      <c r="K38" s="104">
        <f>DSCR!K21</f>
        <v>3.9375599231489371</v>
      </c>
      <c r="L38" s="104">
        <f>DSCR!L21</f>
        <v>4.3720126231736414</v>
      </c>
      <c r="M38" s="104">
        <f>DSCR!M21</f>
        <v>4.9086374360724596</v>
      </c>
      <c r="N38" s="104">
        <f>DSCR!N21</f>
        <v>5.5407707700654489</v>
      </c>
      <c r="O38" s="104">
        <f>DSCR!O21</f>
        <v>5.6667834602169034</v>
      </c>
    </row>
    <row r="39" spans="2:15" ht="18" customHeight="1">
      <c r="B39" s="118" t="s">
        <v>443</v>
      </c>
      <c r="C39" s="118"/>
      <c r="D39" s="118"/>
      <c r="E39" s="118"/>
      <c r="F39" s="363">
        <f>AVERAGE(F38:O38)</f>
        <v>4.0874729843461575</v>
      </c>
      <c r="G39" s="363"/>
      <c r="H39" s="363"/>
      <c r="I39" s="363"/>
      <c r="J39" s="363"/>
      <c r="K39" s="363"/>
      <c r="L39" s="363"/>
      <c r="M39" s="363"/>
      <c r="N39" s="363"/>
      <c r="O39" s="363"/>
    </row>
    <row r="40" spans="2:15" ht="18" customHeight="1">
      <c r="B40" s="94" t="s">
        <v>447</v>
      </c>
      <c r="F40" s="104">
        <f>IS!F60/(IS!F37+IS!F38)</f>
        <v>5.4073971450515783</v>
      </c>
      <c r="G40" s="104">
        <f>IS!G60/(IS!G37+IS!G38)</f>
        <v>3.9119288460344945</v>
      </c>
      <c r="H40" s="104">
        <f>IS!H60/(IS!H37+IS!H38)</f>
        <v>5.1381882030083847</v>
      </c>
      <c r="I40" s="104">
        <f>IS!I60/(IS!I37+IS!I38)</f>
        <v>6.7213122182113656</v>
      </c>
      <c r="J40" s="104">
        <f>IS!J60/(IS!J37+IS!J38)</f>
        <v>7.7962100216431782</v>
      </c>
      <c r="K40" s="104">
        <f>IS!K60/(IS!K37+IS!K38)</f>
        <v>9.2297702143804941</v>
      </c>
      <c r="L40" s="104">
        <f>IS!L60/(IS!L37+IS!L38)</f>
        <v>10.938943259373024</v>
      </c>
      <c r="M40" s="104">
        <f>IS!M60/(IS!M37+IS!M38)</f>
        <v>13.011193637976694</v>
      </c>
      <c r="N40" s="104">
        <f>IS!N60/(IS!N37+IS!N38)</f>
        <v>15.574979642743948</v>
      </c>
      <c r="O40" s="104">
        <f>IS!O60/(IS!O37+IS!O38)</f>
        <v>19.085169925532039</v>
      </c>
    </row>
    <row r="41" spans="2:15" ht="18" customHeight="1">
      <c r="B41" s="118" t="s">
        <v>443</v>
      </c>
      <c r="C41" s="118"/>
      <c r="D41" s="118"/>
      <c r="E41" s="118"/>
      <c r="F41" s="363">
        <f>AVERAGE(F40:O40)</f>
        <v>9.6815093113955193</v>
      </c>
      <c r="G41" s="363"/>
      <c r="H41" s="363"/>
      <c r="I41" s="363"/>
      <c r="J41" s="363"/>
      <c r="K41" s="363"/>
      <c r="L41" s="363"/>
      <c r="M41" s="363"/>
      <c r="N41" s="363"/>
      <c r="O41" s="363"/>
    </row>
    <row r="42" spans="2:15" ht="18" customHeight="1">
      <c r="B42" s="94" t="s">
        <v>448</v>
      </c>
      <c r="F42" s="104">
        <f>IFERROR(BS!F32/BS!F15+BS!F18,0)</f>
        <v>4.5516490207907871</v>
      </c>
      <c r="G42" s="104">
        <f>IFERROR(BS!G32/BS!G15+BS!G18,0)</f>
        <v>5.7370015597568678</v>
      </c>
      <c r="H42" s="104">
        <f>IFERROR(BS!H32/BS!H15+BS!H18,0)</f>
        <v>6.7790757293545045</v>
      </c>
      <c r="I42" s="104">
        <f>IFERROR(BS!I32/BS!I15+BS!I18,0)</f>
        <v>7.9917576532823524</v>
      </c>
      <c r="J42" s="104">
        <f>IFERROR(BS!J32/BS!J15+BS!J18,0)</f>
        <v>9.1455888607718201</v>
      </c>
      <c r="K42" s="104">
        <f>IFERROR(BS!K32/BS!K15+BS!K18,0)</f>
        <v>10.774949026362711</v>
      </c>
      <c r="L42" s="104">
        <f>IFERROR(BS!L32/BS!L15+BS!L18,0)</f>
        <v>13.506807135909522</v>
      </c>
      <c r="M42" s="104">
        <f>IFERROR(BS!M32/BS!M15+BS!M18,0)</f>
        <v>20.083677297954384</v>
      </c>
      <c r="N42" s="104">
        <f>IFERROR(BS!N32/BS!N15+BS!N18,0)</f>
        <v>0</v>
      </c>
      <c r="O42" s="104">
        <f>IFERROR(BS!O32/BS!O15+BS!O18,0)</f>
        <v>0</v>
      </c>
    </row>
    <row r="43" spans="2:15" ht="18" customHeight="1">
      <c r="B43" s="118" t="s">
        <v>443</v>
      </c>
      <c r="C43" s="118"/>
      <c r="D43" s="118"/>
      <c r="E43" s="118"/>
      <c r="F43" s="364">
        <f>AVERAGE(F42:O42)</f>
        <v>7.8570506284182944</v>
      </c>
      <c r="G43" s="364"/>
      <c r="H43" s="364"/>
      <c r="I43" s="364"/>
      <c r="J43" s="364"/>
      <c r="K43" s="364"/>
      <c r="L43" s="364"/>
      <c r="M43" s="364"/>
      <c r="N43" s="364"/>
      <c r="O43" s="364"/>
    </row>
    <row r="44" spans="2:15" ht="18" customHeight="1">
      <c r="B44" s="94" t="s">
        <v>449</v>
      </c>
      <c r="F44" s="104">
        <f>'Working Capital Assessment'!F66/'Working Capital Assessment'!F67</f>
        <v>6.7119304749930775</v>
      </c>
      <c r="G44" s="104">
        <f>'Working Capital Assessment'!G66/'Working Capital Assessment'!G67</f>
        <v>6.7481295098833209</v>
      </c>
      <c r="H44" s="104">
        <f>'Working Capital Assessment'!H66/'Working Capital Assessment'!H67</f>
        <v>6.7424105895581814</v>
      </c>
      <c r="I44" s="104">
        <f>'Working Capital Assessment'!I66/'Working Capital Assessment'!I67</f>
        <v>6.7365163876874927</v>
      </c>
      <c r="J44" s="104">
        <f>'Working Capital Assessment'!J66/'Working Capital Assessment'!J67</f>
        <v>6.7304474783838453</v>
      </c>
      <c r="K44" s="104">
        <f>'Working Capital Assessment'!K66/'Working Capital Assessment'!K67</f>
        <v>6.7242321662010074</v>
      </c>
      <c r="L44" s="104">
        <f>'Working Capital Assessment'!L66/'Working Capital Assessment'!L67</f>
        <v>6.7178694805601644</v>
      </c>
      <c r="M44" s="104">
        <f>'Working Capital Assessment'!M66/'Working Capital Assessment'!M67</f>
        <v>6.7114185359444516</v>
      </c>
      <c r="N44" s="104">
        <f>'Working Capital Assessment'!N66/'Working Capital Assessment'!N67</f>
        <v>6.7047308409736521</v>
      </c>
      <c r="O44" s="104">
        <f>'Working Capital Assessment'!O66/'Working Capital Assessment'!O67</f>
        <v>6.697894186959231</v>
      </c>
    </row>
    <row r="45" spans="2:15" ht="18" customHeight="1">
      <c r="B45" s="118" t="s">
        <v>443</v>
      </c>
      <c r="C45" s="118"/>
      <c r="D45" s="118"/>
      <c r="E45" s="118"/>
      <c r="F45" s="363">
        <f>AVERAGE(F44:O44)</f>
        <v>6.7225579651144418</v>
      </c>
      <c r="G45" s="363"/>
      <c r="H45" s="363"/>
      <c r="I45" s="363"/>
      <c r="J45" s="363"/>
      <c r="K45" s="363"/>
      <c r="L45" s="363"/>
      <c r="M45" s="363"/>
      <c r="N45" s="363"/>
      <c r="O45" s="363"/>
    </row>
    <row r="46" spans="2:15" ht="18" customHeight="1">
      <c r="B46" s="94" t="s">
        <v>450</v>
      </c>
      <c r="F46" s="104">
        <f>(BS!F15+BS!F18+BS!F19)/(BS!F13+BS!F14-BS!F42)</f>
        <v>5.0295618097083423</v>
      </c>
      <c r="G46" s="104">
        <f>(BS!G15+BS!G18+BS!G19)/(BS!G13+BS!G14-BS!G42)</f>
        <v>1.8746739133128365</v>
      </c>
      <c r="H46" s="104">
        <f>(BS!H15+BS!H18+BS!H19)/(BS!H13+BS!H14-BS!H42)</f>
        <v>0.97026791835588577</v>
      </c>
      <c r="I46" s="104">
        <f>(BS!I15+BS!I18+BS!I19)/(BS!I13+BS!I14-BS!I42)</f>
        <v>0.58119111646541233</v>
      </c>
      <c r="J46" s="104">
        <f>(BS!J15+BS!J18+BS!J19)/(BS!J13+BS!J14-BS!J42)</f>
        <v>0.38123156761274479</v>
      </c>
      <c r="K46" s="104">
        <f>(BS!K15+BS!K18+BS!K19)/(BS!K13+BS!K14-BS!K42)</f>
        <v>0.2635845471407931</v>
      </c>
      <c r="L46" s="104">
        <f>(BS!L15+BS!L18+BS!L19)/(BS!L13+BS!L14-BS!L42)</f>
        <v>0.18801831435364216</v>
      </c>
      <c r="M46" s="104">
        <f>(BS!M15+BS!M18+BS!M19)/(BS!M13+BS!M14-BS!M42)</f>
        <v>0.13619681685665933</v>
      </c>
      <c r="N46" s="104">
        <f>(BS!N15+BS!N18+BS!N19)/(BS!N13+BS!N14-BS!N42)</f>
        <v>9.9244481820854699E-2</v>
      </c>
      <c r="O46" s="104">
        <f>(BS!O15+BS!O18+BS!O19)/(BS!O13+BS!O14-BS!O42)</f>
        <v>6.91079460981667E-2</v>
      </c>
    </row>
    <row r="47" spans="2:15" ht="18" customHeight="1">
      <c r="B47" s="118" t="s">
        <v>443</v>
      </c>
      <c r="C47" s="118"/>
      <c r="D47" s="118"/>
      <c r="E47" s="118"/>
      <c r="F47" s="363">
        <f>AVERAGE(F46:O46)</f>
        <v>0.95930784317253326</v>
      </c>
      <c r="G47" s="363"/>
      <c r="H47" s="363"/>
      <c r="I47" s="363"/>
      <c r="J47" s="363"/>
      <c r="K47" s="363"/>
      <c r="L47" s="363"/>
      <c r="M47" s="363"/>
      <c r="N47" s="363"/>
      <c r="O47" s="363"/>
    </row>
    <row r="48" spans="2:15" ht="18" customHeight="1">
      <c r="B48" s="94" t="s">
        <v>451</v>
      </c>
      <c r="F48" s="104">
        <f>(BS!F15+BS!F19)/(BS!F13+BS!F16)</f>
        <v>0.4966021877021366</v>
      </c>
      <c r="G48" s="104">
        <f>(BS!G15+BS!G19)/(BS!G13+BS!G16)</f>
        <v>0.45237205889271248</v>
      </c>
      <c r="H48" s="104">
        <f>(BS!H15+BS!H19)/(BS!H13+BS!H16)</f>
        <v>0.39709683604988882</v>
      </c>
      <c r="I48" s="104">
        <f>(BS!I15+BS!I19)/(BS!I13+BS!I16)</f>
        <v>0.34182161320706517</v>
      </c>
      <c r="J48" s="104">
        <f>(BS!J15+BS!J19)/(BS!J13+BS!J16)</f>
        <v>0.28654639036424151</v>
      </c>
      <c r="K48" s="104">
        <f>(BS!K15+BS!K19)/(BS!K13+BS!K16)</f>
        <v>0.23127116752141788</v>
      </c>
      <c r="L48" s="104">
        <f>(BS!L15+BS!L19)/(BS!L13+BS!L16)</f>
        <v>0.17599594467859428</v>
      </c>
      <c r="M48" s="104">
        <f>(BS!M15+BS!M19)/(BS!M13+BS!M16)</f>
        <v>0.12072072183577065</v>
      </c>
      <c r="N48" s="104">
        <f>(BS!N15+BS!N19)/(BS!N13+BS!N16)</f>
        <v>6.5445498992947049E-2</v>
      </c>
      <c r="O48" s="104">
        <f>(BS!O15+BS!O19)/(BS!O13+BS!O16)</f>
        <v>0</v>
      </c>
    </row>
    <row r="49" spans="2:15" ht="18" customHeight="1">
      <c r="B49" s="118" t="s">
        <v>443</v>
      </c>
      <c r="C49" s="118"/>
      <c r="D49" s="118"/>
      <c r="E49" s="118"/>
      <c r="F49" s="363">
        <f>AVERAGE(F48:O48)</f>
        <v>0.25678724192447744</v>
      </c>
      <c r="G49" s="363"/>
      <c r="H49" s="363"/>
      <c r="I49" s="363"/>
      <c r="J49" s="363"/>
      <c r="K49" s="363"/>
      <c r="L49" s="363"/>
      <c r="M49" s="363"/>
      <c r="N49" s="363"/>
      <c r="O49" s="363"/>
    </row>
    <row r="50" spans="2:15" ht="18" customHeight="1">
      <c r="B50" s="94" t="s">
        <v>867</v>
      </c>
    </row>
    <row r="53" spans="2:15" ht="18" customHeight="1">
      <c r="F53" s="94" t="s">
        <v>876</v>
      </c>
    </row>
    <row r="54" spans="2:15" ht="18" customHeight="1">
      <c r="F54" s="94" t="s">
        <v>877</v>
      </c>
    </row>
  </sheetData>
  <mergeCells count="15">
    <mergeCell ref="F31:O31"/>
    <mergeCell ref="F33:O33"/>
    <mergeCell ref="F45:O45"/>
    <mergeCell ref="F47:O47"/>
    <mergeCell ref="F49:O49"/>
    <mergeCell ref="F35:O35"/>
    <mergeCell ref="F37:O37"/>
    <mergeCell ref="F39:O39"/>
    <mergeCell ref="F41:O41"/>
    <mergeCell ref="F43:O43"/>
    <mergeCell ref="D8:E8"/>
    <mergeCell ref="F8:O8"/>
    <mergeCell ref="F25:O25"/>
    <mergeCell ref="F27:O27"/>
    <mergeCell ref="F29:O29"/>
  </mergeCells>
  <pageMargins left="0.7" right="0.7" top="0.75" bottom="0.75" header="0.3" footer="0.3"/>
  <pageSetup orientation="portrait" r:id="rId1"/>
  <ignoredErrors>
    <ignoredError sqref="F26:L26 F28 F30 F44 F38:K38 F16 G16:L16 F40 F42:J42 F34 F48 F36 M16:O16" formula="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1:P12"/>
  <sheetViews>
    <sheetView showGridLines="0" zoomScaleNormal="100" workbookViewId="0">
      <selection activeCell="I12" sqref="I12"/>
    </sheetView>
  </sheetViews>
  <sheetFormatPr defaultColWidth="13.7109375" defaultRowHeight="18" customHeight="1"/>
  <cols>
    <col min="1" max="1" width="4.85546875" style="94" customWidth="1"/>
    <col min="2" max="2" width="45.140625" style="94" customWidth="1"/>
    <col min="3" max="3" width="17.85546875" style="94" customWidth="1"/>
    <col min="4" max="4" width="17.28515625" style="94" customWidth="1"/>
    <col min="5" max="5" width="19.85546875" style="94" customWidth="1"/>
    <col min="6" max="6" width="19.140625" style="94" customWidth="1"/>
    <col min="7" max="13" width="12.7109375" style="94" customWidth="1"/>
    <col min="14" max="15" width="16.140625" style="94" bestFit="1" customWidth="1"/>
    <col min="16" max="16384" width="13.7109375" style="94"/>
  </cols>
  <sheetData>
    <row r="1" spans="2:16" ht="15.75" customHeight="1"/>
    <row r="2" spans="2:16" ht="18" customHeight="1">
      <c r="B2" s="132" t="str">
        <f>"Financial Model of " &amp; B4</f>
        <v>Financial Model of 20,000 M.T of glass Toughening pa. set up by SSRM Glasses Private Limited</v>
      </c>
      <c r="C2" s="133"/>
      <c r="D2" s="133"/>
      <c r="E2" s="133"/>
      <c r="F2" s="133"/>
      <c r="G2" s="96"/>
      <c r="H2" s="96"/>
      <c r="I2" s="96"/>
      <c r="J2" s="96"/>
      <c r="K2" s="96"/>
      <c r="L2" s="96"/>
      <c r="M2" s="96"/>
      <c r="N2" s="96"/>
      <c r="O2" s="96"/>
      <c r="P2" s="96"/>
    </row>
    <row r="3" spans="2:16" ht="12" customHeight="1">
      <c r="C3" s="100"/>
      <c r="D3" s="100"/>
      <c r="E3" s="100"/>
      <c r="F3" s="100"/>
      <c r="G3" s="100"/>
      <c r="H3" s="100"/>
      <c r="I3" s="100"/>
      <c r="J3" s="100"/>
      <c r="K3" s="100"/>
      <c r="L3" s="100"/>
      <c r="M3" s="100"/>
      <c r="N3" s="100"/>
      <c r="O3" s="100"/>
      <c r="P3" s="100"/>
    </row>
    <row r="4" spans="2:16" ht="18" customHeight="1">
      <c r="B4" s="137" t="str">
        <f>'Common Assumption'!B4</f>
        <v>20,000 M.T of glass Toughening pa. set up by SSRM Glasses Private Limited</v>
      </c>
      <c r="C4" s="137"/>
      <c r="D4" s="138"/>
      <c r="E4" s="138"/>
      <c r="F4" s="138"/>
      <c r="G4" s="100"/>
      <c r="H4" s="100"/>
      <c r="I4" s="100"/>
      <c r="J4" s="100"/>
      <c r="K4" s="100"/>
      <c r="L4" s="100"/>
      <c r="M4" s="100"/>
      <c r="N4" s="100"/>
      <c r="O4" s="100"/>
      <c r="P4" s="100"/>
    </row>
    <row r="5" spans="2:16" ht="13.5" customHeight="1">
      <c r="C5" s="100"/>
      <c r="D5" s="100"/>
      <c r="F5" s="125"/>
    </row>
    <row r="6" spans="2:16" ht="18" customHeight="1">
      <c r="B6" s="135" t="s">
        <v>626</v>
      </c>
      <c r="C6" s="120" t="s">
        <v>407</v>
      </c>
      <c r="D6" s="120" t="s">
        <v>426</v>
      </c>
      <c r="E6" s="120" t="s">
        <v>427</v>
      </c>
      <c r="F6" s="120" t="s">
        <v>432</v>
      </c>
      <c r="G6" s="100"/>
      <c r="H6" s="100"/>
      <c r="I6" s="100"/>
      <c r="J6" s="100"/>
      <c r="K6" s="100"/>
      <c r="L6" s="100"/>
      <c r="M6" s="100"/>
      <c r="N6" s="100"/>
      <c r="O6" s="100"/>
      <c r="P6" s="100"/>
    </row>
    <row r="7" spans="2:16" ht="27" customHeight="1">
      <c r="B7" s="118" t="s">
        <v>631</v>
      </c>
      <c r="C7" s="201">
        <v>3.94</v>
      </c>
      <c r="D7" s="202">
        <v>31.15</v>
      </c>
      <c r="E7" s="203">
        <v>0.2177</v>
      </c>
      <c r="F7" s="204">
        <v>4.34</v>
      </c>
    </row>
    <row r="8" spans="2:16" ht="24.75" customHeight="1">
      <c r="B8" s="118" t="s">
        <v>627</v>
      </c>
      <c r="C8" s="205">
        <v>2.81</v>
      </c>
      <c r="D8" s="202">
        <v>1.99</v>
      </c>
      <c r="E8" s="203">
        <v>0.14219999999999999</v>
      </c>
      <c r="F8" s="204">
        <v>5.92</v>
      </c>
    </row>
    <row r="9" spans="2:16" ht="27" hidden="1" customHeight="1">
      <c r="B9" s="118" t="s">
        <v>628</v>
      </c>
      <c r="C9" s="205">
        <v>1.95</v>
      </c>
      <c r="D9" s="202">
        <v>1.03</v>
      </c>
      <c r="E9" s="203">
        <v>0.13969999999999999</v>
      </c>
      <c r="F9" s="204">
        <v>8.36</v>
      </c>
    </row>
    <row r="10" spans="2:16" ht="23.25" customHeight="1">
      <c r="B10" s="118" t="s">
        <v>630</v>
      </c>
      <c r="C10" s="201">
        <v>3.16</v>
      </c>
      <c r="D10" s="202">
        <v>9.77</v>
      </c>
      <c r="E10" s="203">
        <v>0.16489999999999999</v>
      </c>
      <c r="F10" s="204">
        <v>5.23</v>
      </c>
    </row>
    <row r="11" spans="2:16" ht="27" hidden="1" customHeight="1">
      <c r="B11" s="118" t="s">
        <v>629</v>
      </c>
      <c r="C11" s="201">
        <v>2.73</v>
      </c>
      <c r="D11" s="202">
        <v>20.59</v>
      </c>
      <c r="E11" s="203">
        <v>0.21540000000000001</v>
      </c>
      <c r="F11" s="204">
        <v>6.03</v>
      </c>
    </row>
    <row r="12" spans="2:16" ht="27" customHeight="1">
      <c r="B12" s="118" t="s">
        <v>837</v>
      </c>
      <c r="C12" s="201">
        <v>3.63</v>
      </c>
      <c r="D12" s="202">
        <v>28.26</v>
      </c>
      <c r="E12" s="203">
        <v>0.21759999999999999</v>
      </c>
      <c r="F12" s="204">
        <v>4.3899999999999997</v>
      </c>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37DB8F-AD42-41C4-8042-118651770E9D}">
  <dimension ref="A2:C2"/>
  <sheetViews>
    <sheetView workbookViewId="0">
      <selection activeCell="J7" sqref="J7"/>
    </sheetView>
  </sheetViews>
  <sheetFormatPr defaultRowHeight="15"/>
  <sheetData>
    <row r="2" spans="1:3">
      <c r="A2">
        <v>10.7639</v>
      </c>
      <c r="B2">
        <v>55</v>
      </c>
      <c r="C2">
        <f>A2*B2</f>
        <v>592.0145</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D229"/>
  <sheetViews>
    <sheetView topLeftCell="A202" workbookViewId="0">
      <selection activeCell="D230" sqref="D230"/>
    </sheetView>
  </sheetViews>
  <sheetFormatPr defaultRowHeight="15"/>
  <cols>
    <col min="4" max="4" width="28.5703125" customWidth="1"/>
    <col min="5" max="5" width="13.7109375" customWidth="1"/>
    <col min="6" max="6" width="17.42578125" customWidth="1"/>
    <col min="23" max="23" width="18.42578125" style="75" customWidth="1"/>
    <col min="24" max="24" width="17.5703125" style="75" customWidth="1"/>
    <col min="25" max="25" width="9.140625" style="75"/>
    <col min="26" max="26" width="22" style="75" customWidth="1"/>
    <col min="27" max="30" width="9.140625" style="75"/>
  </cols>
  <sheetData>
    <row r="1" spans="1:29">
      <c r="A1" t="s">
        <v>452</v>
      </c>
    </row>
    <row r="3" spans="1:29">
      <c r="A3" t="s">
        <v>464</v>
      </c>
      <c r="F3" t="s">
        <v>520</v>
      </c>
    </row>
    <row r="4" spans="1:29">
      <c r="A4" t="s">
        <v>465</v>
      </c>
      <c r="J4" t="s">
        <v>486</v>
      </c>
    </row>
    <row r="5" spans="1:29">
      <c r="F5">
        <v>20428.530999999999</v>
      </c>
      <c r="M5" t="s">
        <v>487</v>
      </c>
      <c r="P5" t="s">
        <v>498</v>
      </c>
    </row>
    <row r="6" spans="1:29">
      <c r="B6" t="s">
        <v>525</v>
      </c>
    </row>
    <row r="7" spans="1:29">
      <c r="C7" s="72">
        <f>0.3262+3.92</f>
        <v>4.2462</v>
      </c>
      <c r="E7" t="s">
        <v>463</v>
      </c>
      <c r="Q7" t="s">
        <v>499</v>
      </c>
    </row>
    <row r="8" spans="1:29">
      <c r="G8" s="77" t="s">
        <v>526</v>
      </c>
    </row>
    <row r="9" spans="1:29" ht="30">
      <c r="C9">
        <f>4.66+0.388</f>
        <v>5.048</v>
      </c>
      <c r="I9" t="s">
        <v>489</v>
      </c>
      <c r="W9" s="75" t="s">
        <v>467</v>
      </c>
      <c r="X9" s="75" t="s">
        <v>468</v>
      </c>
      <c r="Y9" s="75" t="s">
        <v>470</v>
      </c>
      <c r="Z9" s="75" t="s">
        <v>472</v>
      </c>
      <c r="AA9" s="75" t="s">
        <v>473</v>
      </c>
      <c r="AB9" s="75" t="s">
        <v>475</v>
      </c>
      <c r="AC9" s="75" t="s">
        <v>476</v>
      </c>
    </row>
    <row r="10" spans="1:29">
      <c r="H10" t="s">
        <v>488</v>
      </c>
      <c r="X10" s="75" t="s">
        <v>469</v>
      </c>
      <c r="Y10" s="75" t="s">
        <v>471</v>
      </c>
      <c r="AA10" s="75" t="s">
        <v>474</v>
      </c>
      <c r="AB10" s="75" t="s">
        <v>474</v>
      </c>
      <c r="AC10" s="75" t="s">
        <v>477</v>
      </c>
    </row>
    <row r="11" spans="1:29">
      <c r="C11">
        <v>20428.530999999999</v>
      </c>
      <c r="D11" s="77" t="s">
        <v>586</v>
      </c>
      <c r="F11">
        <v>10449033</v>
      </c>
      <c r="N11" t="s">
        <v>527</v>
      </c>
    </row>
    <row r="12" spans="1:29" ht="78" customHeight="1">
      <c r="D12" t="s">
        <v>492</v>
      </c>
      <c r="H12" t="s">
        <v>528</v>
      </c>
      <c r="M12">
        <f>390</f>
        <v>390</v>
      </c>
      <c r="N12">
        <f>M12/33</f>
        <v>11.818181818181818</v>
      </c>
      <c r="O12">
        <f>28/6</f>
        <v>4.666666666666667</v>
      </c>
      <c r="W12" s="75">
        <v>1</v>
      </c>
      <c r="X12" s="75" t="s">
        <v>478</v>
      </c>
      <c r="Y12" s="75" t="s">
        <v>479</v>
      </c>
      <c r="Z12" s="75" t="s">
        <v>480</v>
      </c>
    </row>
    <row r="13" spans="1:29" ht="15.75" customHeight="1">
      <c r="C13" t="s">
        <v>453</v>
      </c>
      <c r="AA13" s="75" t="s">
        <v>481</v>
      </c>
      <c r="AB13" s="75">
        <v>75000</v>
      </c>
      <c r="AC13" s="75">
        <v>10</v>
      </c>
    </row>
    <row r="14" spans="1:29" ht="57" customHeight="1">
      <c r="C14" t="s">
        <v>454</v>
      </c>
      <c r="W14" s="75">
        <v>3</v>
      </c>
      <c r="X14" s="75" t="s">
        <v>482</v>
      </c>
      <c r="Y14" s="75" t="s">
        <v>483</v>
      </c>
      <c r="Z14" s="75" t="s">
        <v>484</v>
      </c>
    </row>
    <row r="15" spans="1:29">
      <c r="C15" t="s">
        <v>455</v>
      </c>
      <c r="AA15" s="75" t="s">
        <v>481</v>
      </c>
      <c r="AB15" s="75">
        <v>75000</v>
      </c>
      <c r="AC15" s="75">
        <v>10</v>
      </c>
    </row>
    <row r="16" spans="1:29">
      <c r="C16" t="s">
        <v>456</v>
      </c>
      <c r="X16" s="75" t="s">
        <v>485</v>
      </c>
      <c r="AB16" s="75">
        <v>150000</v>
      </c>
    </row>
    <row r="18" spans="3:16">
      <c r="C18" t="s">
        <v>457</v>
      </c>
    </row>
    <row r="20" spans="3:16">
      <c r="C20" t="s">
        <v>458</v>
      </c>
    </row>
    <row r="23" spans="3:16">
      <c r="C23" t="s">
        <v>462</v>
      </c>
    </row>
    <row r="26" spans="3:16">
      <c r="E26" t="s">
        <v>496</v>
      </c>
      <c r="J26" t="s">
        <v>501</v>
      </c>
    </row>
    <row r="27" spans="3:16">
      <c r="C27" t="s">
        <v>466</v>
      </c>
    </row>
    <row r="30" spans="3:16">
      <c r="C30" t="s">
        <v>491</v>
      </c>
      <c r="P30">
        <v>17500</v>
      </c>
    </row>
    <row r="31" spans="3:16">
      <c r="E31" t="s">
        <v>495</v>
      </c>
      <c r="P31">
        <v>350</v>
      </c>
    </row>
    <row r="32" spans="3:16">
      <c r="P32">
        <f>P30/P31</f>
        <v>50</v>
      </c>
    </row>
    <row r="33" spans="3:14">
      <c r="E33" t="s">
        <v>494</v>
      </c>
    </row>
    <row r="35" spans="3:14">
      <c r="C35" t="s">
        <v>493</v>
      </c>
    </row>
    <row r="37" spans="3:14">
      <c r="E37" t="s">
        <v>497</v>
      </c>
    </row>
    <row r="38" spans="3:14">
      <c r="K38" t="s">
        <v>502</v>
      </c>
      <c r="L38" t="s">
        <v>503</v>
      </c>
      <c r="M38" t="s">
        <v>504</v>
      </c>
      <c r="N38" t="s">
        <v>238</v>
      </c>
    </row>
    <row r="41" spans="3:14">
      <c r="C41">
        <v>80</v>
      </c>
      <c r="F41" t="s">
        <v>500</v>
      </c>
    </row>
    <row r="42" spans="3:14">
      <c r="C42">
        <v>40</v>
      </c>
    </row>
    <row r="43" spans="3:14">
      <c r="C43">
        <v>40</v>
      </c>
      <c r="F43">
        <f>25*2</f>
        <v>50</v>
      </c>
      <c r="K43">
        <v>20</v>
      </c>
    </row>
    <row r="44" spans="3:14">
      <c r="C44">
        <v>20</v>
      </c>
      <c r="K44">
        <v>7.5</v>
      </c>
    </row>
    <row r="45" spans="3:14">
      <c r="C45">
        <v>10</v>
      </c>
      <c r="K45">
        <v>10</v>
      </c>
    </row>
    <row r="46" spans="3:14">
      <c r="C46">
        <v>10</v>
      </c>
      <c r="F46" t="s">
        <v>529</v>
      </c>
      <c r="K46">
        <v>11</v>
      </c>
    </row>
    <row r="47" spans="3:14">
      <c r="C47">
        <v>10</v>
      </c>
      <c r="K47">
        <v>55</v>
      </c>
    </row>
    <row r="48" spans="3:14">
      <c r="C48">
        <v>6</v>
      </c>
      <c r="G48" t="s">
        <v>530</v>
      </c>
      <c r="K48">
        <v>80</v>
      </c>
    </row>
    <row r="49" spans="3:11">
      <c r="C49">
        <v>20</v>
      </c>
      <c r="K49">
        <v>10</v>
      </c>
    </row>
    <row r="50" spans="3:11">
      <c r="C50">
        <v>310</v>
      </c>
      <c r="K50">
        <v>10</v>
      </c>
    </row>
    <row r="51" spans="3:11">
      <c r="C51">
        <v>35</v>
      </c>
      <c r="K51">
        <v>15</v>
      </c>
    </row>
    <row r="52" spans="3:11">
      <c r="C52">
        <v>28</v>
      </c>
      <c r="G52" t="s">
        <v>531</v>
      </c>
      <c r="K52">
        <v>66</v>
      </c>
    </row>
    <row r="53" spans="3:11">
      <c r="C53">
        <v>25</v>
      </c>
      <c r="K53">
        <v>97</v>
      </c>
    </row>
    <row r="54" spans="3:11">
      <c r="C54">
        <v>39</v>
      </c>
      <c r="K54">
        <v>5</v>
      </c>
    </row>
    <row r="55" spans="3:11">
      <c r="C55">
        <v>20</v>
      </c>
      <c r="G55" t="s">
        <v>532</v>
      </c>
      <c r="K55">
        <v>30</v>
      </c>
    </row>
    <row r="56" spans="3:11">
      <c r="C56">
        <v>21.31</v>
      </c>
      <c r="K56">
        <v>10</v>
      </c>
    </row>
    <row r="57" spans="3:11">
      <c r="C57">
        <v>15</v>
      </c>
    </row>
    <row r="58" spans="3:11">
      <c r="C58">
        <v>20</v>
      </c>
      <c r="G58" t="s">
        <v>533</v>
      </c>
    </row>
    <row r="59" spans="3:11">
      <c r="C59">
        <v>25</v>
      </c>
      <c r="G59" t="s">
        <v>534</v>
      </c>
    </row>
    <row r="60" spans="3:11">
      <c r="C60">
        <v>7</v>
      </c>
    </row>
    <row r="61" spans="3:11">
      <c r="C61">
        <f>SUM(C41:C60)</f>
        <v>781.31</v>
      </c>
    </row>
    <row r="63" spans="3:11">
      <c r="F63" t="s">
        <v>505</v>
      </c>
      <c r="G63">
        <v>20</v>
      </c>
      <c r="H63">
        <v>2</v>
      </c>
      <c r="I63">
        <v>6</v>
      </c>
      <c r="J63">
        <v>240</v>
      </c>
    </row>
    <row r="64" spans="3:11">
      <c r="F64" t="s">
        <v>506</v>
      </c>
      <c r="G64">
        <v>7.5</v>
      </c>
      <c r="H64">
        <v>2</v>
      </c>
      <c r="I64">
        <v>8</v>
      </c>
      <c r="J64">
        <v>120</v>
      </c>
    </row>
    <row r="65" spans="6:10">
      <c r="F65" t="s">
        <v>507</v>
      </c>
      <c r="G65">
        <v>10</v>
      </c>
      <c r="H65">
        <v>2</v>
      </c>
      <c r="I65">
        <v>2</v>
      </c>
      <c r="J65">
        <v>40</v>
      </c>
    </row>
    <row r="66" spans="6:10">
      <c r="F66" t="s">
        <v>508</v>
      </c>
      <c r="G66">
        <v>11</v>
      </c>
      <c r="H66">
        <v>2</v>
      </c>
      <c r="I66">
        <v>8</v>
      </c>
      <c r="J66">
        <v>176</v>
      </c>
    </row>
    <row r="67" spans="6:10">
      <c r="F67" t="s">
        <v>509</v>
      </c>
      <c r="G67">
        <v>55</v>
      </c>
      <c r="H67">
        <v>1</v>
      </c>
      <c r="I67">
        <v>16</v>
      </c>
      <c r="J67">
        <v>880</v>
      </c>
    </row>
    <row r="68" spans="6:10">
      <c r="F68" t="s">
        <v>141</v>
      </c>
      <c r="G68">
        <v>80</v>
      </c>
      <c r="H68">
        <v>1</v>
      </c>
      <c r="I68">
        <v>6</v>
      </c>
      <c r="J68">
        <v>480</v>
      </c>
    </row>
    <row r="69" spans="6:10">
      <c r="F69" t="s">
        <v>510</v>
      </c>
      <c r="G69">
        <v>10</v>
      </c>
      <c r="H69">
        <v>2</v>
      </c>
      <c r="I69">
        <v>12</v>
      </c>
      <c r="J69">
        <v>240</v>
      </c>
    </row>
    <row r="70" spans="6:10">
      <c r="F70" t="s">
        <v>511</v>
      </c>
      <c r="G70">
        <v>10</v>
      </c>
      <c r="H70">
        <v>2</v>
      </c>
      <c r="I70">
        <v>16</v>
      </c>
      <c r="J70">
        <v>320</v>
      </c>
    </row>
    <row r="71" spans="6:10">
      <c r="F71" t="s">
        <v>512</v>
      </c>
      <c r="G71">
        <v>15</v>
      </c>
      <c r="H71">
        <v>1</v>
      </c>
      <c r="I71">
        <v>16</v>
      </c>
      <c r="J71">
        <v>240</v>
      </c>
    </row>
    <row r="72" spans="6:10">
      <c r="F72" t="s">
        <v>513</v>
      </c>
      <c r="G72">
        <v>66</v>
      </c>
      <c r="H72">
        <v>1</v>
      </c>
      <c r="I72">
        <v>16</v>
      </c>
      <c r="J72">
        <v>1056</v>
      </c>
    </row>
    <row r="73" spans="6:10">
      <c r="F73" t="s">
        <v>514</v>
      </c>
      <c r="G73">
        <v>97</v>
      </c>
      <c r="H73">
        <v>1</v>
      </c>
      <c r="I73">
        <v>16</v>
      </c>
      <c r="J73">
        <v>1552</v>
      </c>
    </row>
    <row r="74" spans="6:10">
      <c r="F74" t="s">
        <v>515</v>
      </c>
      <c r="G74">
        <v>5</v>
      </c>
      <c r="H74">
        <v>1</v>
      </c>
      <c r="I74">
        <v>16</v>
      </c>
      <c r="J74">
        <v>80</v>
      </c>
    </row>
    <row r="75" spans="6:10">
      <c r="F75" t="s">
        <v>516</v>
      </c>
      <c r="G75">
        <v>30</v>
      </c>
      <c r="H75">
        <v>1</v>
      </c>
      <c r="I75">
        <v>10</v>
      </c>
      <c r="J75">
        <v>300</v>
      </c>
    </row>
    <row r="76" spans="6:10">
      <c r="F76" t="s">
        <v>517</v>
      </c>
      <c r="G76">
        <v>10</v>
      </c>
      <c r="H76">
        <v>1</v>
      </c>
      <c r="I76">
        <v>16</v>
      </c>
      <c r="J76">
        <v>160</v>
      </c>
    </row>
    <row r="83" spans="3:6">
      <c r="C83" t="s">
        <v>518</v>
      </c>
    </row>
    <row r="88" spans="3:6">
      <c r="E88" t="s">
        <v>519</v>
      </c>
    </row>
    <row r="90" spans="3:6">
      <c r="E90" t="s">
        <v>522</v>
      </c>
    </row>
    <row r="92" spans="3:6">
      <c r="F92" t="s">
        <v>543</v>
      </c>
    </row>
    <row r="93" spans="3:6">
      <c r="D93" t="s">
        <v>521</v>
      </c>
    </row>
    <row r="95" spans="3:6">
      <c r="E95" t="s">
        <v>523</v>
      </c>
    </row>
    <row r="97" spans="5:7">
      <c r="F97" t="s">
        <v>542</v>
      </c>
    </row>
    <row r="99" spans="5:7">
      <c r="E99" t="s">
        <v>524</v>
      </c>
    </row>
    <row r="100" spans="5:7">
      <c r="G100" t="s">
        <v>544</v>
      </c>
    </row>
    <row r="101" spans="5:7">
      <c r="E101">
        <v>1</v>
      </c>
    </row>
    <row r="102" spans="5:7">
      <c r="F102" t="s">
        <v>539</v>
      </c>
    </row>
    <row r="104" spans="5:7">
      <c r="F104" t="s">
        <v>536</v>
      </c>
    </row>
    <row r="105" spans="5:7">
      <c r="F105" t="s">
        <v>537</v>
      </c>
    </row>
    <row r="107" spans="5:7">
      <c r="E107" t="s">
        <v>538</v>
      </c>
    </row>
    <row r="109" spans="5:7">
      <c r="F109" t="s">
        <v>541</v>
      </c>
    </row>
    <row r="110" spans="5:7">
      <c r="F110" t="s">
        <v>540</v>
      </c>
    </row>
    <row r="111" spans="5:7">
      <c r="E111" t="s">
        <v>550</v>
      </c>
    </row>
    <row r="112" spans="5:7">
      <c r="E112" t="s">
        <v>549</v>
      </c>
    </row>
    <row r="113" spans="4:7">
      <c r="E113" t="s">
        <v>547</v>
      </c>
    </row>
    <row r="114" spans="4:7">
      <c r="E114" t="s">
        <v>546</v>
      </c>
    </row>
    <row r="115" spans="4:7">
      <c r="E115" t="s">
        <v>548</v>
      </c>
    </row>
    <row r="116" spans="4:7">
      <c r="E116" t="s">
        <v>545</v>
      </c>
    </row>
    <row r="119" spans="4:7">
      <c r="E119" t="s">
        <v>551</v>
      </c>
    </row>
    <row r="121" spans="4:7">
      <c r="E121" t="s">
        <v>552</v>
      </c>
    </row>
    <row r="123" spans="4:7">
      <c r="E123" t="s">
        <v>553</v>
      </c>
    </row>
    <row r="127" spans="4:7">
      <c r="D127" t="s">
        <v>554</v>
      </c>
    </row>
    <row r="128" spans="4:7">
      <c r="D128" t="s">
        <v>562</v>
      </c>
      <c r="G128" t="s">
        <v>601</v>
      </c>
    </row>
    <row r="129" spans="4:10">
      <c r="D129" t="s">
        <v>555</v>
      </c>
    </row>
    <row r="130" spans="4:10">
      <c r="D130" t="s">
        <v>556</v>
      </c>
      <c r="G130" t="s">
        <v>605</v>
      </c>
    </row>
    <row r="131" spans="4:10">
      <c r="D131" t="s">
        <v>557</v>
      </c>
    </row>
    <row r="132" spans="4:10">
      <c r="D132" t="s">
        <v>558</v>
      </c>
    </row>
    <row r="133" spans="4:10">
      <c r="D133" t="s">
        <v>559</v>
      </c>
    </row>
    <row r="134" spans="4:10">
      <c r="D134" t="s">
        <v>560</v>
      </c>
    </row>
    <row r="135" spans="4:10">
      <c r="D135" t="s">
        <v>561</v>
      </c>
    </row>
    <row r="137" spans="4:10">
      <c r="D137" t="s">
        <v>562</v>
      </c>
    </row>
    <row r="138" spans="4:10">
      <c r="D138" s="79" t="s">
        <v>563</v>
      </c>
      <c r="E138" s="78" t="s">
        <v>564</v>
      </c>
      <c r="F138" s="78" t="s">
        <v>565</v>
      </c>
    </row>
    <row r="139" spans="4:10">
      <c r="D139" s="79" t="s">
        <v>566</v>
      </c>
      <c r="E139" s="78">
        <v>1.21</v>
      </c>
      <c r="F139" s="78">
        <v>8.1199999999999992</v>
      </c>
    </row>
    <row r="140" spans="4:10">
      <c r="D140" s="79" t="s">
        <v>567</v>
      </c>
      <c r="E140" s="78">
        <v>5.37</v>
      </c>
      <c r="F140" s="78">
        <v>36.020000000000003</v>
      </c>
      <c r="J140" t="s">
        <v>611</v>
      </c>
    </row>
    <row r="141" spans="4:10">
      <c r="D141" s="79" t="s">
        <v>568</v>
      </c>
      <c r="E141" s="78">
        <v>10.119999999999999</v>
      </c>
      <c r="F141" s="78">
        <v>67.87</v>
      </c>
    </row>
    <row r="142" spans="4:10">
      <c r="D142" s="79" t="s">
        <v>569</v>
      </c>
      <c r="E142" s="78">
        <v>85.09</v>
      </c>
      <c r="F142" s="78" t="s">
        <v>570</v>
      </c>
    </row>
    <row r="143" spans="4:10">
      <c r="D143" s="79" t="s">
        <v>571</v>
      </c>
      <c r="E143" s="78">
        <v>1.01</v>
      </c>
      <c r="F143" s="78">
        <v>6.77</v>
      </c>
    </row>
    <row r="144" spans="4:10">
      <c r="D144" s="79" t="s">
        <v>572</v>
      </c>
      <c r="E144" s="78">
        <v>10.199999999999999</v>
      </c>
      <c r="F144" s="78">
        <v>68.41</v>
      </c>
    </row>
    <row r="147" spans="4:8">
      <c r="D147" s="79" t="s">
        <v>578</v>
      </c>
    </row>
    <row r="148" spans="4:8">
      <c r="D148" t="s">
        <v>573</v>
      </c>
      <c r="E148" t="s">
        <v>574</v>
      </c>
      <c r="F148" t="s">
        <v>575</v>
      </c>
      <c r="G148" t="s">
        <v>576</v>
      </c>
      <c r="H148" t="s">
        <v>577</v>
      </c>
    </row>
    <row r="149" spans="4:8">
      <c r="D149">
        <v>1</v>
      </c>
      <c r="E149">
        <v>5</v>
      </c>
      <c r="F149">
        <v>25</v>
      </c>
      <c r="G149">
        <v>50</v>
      </c>
      <c r="H149">
        <v>400.84</v>
      </c>
    </row>
    <row r="152" spans="4:8">
      <c r="D152" t="s">
        <v>579</v>
      </c>
    </row>
    <row r="154" spans="4:8">
      <c r="D154" t="s">
        <v>580</v>
      </c>
    </row>
    <row r="156" spans="4:8">
      <c r="D156" t="s">
        <v>581</v>
      </c>
    </row>
    <row r="157" spans="4:8">
      <c r="D157" t="s">
        <v>582</v>
      </c>
    </row>
    <row r="158" spans="4:8">
      <c r="D158" t="s">
        <v>583</v>
      </c>
    </row>
    <row r="161" spans="4:4">
      <c r="D161" t="s">
        <v>584</v>
      </c>
    </row>
    <row r="162" spans="4:4">
      <c r="D162" t="s">
        <v>585</v>
      </c>
    </row>
    <row r="163" spans="4:4">
      <c r="D163" t="s">
        <v>594</v>
      </c>
    </row>
    <row r="164" spans="4:4">
      <c r="D164" t="s">
        <v>593</v>
      </c>
    </row>
    <row r="165" spans="4:4">
      <c r="D165" t="s">
        <v>592</v>
      </c>
    </row>
    <row r="166" spans="4:4">
      <c r="D166" t="s">
        <v>591</v>
      </c>
    </row>
    <row r="167" spans="4:4">
      <c r="D167" t="s">
        <v>587</v>
      </c>
    </row>
    <row r="169" spans="4:4">
      <c r="D169" t="s">
        <v>588</v>
      </c>
    </row>
    <row r="171" spans="4:4">
      <c r="D171" t="s">
        <v>590</v>
      </c>
    </row>
    <row r="172" spans="4:4">
      <c r="D172" t="s">
        <v>589</v>
      </c>
    </row>
    <row r="177" spans="4:4">
      <c r="D177" t="s">
        <v>595</v>
      </c>
    </row>
    <row r="178" spans="4:4">
      <c r="D178" t="s">
        <v>596</v>
      </c>
    </row>
    <row r="182" spans="4:4">
      <c r="D182" s="77" t="s">
        <v>597</v>
      </c>
    </row>
    <row r="184" spans="4:4">
      <c r="D184" t="s">
        <v>599</v>
      </c>
    </row>
    <row r="186" spans="4:4">
      <c r="D186" t="s">
        <v>598</v>
      </c>
    </row>
    <row r="189" spans="4:4">
      <c r="D189" t="s">
        <v>604</v>
      </c>
    </row>
    <row r="190" spans="4:4">
      <c r="D190" t="s">
        <v>602</v>
      </c>
    </row>
    <row r="192" spans="4:4">
      <c r="D192" t="s">
        <v>600</v>
      </c>
    </row>
    <row r="194" spans="4:4">
      <c r="D194" t="s">
        <v>601</v>
      </c>
    </row>
    <row r="195" spans="4:4">
      <c r="D195" t="s">
        <v>603</v>
      </c>
    </row>
    <row r="199" spans="4:4">
      <c r="D199" t="s">
        <v>607</v>
      </c>
    </row>
    <row r="201" spans="4:4">
      <c r="D201" t="s">
        <v>606</v>
      </c>
    </row>
    <row r="207" spans="4:4">
      <c r="D207" t="s">
        <v>608</v>
      </c>
    </row>
    <row r="212" spans="4:5">
      <c r="D212" t="s">
        <v>609</v>
      </c>
    </row>
    <row r="218" spans="4:5">
      <c r="D218" t="s">
        <v>610</v>
      </c>
    </row>
    <row r="222" spans="4:5">
      <c r="D222" s="82">
        <f>12*10^7</f>
        <v>120000000</v>
      </c>
      <c r="E222" s="83">
        <v>1.5E-3</v>
      </c>
    </row>
    <row r="223" spans="4:5">
      <c r="E223" s="84">
        <f>D222*E222</f>
        <v>180000</v>
      </c>
    </row>
    <row r="226" spans="4:4">
      <c r="D226" s="82">
        <f>22.8*10^5</f>
        <v>2280000</v>
      </c>
    </row>
    <row r="227" spans="4:4">
      <c r="D227" s="82">
        <v>75000</v>
      </c>
    </row>
    <row r="228" spans="4:4">
      <c r="D228" s="82">
        <v>25000</v>
      </c>
    </row>
    <row r="229" spans="4:4">
      <c r="D229" s="84">
        <f>SUM(D226:D228)</f>
        <v>2380000</v>
      </c>
    </row>
  </sheetData>
  <hyperlinks>
    <hyperlink ref="G8" r:id="rId1" xr:uid="{00000000-0004-0000-1100-000000000000}"/>
    <hyperlink ref="D11" r:id="rId2" xr:uid="{00000000-0004-0000-1100-000001000000}"/>
    <hyperlink ref="D182" r:id="rId3" xr:uid="{00000000-0004-0000-1100-000002000000}"/>
  </hyperlinks>
  <pageMargins left="0.7" right="0.7" top="0.75" bottom="0.75" header="0.3" footer="0.3"/>
  <pageSetup orientation="portrait"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P21"/>
  <sheetViews>
    <sheetView topLeftCell="A4" workbookViewId="0">
      <selection activeCell="P20" sqref="P20"/>
    </sheetView>
  </sheetViews>
  <sheetFormatPr defaultRowHeight="15"/>
  <cols>
    <col min="1" max="1" width="13.42578125" bestFit="1" customWidth="1"/>
    <col min="2" max="2" width="14.28515625" style="316" bestFit="1" customWidth="1"/>
  </cols>
  <sheetData>
    <row r="2" spans="1:14">
      <c r="A2" s="265" t="s">
        <v>201</v>
      </c>
    </row>
    <row r="3" spans="1:14">
      <c r="A3" t="s">
        <v>832</v>
      </c>
      <c r="B3" s="316">
        <v>75393379</v>
      </c>
      <c r="E3" s="94" t="s">
        <v>845</v>
      </c>
      <c r="F3" s="94"/>
      <c r="G3" s="94"/>
      <c r="K3" s="94" t="s">
        <v>776</v>
      </c>
      <c r="L3" s="94"/>
      <c r="M3" s="94"/>
      <c r="N3" s="94"/>
    </row>
    <row r="4" spans="1:14">
      <c r="A4" t="s">
        <v>833</v>
      </c>
      <c r="B4" s="316">
        <v>1470171</v>
      </c>
      <c r="E4" s="94" t="s">
        <v>846</v>
      </c>
      <c r="F4" s="94" t="s">
        <v>847</v>
      </c>
      <c r="G4" s="94"/>
      <c r="K4" s="94" t="s">
        <v>777</v>
      </c>
      <c r="L4" s="94" t="s">
        <v>782</v>
      </c>
      <c r="M4" s="94"/>
      <c r="N4" s="94"/>
    </row>
    <row r="5" spans="1:14">
      <c r="A5" t="s">
        <v>834</v>
      </c>
      <c r="B5" s="316">
        <v>3226379</v>
      </c>
      <c r="E5" s="94" t="s">
        <v>848</v>
      </c>
      <c r="F5" s="94"/>
      <c r="G5" s="94"/>
      <c r="K5" s="94" t="s">
        <v>778</v>
      </c>
      <c r="L5" s="94"/>
      <c r="M5" s="94"/>
      <c r="N5" s="94"/>
    </row>
    <row r="6" spans="1:14">
      <c r="B6" s="316">
        <f>SUM(B3:B5)</f>
        <v>80089929</v>
      </c>
      <c r="E6" s="94" t="s">
        <v>849</v>
      </c>
      <c r="F6" s="94"/>
      <c r="G6" s="94"/>
      <c r="K6" s="94" t="s">
        <v>779</v>
      </c>
      <c r="L6" s="94"/>
      <c r="M6" s="94"/>
      <c r="N6" s="94"/>
    </row>
    <row r="7" spans="1:14">
      <c r="B7" s="316">
        <f>B6/10000000</f>
        <v>8.0089929000000009</v>
      </c>
      <c r="E7" s="94" t="s">
        <v>850</v>
      </c>
      <c r="F7" s="94" t="s">
        <v>851</v>
      </c>
      <c r="G7" s="94" t="s">
        <v>852</v>
      </c>
      <c r="K7" s="94"/>
      <c r="L7" s="94"/>
      <c r="M7" s="94"/>
      <c r="N7" s="94"/>
    </row>
    <row r="8" spans="1:14">
      <c r="E8" s="94" t="s">
        <v>853</v>
      </c>
      <c r="F8" s="94" t="s">
        <v>854</v>
      </c>
      <c r="G8" s="94"/>
      <c r="K8" s="94" t="s">
        <v>780</v>
      </c>
      <c r="L8" s="94"/>
      <c r="M8" s="94"/>
      <c r="N8" s="94"/>
    </row>
    <row r="9" spans="1:14">
      <c r="E9" s="94" t="s">
        <v>856</v>
      </c>
      <c r="F9" s="94" t="s">
        <v>855</v>
      </c>
      <c r="G9" s="94"/>
      <c r="K9" s="94" t="s">
        <v>781</v>
      </c>
      <c r="L9" s="94"/>
      <c r="M9" s="94"/>
      <c r="N9" s="94"/>
    </row>
    <row r="10" spans="1:14">
      <c r="K10" s="94"/>
      <c r="L10" s="94"/>
      <c r="M10" s="94"/>
      <c r="N10" s="94"/>
    </row>
    <row r="11" spans="1:14">
      <c r="K11" s="94"/>
      <c r="L11" s="94"/>
      <c r="M11" s="94"/>
      <c r="N11" s="94"/>
    </row>
    <row r="12" spans="1:14">
      <c r="K12" s="94"/>
      <c r="L12" s="94"/>
      <c r="M12" s="94"/>
      <c r="N12" s="94"/>
    </row>
    <row r="13" spans="1:14">
      <c r="K13" s="94"/>
      <c r="L13" s="94"/>
      <c r="M13" s="94"/>
      <c r="N13" s="94">
        <f>20000/300</f>
        <v>66.666666666666671</v>
      </c>
    </row>
    <row r="14" spans="1:14">
      <c r="A14" t="s">
        <v>865</v>
      </c>
      <c r="K14" s="94"/>
      <c r="L14" s="94"/>
      <c r="M14" s="94"/>
      <c r="N14" s="94"/>
    </row>
    <row r="15" spans="1:14">
      <c r="K15" s="94"/>
      <c r="L15" s="94"/>
      <c r="M15" s="94"/>
      <c r="N15" s="94"/>
    </row>
    <row r="16" spans="1:14">
      <c r="K16" s="94" t="s">
        <v>755</v>
      </c>
      <c r="L16" s="94" t="s">
        <v>757</v>
      </c>
      <c r="M16" s="94"/>
      <c r="N16" s="94"/>
    </row>
    <row r="17" spans="5:16">
      <c r="K17" s="94" t="s">
        <v>756</v>
      </c>
      <c r="L17" s="94"/>
      <c r="M17" s="94"/>
      <c r="N17" s="94"/>
    </row>
    <row r="18" spans="5:16">
      <c r="E18">
        <f>121200*3</f>
        <v>363600</v>
      </c>
      <c r="F18" t="s">
        <v>863</v>
      </c>
      <c r="K18" s="94"/>
      <c r="L18" s="94"/>
      <c r="M18" s="94"/>
      <c r="N18" s="94"/>
    </row>
    <row r="19" spans="5:16">
      <c r="E19">
        <f>E18/300</f>
        <v>1212</v>
      </c>
      <c r="K19" s="94"/>
      <c r="L19" s="94"/>
      <c r="M19" s="94"/>
      <c r="N19" s="94"/>
    </row>
    <row r="20" spans="5:16">
      <c r="E20">
        <v>13045</v>
      </c>
      <c r="F20" t="s">
        <v>864</v>
      </c>
      <c r="K20" s="94"/>
      <c r="L20" s="94"/>
      <c r="M20" s="94"/>
      <c r="N20" s="94"/>
      <c r="O20" t="s">
        <v>890</v>
      </c>
      <c r="P20" t="s">
        <v>891</v>
      </c>
    </row>
    <row r="21" spans="5:16">
      <c r="E21">
        <f>2.61/1500*E20</f>
        <v>22.6983</v>
      </c>
      <c r="K21" s="94" t="s">
        <v>758</v>
      </c>
      <c r="L21" s="94"/>
      <c r="M21" s="94"/>
      <c r="N21" s="94"/>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J435"/>
  <sheetViews>
    <sheetView showGridLines="0" topLeftCell="A18" zoomScaleNormal="100" workbookViewId="0">
      <selection activeCell="D24" sqref="D24"/>
    </sheetView>
  </sheetViews>
  <sheetFormatPr defaultRowHeight="15" customHeight="1"/>
  <cols>
    <col min="1" max="1" width="5.140625" style="154" customWidth="1"/>
    <col min="2" max="2" width="50.42578125" style="155" customWidth="1"/>
    <col min="3" max="3" width="14.5703125" style="155" customWidth="1"/>
    <col min="4" max="4" width="45" style="155" customWidth="1"/>
    <col min="5" max="5" width="17.85546875" style="154" bestFit="1" customWidth="1"/>
    <col min="6" max="6" width="9.140625" style="154"/>
    <col min="7" max="7" width="9.5703125" style="154" bestFit="1" customWidth="1"/>
    <col min="8" max="8" width="12.5703125" style="154" bestFit="1" customWidth="1"/>
    <col min="9" max="9" width="14.28515625" style="154" bestFit="1" customWidth="1"/>
    <col min="10" max="16384" width="9.140625" style="154"/>
  </cols>
  <sheetData>
    <row r="1" spans="1:10" ht="16.5" customHeight="1"/>
    <row r="2" spans="1:10" ht="19.5" customHeight="1">
      <c r="B2" s="170" t="str">
        <f>"Financial Model of " &amp; B4</f>
        <v>Financial Model of 20,000 M.T of glass Toughening pa. set up by SSRM Glasses Private Limited</v>
      </c>
      <c r="C2" s="170"/>
      <c r="D2" s="170"/>
    </row>
    <row r="3" spans="1:10" ht="12.75" customHeight="1"/>
    <row r="4" spans="1:10" ht="19.5" customHeight="1">
      <c r="B4" s="172" t="str">
        <f>'Common Assumption'!B4</f>
        <v>20,000 M.T of glass Toughening pa. set up by SSRM Glasses Private Limited</v>
      </c>
      <c r="C4" s="172"/>
      <c r="D4" s="173"/>
    </row>
    <row r="6" spans="1:10" ht="18" customHeight="1">
      <c r="B6" s="174" t="s">
        <v>58</v>
      </c>
      <c r="C6" s="174"/>
      <c r="D6" s="174"/>
    </row>
    <row r="7" spans="1:10" ht="18" customHeight="1">
      <c r="B7" s="175" t="s">
        <v>2</v>
      </c>
      <c r="C7" s="175"/>
      <c r="D7" s="176" t="s">
        <v>59</v>
      </c>
    </row>
    <row r="8" spans="1:10" ht="18" customHeight="1">
      <c r="A8" s="157">
        <v>1</v>
      </c>
      <c r="B8" s="155" t="s">
        <v>62</v>
      </c>
      <c r="D8" s="158">
        <v>8.01</v>
      </c>
      <c r="E8" s="159"/>
    </row>
    <row r="9" spans="1:10" ht="30">
      <c r="A9" s="157">
        <f>A8+1</f>
        <v>2</v>
      </c>
      <c r="B9" s="322" t="s">
        <v>613</v>
      </c>
      <c r="D9" s="158">
        <v>10.89</v>
      </c>
      <c r="E9" s="159"/>
      <c r="F9" s="160"/>
      <c r="H9" s="161"/>
    </row>
    <row r="10" spans="1:10" ht="18" customHeight="1">
      <c r="A10" s="157">
        <f t="shared" ref="A10:A18" si="0">A9+1</f>
        <v>3</v>
      </c>
      <c r="B10" s="155" t="s">
        <v>64</v>
      </c>
      <c r="D10" s="158">
        <f>19.21+(54500*86.84)/10^7+(15000*86.84)/10^7+(25000*86.84)/10^7</f>
        <v>20.030638</v>
      </c>
      <c r="E10" s="159"/>
      <c r="F10" s="160">
        <f>D10/D18</f>
        <v>0.44306424237913883</v>
      </c>
      <c r="I10" s="154">
        <f>30*300</f>
        <v>9000</v>
      </c>
    </row>
    <row r="11" spans="1:10" ht="18" customHeight="1">
      <c r="A11" s="157">
        <f t="shared" si="0"/>
        <v>4</v>
      </c>
      <c r="B11" s="155" t="s">
        <v>730</v>
      </c>
      <c r="D11" s="162">
        <v>1</v>
      </c>
      <c r="E11" s="159"/>
      <c r="G11" s="159"/>
    </row>
    <row r="12" spans="1:10" ht="18" customHeight="1">
      <c r="A12" s="157">
        <v>5</v>
      </c>
      <c r="B12" s="155" t="s">
        <v>821</v>
      </c>
      <c r="D12" s="162">
        <f>'Working Capital Assessment'!G70</f>
        <v>3.5025533137897913</v>
      </c>
      <c r="E12" s="159"/>
      <c r="G12" s="159"/>
      <c r="I12" s="326"/>
    </row>
    <row r="13" spans="1:10" ht="18" customHeight="1">
      <c r="A13" s="157">
        <v>6</v>
      </c>
      <c r="B13" s="155" t="s">
        <v>820</v>
      </c>
      <c r="D13" s="162">
        <v>0</v>
      </c>
      <c r="E13" s="159"/>
      <c r="G13" s="159"/>
      <c r="I13" s="326"/>
    </row>
    <row r="14" spans="1:10" ht="18" customHeight="1">
      <c r="A14" s="157">
        <v>7</v>
      </c>
      <c r="B14" s="155" t="s">
        <v>887</v>
      </c>
      <c r="D14" s="158">
        <f>'Loan Schedule'!D17+'Loan Schedule'!E17</f>
        <v>1.3768333333333336</v>
      </c>
      <c r="E14" s="159"/>
      <c r="I14" s="325"/>
    </row>
    <row r="15" spans="1:10" ht="18" customHeight="1">
      <c r="A15" s="157">
        <f t="shared" si="0"/>
        <v>8</v>
      </c>
      <c r="B15" s="286" t="s">
        <v>60</v>
      </c>
      <c r="C15" s="286"/>
      <c r="D15" s="287">
        <f>SUM(D8:D14)</f>
        <v>44.810024647123122</v>
      </c>
      <c r="G15" s="154" t="s">
        <v>888</v>
      </c>
      <c r="H15" s="154">
        <f>20000/300</f>
        <v>66.666666666666671</v>
      </c>
    </row>
    <row r="16" spans="1:10" ht="18" customHeight="1">
      <c r="A16" s="157">
        <v>8</v>
      </c>
      <c r="B16" s="155" t="s">
        <v>621</v>
      </c>
      <c r="D16" s="158">
        <f>(D8+D9+D10+D11)*E16</f>
        <v>0.39930638000000002</v>
      </c>
      <c r="E16" s="161">
        <v>0.01</v>
      </c>
      <c r="F16" s="164"/>
      <c r="G16" s="165"/>
      <c r="H16" s="365">
        <f>D18/H15*10^7</f>
        <v>6781399.6540684672</v>
      </c>
      <c r="J16" s="323"/>
    </row>
    <row r="17" spans="1:9" ht="18" customHeight="1">
      <c r="A17" s="157">
        <f t="shared" si="0"/>
        <v>9</v>
      </c>
      <c r="B17" s="156" t="s">
        <v>60</v>
      </c>
      <c r="C17" s="156"/>
      <c r="D17" s="163">
        <f>SUM(D15:D16)</f>
        <v>45.20933102712312</v>
      </c>
    </row>
    <row r="18" spans="1:9" ht="18" customHeight="1">
      <c r="A18" s="157">
        <f t="shared" si="0"/>
        <v>10</v>
      </c>
      <c r="B18" s="171" t="s">
        <v>68</v>
      </c>
      <c r="C18" s="171"/>
      <c r="D18" s="177">
        <f>D17</f>
        <v>45.20933102712312</v>
      </c>
      <c r="E18" s="341">
        <f>D18/20000</f>
        <v>2.2604665513561561E-3</v>
      </c>
      <c r="F18" s="154">
        <f>E18*10000000</f>
        <v>22604.665513561562</v>
      </c>
      <c r="G18" s="154" t="s">
        <v>889</v>
      </c>
      <c r="I18" s="159"/>
    </row>
    <row r="19" spans="1:9" ht="18" customHeight="1">
      <c r="B19" s="154"/>
      <c r="C19" s="154"/>
      <c r="D19" s="154"/>
      <c r="F19" s="159">
        <f>D18-D12</f>
        <v>41.706777713333331</v>
      </c>
    </row>
    <row r="20" spans="1:9" ht="18" customHeight="1">
      <c r="B20" s="174" t="s">
        <v>61</v>
      </c>
      <c r="C20" s="174"/>
      <c r="D20" s="174"/>
    </row>
    <row r="21" spans="1:9" ht="18" customHeight="1">
      <c r="B21" s="175" t="s">
        <v>2</v>
      </c>
      <c r="C21" s="175"/>
      <c r="D21" s="176" t="s">
        <v>59</v>
      </c>
      <c r="H21" s="159"/>
    </row>
    <row r="22" spans="1:9" ht="18" customHeight="1">
      <c r="A22" s="157">
        <v>1</v>
      </c>
      <c r="B22" s="166" t="s">
        <v>860</v>
      </c>
      <c r="C22" s="158"/>
      <c r="D22" s="157">
        <v>0.01</v>
      </c>
      <c r="E22" s="167"/>
      <c r="F22" s="160"/>
    </row>
    <row r="23" spans="1:9" ht="18" customHeight="1">
      <c r="A23" s="157">
        <v>2</v>
      </c>
      <c r="B23" s="166" t="s">
        <v>875</v>
      </c>
      <c r="C23" s="158"/>
      <c r="D23" s="157">
        <v>1.99</v>
      </c>
      <c r="E23" s="167"/>
      <c r="F23" s="160"/>
    </row>
    <row r="24" spans="1:9" ht="18" customHeight="1">
      <c r="A24" s="157">
        <v>3</v>
      </c>
      <c r="B24" s="166" t="s">
        <v>824</v>
      </c>
      <c r="C24" s="158"/>
      <c r="D24" s="158">
        <f>D18-D25-D22-D23</f>
        <v>28.189331027123121</v>
      </c>
      <c r="E24" s="167"/>
      <c r="F24" s="160"/>
    </row>
    <row r="25" spans="1:9" ht="18" customHeight="1">
      <c r="A25" s="157">
        <v>4</v>
      </c>
      <c r="B25" s="166" t="s">
        <v>813</v>
      </c>
      <c r="C25" s="168"/>
      <c r="D25" s="158">
        <f>14.4+0.62</f>
        <v>15.02</v>
      </c>
      <c r="E25" s="245"/>
      <c r="F25" s="160"/>
    </row>
    <row r="26" spans="1:9" ht="18" customHeight="1">
      <c r="B26" s="178" t="s">
        <v>60</v>
      </c>
      <c r="C26" s="178"/>
      <c r="D26" s="177">
        <f>D22+D24+D25+D23</f>
        <v>45.20933102712312</v>
      </c>
      <c r="E26" s="169">
        <f>D18-D26</f>
        <v>0</v>
      </c>
    </row>
    <row r="27" spans="1:9" ht="18" customHeight="1">
      <c r="B27" s="166"/>
      <c r="D27" s="168"/>
    </row>
    <row r="28" spans="1:9" ht="18" customHeight="1">
      <c r="B28" s="155" t="s">
        <v>822</v>
      </c>
      <c r="D28" s="158">
        <f>'Working Capital Assessment'!G72</f>
        <v>10</v>
      </c>
      <c r="E28" s="154" t="s">
        <v>823</v>
      </c>
    </row>
    <row r="29" spans="1:9" ht="18" customHeight="1">
      <c r="D29" s="158">
        <f>D28*0.25</f>
        <v>2.5</v>
      </c>
    </row>
    <row r="30" spans="1:9" ht="18" customHeight="1">
      <c r="D30" s="168"/>
    </row>
    <row r="31" spans="1:9" ht="18" customHeight="1">
      <c r="D31" s="158">
        <f>D26+D28</f>
        <v>55.20933102712312</v>
      </c>
    </row>
    <row r="32" spans="1:9" ht="18" customHeight="1">
      <c r="D32" s="168"/>
    </row>
    <row r="33" spans="4:4" ht="18" customHeight="1">
      <c r="D33" s="168"/>
    </row>
    <row r="34" spans="4:4" ht="18" customHeight="1">
      <c r="D34" s="158">
        <f>D18-D12</f>
        <v>41.706777713333331</v>
      </c>
    </row>
    <row r="35" spans="4:4" ht="18" customHeight="1">
      <c r="D35" s="168"/>
    </row>
    <row r="36" spans="4:4" ht="18" customHeight="1">
      <c r="D36" s="168"/>
    </row>
    <row r="37" spans="4:4" ht="18" customHeight="1">
      <c r="D37" s="168"/>
    </row>
    <row r="38" spans="4:4" ht="18" customHeight="1">
      <c r="D38" s="168"/>
    </row>
    <row r="39" spans="4:4" ht="18" customHeight="1">
      <c r="D39" s="168"/>
    </row>
    <row r="40" spans="4:4">
      <c r="D40" s="168"/>
    </row>
    <row r="41" spans="4:4">
      <c r="D41" s="168"/>
    </row>
    <row r="42" spans="4:4" ht="18" customHeight="1">
      <c r="D42" s="168"/>
    </row>
    <row r="43" spans="4:4" ht="18" customHeight="1">
      <c r="D43" s="168"/>
    </row>
    <row r="44" spans="4:4" ht="18" customHeight="1">
      <c r="D44" s="168"/>
    </row>
    <row r="45" spans="4:4" ht="18" customHeight="1">
      <c r="D45" s="168"/>
    </row>
    <row r="46" spans="4:4" ht="18" customHeight="1">
      <c r="D46" s="168"/>
    </row>
    <row r="47" spans="4:4" ht="18" customHeight="1">
      <c r="D47" s="168"/>
    </row>
    <row r="48" spans="4:4" ht="18" customHeight="1">
      <c r="D48" s="168"/>
    </row>
    <row r="49" spans="4:4" ht="18" customHeight="1">
      <c r="D49" s="168"/>
    </row>
    <row r="50" spans="4:4" ht="18" customHeight="1">
      <c r="D50" s="168"/>
    </row>
    <row r="51" spans="4:4" ht="18" customHeight="1">
      <c r="D51" s="168"/>
    </row>
    <row r="52" spans="4:4" ht="18" customHeight="1">
      <c r="D52" s="168"/>
    </row>
    <row r="53" spans="4:4" ht="18" customHeight="1">
      <c r="D53" s="168"/>
    </row>
    <row r="54" spans="4:4" ht="18" customHeight="1">
      <c r="D54" s="168"/>
    </row>
    <row r="55" spans="4:4" ht="18" customHeight="1">
      <c r="D55" s="168"/>
    </row>
    <row r="56" spans="4:4" ht="18" customHeight="1">
      <c r="D56" s="168"/>
    </row>
    <row r="57" spans="4:4" ht="18" customHeight="1">
      <c r="D57" s="168"/>
    </row>
    <row r="58" spans="4:4" ht="18" customHeight="1">
      <c r="D58" s="168"/>
    </row>
    <row r="59" spans="4:4" ht="18" customHeight="1">
      <c r="D59" s="168"/>
    </row>
    <row r="60" spans="4:4" ht="18" customHeight="1">
      <c r="D60" s="168"/>
    </row>
    <row r="61" spans="4:4" ht="18" customHeight="1">
      <c r="D61" s="168"/>
    </row>
    <row r="62" spans="4:4" ht="18" customHeight="1">
      <c r="D62" s="168"/>
    </row>
    <row r="63" spans="4:4" ht="18" customHeight="1">
      <c r="D63" s="168"/>
    </row>
    <row r="64" spans="4:4" ht="18" customHeight="1">
      <c r="D64" s="168"/>
    </row>
    <row r="65" spans="4:4" ht="18" customHeight="1">
      <c r="D65" s="168"/>
    </row>
    <row r="66" spans="4:4" ht="18" customHeight="1">
      <c r="D66" s="168"/>
    </row>
    <row r="67" spans="4:4" ht="18" customHeight="1">
      <c r="D67" s="168"/>
    </row>
    <row r="68" spans="4:4" ht="18" customHeight="1">
      <c r="D68" s="168"/>
    </row>
    <row r="69" spans="4:4" ht="18" customHeight="1">
      <c r="D69" s="168"/>
    </row>
    <row r="70" spans="4:4" ht="18" customHeight="1">
      <c r="D70" s="168"/>
    </row>
    <row r="71" spans="4:4" ht="18" customHeight="1">
      <c r="D71" s="168"/>
    </row>
    <row r="72" spans="4:4" ht="18" customHeight="1">
      <c r="D72" s="168"/>
    </row>
    <row r="73" spans="4:4">
      <c r="D73" s="168"/>
    </row>
    <row r="74" spans="4:4">
      <c r="D74" s="168"/>
    </row>
    <row r="75" spans="4:4" ht="18" customHeight="1">
      <c r="D75" s="168"/>
    </row>
    <row r="76" spans="4:4" ht="18" customHeight="1">
      <c r="D76" s="168"/>
    </row>
    <row r="77" spans="4:4" ht="18" customHeight="1">
      <c r="D77" s="168"/>
    </row>
    <row r="78" spans="4:4" ht="18" customHeight="1">
      <c r="D78" s="168"/>
    </row>
    <row r="79" spans="4:4" ht="18" customHeight="1">
      <c r="D79" s="168"/>
    </row>
    <row r="80" spans="4:4">
      <c r="D80" s="168"/>
    </row>
    <row r="81" spans="4:4" ht="18" customHeight="1">
      <c r="D81" s="168"/>
    </row>
    <row r="82" spans="4:4" ht="18" customHeight="1">
      <c r="D82" s="168"/>
    </row>
    <row r="83" spans="4:4" ht="18" customHeight="1">
      <c r="D83" s="168"/>
    </row>
    <row r="84" spans="4:4">
      <c r="D84" s="168"/>
    </row>
    <row r="85" spans="4:4">
      <c r="D85" s="168"/>
    </row>
    <row r="86" spans="4:4" ht="18" customHeight="1">
      <c r="D86" s="168"/>
    </row>
    <row r="87" spans="4:4" ht="18" customHeight="1">
      <c r="D87" s="168"/>
    </row>
    <row r="88" spans="4:4" ht="18" customHeight="1">
      <c r="D88" s="168"/>
    </row>
    <row r="89" spans="4:4" ht="18" customHeight="1">
      <c r="D89" s="168"/>
    </row>
    <row r="90" spans="4:4" ht="18" customHeight="1">
      <c r="D90" s="168"/>
    </row>
    <row r="91" spans="4:4" ht="18" customHeight="1">
      <c r="D91" s="168"/>
    </row>
    <row r="92" spans="4:4" ht="18" customHeight="1">
      <c r="D92" s="168"/>
    </row>
    <row r="93" spans="4:4" ht="18" customHeight="1">
      <c r="D93" s="168"/>
    </row>
    <row r="94" spans="4:4" ht="18" customHeight="1">
      <c r="D94" s="168"/>
    </row>
    <row r="95" spans="4:4" ht="18" customHeight="1">
      <c r="D95" s="168"/>
    </row>
    <row r="96" spans="4:4" ht="18" customHeight="1">
      <c r="D96" s="168"/>
    </row>
    <row r="97" spans="4:4" ht="18" customHeight="1">
      <c r="D97" s="168"/>
    </row>
    <row r="98" spans="4:4" ht="18" customHeight="1">
      <c r="D98" s="168"/>
    </row>
    <row r="99" spans="4:4" ht="18" customHeight="1">
      <c r="D99" s="168"/>
    </row>
    <row r="100" spans="4:4" ht="18" customHeight="1">
      <c r="D100" s="168"/>
    </row>
    <row r="101" spans="4:4" ht="18" customHeight="1">
      <c r="D101" s="168"/>
    </row>
    <row r="102" spans="4:4" ht="18" customHeight="1">
      <c r="D102" s="168"/>
    </row>
    <row r="103" spans="4:4" ht="18" customHeight="1">
      <c r="D103" s="168"/>
    </row>
    <row r="104" spans="4:4" ht="18" customHeight="1">
      <c r="D104" s="168"/>
    </row>
    <row r="105" spans="4:4" ht="18" customHeight="1">
      <c r="D105" s="168"/>
    </row>
    <row r="106" spans="4:4" ht="18" customHeight="1">
      <c r="D106" s="168"/>
    </row>
    <row r="107" spans="4:4" ht="18" customHeight="1">
      <c r="D107" s="168"/>
    </row>
    <row r="108" spans="4:4" ht="18" customHeight="1">
      <c r="D108" s="168"/>
    </row>
    <row r="109" spans="4:4" ht="18" customHeight="1">
      <c r="D109" s="168"/>
    </row>
    <row r="110" spans="4:4" ht="18" customHeight="1">
      <c r="D110" s="168"/>
    </row>
    <row r="111" spans="4:4" ht="18" customHeight="1">
      <c r="D111" s="168"/>
    </row>
    <row r="112" spans="4:4" ht="18" customHeight="1">
      <c r="D112" s="168"/>
    </row>
    <row r="113" spans="1:5" ht="18" customHeight="1">
      <c r="D113" s="168"/>
    </row>
    <row r="114" spans="1:5" ht="18" customHeight="1">
      <c r="D114" s="168"/>
    </row>
    <row r="115" spans="1:5" ht="18" customHeight="1">
      <c r="D115" s="168"/>
    </row>
    <row r="116" spans="1:5" ht="18" customHeight="1">
      <c r="D116" s="168"/>
    </row>
    <row r="117" spans="1:5" ht="18" customHeight="1">
      <c r="D117" s="168"/>
    </row>
    <row r="118" spans="1:5" ht="18" customHeight="1">
      <c r="D118" s="168"/>
    </row>
    <row r="119" spans="1:5" ht="18" customHeight="1">
      <c r="D119" s="168"/>
    </row>
    <row r="120" spans="1:5" ht="18" customHeight="1">
      <c r="D120" s="168"/>
    </row>
    <row r="121" spans="1:5" ht="18" customHeight="1">
      <c r="D121" s="168"/>
    </row>
    <row r="122" spans="1:5" ht="18" customHeight="1">
      <c r="A122" s="155"/>
      <c r="D122" s="168"/>
    </row>
    <row r="123" spans="1:5" ht="18" customHeight="1">
      <c r="A123" s="155"/>
      <c r="D123" s="168"/>
    </row>
    <row r="124" spans="1:5" ht="18" customHeight="1">
      <c r="A124" s="155"/>
      <c r="D124" s="168"/>
    </row>
    <row r="125" spans="1:5" ht="18" customHeight="1">
      <c r="A125" s="155"/>
      <c r="D125" s="168"/>
    </row>
    <row r="126" spans="1:5" s="155" customFormat="1" ht="18" customHeight="1">
      <c r="D126" s="168"/>
      <c r="E126" s="154"/>
    </row>
    <row r="127" spans="1:5" s="155" customFormat="1" ht="18" customHeight="1">
      <c r="E127" s="154"/>
    </row>
    <row r="128" spans="1:5" s="155" customFormat="1" ht="18" customHeight="1">
      <c r="E128" s="154"/>
    </row>
    <row r="129" spans="5:5" s="155" customFormat="1" ht="18" customHeight="1">
      <c r="E129" s="154"/>
    </row>
    <row r="130" spans="5:5" s="155" customFormat="1" ht="18" customHeight="1">
      <c r="E130" s="154"/>
    </row>
    <row r="131" spans="5:5" s="155" customFormat="1" ht="18" customHeight="1">
      <c r="E131" s="154"/>
    </row>
    <row r="132" spans="5:5" s="155" customFormat="1" ht="18" customHeight="1">
      <c r="E132" s="154"/>
    </row>
    <row r="133" spans="5:5" s="155" customFormat="1" ht="18" customHeight="1">
      <c r="E133" s="154"/>
    </row>
    <row r="134" spans="5:5" s="155" customFormat="1" ht="18" customHeight="1">
      <c r="E134" s="154"/>
    </row>
    <row r="135" spans="5:5" s="155" customFormat="1" ht="18" customHeight="1">
      <c r="E135" s="154"/>
    </row>
    <row r="136" spans="5:5" s="155" customFormat="1" ht="18" customHeight="1">
      <c r="E136" s="154"/>
    </row>
    <row r="137" spans="5:5" s="155" customFormat="1" ht="18" customHeight="1">
      <c r="E137" s="154"/>
    </row>
    <row r="138" spans="5:5" s="155" customFormat="1" ht="18" customHeight="1">
      <c r="E138" s="154"/>
    </row>
    <row r="139" spans="5:5" s="155" customFormat="1" ht="18" customHeight="1">
      <c r="E139" s="154"/>
    </row>
    <row r="140" spans="5:5" s="155" customFormat="1" ht="18" customHeight="1">
      <c r="E140" s="154"/>
    </row>
    <row r="141" spans="5:5" s="155" customFormat="1" ht="18" customHeight="1">
      <c r="E141" s="154"/>
    </row>
    <row r="142" spans="5:5" s="155" customFormat="1" ht="18" customHeight="1">
      <c r="E142" s="154"/>
    </row>
    <row r="143" spans="5:5" s="155" customFormat="1" ht="18" customHeight="1">
      <c r="E143" s="154"/>
    </row>
    <row r="144" spans="5:5" s="155" customFormat="1" ht="18" customHeight="1">
      <c r="E144" s="154"/>
    </row>
    <row r="145" spans="5:5" s="155" customFormat="1" ht="18" customHeight="1">
      <c r="E145" s="154"/>
    </row>
    <row r="146" spans="5:5" s="155" customFormat="1" ht="18" customHeight="1">
      <c r="E146" s="154"/>
    </row>
    <row r="147" spans="5:5" s="155" customFormat="1" ht="18" customHeight="1">
      <c r="E147" s="154"/>
    </row>
    <row r="148" spans="5:5" s="155" customFormat="1" ht="18" customHeight="1">
      <c r="E148" s="154"/>
    </row>
    <row r="149" spans="5:5" s="155" customFormat="1" ht="18" customHeight="1">
      <c r="E149" s="154"/>
    </row>
    <row r="150" spans="5:5" s="155" customFormat="1" ht="18" customHeight="1">
      <c r="E150" s="154"/>
    </row>
    <row r="151" spans="5:5" s="155" customFormat="1" ht="18" customHeight="1">
      <c r="E151" s="154"/>
    </row>
    <row r="152" spans="5:5" s="155" customFormat="1" ht="18" customHeight="1">
      <c r="E152" s="154"/>
    </row>
    <row r="153" spans="5:5" s="155" customFormat="1" ht="18" customHeight="1">
      <c r="E153" s="154"/>
    </row>
    <row r="154" spans="5:5" s="155" customFormat="1" ht="18" customHeight="1">
      <c r="E154" s="154"/>
    </row>
    <row r="155" spans="5:5" s="155" customFormat="1" ht="18" customHeight="1">
      <c r="E155" s="154"/>
    </row>
    <row r="156" spans="5:5" s="155" customFormat="1" ht="18" customHeight="1">
      <c r="E156" s="154"/>
    </row>
    <row r="157" spans="5:5" s="155" customFormat="1" ht="18" customHeight="1">
      <c r="E157" s="154"/>
    </row>
    <row r="158" spans="5:5" s="155" customFormat="1" ht="18" customHeight="1">
      <c r="E158" s="154"/>
    </row>
    <row r="159" spans="5:5" s="155" customFormat="1" ht="18" customHeight="1">
      <c r="E159" s="154"/>
    </row>
    <row r="160" spans="5:5" s="155" customFormat="1" ht="18" customHeight="1">
      <c r="E160" s="154"/>
    </row>
    <row r="161" spans="5:5" s="155" customFormat="1" ht="18" customHeight="1">
      <c r="E161" s="154"/>
    </row>
    <row r="162" spans="5:5" s="155" customFormat="1" ht="18" customHeight="1">
      <c r="E162" s="154"/>
    </row>
    <row r="163" spans="5:5" s="155" customFormat="1" ht="18" customHeight="1">
      <c r="E163" s="154"/>
    </row>
    <row r="164" spans="5:5" s="155" customFormat="1" ht="18" customHeight="1">
      <c r="E164" s="154"/>
    </row>
    <row r="165" spans="5:5" s="155" customFormat="1" ht="18" customHeight="1">
      <c r="E165" s="154"/>
    </row>
    <row r="166" spans="5:5" s="155" customFormat="1" ht="18" customHeight="1">
      <c r="E166" s="154"/>
    </row>
    <row r="167" spans="5:5" s="155" customFormat="1" ht="18" customHeight="1">
      <c r="E167" s="154"/>
    </row>
    <row r="168" spans="5:5" s="155" customFormat="1" ht="18" customHeight="1">
      <c r="E168" s="154"/>
    </row>
    <row r="169" spans="5:5" s="155" customFormat="1" ht="18" customHeight="1">
      <c r="E169" s="154"/>
    </row>
    <row r="170" spans="5:5" s="155" customFormat="1" ht="18" customHeight="1">
      <c r="E170" s="154"/>
    </row>
    <row r="171" spans="5:5" s="155" customFormat="1" ht="18" customHeight="1">
      <c r="E171" s="154"/>
    </row>
    <row r="172" spans="5:5" s="155" customFormat="1" ht="18" customHeight="1">
      <c r="E172" s="154"/>
    </row>
    <row r="173" spans="5:5" s="155" customFormat="1" ht="18" customHeight="1">
      <c r="E173" s="154"/>
    </row>
    <row r="174" spans="5:5" s="155" customFormat="1" ht="18" customHeight="1">
      <c r="E174" s="154"/>
    </row>
    <row r="175" spans="5:5" s="155" customFormat="1" ht="18" customHeight="1">
      <c r="E175" s="154"/>
    </row>
    <row r="176" spans="5:5" s="155" customFormat="1" ht="18" customHeight="1">
      <c r="E176" s="154"/>
    </row>
    <row r="177" spans="5:5" s="155" customFormat="1" ht="18" customHeight="1">
      <c r="E177" s="154"/>
    </row>
    <row r="178" spans="5:5" s="155" customFormat="1" ht="18" customHeight="1">
      <c r="E178" s="154"/>
    </row>
    <row r="179" spans="5:5" s="155" customFormat="1" ht="18" customHeight="1">
      <c r="E179" s="154"/>
    </row>
    <row r="180" spans="5:5" s="155" customFormat="1" ht="18" customHeight="1">
      <c r="E180" s="154"/>
    </row>
    <row r="181" spans="5:5" s="155" customFormat="1" ht="18" customHeight="1">
      <c r="E181" s="154"/>
    </row>
    <row r="182" spans="5:5" s="155" customFormat="1" ht="18" customHeight="1">
      <c r="E182" s="154"/>
    </row>
    <row r="183" spans="5:5" s="155" customFormat="1" ht="18" customHeight="1">
      <c r="E183" s="154"/>
    </row>
    <row r="184" spans="5:5" s="155" customFormat="1" ht="18" customHeight="1">
      <c r="E184" s="154"/>
    </row>
    <row r="185" spans="5:5" s="155" customFormat="1" ht="18" customHeight="1">
      <c r="E185" s="154"/>
    </row>
    <row r="186" spans="5:5" s="155" customFormat="1" ht="18" customHeight="1">
      <c r="E186" s="154"/>
    </row>
    <row r="187" spans="5:5" s="155" customFormat="1" ht="18" customHeight="1">
      <c r="E187" s="154"/>
    </row>
    <row r="188" spans="5:5" s="155" customFormat="1" ht="18" customHeight="1">
      <c r="E188" s="154"/>
    </row>
    <row r="189" spans="5:5" s="155" customFormat="1" ht="18" customHeight="1">
      <c r="E189" s="154"/>
    </row>
    <row r="190" spans="5:5" s="155" customFormat="1" ht="18" customHeight="1">
      <c r="E190" s="154"/>
    </row>
    <row r="191" spans="5:5" s="155" customFormat="1" ht="18" customHeight="1">
      <c r="E191" s="154"/>
    </row>
    <row r="192" spans="5:5" s="155" customFormat="1" ht="18" customHeight="1">
      <c r="E192" s="154"/>
    </row>
    <row r="193" spans="5:5" s="155" customFormat="1" ht="18" customHeight="1">
      <c r="E193" s="154"/>
    </row>
    <row r="194" spans="5:5" s="155" customFormat="1" ht="18" customHeight="1">
      <c r="E194" s="154"/>
    </row>
    <row r="195" spans="5:5" s="155" customFormat="1" ht="18" customHeight="1">
      <c r="E195" s="154"/>
    </row>
    <row r="196" spans="5:5" s="155" customFormat="1" ht="18" customHeight="1">
      <c r="E196" s="154"/>
    </row>
    <row r="197" spans="5:5" s="155" customFormat="1" ht="18" customHeight="1">
      <c r="E197" s="154"/>
    </row>
    <row r="198" spans="5:5" s="155" customFormat="1" ht="18" customHeight="1">
      <c r="E198" s="154"/>
    </row>
    <row r="199" spans="5:5" s="155" customFormat="1" ht="18" customHeight="1">
      <c r="E199" s="154"/>
    </row>
    <row r="200" spans="5:5" s="155" customFormat="1" ht="18" customHeight="1">
      <c r="E200" s="154"/>
    </row>
    <row r="201" spans="5:5" s="155" customFormat="1" ht="18" customHeight="1">
      <c r="E201" s="154"/>
    </row>
    <row r="202" spans="5:5" s="155" customFormat="1" ht="18" customHeight="1">
      <c r="E202" s="154"/>
    </row>
    <row r="203" spans="5:5" s="155" customFormat="1" ht="18" customHeight="1">
      <c r="E203" s="154"/>
    </row>
    <row r="204" spans="5:5" s="155" customFormat="1" ht="18" customHeight="1">
      <c r="E204" s="154"/>
    </row>
    <row r="205" spans="5:5" s="155" customFormat="1" ht="18" customHeight="1">
      <c r="E205" s="154"/>
    </row>
    <row r="206" spans="5:5" s="155" customFormat="1" ht="18" customHeight="1">
      <c r="E206" s="154"/>
    </row>
    <row r="207" spans="5:5" s="155" customFormat="1" ht="18" customHeight="1">
      <c r="E207" s="154"/>
    </row>
    <row r="208" spans="5:5" s="155" customFormat="1" ht="18" customHeight="1">
      <c r="E208" s="154"/>
    </row>
    <row r="209" spans="5:5" s="155" customFormat="1" ht="18" customHeight="1">
      <c r="E209" s="154"/>
    </row>
    <row r="210" spans="5:5" s="155" customFormat="1" ht="18" customHeight="1">
      <c r="E210" s="154"/>
    </row>
    <row r="211" spans="5:5" s="155" customFormat="1" ht="18" customHeight="1">
      <c r="E211" s="154"/>
    </row>
    <row r="212" spans="5:5" s="155" customFormat="1" ht="18" customHeight="1">
      <c r="E212" s="154"/>
    </row>
    <row r="213" spans="5:5" s="155" customFormat="1" ht="18" customHeight="1">
      <c r="E213" s="154"/>
    </row>
    <row r="214" spans="5:5" s="155" customFormat="1" ht="18" customHeight="1">
      <c r="E214" s="154"/>
    </row>
    <row r="215" spans="5:5" s="155" customFormat="1" ht="18" customHeight="1">
      <c r="E215" s="154"/>
    </row>
    <row r="216" spans="5:5" s="155" customFormat="1" ht="18" customHeight="1">
      <c r="E216" s="154"/>
    </row>
    <row r="217" spans="5:5" s="155" customFormat="1" ht="18" customHeight="1">
      <c r="E217" s="154"/>
    </row>
    <row r="218" spans="5:5" s="155" customFormat="1" ht="18" customHeight="1">
      <c r="E218" s="154"/>
    </row>
    <row r="219" spans="5:5" s="155" customFormat="1" ht="18" customHeight="1">
      <c r="E219" s="154"/>
    </row>
    <row r="220" spans="5:5" s="155" customFormat="1" ht="18" customHeight="1">
      <c r="E220" s="154"/>
    </row>
    <row r="221" spans="5:5" s="155" customFormat="1" ht="18" customHeight="1">
      <c r="E221" s="154"/>
    </row>
    <row r="222" spans="5:5" s="155" customFormat="1" ht="18" customHeight="1">
      <c r="E222" s="154"/>
    </row>
    <row r="223" spans="5:5" s="155" customFormat="1" ht="18" customHeight="1">
      <c r="E223" s="154"/>
    </row>
    <row r="224" spans="5:5" s="155" customFormat="1" ht="18" customHeight="1">
      <c r="E224" s="154"/>
    </row>
    <row r="225" spans="5:5" s="155" customFormat="1" ht="18" customHeight="1">
      <c r="E225" s="154"/>
    </row>
    <row r="226" spans="5:5" s="155" customFormat="1" ht="18" customHeight="1">
      <c r="E226" s="154"/>
    </row>
    <row r="227" spans="5:5" s="155" customFormat="1" ht="18" customHeight="1">
      <c r="E227" s="154"/>
    </row>
    <row r="228" spans="5:5" s="155" customFormat="1" ht="18" customHeight="1">
      <c r="E228" s="154"/>
    </row>
    <row r="229" spans="5:5" s="155" customFormat="1" ht="18" customHeight="1">
      <c r="E229" s="154"/>
    </row>
    <row r="230" spans="5:5" s="155" customFormat="1" ht="18" customHeight="1">
      <c r="E230" s="154"/>
    </row>
    <row r="231" spans="5:5" s="155" customFormat="1" ht="18" customHeight="1">
      <c r="E231" s="154"/>
    </row>
    <row r="232" spans="5:5" s="155" customFormat="1" ht="18" customHeight="1">
      <c r="E232" s="154"/>
    </row>
    <row r="233" spans="5:5" s="155" customFormat="1" ht="18" customHeight="1">
      <c r="E233" s="154"/>
    </row>
    <row r="234" spans="5:5" s="155" customFormat="1" ht="18" customHeight="1">
      <c r="E234" s="154"/>
    </row>
    <row r="235" spans="5:5" s="155" customFormat="1" ht="18" customHeight="1">
      <c r="E235" s="154"/>
    </row>
    <row r="236" spans="5:5" s="155" customFormat="1" ht="18" customHeight="1">
      <c r="E236" s="154"/>
    </row>
    <row r="237" spans="5:5" s="155" customFormat="1" ht="18" customHeight="1">
      <c r="E237" s="154"/>
    </row>
    <row r="238" spans="5:5" s="155" customFormat="1" ht="18" customHeight="1">
      <c r="E238" s="154"/>
    </row>
    <row r="239" spans="5:5" s="155" customFormat="1" ht="18" customHeight="1">
      <c r="E239" s="154"/>
    </row>
    <row r="240" spans="5:5" s="155" customFormat="1" ht="18" customHeight="1">
      <c r="E240" s="154"/>
    </row>
    <row r="241" spans="5:5" s="155" customFormat="1" ht="18" customHeight="1">
      <c r="E241" s="154"/>
    </row>
    <row r="242" spans="5:5" s="155" customFormat="1" ht="18" customHeight="1">
      <c r="E242" s="154"/>
    </row>
    <row r="243" spans="5:5" s="155" customFormat="1" ht="18" customHeight="1">
      <c r="E243" s="154"/>
    </row>
    <row r="244" spans="5:5" s="155" customFormat="1" ht="18" customHeight="1">
      <c r="E244" s="154"/>
    </row>
    <row r="245" spans="5:5" s="155" customFormat="1" ht="18" customHeight="1">
      <c r="E245" s="154"/>
    </row>
    <row r="246" spans="5:5" s="155" customFormat="1" ht="18" customHeight="1">
      <c r="E246" s="154"/>
    </row>
    <row r="247" spans="5:5" s="155" customFormat="1" ht="18" customHeight="1">
      <c r="E247" s="154"/>
    </row>
    <row r="248" spans="5:5" s="155" customFormat="1" ht="18" customHeight="1">
      <c r="E248" s="154"/>
    </row>
    <row r="249" spans="5:5" s="155" customFormat="1" ht="18" customHeight="1">
      <c r="E249" s="154"/>
    </row>
    <row r="250" spans="5:5" s="155" customFormat="1" ht="18" customHeight="1">
      <c r="E250" s="154"/>
    </row>
    <row r="251" spans="5:5" s="155" customFormat="1" ht="18" customHeight="1">
      <c r="E251" s="154"/>
    </row>
    <row r="252" spans="5:5" s="155" customFormat="1" ht="18" customHeight="1">
      <c r="E252" s="154"/>
    </row>
    <row r="253" spans="5:5" s="155" customFormat="1" ht="18" customHeight="1">
      <c r="E253" s="154"/>
    </row>
    <row r="254" spans="5:5" s="155" customFormat="1" ht="18" customHeight="1">
      <c r="E254" s="154"/>
    </row>
    <row r="255" spans="5:5" s="155" customFormat="1" ht="18" customHeight="1">
      <c r="E255" s="154"/>
    </row>
    <row r="256" spans="5:5" s="155" customFormat="1" ht="18" customHeight="1">
      <c r="E256" s="154"/>
    </row>
    <row r="257" spans="5:5" s="155" customFormat="1" ht="18" customHeight="1">
      <c r="E257" s="154"/>
    </row>
    <row r="258" spans="5:5" s="155" customFormat="1" ht="18" customHeight="1">
      <c r="E258" s="154"/>
    </row>
    <row r="259" spans="5:5" s="155" customFormat="1" ht="18" customHeight="1">
      <c r="E259" s="154"/>
    </row>
    <row r="260" spans="5:5" s="155" customFormat="1" ht="18" customHeight="1">
      <c r="E260" s="154"/>
    </row>
    <row r="261" spans="5:5" s="155" customFormat="1" ht="18" customHeight="1">
      <c r="E261" s="154"/>
    </row>
    <row r="262" spans="5:5" s="155" customFormat="1" ht="18" customHeight="1">
      <c r="E262" s="154"/>
    </row>
    <row r="263" spans="5:5" s="155" customFormat="1" ht="18" customHeight="1">
      <c r="E263" s="154"/>
    </row>
    <row r="264" spans="5:5" s="155" customFormat="1" ht="18" customHeight="1">
      <c r="E264" s="154"/>
    </row>
    <row r="265" spans="5:5" s="155" customFormat="1" ht="18" customHeight="1">
      <c r="E265" s="154"/>
    </row>
    <row r="266" spans="5:5" s="155" customFormat="1" ht="18" customHeight="1">
      <c r="E266" s="154"/>
    </row>
    <row r="267" spans="5:5" s="155" customFormat="1" ht="18" customHeight="1">
      <c r="E267" s="154"/>
    </row>
    <row r="268" spans="5:5" s="155" customFormat="1" ht="18" customHeight="1">
      <c r="E268" s="154"/>
    </row>
    <row r="269" spans="5:5" s="155" customFormat="1" ht="18" customHeight="1">
      <c r="E269" s="154"/>
    </row>
    <row r="270" spans="5:5" s="155" customFormat="1" ht="18" customHeight="1">
      <c r="E270" s="154"/>
    </row>
    <row r="271" spans="5:5" s="155" customFormat="1" ht="18" customHeight="1">
      <c r="E271" s="154"/>
    </row>
    <row r="272" spans="5:5" s="155" customFormat="1" ht="18" customHeight="1">
      <c r="E272" s="154"/>
    </row>
    <row r="273" spans="5:5" s="155" customFormat="1" ht="18" customHeight="1">
      <c r="E273" s="154"/>
    </row>
    <row r="274" spans="5:5" s="155" customFormat="1" ht="18" customHeight="1">
      <c r="E274" s="154"/>
    </row>
    <row r="275" spans="5:5" s="155" customFormat="1" ht="18" customHeight="1">
      <c r="E275" s="154"/>
    </row>
    <row r="276" spans="5:5" s="155" customFormat="1" ht="18" customHeight="1">
      <c r="E276" s="154"/>
    </row>
    <row r="277" spans="5:5" s="155" customFormat="1" ht="18" customHeight="1">
      <c r="E277" s="154"/>
    </row>
    <row r="278" spans="5:5" s="155" customFormat="1" ht="18" customHeight="1">
      <c r="E278" s="154"/>
    </row>
    <row r="279" spans="5:5" s="155" customFormat="1" ht="18" customHeight="1">
      <c r="E279" s="154"/>
    </row>
    <row r="280" spans="5:5" s="155" customFormat="1" ht="18" customHeight="1">
      <c r="E280" s="154"/>
    </row>
    <row r="281" spans="5:5" s="155" customFormat="1" ht="18" customHeight="1">
      <c r="E281" s="154"/>
    </row>
    <row r="282" spans="5:5" s="155" customFormat="1" ht="18" customHeight="1">
      <c r="E282" s="154"/>
    </row>
    <row r="283" spans="5:5" s="155" customFormat="1" ht="18" customHeight="1">
      <c r="E283" s="154"/>
    </row>
    <row r="284" spans="5:5" s="155" customFormat="1" ht="18" customHeight="1">
      <c r="E284" s="154"/>
    </row>
    <row r="285" spans="5:5" s="155" customFormat="1" ht="18" customHeight="1">
      <c r="E285" s="154"/>
    </row>
    <row r="286" spans="5:5" s="155" customFormat="1" ht="18" customHeight="1">
      <c r="E286" s="154"/>
    </row>
    <row r="287" spans="5:5" s="155" customFormat="1" ht="18" customHeight="1">
      <c r="E287" s="154"/>
    </row>
    <row r="288" spans="5:5" s="155" customFormat="1" ht="18" customHeight="1">
      <c r="E288" s="154"/>
    </row>
    <row r="289" spans="5:5" s="155" customFormat="1" ht="18" customHeight="1">
      <c r="E289" s="154"/>
    </row>
    <row r="290" spans="5:5" s="155" customFormat="1" ht="18" customHeight="1">
      <c r="E290" s="154"/>
    </row>
    <row r="291" spans="5:5" s="155" customFormat="1" ht="18" customHeight="1">
      <c r="E291" s="154"/>
    </row>
    <row r="292" spans="5:5" s="155" customFormat="1" ht="18" customHeight="1">
      <c r="E292" s="154"/>
    </row>
    <row r="293" spans="5:5" s="155" customFormat="1" ht="18" customHeight="1">
      <c r="E293" s="154"/>
    </row>
    <row r="294" spans="5:5" s="155" customFormat="1" ht="18" customHeight="1">
      <c r="E294" s="154"/>
    </row>
    <row r="295" spans="5:5" s="155" customFormat="1" ht="18" customHeight="1">
      <c r="E295" s="154"/>
    </row>
    <row r="296" spans="5:5" s="155" customFormat="1" ht="18" customHeight="1">
      <c r="E296" s="154"/>
    </row>
    <row r="297" spans="5:5" s="155" customFormat="1" ht="18" customHeight="1">
      <c r="E297" s="154"/>
    </row>
    <row r="298" spans="5:5" s="155" customFormat="1" ht="18" customHeight="1">
      <c r="E298" s="154"/>
    </row>
    <row r="299" spans="5:5" s="155" customFormat="1" ht="18" customHeight="1">
      <c r="E299" s="154"/>
    </row>
    <row r="300" spans="5:5" s="155" customFormat="1" ht="18" customHeight="1">
      <c r="E300" s="154"/>
    </row>
    <row r="301" spans="5:5" s="155" customFormat="1" ht="18" customHeight="1">
      <c r="E301" s="154"/>
    </row>
    <row r="302" spans="5:5" s="155" customFormat="1" ht="18" customHeight="1">
      <c r="E302" s="154"/>
    </row>
    <row r="303" spans="5:5" s="155" customFormat="1" ht="18" customHeight="1">
      <c r="E303" s="154"/>
    </row>
    <row r="304" spans="5:5" s="155" customFormat="1" ht="18" customHeight="1">
      <c r="E304" s="154"/>
    </row>
    <row r="305" spans="5:5" s="155" customFormat="1" ht="18" customHeight="1">
      <c r="E305" s="154"/>
    </row>
    <row r="306" spans="5:5" s="155" customFormat="1" ht="18" customHeight="1">
      <c r="E306" s="154"/>
    </row>
    <row r="307" spans="5:5" s="155" customFormat="1" ht="18" customHeight="1">
      <c r="E307" s="154"/>
    </row>
    <row r="308" spans="5:5" s="155" customFormat="1" ht="18" customHeight="1">
      <c r="E308" s="154"/>
    </row>
    <row r="309" spans="5:5" s="155" customFormat="1" ht="18" customHeight="1">
      <c r="E309" s="154"/>
    </row>
    <row r="310" spans="5:5" s="155" customFormat="1" ht="18" customHeight="1">
      <c r="E310" s="154"/>
    </row>
    <row r="311" spans="5:5" s="155" customFormat="1" ht="18" customHeight="1">
      <c r="E311" s="154"/>
    </row>
    <row r="312" spans="5:5" s="155" customFormat="1" ht="18" customHeight="1">
      <c r="E312" s="154"/>
    </row>
    <row r="313" spans="5:5" s="155" customFormat="1" ht="18" customHeight="1">
      <c r="E313" s="154"/>
    </row>
    <row r="314" spans="5:5" s="155" customFormat="1" ht="18" customHeight="1">
      <c r="E314" s="154"/>
    </row>
    <row r="315" spans="5:5" s="155" customFormat="1" ht="18" customHeight="1">
      <c r="E315" s="154"/>
    </row>
    <row r="316" spans="5:5" s="155" customFormat="1" ht="18" customHeight="1">
      <c r="E316" s="154"/>
    </row>
    <row r="317" spans="5:5" s="155" customFormat="1" ht="18" customHeight="1">
      <c r="E317" s="154"/>
    </row>
    <row r="318" spans="5:5" s="155" customFormat="1" ht="18" customHeight="1">
      <c r="E318" s="154"/>
    </row>
    <row r="319" spans="5:5" s="155" customFormat="1" ht="18" customHeight="1">
      <c r="E319" s="154"/>
    </row>
    <row r="320" spans="5:5" s="155" customFormat="1" ht="18" customHeight="1">
      <c r="E320" s="154"/>
    </row>
    <row r="321" spans="5:5" s="155" customFormat="1" ht="18" customHeight="1">
      <c r="E321" s="154"/>
    </row>
    <row r="322" spans="5:5" s="155" customFormat="1" ht="18" customHeight="1">
      <c r="E322" s="154"/>
    </row>
    <row r="323" spans="5:5" s="155" customFormat="1" ht="18" customHeight="1">
      <c r="E323" s="154"/>
    </row>
    <row r="324" spans="5:5" s="155" customFormat="1" ht="18" customHeight="1">
      <c r="E324" s="154"/>
    </row>
    <row r="325" spans="5:5" s="155" customFormat="1" ht="18" customHeight="1">
      <c r="E325" s="154"/>
    </row>
    <row r="326" spans="5:5" s="155" customFormat="1" ht="18" customHeight="1">
      <c r="E326" s="154"/>
    </row>
    <row r="327" spans="5:5" s="155" customFormat="1" ht="18" customHeight="1">
      <c r="E327" s="154"/>
    </row>
    <row r="328" spans="5:5" s="155" customFormat="1" ht="18" customHeight="1">
      <c r="E328" s="154"/>
    </row>
    <row r="329" spans="5:5" s="155" customFormat="1" ht="18" customHeight="1">
      <c r="E329" s="154"/>
    </row>
    <row r="330" spans="5:5" s="155" customFormat="1" ht="18" customHeight="1">
      <c r="E330" s="154"/>
    </row>
    <row r="331" spans="5:5" s="155" customFormat="1" ht="18" customHeight="1">
      <c r="E331" s="154"/>
    </row>
    <row r="332" spans="5:5" s="155" customFormat="1" ht="18" customHeight="1">
      <c r="E332" s="154"/>
    </row>
    <row r="333" spans="5:5" s="155" customFormat="1" ht="18" customHeight="1">
      <c r="E333" s="154"/>
    </row>
    <row r="334" spans="5:5" s="155" customFormat="1" ht="18" customHeight="1">
      <c r="E334" s="154"/>
    </row>
    <row r="335" spans="5:5" s="155" customFormat="1" ht="18" customHeight="1">
      <c r="E335" s="154"/>
    </row>
    <row r="336" spans="5:5" s="155" customFormat="1" ht="18" customHeight="1">
      <c r="E336" s="154"/>
    </row>
    <row r="337" spans="5:5" s="155" customFormat="1" ht="18" customHeight="1">
      <c r="E337" s="154"/>
    </row>
    <row r="338" spans="5:5" s="155" customFormat="1" ht="18" customHeight="1">
      <c r="E338" s="154"/>
    </row>
    <row r="339" spans="5:5" s="155" customFormat="1" ht="18" customHeight="1">
      <c r="E339" s="154"/>
    </row>
    <row r="340" spans="5:5" s="155" customFormat="1" ht="18" customHeight="1">
      <c r="E340" s="154"/>
    </row>
    <row r="341" spans="5:5" s="155" customFormat="1" ht="18" customHeight="1">
      <c r="E341" s="154"/>
    </row>
    <row r="342" spans="5:5" s="155" customFormat="1" ht="18" customHeight="1">
      <c r="E342" s="154"/>
    </row>
    <row r="343" spans="5:5" s="155" customFormat="1" ht="18" customHeight="1">
      <c r="E343" s="154"/>
    </row>
    <row r="344" spans="5:5" s="155" customFormat="1" ht="18" customHeight="1">
      <c r="E344" s="154"/>
    </row>
    <row r="345" spans="5:5" s="155" customFormat="1" ht="18" customHeight="1">
      <c r="E345" s="154"/>
    </row>
    <row r="346" spans="5:5" s="155" customFormat="1" ht="18" customHeight="1">
      <c r="E346" s="154"/>
    </row>
    <row r="347" spans="5:5" s="155" customFormat="1" ht="18" customHeight="1">
      <c r="E347" s="154"/>
    </row>
    <row r="348" spans="5:5" s="155" customFormat="1" ht="18" customHeight="1">
      <c r="E348" s="154"/>
    </row>
    <row r="349" spans="5:5" s="155" customFormat="1" ht="18" customHeight="1">
      <c r="E349" s="154"/>
    </row>
    <row r="350" spans="5:5" s="155" customFormat="1" ht="18" customHeight="1">
      <c r="E350" s="154"/>
    </row>
    <row r="351" spans="5:5" s="155" customFormat="1" ht="18" customHeight="1">
      <c r="E351" s="154"/>
    </row>
    <row r="352" spans="5:5" s="155" customFormat="1" ht="18" customHeight="1">
      <c r="E352" s="154"/>
    </row>
    <row r="353" spans="5:5" s="155" customFormat="1" ht="18" customHeight="1">
      <c r="E353" s="154"/>
    </row>
    <row r="354" spans="5:5" s="155" customFormat="1" ht="18" customHeight="1">
      <c r="E354" s="154"/>
    </row>
    <row r="355" spans="5:5" s="155" customFormat="1" ht="18" customHeight="1">
      <c r="E355" s="154"/>
    </row>
    <row r="356" spans="5:5" s="155" customFormat="1" ht="18" customHeight="1">
      <c r="E356" s="154"/>
    </row>
    <row r="357" spans="5:5" s="155" customFormat="1" ht="18" customHeight="1">
      <c r="E357" s="154"/>
    </row>
    <row r="358" spans="5:5" s="155" customFormat="1" ht="18" customHeight="1">
      <c r="E358" s="154"/>
    </row>
    <row r="359" spans="5:5" s="155" customFormat="1" ht="18" customHeight="1">
      <c r="E359" s="154"/>
    </row>
    <row r="360" spans="5:5" s="155" customFormat="1" ht="18" customHeight="1">
      <c r="E360" s="154"/>
    </row>
    <row r="361" spans="5:5" s="155" customFormat="1" ht="18" customHeight="1">
      <c r="E361" s="154"/>
    </row>
    <row r="362" spans="5:5" s="155" customFormat="1" ht="18" customHeight="1">
      <c r="E362" s="154"/>
    </row>
    <row r="363" spans="5:5" s="155" customFormat="1" ht="18" customHeight="1">
      <c r="E363" s="154"/>
    </row>
    <row r="364" spans="5:5" s="155" customFormat="1" ht="18" customHeight="1">
      <c r="E364" s="154"/>
    </row>
    <row r="365" spans="5:5" s="155" customFormat="1" ht="18" customHeight="1">
      <c r="E365" s="154"/>
    </row>
    <row r="366" spans="5:5" s="155" customFormat="1" ht="18" customHeight="1">
      <c r="E366" s="154"/>
    </row>
    <row r="367" spans="5:5" s="155" customFormat="1" ht="18" customHeight="1">
      <c r="E367" s="154"/>
    </row>
    <row r="368" spans="5:5" s="155" customFormat="1" ht="18" customHeight="1">
      <c r="E368" s="154"/>
    </row>
    <row r="369" spans="5:5" s="155" customFormat="1" ht="18" customHeight="1">
      <c r="E369" s="154"/>
    </row>
    <row r="370" spans="5:5" s="155" customFormat="1" ht="18" customHeight="1">
      <c r="E370" s="154"/>
    </row>
    <row r="371" spans="5:5" s="155" customFormat="1" ht="18" customHeight="1">
      <c r="E371" s="154"/>
    </row>
    <row r="372" spans="5:5" s="155" customFormat="1" ht="18" customHeight="1">
      <c r="E372" s="154"/>
    </row>
    <row r="373" spans="5:5" s="155" customFormat="1" ht="18" customHeight="1">
      <c r="E373" s="154"/>
    </row>
    <row r="374" spans="5:5" s="155" customFormat="1" ht="18" customHeight="1">
      <c r="E374" s="154"/>
    </row>
    <row r="375" spans="5:5" s="155" customFormat="1" ht="18" customHeight="1">
      <c r="E375" s="154"/>
    </row>
    <row r="376" spans="5:5" s="155" customFormat="1" ht="18" customHeight="1">
      <c r="E376" s="154"/>
    </row>
    <row r="377" spans="5:5" s="155" customFormat="1" ht="18" customHeight="1">
      <c r="E377" s="154"/>
    </row>
    <row r="378" spans="5:5" s="155" customFormat="1" ht="18" customHeight="1">
      <c r="E378" s="154"/>
    </row>
    <row r="379" spans="5:5" s="155" customFormat="1" ht="18" customHeight="1">
      <c r="E379" s="154"/>
    </row>
    <row r="380" spans="5:5" s="155" customFormat="1" ht="18" customHeight="1">
      <c r="E380" s="154"/>
    </row>
    <row r="381" spans="5:5" s="155" customFormat="1" ht="18" customHeight="1">
      <c r="E381" s="154"/>
    </row>
    <row r="382" spans="5:5" s="155" customFormat="1" ht="18" customHeight="1">
      <c r="E382" s="154"/>
    </row>
    <row r="383" spans="5:5" s="155" customFormat="1" ht="18" customHeight="1">
      <c r="E383" s="154"/>
    </row>
    <row r="384" spans="5:5" s="155" customFormat="1" ht="18" customHeight="1">
      <c r="E384" s="154"/>
    </row>
    <row r="385" spans="5:5" s="155" customFormat="1" ht="18" customHeight="1">
      <c r="E385" s="154"/>
    </row>
    <row r="386" spans="5:5" s="155" customFormat="1" ht="18" customHeight="1">
      <c r="E386" s="154"/>
    </row>
    <row r="387" spans="5:5" s="155" customFormat="1" ht="18" customHeight="1">
      <c r="E387" s="154"/>
    </row>
    <row r="388" spans="5:5" s="155" customFormat="1" ht="18" customHeight="1">
      <c r="E388" s="154"/>
    </row>
    <row r="389" spans="5:5" s="155" customFormat="1" ht="18" customHeight="1">
      <c r="E389" s="154"/>
    </row>
    <row r="390" spans="5:5" s="155" customFormat="1" ht="18" customHeight="1">
      <c r="E390" s="154"/>
    </row>
    <row r="391" spans="5:5" s="155" customFormat="1" ht="18" customHeight="1">
      <c r="E391" s="154"/>
    </row>
    <row r="392" spans="5:5" s="155" customFormat="1" ht="18" customHeight="1">
      <c r="E392" s="154"/>
    </row>
    <row r="393" spans="5:5" s="155" customFormat="1" ht="18" customHeight="1">
      <c r="E393" s="154"/>
    </row>
    <row r="394" spans="5:5" s="155" customFormat="1" ht="18" customHeight="1">
      <c r="E394" s="154"/>
    </row>
    <row r="395" spans="5:5" s="155" customFormat="1" ht="18" customHeight="1">
      <c r="E395" s="154"/>
    </row>
    <row r="396" spans="5:5" s="155" customFormat="1" ht="18" customHeight="1">
      <c r="E396" s="154"/>
    </row>
    <row r="397" spans="5:5" s="155" customFormat="1" ht="18" customHeight="1">
      <c r="E397" s="154"/>
    </row>
    <row r="398" spans="5:5" s="155" customFormat="1" ht="18" customHeight="1">
      <c r="E398" s="154"/>
    </row>
    <row r="399" spans="5:5" s="155" customFormat="1" ht="18" customHeight="1">
      <c r="E399" s="154"/>
    </row>
    <row r="400" spans="5:5" s="155" customFormat="1" ht="18" customHeight="1">
      <c r="E400" s="154"/>
    </row>
    <row r="401" spans="5:5" s="155" customFormat="1" ht="18" customHeight="1">
      <c r="E401" s="154"/>
    </row>
    <row r="402" spans="5:5" s="155" customFormat="1" ht="18" customHeight="1">
      <c r="E402" s="154"/>
    </row>
    <row r="403" spans="5:5" s="155" customFormat="1" ht="18" customHeight="1">
      <c r="E403" s="154"/>
    </row>
    <row r="404" spans="5:5" s="155" customFormat="1" ht="18" customHeight="1">
      <c r="E404" s="154"/>
    </row>
    <row r="405" spans="5:5" s="155" customFormat="1" ht="18" customHeight="1">
      <c r="E405" s="154"/>
    </row>
    <row r="406" spans="5:5" s="155" customFormat="1" ht="18" customHeight="1">
      <c r="E406" s="154"/>
    </row>
    <row r="407" spans="5:5" s="155" customFormat="1" ht="18" customHeight="1">
      <c r="E407" s="154"/>
    </row>
    <row r="408" spans="5:5" s="155" customFormat="1" ht="18" customHeight="1">
      <c r="E408" s="154"/>
    </row>
    <row r="409" spans="5:5" s="155" customFormat="1" ht="18" customHeight="1">
      <c r="E409" s="154"/>
    </row>
    <row r="410" spans="5:5" s="155" customFormat="1" ht="18" customHeight="1">
      <c r="E410" s="154"/>
    </row>
    <row r="411" spans="5:5" s="155" customFormat="1" ht="18" customHeight="1">
      <c r="E411" s="154"/>
    </row>
    <row r="412" spans="5:5" s="155" customFormat="1" ht="18" customHeight="1">
      <c r="E412" s="154"/>
    </row>
    <row r="413" spans="5:5" s="155" customFormat="1" ht="18" customHeight="1">
      <c r="E413" s="154"/>
    </row>
    <row r="414" spans="5:5" s="155" customFormat="1" ht="18" customHeight="1">
      <c r="E414" s="154"/>
    </row>
    <row r="415" spans="5:5" s="155" customFormat="1" ht="18" customHeight="1">
      <c r="E415" s="154"/>
    </row>
    <row r="416" spans="5:5" s="155" customFormat="1" ht="18" customHeight="1">
      <c r="E416" s="154"/>
    </row>
    <row r="417" spans="1:5" s="155" customFormat="1" ht="18" customHeight="1">
      <c r="E417" s="154"/>
    </row>
    <row r="418" spans="1:5" s="155" customFormat="1" ht="18" customHeight="1">
      <c r="E418" s="154"/>
    </row>
    <row r="419" spans="1:5" s="155" customFormat="1" ht="18" customHeight="1">
      <c r="E419" s="154"/>
    </row>
    <row r="420" spans="1:5" s="155" customFormat="1" ht="18" customHeight="1">
      <c r="E420" s="154"/>
    </row>
    <row r="421" spans="1:5" s="155" customFormat="1" ht="18" customHeight="1">
      <c r="E421" s="154"/>
    </row>
    <row r="422" spans="1:5" s="155" customFormat="1" ht="18" customHeight="1">
      <c r="E422" s="154"/>
    </row>
    <row r="423" spans="1:5" s="155" customFormat="1" ht="18" customHeight="1">
      <c r="E423" s="154"/>
    </row>
    <row r="424" spans="1:5" s="155" customFormat="1" ht="18" customHeight="1">
      <c r="E424" s="154"/>
    </row>
    <row r="425" spans="1:5" s="155" customFormat="1" ht="18" customHeight="1">
      <c r="E425" s="154"/>
    </row>
    <row r="426" spans="1:5" s="155" customFormat="1" ht="18" customHeight="1">
      <c r="E426" s="154"/>
    </row>
    <row r="427" spans="1:5" s="155" customFormat="1" ht="18" customHeight="1">
      <c r="E427" s="154"/>
    </row>
    <row r="428" spans="1:5" s="155" customFormat="1" ht="18" customHeight="1">
      <c r="E428" s="154"/>
    </row>
    <row r="429" spans="1:5" s="155" customFormat="1" ht="18" customHeight="1">
      <c r="E429" s="154"/>
    </row>
    <row r="430" spans="1:5" s="155" customFormat="1" ht="18" customHeight="1">
      <c r="E430" s="154"/>
    </row>
    <row r="431" spans="1:5" s="155" customFormat="1" ht="18" customHeight="1">
      <c r="E431" s="154"/>
    </row>
    <row r="432" spans="1:5" s="155" customFormat="1" ht="18" customHeight="1">
      <c r="A432" s="154"/>
      <c r="E432" s="154"/>
    </row>
    <row r="433" spans="1:5" s="155" customFormat="1" ht="18" customHeight="1">
      <c r="A433" s="154"/>
      <c r="E433" s="154"/>
    </row>
    <row r="434" spans="1:5" s="155" customFormat="1" ht="18" customHeight="1">
      <c r="A434" s="154"/>
      <c r="E434" s="154"/>
    </row>
    <row r="435" spans="1:5" s="155" customFormat="1" ht="18" customHeight="1">
      <c r="A435" s="154"/>
      <c r="E435" s="154"/>
    </row>
  </sheetData>
  <scenarios current="0" sqref="C31 C32 C33 C34">
    <scenario name="10% increase in hard cost" locked="1" count="4" user="Author" comment="Created by Author on 18-04-2024">
      <inputCells r="D8" val="25.83"/>
      <inputCells r="D10" val="0.55"/>
      <inputCells r="D11" val="28.75"/>
      <inputCells r="D14" val="17.17"/>
    </scenario>
  </scenarios>
  <pageMargins left="0.7" right="0.7" top="0.75" bottom="0.75" header="0.3" footer="0.3"/>
  <pageSetup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O72"/>
  <sheetViews>
    <sheetView workbookViewId="0">
      <selection activeCell="E29" sqref="E29"/>
    </sheetView>
  </sheetViews>
  <sheetFormatPr defaultRowHeight="15"/>
  <cols>
    <col min="5" max="5" width="31.5703125" customWidth="1"/>
    <col min="6" max="6" width="16.5703125" style="78" customWidth="1"/>
    <col min="7" max="7" width="23.7109375" style="78" customWidth="1"/>
    <col min="8" max="8" width="24.85546875" style="78" customWidth="1"/>
    <col min="9" max="9" width="22.42578125" customWidth="1"/>
  </cols>
  <sheetData>
    <row r="1" spans="1:15">
      <c r="A1" t="s">
        <v>632</v>
      </c>
    </row>
    <row r="7" spans="1:15" ht="15.75">
      <c r="F7" s="85" t="s">
        <v>645</v>
      </c>
    </row>
    <row r="8" spans="1:15" ht="30">
      <c r="C8" s="75" t="s">
        <v>633</v>
      </c>
      <c r="F8" s="78" t="s">
        <v>644</v>
      </c>
    </row>
    <row r="9" spans="1:15">
      <c r="E9" t="s">
        <v>649</v>
      </c>
    </row>
    <row r="10" spans="1:15" ht="45">
      <c r="D10" t="s">
        <v>639</v>
      </c>
      <c r="F10" s="78" t="s">
        <v>635</v>
      </c>
      <c r="H10" s="86" t="s">
        <v>634</v>
      </c>
      <c r="L10">
        <f>3480*2</f>
        <v>6960</v>
      </c>
      <c r="O10">
        <f>0.183+0.165</f>
        <v>0.34799999999999998</v>
      </c>
    </row>
    <row r="11" spans="1:15">
      <c r="O11">
        <f>0.258+0.039+0.051</f>
        <v>0.34799999999999998</v>
      </c>
    </row>
    <row r="12" spans="1:15">
      <c r="E12" t="s">
        <v>641</v>
      </c>
      <c r="O12">
        <f>SUM(O10:O11)</f>
        <v>0.69599999999999995</v>
      </c>
    </row>
    <row r="13" spans="1:15">
      <c r="E13" t="s">
        <v>638</v>
      </c>
      <c r="O13" t="s">
        <v>648</v>
      </c>
    </row>
    <row r="14" spans="1:15">
      <c r="E14" t="s">
        <v>640</v>
      </c>
    </row>
    <row r="15" spans="1:15">
      <c r="E15" t="s">
        <v>656</v>
      </c>
    </row>
    <row r="16" spans="1:15">
      <c r="E16" t="s">
        <v>642</v>
      </c>
    </row>
    <row r="17" spans="5:5">
      <c r="E17" t="s">
        <v>643</v>
      </c>
    </row>
    <row r="18" spans="5:5">
      <c r="E18" t="s">
        <v>647</v>
      </c>
    </row>
    <row r="19" spans="5:5">
      <c r="E19" t="s">
        <v>646</v>
      </c>
    </row>
    <row r="23" spans="5:5">
      <c r="E23" t="s">
        <v>650</v>
      </c>
    </row>
    <row r="24" spans="5:5">
      <c r="E24" t="s">
        <v>651</v>
      </c>
    </row>
    <row r="25" spans="5:5">
      <c r="E25" t="s">
        <v>652</v>
      </c>
    </row>
    <row r="27" spans="5:5">
      <c r="E27" t="s">
        <v>657</v>
      </c>
    </row>
    <row r="28" spans="5:5">
      <c r="E28" t="s">
        <v>653</v>
      </c>
    </row>
    <row r="29" spans="5:5">
      <c r="E29" t="s">
        <v>658</v>
      </c>
    </row>
    <row r="30" spans="5:5">
      <c r="E30" t="s">
        <v>654</v>
      </c>
    </row>
    <row r="31" spans="5:5">
      <c r="E31" t="s">
        <v>659</v>
      </c>
    </row>
    <row r="33" spans="5:7">
      <c r="E33" t="s">
        <v>660</v>
      </c>
    </row>
    <row r="34" spans="5:7">
      <c r="E34" t="s">
        <v>655</v>
      </c>
    </row>
    <row r="38" spans="5:7">
      <c r="G38" s="78" t="s">
        <v>662</v>
      </c>
    </row>
    <row r="42" spans="5:7">
      <c r="E42" s="77" t="s">
        <v>597</v>
      </c>
    </row>
    <row r="45" spans="5:7">
      <c r="E45" t="s">
        <v>661</v>
      </c>
    </row>
    <row r="54" spans="5:9">
      <c r="E54" t="s">
        <v>2</v>
      </c>
      <c r="F54" s="78" t="s">
        <v>663</v>
      </c>
      <c r="G54" s="78" t="s">
        <v>664</v>
      </c>
      <c r="H54" s="78" t="s">
        <v>665</v>
      </c>
    </row>
    <row r="55" spans="5:9">
      <c r="E55" t="s">
        <v>666</v>
      </c>
      <c r="F55" s="78">
        <v>6000</v>
      </c>
      <c r="G55" s="78">
        <v>1</v>
      </c>
      <c r="H55" s="78">
        <f>F55*G55</f>
        <v>6000</v>
      </c>
      <c r="I55" t="s">
        <v>663</v>
      </c>
    </row>
    <row r="56" spans="5:9">
      <c r="E56" t="s">
        <v>667</v>
      </c>
      <c r="F56" s="78">
        <v>6000</v>
      </c>
      <c r="G56" s="78">
        <v>1</v>
      </c>
      <c r="H56" s="78">
        <f>F56*G56</f>
        <v>6000</v>
      </c>
    </row>
    <row r="57" spans="5:9">
      <c r="E57" t="s">
        <v>668</v>
      </c>
      <c r="F57" s="87">
        <v>0.56999999999999995</v>
      </c>
    </row>
    <row r="58" spans="5:9">
      <c r="E58" t="s">
        <v>668</v>
      </c>
      <c r="F58" s="78">
        <f>F57*H55</f>
        <v>3419.9999999999995</v>
      </c>
      <c r="H58" s="78">
        <v>4320</v>
      </c>
    </row>
    <row r="59" spans="5:9">
      <c r="E59" t="s">
        <v>669</v>
      </c>
      <c r="F59" s="90">
        <v>0.71679999999999999</v>
      </c>
      <c r="G59" s="78" t="s">
        <v>670</v>
      </c>
    </row>
    <row r="60" spans="5:9">
      <c r="E60" t="s">
        <v>671</v>
      </c>
      <c r="F60" s="78">
        <f>F58*F59</f>
        <v>2451.4559999999997</v>
      </c>
      <c r="G60" s="78">
        <v>1</v>
      </c>
      <c r="H60" s="78">
        <f>F60*G60</f>
        <v>2451.4559999999997</v>
      </c>
    </row>
    <row r="61" spans="5:9">
      <c r="E61" t="s">
        <v>674</v>
      </c>
      <c r="H61" s="88">
        <v>1.8200000000000001E-2</v>
      </c>
    </row>
    <row r="62" spans="5:9">
      <c r="E62" t="s">
        <v>672</v>
      </c>
      <c r="H62" s="89">
        <f>H60*H61</f>
        <v>44.6164992</v>
      </c>
    </row>
    <row r="63" spans="5:9">
      <c r="E63" t="s">
        <v>673</v>
      </c>
      <c r="H63" s="89">
        <f>H60-H62</f>
        <v>2406.8395007999998</v>
      </c>
    </row>
    <row r="66" spans="6:6" ht="15.75" thickBot="1"/>
    <row r="67" spans="6:6" ht="15.75" thickBot="1">
      <c r="F67" s="91">
        <v>90</v>
      </c>
    </row>
    <row r="68" spans="6:6" ht="15.75" thickBot="1">
      <c r="F68" s="92">
        <v>20</v>
      </c>
    </row>
    <row r="69" spans="6:6" ht="15.75" thickBot="1">
      <c r="F69" s="92">
        <v>15</v>
      </c>
    </row>
    <row r="70" spans="6:6" ht="15.75" thickBot="1">
      <c r="F70" s="92">
        <v>10</v>
      </c>
    </row>
    <row r="71" spans="6:6" ht="15.75" thickBot="1">
      <c r="F71" s="92">
        <v>10</v>
      </c>
    </row>
    <row r="72" spans="6:6">
      <c r="F72" s="78">
        <f>SUM(F67:F71)</f>
        <v>145</v>
      </c>
    </row>
  </sheetData>
  <hyperlinks>
    <hyperlink ref="E42" r:id="rId1" xr:uid="{00000000-0004-0000-0300-000000000000}"/>
  </hyperlinks>
  <pageMargins left="0.7" right="0.7" top="0.75" bottom="0.75" header="0.3" footer="0.3"/>
  <pageSetup orientation="portrait"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B2:I135"/>
  <sheetViews>
    <sheetView showGridLines="0" workbookViewId="0">
      <selection activeCell="H11" sqref="H11"/>
    </sheetView>
  </sheetViews>
  <sheetFormatPr defaultColWidth="13.7109375" defaultRowHeight="18" customHeight="1"/>
  <cols>
    <col min="1" max="1" width="4.7109375" style="94" customWidth="1"/>
    <col min="2" max="2" width="43.7109375" style="94" customWidth="1"/>
    <col min="3" max="3" width="12.42578125" style="94" customWidth="1"/>
    <col min="4" max="4" width="24.5703125" style="94" customWidth="1"/>
    <col min="5" max="5" width="33.42578125" style="94" customWidth="1"/>
    <col min="6" max="8" width="14.28515625" style="94" bestFit="1" customWidth="1"/>
    <col min="9" max="16384" width="13.7109375" style="94"/>
  </cols>
  <sheetData>
    <row r="2" spans="2:8" ht="19.5" customHeight="1">
      <c r="B2" s="114" t="str">
        <f>"Financial Model of " &amp; B4</f>
        <v>Financial Model of 20,000 M.T of glass Toughening pa. set up by SSRM Glasses Private Limited</v>
      </c>
      <c r="C2" s="114"/>
      <c r="D2" s="114"/>
      <c r="E2" s="114"/>
    </row>
    <row r="3" spans="2:8" ht="13.5" customHeight="1">
      <c r="B3" s="79"/>
      <c r="C3" s="79"/>
      <c r="D3" s="79"/>
      <c r="E3" s="79"/>
    </row>
    <row r="4" spans="2:8" ht="18" customHeight="1">
      <c r="B4" s="116" t="s">
        <v>721</v>
      </c>
      <c r="C4" s="116"/>
      <c r="D4" s="116"/>
      <c r="E4" s="117"/>
    </row>
    <row r="5" spans="2:8" ht="15.75" customHeight="1">
      <c r="B5" s="79"/>
      <c r="C5" s="79"/>
      <c r="D5" s="79"/>
      <c r="E5" s="79"/>
    </row>
    <row r="6" spans="2:8" ht="18" customHeight="1">
      <c r="B6" s="115" t="s">
        <v>0</v>
      </c>
      <c r="C6" s="115"/>
      <c r="D6" s="115"/>
      <c r="E6" s="115"/>
    </row>
    <row r="7" spans="2:8" ht="15.75" customHeight="1">
      <c r="B7" s="79"/>
      <c r="C7" s="79"/>
      <c r="D7" s="79"/>
      <c r="E7" s="79"/>
    </row>
    <row r="8" spans="2:8" ht="18" customHeight="1">
      <c r="B8" s="118" t="s">
        <v>1</v>
      </c>
      <c r="C8" s="118"/>
      <c r="D8" s="118"/>
      <c r="E8" s="118"/>
    </row>
    <row r="9" spans="2:8" ht="18" customHeight="1">
      <c r="B9" s="119" t="s">
        <v>2</v>
      </c>
      <c r="C9" s="119"/>
      <c r="D9" s="119"/>
      <c r="E9" s="120" t="s">
        <v>3</v>
      </c>
    </row>
    <row r="10" spans="2:8" ht="18" customHeight="1">
      <c r="B10" s="79" t="s">
        <v>4</v>
      </c>
      <c r="C10" s="79"/>
      <c r="D10" s="79" t="s">
        <v>5</v>
      </c>
      <c r="E10" s="97">
        <v>45703</v>
      </c>
      <c r="G10" s="324"/>
      <c r="H10" s="324"/>
    </row>
    <row r="11" spans="2:8" ht="18" customHeight="1">
      <c r="B11" s="79" t="s">
        <v>873</v>
      </c>
      <c r="C11" s="79"/>
      <c r="D11" s="79" t="s">
        <v>6</v>
      </c>
      <c r="E11" s="97">
        <v>45716</v>
      </c>
      <c r="G11" s="324"/>
      <c r="H11" s="324"/>
    </row>
    <row r="12" spans="2:8" ht="18" customHeight="1">
      <c r="B12" s="79" t="s">
        <v>874</v>
      </c>
      <c r="C12" s="79"/>
      <c r="D12" s="79" t="s">
        <v>872</v>
      </c>
      <c r="E12" s="98">
        <v>11</v>
      </c>
      <c r="G12" s="324"/>
      <c r="H12" s="324"/>
    </row>
    <row r="13" spans="2:8" ht="18" customHeight="1">
      <c r="B13" s="79" t="s">
        <v>7</v>
      </c>
      <c r="C13" s="79"/>
      <c r="D13" s="79" t="s">
        <v>8</v>
      </c>
      <c r="E13" s="97">
        <f>EOMONTH(E11,E12)</f>
        <v>46053</v>
      </c>
    </row>
    <row r="14" spans="2:8" ht="18" customHeight="1">
      <c r="B14" s="79" t="s">
        <v>9</v>
      </c>
      <c r="C14" s="79"/>
      <c r="D14" s="79" t="s">
        <v>10</v>
      </c>
      <c r="E14" s="97">
        <f>E13+1</f>
        <v>46054</v>
      </c>
    </row>
    <row r="15" spans="2:8" ht="18" customHeight="1">
      <c r="B15" s="79" t="s">
        <v>11</v>
      </c>
      <c r="C15" s="79"/>
      <c r="D15" s="79" t="s">
        <v>12</v>
      </c>
      <c r="E15" s="343">
        <v>10</v>
      </c>
    </row>
    <row r="16" spans="2:8" ht="18" customHeight="1">
      <c r="B16" s="79" t="s">
        <v>13</v>
      </c>
      <c r="C16" s="79"/>
      <c r="D16" s="79" t="s">
        <v>14</v>
      </c>
      <c r="E16" s="97">
        <f>EOMONTH(E11,E15*12+1)</f>
        <v>49399</v>
      </c>
    </row>
    <row r="17" spans="2:7" ht="18" customHeight="1">
      <c r="B17"/>
      <c r="C17"/>
      <c r="D17"/>
      <c r="E17"/>
    </row>
    <row r="18" spans="2:7" ht="18" customHeight="1">
      <c r="B18" s="118" t="s">
        <v>15</v>
      </c>
      <c r="C18" s="118"/>
      <c r="D18" s="118"/>
      <c r="E18" s="118"/>
    </row>
    <row r="19" spans="2:7" ht="18" customHeight="1">
      <c r="B19" s="119" t="s">
        <v>2</v>
      </c>
      <c r="C19" s="119"/>
      <c r="D19" s="120" t="s">
        <v>16</v>
      </c>
      <c r="E19" s="120" t="s">
        <v>17</v>
      </c>
    </row>
    <row r="20" spans="2:7" ht="18" customHeight="1">
      <c r="B20" s="79" t="s">
        <v>858</v>
      </c>
      <c r="C20" s="79"/>
      <c r="D20" s="100">
        <v>2</v>
      </c>
      <c r="E20" s="100" t="s">
        <v>859</v>
      </c>
    </row>
    <row r="21" spans="2:7" ht="18" customHeight="1">
      <c r="B21" s="99" t="s">
        <v>18</v>
      </c>
      <c r="C21" s="79"/>
      <c r="D21" s="100">
        <f>8*D20</f>
        <v>16</v>
      </c>
      <c r="E21" s="100" t="s">
        <v>19</v>
      </c>
    </row>
    <row r="22" spans="2:7" ht="18" customHeight="1">
      <c r="B22" s="99" t="s">
        <v>20</v>
      </c>
      <c r="C22" s="79"/>
      <c r="D22" s="100">
        <v>365</v>
      </c>
      <c r="E22" s="100" t="s">
        <v>241</v>
      </c>
    </row>
    <row r="23" spans="2:7" ht="18" customHeight="1">
      <c r="B23" s="99" t="s">
        <v>21</v>
      </c>
      <c r="C23" s="79"/>
      <c r="D23" s="100">
        <v>300</v>
      </c>
      <c r="E23" s="100" t="s">
        <v>241</v>
      </c>
    </row>
    <row r="24" spans="2:7" ht="18" customHeight="1">
      <c r="B24" s="79"/>
      <c r="C24" s="79"/>
      <c r="D24" s="101"/>
      <c r="E24" s="101"/>
    </row>
    <row r="25" spans="2:7" ht="18" customHeight="1">
      <c r="B25" s="119" t="s">
        <v>857</v>
      </c>
      <c r="C25" s="119"/>
      <c r="D25" s="119"/>
      <c r="E25" s="119"/>
    </row>
    <row r="26" spans="2:7" ht="18" customHeight="1">
      <c r="B26" s="79" t="s">
        <v>677</v>
      </c>
      <c r="C26" s="101"/>
      <c r="D26" s="102">
        <v>20000</v>
      </c>
      <c r="E26" s="100" t="s">
        <v>827</v>
      </c>
    </row>
    <row r="27" spans="2:7" ht="18" customHeight="1">
      <c r="B27" s="79" t="s">
        <v>754</v>
      </c>
      <c r="C27" s="79"/>
      <c r="D27" s="103">
        <v>0.05</v>
      </c>
      <c r="E27" s="101" t="s">
        <v>52</v>
      </c>
    </row>
    <row r="28" spans="2:7" ht="18" customHeight="1">
      <c r="B28" s="79"/>
      <c r="C28" s="79"/>
      <c r="D28" s="103"/>
      <c r="E28" s="101"/>
    </row>
    <row r="29" spans="2:7" ht="18" customHeight="1">
      <c r="B29" s="122" t="s">
        <v>48</v>
      </c>
      <c r="C29" s="122"/>
      <c r="D29" s="123">
        <f>D26-D26*D27</f>
        <v>19000</v>
      </c>
      <c r="E29" s="124" t="str">
        <f>E26</f>
        <v>M.T. PA</v>
      </c>
    </row>
    <row r="30" spans="2:7" ht="18" customHeight="1">
      <c r="B30" s="79" t="s">
        <v>622</v>
      </c>
      <c r="C30" s="79"/>
      <c r="D30" s="101">
        <v>0.3</v>
      </c>
      <c r="E30" s="101"/>
      <c r="G30" s="94">
        <v>100</v>
      </c>
    </row>
    <row r="31" spans="2:7" ht="18" customHeight="1">
      <c r="B31" s="79" t="s">
        <v>731</v>
      </c>
      <c r="C31" s="79"/>
      <c r="D31" s="101">
        <v>0.4</v>
      </c>
      <c r="E31" s="101"/>
    </row>
    <row r="32" spans="2:7" ht="18" customHeight="1">
      <c r="B32" s="79" t="s">
        <v>732</v>
      </c>
      <c r="C32" s="79"/>
      <c r="D32" s="101">
        <v>0.5</v>
      </c>
      <c r="E32" s="101"/>
    </row>
    <row r="33" spans="2:7" ht="18" customHeight="1">
      <c r="B33" s="79" t="s">
        <v>733</v>
      </c>
      <c r="C33" s="79"/>
      <c r="D33" s="101">
        <v>0.6</v>
      </c>
      <c r="E33" s="101"/>
    </row>
    <row r="34" spans="2:7" ht="18" customHeight="1">
      <c r="B34" s="79" t="s">
        <v>734</v>
      </c>
      <c r="C34" s="79"/>
      <c r="D34" s="101">
        <v>0.65</v>
      </c>
      <c r="E34" s="101"/>
    </row>
    <row r="35" spans="2:7" ht="18" customHeight="1">
      <c r="B35" s="79" t="s">
        <v>878</v>
      </c>
      <c r="C35" s="79"/>
      <c r="D35" s="101">
        <v>0.7</v>
      </c>
      <c r="E35" s="101"/>
    </row>
    <row r="36" spans="2:7" ht="18" customHeight="1">
      <c r="B36" s="79" t="s">
        <v>879</v>
      </c>
      <c r="C36" s="79"/>
      <c r="D36" s="101">
        <v>0.75</v>
      </c>
      <c r="E36" s="101"/>
    </row>
    <row r="37" spans="2:7" ht="18" customHeight="1">
      <c r="B37" s="79" t="s">
        <v>880</v>
      </c>
      <c r="C37" s="79"/>
      <c r="D37" s="101">
        <v>0.8</v>
      </c>
      <c r="E37" s="101"/>
    </row>
    <row r="38" spans="2:7" ht="18" customHeight="1">
      <c r="B38" s="79" t="s">
        <v>881</v>
      </c>
      <c r="C38" s="79"/>
      <c r="D38" s="101">
        <v>0.85</v>
      </c>
      <c r="E38" s="101"/>
    </row>
    <row r="39" spans="2:7" ht="18" customHeight="1">
      <c r="B39" s="79" t="s">
        <v>886</v>
      </c>
      <c r="C39" s="79"/>
      <c r="D39" s="101">
        <v>0.9</v>
      </c>
      <c r="E39" s="101"/>
    </row>
    <row r="40" spans="2:7" ht="18" customHeight="1">
      <c r="B40" s="79"/>
      <c r="C40" s="79"/>
      <c r="D40" s="101"/>
      <c r="E40" s="101"/>
    </row>
    <row r="41" spans="2:7" ht="18" customHeight="1">
      <c r="B41" s="119" t="s">
        <v>754</v>
      </c>
      <c r="C41" s="119"/>
      <c r="D41" s="119"/>
      <c r="E41" s="119"/>
    </row>
    <row r="42" spans="2:7" ht="18" customHeight="1">
      <c r="B42" s="79" t="s">
        <v>759</v>
      </c>
      <c r="C42" s="79"/>
      <c r="D42" s="102">
        <f>$D$26*$D$30*D27*6/12</f>
        <v>150</v>
      </c>
      <c r="E42" s="100" t="s">
        <v>828</v>
      </c>
      <c r="G42" s="108"/>
    </row>
    <row r="43" spans="2:7" ht="18" customHeight="1">
      <c r="B43" s="79" t="s">
        <v>760</v>
      </c>
      <c r="C43" s="79"/>
      <c r="D43" s="102">
        <f>$D$26*$D$27*D31</f>
        <v>400</v>
      </c>
      <c r="E43" s="100" t="s">
        <v>828</v>
      </c>
      <c r="G43" s="108"/>
    </row>
    <row r="44" spans="2:7" ht="18" customHeight="1">
      <c r="B44" s="79" t="s">
        <v>761</v>
      </c>
      <c r="C44" s="79"/>
      <c r="D44" s="102">
        <f>$D$26*$D$27*D32</f>
        <v>500</v>
      </c>
      <c r="E44" s="100" t="s">
        <v>828</v>
      </c>
      <c r="G44" s="108"/>
    </row>
    <row r="45" spans="2:7" ht="18" customHeight="1">
      <c r="B45" s="79" t="s">
        <v>762</v>
      </c>
      <c r="C45" s="79"/>
      <c r="D45" s="102">
        <f>$D$26*$D$27*D33</f>
        <v>600</v>
      </c>
      <c r="E45" s="100" t="s">
        <v>828</v>
      </c>
      <c r="G45" s="108"/>
    </row>
    <row r="46" spans="2:7" ht="18" customHeight="1">
      <c r="B46" s="79" t="s">
        <v>763</v>
      </c>
      <c r="C46" s="79"/>
      <c r="D46" s="102">
        <f>$D$26*$D$27*D34</f>
        <v>650</v>
      </c>
      <c r="E46" s="100" t="s">
        <v>828</v>
      </c>
      <c r="G46" s="108"/>
    </row>
    <row r="47" spans="2:7" ht="18" customHeight="1">
      <c r="B47" s="79" t="s">
        <v>764</v>
      </c>
      <c r="C47" s="79"/>
      <c r="D47" s="102">
        <f>$D$26*$D$27*D35</f>
        <v>700</v>
      </c>
      <c r="E47" s="100" t="s">
        <v>828</v>
      </c>
      <c r="G47" s="108"/>
    </row>
    <row r="48" spans="2:7" ht="18" customHeight="1">
      <c r="B48" s="79" t="s">
        <v>878</v>
      </c>
      <c r="C48" s="79"/>
      <c r="D48" s="102">
        <f t="shared" ref="D48:D50" si="0">$D$26*$D$27*D36</f>
        <v>750</v>
      </c>
      <c r="E48" s="100" t="s">
        <v>828</v>
      </c>
      <c r="G48" s="108"/>
    </row>
    <row r="49" spans="2:8" ht="18" customHeight="1">
      <c r="B49" s="79" t="s">
        <v>879</v>
      </c>
      <c r="C49" s="79"/>
      <c r="D49" s="102">
        <f t="shared" si="0"/>
        <v>800</v>
      </c>
      <c r="E49" s="100" t="s">
        <v>828</v>
      </c>
      <c r="G49" s="108"/>
    </row>
    <row r="50" spans="2:8" ht="18" customHeight="1">
      <c r="B50" s="79" t="s">
        <v>880</v>
      </c>
      <c r="C50" s="79"/>
      <c r="D50" s="102">
        <f t="shared" si="0"/>
        <v>850</v>
      </c>
      <c r="E50" s="100" t="s">
        <v>828</v>
      </c>
      <c r="G50" s="108"/>
    </row>
    <row r="51" spans="2:8" ht="18" customHeight="1">
      <c r="B51" s="79" t="s">
        <v>882</v>
      </c>
      <c r="C51" s="79"/>
      <c r="D51" s="102">
        <f>$D$26*$D$27*D38</f>
        <v>850</v>
      </c>
      <c r="E51" s="100" t="s">
        <v>828</v>
      </c>
      <c r="G51" s="108"/>
    </row>
    <row r="52" spans="2:8" ht="18" customHeight="1">
      <c r="B52" s="79"/>
      <c r="C52" s="79"/>
      <c r="D52" s="102"/>
      <c r="E52" s="100"/>
      <c r="G52" s="108"/>
    </row>
    <row r="53" spans="2:8" ht="18" customHeight="1">
      <c r="B53" s="119" t="s">
        <v>22</v>
      </c>
      <c r="C53" s="119"/>
      <c r="D53" s="119"/>
      <c r="E53" s="119"/>
    </row>
    <row r="54" spans="2:8" ht="15">
      <c r="B54" s="99" t="s">
        <v>735</v>
      </c>
      <c r="D54" s="105">
        <v>1435</v>
      </c>
      <c r="E54" s="105" t="s">
        <v>736</v>
      </c>
      <c r="F54" s="304"/>
    </row>
    <row r="55" spans="2:8" ht="15">
      <c r="B55" s="99" t="s">
        <v>788</v>
      </c>
      <c r="D55" s="105">
        <v>1744</v>
      </c>
      <c r="E55" s="105" t="s">
        <v>736</v>
      </c>
    </row>
    <row r="56" spans="2:8" ht="30">
      <c r="B56" s="99" t="s">
        <v>737</v>
      </c>
      <c r="D56" s="105">
        <v>1076</v>
      </c>
      <c r="E56" s="105" t="s">
        <v>736</v>
      </c>
    </row>
    <row r="57" spans="2:8" ht="15">
      <c r="B57" s="99" t="s">
        <v>738</v>
      </c>
      <c r="D57" s="105">
        <v>1485</v>
      </c>
      <c r="E57" s="105" t="s">
        <v>736</v>
      </c>
    </row>
    <row r="58" spans="2:8" ht="15">
      <c r="B58" s="99" t="s">
        <v>780</v>
      </c>
      <c r="C58" s="95"/>
      <c r="D58" s="105">
        <v>3552</v>
      </c>
      <c r="E58" s="105" t="s">
        <v>736</v>
      </c>
    </row>
    <row r="59" spans="2:8" ht="18" customHeight="1">
      <c r="B59" s="79" t="s">
        <v>765</v>
      </c>
      <c r="C59" s="79"/>
      <c r="D59" s="105">
        <v>8</v>
      </c>
      <c r="E59" s="105" t="s">
        <v>53</v>
      </c>
    </row>
    <row r="60" spans="2:8" ht="18" customHeight="1">
      <c r="B60" s="79" t="s">
        <v>23</v>
      </c>
      <c r="C60" s="79"/>
      <c r="D60" s="110">
        <v>2.5000000000000001E-2</v>
      </c>
      <c r="E60" s="105" t="s">
        <v>242</v>
      </c>
    </row>
    <row r="61" spans="2:8" ht="18" customHeight="1">
      <c r="B61" s="79"/>
      <c r="C61" s="79"/>
      <c r="D61" s="79"/>
      <c r="E61" s="79"/>
    </row>
    <row r="62" spans="2:8" ht="18" customHeight="1">
      <c r="B62" s="119" t="s">
        <v>676</v>
      </c>
      <c r="C62" s="119"/>
      <c r="D62" s="119"/>
      <c r="E62" s="119"/>
      <c r="F62" s="301"/>
      <c r="G62" s="301"/>
      <c r="H62" s="301"/>
    </row>
    <row r="63" spans="2:8" ht="18" customHeight="1">
      <c r="B63" s="79" t="s">
        <v>835</v>
      </c>
      <c r="C63" s="79"/>
      <c r="D63" s="103">
        <v>0.03</v>
      </c>
      <c r="E63" s="104"/>
      <c r="F63" s="317"/>
      <c r="G63" s="317"/>
      <c r="H63" s="317"/>
    </row>
    <row r="64" spans="2:8" ht="18" customHeight="1">
      <c r="B64" s="79"/>
      <c r="C64" s="79"/>
      <c r="D64" s="79"/>
      <c r="E64" s="79"/>
    </row>
    <row r="65" spans="2:7" ht="18" customHeight="1">
      <c r="B65" s="119" t="s">
        <v>56</v>
      </c>
      <c r="C65" s="119"/>
      <c r="D65" s="119"/>
      <c r="E65" s="119"/>
    </row>
    <row r="66" spans="2:7" ht="18" customHeight="1">
      <c r="B66" s="224" t="s">
        <v>739</v>
      </c>
      <c r="C66" s="224"/>
      <c r="D66" s="308">
        <v>1080</v>
      </c>
      <c r="E66" s="105" t="s">
        <v>736</v>
      </c>
    </row>
    <row r="67" spans="2:7" ht="18" customHeight="1">
      <c r="B67" s="99" t="s">
        <v>740</v>
      </c>
      <c r="C67" s="93"/>
      <c r="D67" s="102">
        <v>400</v>
      </c>
      <c r="E67" s="105" t="s">
        <v>736</v>
      </c>
      <c r="F67" s="303"/>
    </row>
    <row r="68" spans="2:7" ht="18" customHeight="1">
      <c r="B68" s="79" t="s">
        <v>741</v>
      </c>
      <c r="C68" s="79"/>
      <c r="D68" s="107">
        <v>250</v>
      </c>
      <c r="E68" s="105" t="s">
        <v>736</v>
      </c>
      <c r="G68" s="94">
        <f>D68*D23/1000</f>
        <v>75</v>
      </c>
    </row>
    <row r="69" spans="2:7" ht="18" customHeight="1">
      <c r="B69" s="79" t="s">
        <v>742</v>
      </c>
      <c r="C69" s="79"/>
      <c r="D69" s="105">
        <v>648</v>
      </c>
      <c r="E69" s="105" t="s">
        <v>736</v>
      </c>
    </row>
    <row r="70" spans="2:7" ht="18" customHeight="1">
      <c r="B70" s="79" t="s">
        <v>743</v>
      </c>
      <c r="C70" s="79"/>
      <c r="D70" s="105">
        <v>540</v>
      </c>
      <c r="E70" s="105" t="s">
        <v>736</v>
      </c>
    </row>
    <row r="71" spans="2:7" ht="18" customHeight="1">
      <c r="B71" s="306" t="s">
        <v>740</v>
      </c>
      <c r="C71" s="306"/>
      <c r="D71" s="307">
        <f>AVERAGE(D69:D70)</f>
        <v>594</v>
      </c>
      <c r="E71" s="105"/>
    </row>
    <row r="72" spans="2:7" ht="18" customHeight="1">
      <c r="B72" s="79" t="s">
        <v>746</v>
      </c>
      <c r="C72" s="79"/>
      <c r="D72" s="105">
        <v>192.47</v>
      </c>
      <c r="E72" s="105" t="s">
        <v>751</v>
      </c>
      <c r="F72" s="94" t="s">
        <v>744</v>
      </c>
    </row>
    <row r="73" spans="2:7" ht="18" customHeight="1">
      <c r="B73" s="79" t="s">
        <v>745</v>
      </c>
      <c r="C73" s="79"/>
      <c r="D73" s="105">
        <v>574.71</v>
      </c>
      <c r="E73" s="105" t="s">
        <v>751</v>
      </c>
      <c r="F73" s="94" t="s">
        <v>744</v>
      </c>
    </row>
    <row r="74" spans="2:7" ht="18" customHeight="1">
      <c r="B74" s="79" t="s">
        <v>747</v>
      </c>
      <c r="C74" s="79"/>
      <c r="D74" s="105">
        <v>121.58</v>
      </c>
      <c r="E74" s="105" t="s">
        <v>751</v>
      </c>
      <c r="F74" s="94" t="s">
        <v>748</v>
      </c>
    </row>
    <row r="75" spans="2:7" ht="18" customHeight="1">
      <c r="B75" s="79" t="s">
        <v>749</v>
      </c>
      <c r="C75" s="79"/>
      <c r="D75" s="105">
        <v>495</v>
      </c>
      <c r="E75" s="105" t="s">
        <v>751</v>
      </c>
      <c r="F75" s="94" t="s">
        <v>748</v>
      </c>
    </row>
    <row r="76" spans="2:7" ht="18" customHeight="1">
      <c r="B76" s="79" t="s">
        <v>750</v>
      </c>
      <c r="C76" s="79"/>
      <c r="D76" s="105">
        <v>15.9</v>
      </c>
      <c r="E76" s="105" t="s">
        <v>752</v>
      </c>
    </row>
    <row r="77" spans="2:7" ht="18" customHeight="1">
      <c r="B77" s="306" t="s">
        <v>798</v>
      </c>
      <c r="C77" s="306"/>
      <c r="D77" s="307">
        <f>AVERAGE(D72:D75)</f>
        <v>345.94000000000005</v>
      </c>
      <c r="E77" s="105"/>
    </row>
    <row r="78" spans="2:7" ht="18" customHeight="1">
      <c r="B78" s="79" t="s">
        <v>24</v>
      </c>
      <c r="C78" s="79"/>
      <c r="D78" s="106">
        <v>0.05</v>
      </c>
      <c r="E78" s="105" t="s">
        <v>242</v>
      </c>
    </row>
    <row r="79" spans="2:7" ht="18" customHeight="1">
      <c r="B79" s="79" t="s">
        <v>810</v>
      </c>
      <c r="C79" s="79"/>
      <c r="D79" s="319">
        <v>0.7</v>
      </c>
      <c r="E79" s="100" t="s">
        <v>838</v>
      </c>
    </row>
    <row r="80" spans="2:7" ht="18" customHeight="1">
      <c r="E80" s="100"/>
    </row>
    <row r="81" spans="2:9" ht="18" customHeight="1">
      <c r="B81" s="94" t="s">
        <v>841</v>
      </c>
      <c r="D81" s="101">
        <v>0.01</v>
      </c>
      <c r="E81" s="100" t="s">
        <v>838</v>
      </c>
    </row>
    <row r="83" spans="2:9" ht="18" customHeight="1">
      <c r="B83" s="119" t="s">
        <v>830</v>
      </c>
      <c r="C83" s="119"/>
      <c r="D83" s="119"/>
      <c r="E83" s="119"/>
      <c r="I83" s="108"/>
    </row>
    <row r="85" spans="2:9" ht="15">
      <c r="B85" s="94" t="s">
        <v>811</v>
      </c>
      <c r="D85" s="102">
        <v>16000</v>
      </c>
      <c r="E85" s="104" t="s">
        <v>503</v>
      </c>
      <c r="G85" s="109"/>
    </row>
    <row r="86" spans="2:9" ht="18" customHeight="1">
      <c r="B86" s="79" t="s">
        <v>228</v>
      </c>
      <c r="C86" s="93"/>
      <c r="D86" s="104">
        <f>8.95-0.4</f>
        <v>8.5499999999999989</v>
      </c>
      <c r="E86" s="104" t="s">
        <v>227</v>
      </c>
    </row>
    <row r="87" spans="2:9" ht="18" customHeight="1">
      <c r="B87" s="79" t="s">
        <v>237</v>
      </c>
      <c r="C87" s="79"/>
      <c r="D87" s="106">
        <v>0.05</v>
      </c>
      <c r="E87" s="105" t="s">
        <v>242</v>
      </c>
    </row>
    <row r="88" spans="2:9" ht="18" customHeight="1">
      <c r="B88" s="79"/>
      <c r="C88" s="79"/>
      <c r="D88" s="79"/>
    </row>
    <row r="89" spans="2:9" ht="18" customHeight="1">
      <c r="B89" s="119" t="s">
        <v>618</v>
      </c>
      <c r="C89" s="119"/>
      <c r="D89" s="119"/>
      <c r="E89" s="119"/>
    </row>
    <row r="90" spans="2:9" ht="18" customHeight="1">
      <c r="B90" s="79"/>
      <c r="C90" s="79"/>
      <c r="D90" s="105"/>
      <c r="E90" s="100"/>
    </row>
    <row r="91" spans="2:9" ht="18" customHeight="1">
      <c r="B91" s="119" t="s">
        <v>25</v>
      </c>
      <c r="C91" s="119"/>
      <c r="D91" s="119"/>
      <c r="E91" s="119"/>
    </row>
    <row r="92" spans="2:9" ht="18" customHeight="1">
      <c r="B92" s="79" t="s">
        <v>26</v>
      </c>
      <c r="C92" s="79"/>
      <c r="D92" s="105">
        <v>10385053</v>
      </c>
      <c r="E92" s="104" t="s">
        <v>240</v>
      </c>
      <c r="F92" s="94">
        <f>D92/10000000</f>
        <v>1.0385053</v>
      </c>
    </row>
    <row r="93" spans="2:9" ht="18" customHeight="1">
      <c r="B93" s="79" t="s">
        <v>753</v>
      </c>
      <c r="C93" s="79"/>
      <c r="D93" s="105">
        <v>621595</v>
      </c>
      <c r="E93" s="104" t="s">
        <v>240</v>
      </c>
      <c r="F93" s="94">
        <f t="shared" ref="F93:F97" si="1">D93/10000000</f>
        <v>6.2159499999999999E-2</v>
      </c>
    </row>
    <row r="94" spans="2:9" ht="18" customHeight="1">
      <c r="B94" s="79" t="s">
        <v>766</v>
      </c>
      <c r="C94" s="79"/>
      <c r="D94" s="105">
        <f>973710*0.5</f>
        <v>486855</v>
      </c>
      <c r="E94" s="104" t="s">
        <v>240</v>
      </c>
      <c r="F94" s="94">
        <f t="shared" si="1"/>
        <v>4.86855E-2</v>
      </c>
    </row>
    <row r="95" spans="2:9" ht="18" customHeight="1">
      <c r="B95" s="93" t="s">
        <v>225</v>
      </c>
      <c r="C95" s="93"/>
      <c r="D95" s="305">
        <f>D92+D93+D94</f>
        <v>11493503</v>
      </c>
      <c r="E95" s="104" t="s">
        <v>240</v>
      </c>
      <c r="F95" s="94">
        <f>D95/10000000</f>
        <v>1.1493503</v>
      </c>
    </row>
    <row r="96" spans="2:9" ht="18" customHeight="1">
      <c r="B96" s="93"/>
      <c r="C96" s="93"/>
      <c r="D96" s="305">
        <f>(D95/5000*20000)</f>
        <v>45974012</v>
      </c>
      <c r="E96" s="104" t="s">
        <v>240</v>
      </c>
      <c r="F96" s="94">
        <f t="shared" si="1"/>
        <v>4.5974012000000002</v>
      </c>
    </row>
    <row r="97" spans="2:9" ht="18" customHeight="1">
      <c r="B97" s="309" t="s">
        <v>767</v>
      </c>
      <c r="C97" s="309"/>
      <c r="D97" s="307">
        <f>D96-E97</f>
        <v>43675311.399999999</v>
      </c>
      <c r="E97" s="305">
        <f>D96*5%</f>
        <v>2298700.6</v>
      </c>
      <c r="F97" s="94">
        <f t="shared" si="1"/>
        <v>4.3675311399999996</v>
      </c>
      <c r="G97" s="94">
        <f>E97/10000000</f>
        <v>0.22987006000000001</v>
      </c>
      <c r="I97" s="179"/>
    </row>
    <row r="98" spans="2:9" ht="18" customHeight="1">
      <c r="B98" s="79" t="s">
        <v>31</v>
      </c>
      <c r="C98" s="79"/>
      <c r="D98" s="103">
        <v>0.1</v>
      </c>
      <c r="E98" s="103" t="s">
        <v>242</v>
      </c>
    </row>
    <row r="99" spans="2:9" ht="18" customHeight="1">
      <c r="B99" s="79"/>
      <c r="C99" s="79"/>
      <c r="D99" s="103"/>
      <c r="E99" s="103"/>
    </row>
    <row r="100" spans="2:9" ht="18" customHeight="1">
      <c r="B100" s="79"/>
      <c r="C100" s="79"/>
      <c r="D100" s="103"/>
      <c r="E100" s="103"/>
      <c r="I100" s="94" t="s">
        <v>772</v>
      </c>
    </row>
    <row r="101" spans="2:9" ht="18" customHeight="1">
      <c r="B101" s="119" t="s">
        <v>768</v>
      </c>
      <c r="C101" s="119"/>
      <c r="D101" s="119"/>
      <c r="E101" s="119"/>
    </row>
    <row r="102" spans="2:9" ht="18" customHeight="1">
      <c r="B102" s="111" t="s">
        <v>769</v>
      </c>
      <c r="C102" s="79"/>
      <c r="D102" s="103">
        <v>0</v>
      </c>
      <c r="E102" s="103" t="s">
        <v>770</v>
      </c>
    </row>
    <row r="103" spans="2:9" ht="18" customHeight="1">
      <c r="B103" s="111" t="s">
        <v>771</v>
      </c>
      <c r="C103" s="79"/>
      <c r="D103" s="103">
        <v>1.4999999999999999E-2</v>
      </c>
      <c r="E103" s="103" t="s">
        <v>244</v>
      </c>
    </row>
    <row r="104" spans="2:9" ht="18" customHeight="1">
      <c r="B104" s="79" t="s">
        <v>817</v>
      </c>
      <c r="C104" s="79"/>
      <c r="D104" s="103">
        <v>0.05</v>
      </c>
      <c r="E104" s="103"/>
    </row>
    <row r="105" spans="2:9" ht="18" customHeight="1">
      <c r="B105" s="119" t="s">
        <v>614</v>
      </c>
      <c r="C105" s="119"/>
      <c r="D105" s="119"/>
      <c r="E105" s="119"/>
    </row>
    <row r="106" spans="2:9" ht="18" customHeight="1">
      <c r="B106" s="112" t="s">
        <v>614</v>
      </c>
      <c r="C106" s="79"/>
      <c r="D106" s="110">
        <v>1.4999999999999999E-2</v>
      </c>
      <c r="E106" s="103" t="s">
        <v>615</v>
      </c>
    </row>
    <row r="107" spans="2:9" ht="18" customHeight="1">
      <c r="B107" s="79"/>
      <c r="C107" s="79"/>
      <c r="D107" s="103"/>
      <c r="E107" s="103"/>
    </row>
    <row r="108" spans="2:9" ht="18" customHeight="1">
      <c r="B108" s="119" t="s">
        <v>29</v>
      </c>
      <c r="C108" s="119"/>
      <c r="D108" s="119"/>
      <c r="E108" s="119"/>
    </row>
    <row r="109" spans="2:9" ht="18" customHeight="1">
      <c r="B109" s="112" t="s">
        <v>29</v>
      </c>
      <c r="C109" s="79"/>
      <c r="D109" s="110">
        <v>2.5000000000000001E-2</v>
      </c>
      <c r="E109" s="103" t="s">
        <v>243</v>
      </c>
    </row>
    <row r="110" spans="2:9" ht="18" customHeight="1">
      <c r="B110" s="79" t="s">
        <v>248</v>
      </c>
      <c r="C110" s="79"/>
      <c r="D110" s="110">
        <v>2.5000000000000001E-2</v>
      </c>
      <c r="E110" s="103" t="s">
        <v>243</v>
      </c>
    </row>
    <row r="111" spans="2:9" ht="18" customHeight="1">
      <c r="B111" s="79"/>
      <c r="C111" s="79"/>
      <c r="D111" s="103"/>
      <c r="E111" s="103"/>
    </row>
    <row r="112" spans="2:9" ht="18" customHeight="1">
      <c r="B112" s="119" t="s">
        <v>32</v>
      </c>
      <c r="C112" s="119"/>
      <c r="D112" s="119"/>
      <c r="E112" s="119"/>
    </row>
    <row r="113" spans="2:5" ht="18" customHeight="1">
      <c r="B113" s="79" t="s">
        <v>33</v>
      </c>
      <c r="C113" s="79"/>
      <c r="D113" s="100">
        <v>15</v>
      </c>
      <c r="E113" s="100" t="s">
        <v>241</v>
      </c>
    </row>
    <row r="114" spans="2:5" ht="18" customHeight="1">
      <c r="B114" s="79" t="s">
        <v>34</v>
      </c>
      <c r="C114" s="79"/>
      <c r="D114" s="100">
        <v>15</v>
      </c>
      <c r="E114" s="100" t="s">
        <v>241</v>
      </c>
    </row>
    <row r="115" spans="2:5" ht="18" customHeight="1">
      <c r="B115" s="79" t="s">
        <v>35</v>
      </c>
      <c r="C115" s="79"/>
      <c r="D115" s="100">
        <v>1</v>
      </c>
      <c r="E115" s="100" t="s">
        <v>241</v>
      </c>
    </row>
    <row r="116" spans="2:5" ht="18" customHeight="1">
      <c r="B116" s="79" t="s">
        <v>325</v>
      </c>
      <c r="C116" s="79"/>
      <c r="D116" s="100">
        <v>15</v>
      </c>
      <c r="E116" s="100" t="s">
        <v>241</v>
      </c>
    </row>
    <row r="117" spans="2:5" ht="18" customHeight="1">
      <c r="B117" s="79" t="s">
        <v>326</v>
      </c>
      <c r="C117" s="79"/>
      <c r="D117" s="100">
        <v>30</v>
      </c>
      <c r="E117" s="100" t="s">
        <v>241</v>
      </c>
    </row>
    <row r="118" spans="2:5" ht="18" customHeight="1">
      <c r="B118" s="79" t="s">
        <v>332</v>
      </c>
      <c r="C118" s="79"/>
      <c r="D118" s="100">
        <v>10</v>
      </c>
      <c r="E118" s="100" t="s">
        <v>241</v>
      </c>
    </row>
    <row r="119" spans="2:5" ht="18" customHeight="1">
      <c r="B119" s="79" t="s">
        <v>333</v>
      </c>
      <c r="C119" s="79"/>
      <c r="D119" s="100">
        <v>60</v>
      </c>
      <c r="E119" s="100" t="s">
        <v>241</v>
      </c>
    </row>
    <row r="120" spans="2:5" ht="18" customHeight="1">
      <c r="B120" s="79"/>
      <c r="C120" s="79"/>
      <c r="D120" s="79"/>
      <c r="E120" s="79"/>
    </row>
    <row r="121" spans="2:5" ht="18" customHeight="1">
      <c r="B121" s="119" t="s">
        <v>36</v>
      </c>
      <c r="C121" s="119"/>
      <c r="D121" s="119"/>
      <c r="E121" s="119"/>
    </row>
    <row r="122" spans="2:5" ht="18" customHeight="1">
      <c r="B122" s="79" t="s">
        <v>37</v>
      </c>
      <c r="C122" s="79"/>
      <c r="D122" s="103">
        <v>0.11</v>
      </c>
      <c r="E122" s="101" t="s">
        <v>327</v>
      </c>
    </row>
    <row r="123" spans="2:5" ht="18" customHeight="1">
      <c r="B123" s="79" t="s">
        <v>38</v>
      </c>
      <c r="C123" s="79"/>
      <c r="D123" s="103">
        <v>0.11</v>
      </c>
      <c r="E123" s="101" t="s">
        <v>327</v>
      </c>
    </row>
    <row r="124" spans="2:5" ht="18" customHeight="1">
      <c r="B124" s="79" t="s">
        <v>214</v>
      </c>
      <c r="C124" s="79"/>
      <c r="D124" s="103">
        <v>0.11</v>
      </c>
      <c r="E124" s="101" t="s">
        <v>327</v>
      </c>
    </row>
    <row r="125" spans="2:5" ht="18" customHeight="1">
      <c r="B125" s="79" t="s">
        <v>39</v>
      </c>
      <c r="C125" s="79"/>
      <c r="D125" s="104">
        <v>85</v>
      </c>
      <c r="E125" s="101" t="s">
        <v>329</v>
      </c>
    </row>
    <row r="126" spans="2:5" ht="18" customHeight="1">
      <c r="B126" s="79" t="s">
        <v>40</v>
      </c>
      <c r="C126" s="79"/>
      <c r="D126" s="102">
        <v>7</v>
      </c>
      <c r="E126" s="101" t="s">
        <v>329</v>
      </c>
    </row>
    <row r="127" spans="2:5" ht="18" customHeight="1">
      <c r="B127" s="79" t="s">
        <v>41</v>
      </c>
      <c r="C127" s="79"/>
      <c r="D127" s="102">
        <v>3</v>
      </c>
      <c r="E127" s="101" t="s">
        <v>329</v>
      </c>
    </row>
    <row r="128" spans="2:5" ht="18" customHeight="1">
      <c r="B128" s="79"/>
      <c r="C128" s="79"/>
      <c r="D128" s="104"/>
      <c r="E128" s="101"/>
    </row>
    <row r="129" spans="2:7" ht="18" customHeight="1">
      <c r="B129" s="258" t="s">
        <v>346</v>
      </c>
      <c r="C129" s="258"/>
      <c r="D129" s="258"/>
      <c r="E129" s="258"/>
      <c r="F129" s="242"/>
    </row>
    <row r="130" spans="2:7" ht="18" customHeight="1">
      <c r="B130" s="240" t="s">
        <v>701</v>
      </c>
      <c r="C130" s="242"/>
      <c r="D130" s="314">
        <f>15%*(1+7%)*(1+4%)</f>
        <v>0.16692000000000001</v>
      </c>
      <c r="E130" s="259" t="s">
        <v>702</v>
      </c>
      <c r="F130" s="260" t="s">
        <v>825</v>
      </c>
    </row>
    <row r="131" spans="2:7" ht="18" customHeight="1">
      <c r="B131" s="261" t="s">
        <v>703</v>
      </c>
      <c r="C131" s="261"/>
      <c r="D131" s="261"/>
      <c r="E131" s="261"/>
      <c r="F131" s="242"/>
    </row>
    <row r="132" spans="2:7" ht="18" customHeight="1">
      <c r="B132" s="242" t="s">
        <v>401</v>
      </c>
      <c r="C132" s="242"/>
      <c r="D132" s="315">
        <v>0.25</v>
      </c>
      <c r="E132" s="259" t="s">
        <v>327</v>
      </c>
      <c r="F132" s="242"/>
    </row>
    <row r="133" spans="2:7" ht="18" customHeight="1">
      <c r="B133" s="242" t="s">
        <v>347</v>
      </c>
      <c r="C133" s="242"/>
      <c r="D133" s="315">
        <v>7.0000000000000007E-2</v>
      </c>
      <c r="E133" s="259" t="s">
        <v>327</v>
      </c>
      <c r="F133" s="242" t="s">
        <v>826</v>
      </c>
      <c r="G133" s="94" t="s">
        <v>831</v>
      </c>
    </row>
    <row r="134" spans="2:7" ht="18" customHeight="1">
      <c r="B134" s="242" t="s">
        <v>348</v>
      </c>
      <c r="C134" s="242"/>
      <c r="D134" s="315">
        <v>0.04</v>
      </c>
      <c r="E134" s="259" t="s">
        <v>327</v>
      </c>
      <c r="F134" s="242"/>
    </row>
    <row r="135" spans="2:7" ht="18" customHeight="1">
      <c r="B135" s="262" t="s">
        <v>349</v>
      </c>
      <c r="C135" s="262"/>
      <c r="D135" s="263">
        <f>D132*(1+D133)*(1+D134)</f>
        <v>0.2782</v>
      </c>
      <c r="E135" s="264" t="s">
        <v>327</v>
      </c>
      <c r="F135" s="242"/>
    </row>
  </sheetData>
  <dataValidations count="2">
    <dataValidation type="list" allowBlank="1" showInputMessage="1" showErrorMessage="1" sqref="D124 D122" xr:uid="{00000000-0002-0000-0400-000000000000}">
      <formula1>"0%,11.00%,13.00%"</formula1>
    </dataValidation>
    <dataValidation type="list" allowBlank="1" showInputMessage="1" showErrorMessage="1" sqref="D123" xr:uid="{00000000-0002-0000-0400-000001000000}">
      <formula1>"11.00%,13.00%"</formula1>
    </dataValidation>
  </dataValidations>
  <pageMargins left="0.7" right="0.7" top="0.75" bottom="0.75" header="0.3" footer="0.3"/>
  <pageSetup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B1:O102"/>
  <sheetViews>
    <sheetView showGridLines="0" workbookViewId="0">
      <selection activeCell="F14" sqref="F14"/>
    </sheetView>
  </sheetViews>
  <sheetFormatPr defaultColWidth="13.7109375" defaultRowHeight="18" customHeight="1"/>
  <cols>
    <col min="1" max="1" width="4.85546875" style="94" customWidth="1"/>
    <col min="2" max="2" width="50.85546875" style="94" customWidth="1"/>
    <col min="3" max="3" width="7.140625" style="94" customWidth="1"/>
    <col min="4" max="5" width="12.7109375" style="94" customWidth="1"/>
    <col min="6" max="6" width="18.85546875" style="94" bestFit="1" customWidth="1"/>
    <col min="7" max="12" width="15.85546875" style="94" customWidth="1"/>
    <col min="13" max="16384" width="13.7109375" style="94"/>
  </cols>
  <sheetData>
    <row r="1" spans="2:15" ht="15.75" customHeight="1"/>
    <row r="2" spans="2:15" ht="18" customHeight="1">
      <c r="B2" s="132" t="str">
        <f>"Financial Model of " &amp; B4</f>
        <v>Financial Model of 20,000 M.T of glass Toughening pa. set up by SSRM Glasses Private Limited</v>
      </c>
      <c r="C2" s="133"/>
      <c r="D2" s="133"/>
      <c r="E2" s="133"/>
      <c r="F2" s="133"/>
      <c r="G2" s="133"/>
      <c r="H2" s="133"/>
      <c r="I2" s="133"/>
      <c r="J2" s="133"/>
      <c r="K2" s="133"/>
      <c r="L2" s="133"/>
      <c r="M2" s="133"/>
      <c r="N2" s="133"/>
      <c r="O2" s="133"/>
    </row>
    <row r="3" spans="2:15" ht="12" customHeight="1">
      <c r="C3" s="100"/>
      <c r="D3" s="100"/>
      <c r="E3" s="100"/>
      <c r="F3" s="100"/>
      <c r="G3" s="100"/>
      <c r="H3" s="100"/>
      <c r="I3" s="100"/>
      <c r="J3" s="100"/>
      <c r="K3" s="100"/>
      <c r="L3" s="100"/>
    </row>
    <row r="4" spans="2:15" ht="18" customHeight="1">
      <c r="B4" s="137" t="str">
        <f>'Common Assumption'!B4</f>
        <v>20,000 M.T of glass Toughening pa. set up by SSRM Glasses Private Limited</v>
      </c>
      <c r="C4" s="137"/>
      <c r="D4" s="138"/>
      <c r="E4" s="138"/>
      <c r="F4" s="138"/>
      <c r="G4" s="138"/>
      <c r="H4" s="138"/>
      <c r="I4" s="138"/>
      <c r="J4" s="138"/>
      <c r="K4" s="138"/>
      <c r="L4" s="138"/>
      <c r="M4" s="138"/>
      <c r="N4" s="138"/>
      <c r="O4" s="138"/>
    </row>
    <row r="5" spans="2:15" ht="13.5" customHeight="1">
      <c r="C5" s="100"/>
      <c r="D5" s="100"/>
      <c r="F5" s="125"/>
    </row>
    <row r="6" spans="2:15" ht="18" customHeight="1">
      <c r="B6" s="137" t="s">
        <v>42</v>
      </c>
      <c r="C6" s="137"/>
      <c r="D6" s="138"/>
      <c r="E6" s="138"/>
      <c r="F6" s="138"/>
      <c r="G6" s="138"/>
      <c r="H6" s="138"/>
      <c r="I6" s="138"/>
      <c r="J6" s="138"/>
      <c r="K6" s="138"/>
      <c r="L6" s="138"/>
      <c r="M6" s="138"/>
      <c r="N6" s="138"/>
      <c r="O6" s="138"/>
    </row>
    <row r="7" spans="2:15" ht="12.75" customHeight="1">
      <c r="C7" s="100"/>
      <c r="D7" s="100"/>
      <c r="F7" s="125"/>
    </row>
    <row r="8" spans="2:15" ht="18" customHeight="1">
      <c r="C8" s="100"/>
      <c r="D8" s="354" t="str">
        <f>'Loan Schedule'!D8:E8</f>
        <v>Implementation period</v>
      </c>
      <c r="E8" s="354"/>
      <c r="F8" s="355" t="s">
        <v>43</v>
      </c>
      <c r="G8" s="355"/>
      <c r="H8" s="355"/>
      <c r="I8" s="355"/>
      <c r="J8" s="355"/>
      <c r="K8" s="355"/>
      <c r="L8" s="355"/>
      <c r="M8" s="355"/>
      <c r="N8" s="355"/>
      <c r="O8" s="355"/>
    </row>
    <row r="9" spans="2:15" ht="18" customHeight="1">
      <c r="B9" s="135" t="s">
        <v>44</v>
      </c>
      <c r="C9" s="183" t="s">
        <v>45</v>
      </c>
      <c r="D9" s="184">
        <f>EOMONTH('Common Assumption'!E11,1)</f>
        <v>45747</v>
      </c>
      <c r="E9" s="184">
        <f>'Common Assumption'!E13</f>
        <v>46053</v>
      </c>
      <c r="F9" s="184">
        <f>DATE(YEAR(E9),MONTH(E9)+2,DAY(E9))</f>
        <v>46112</v>
      </c>
      <c r="G9" s="184">
        <f t="shared" ref="G9:L9" si="0">DATE(YEAR(F9)+1,MONTH(F9),DAY(F9))</f>
        <v>46477</v>
      </c>
      <c r="H9" s="184">
        <f t="shared" si="0"/>
        <v>46843</v>
      </c>
      <c r="I9" s="184">
        <f t="shared" si="0"/>
        <v>47208</v>
      </c>
      <c r="J9" s="184">
        <f t="shared" si="0"/>
        <v>47573</v>
      </c>
      <c r="K9" s="184">
        <f t="shared" si="0"/>
        <v>47938</v>
      </c>
      <c r="L9" s="184">
        <f t="shared" si="0"/>
        <v>48304</v>
      </c>
      <c r="M9" s="184">
        <f t="shared" ref="M9" si="1">DATE(YEAR(L9)+1,MONTH(L9),DAY(L9))</f>
        <v>48669</v>
      </c>
      <c r="N9" s="184">
        <f t="shared" ref="N9" si="2">DATE(YEAR(M9)+1,MONTH(M9),DAY(M9))</f>
        <v>49034</v>
      </c>
      <c r="O9" s="184">
        <f t="shared" ref="O9" si="3">DATE(YEAR(N9)+1,MONTH(N9),DAY(N9))</f>
        <v>49399</v>
      </c>
    </row>
    <row r="10" spans="2:15" s="126" customFormat="1" ht="18" customHeight="1">
      <c r="B10" s="185" t="s">
        <v>46</v>
      </c>
      <c r="C10" s="186"/>
      <c r="D10" s="187">
        <v>0</v>
      </c>
      <c r="E10" s="187">
        <v>0</v>
      </c>
      <c r="F10" s="188">
        <v>1</v>
      </c>
      <c r="G10" s="188">
        <f t="shared" ref="G10:L10" si="4">F10+1</f>
        <v>2</v>
      </c>
      <c r="H10" s="188">
        <f t="shared" si="4"/>
        <v>3</v>
      </c>
      <c r="I10" s="188">
        <f t="shared" si="4"/>
        <v>4</v>
      </c>
      <c r="J10" s="188">
        <f t="shared" si="4"/>
        <v>5</v>
      </c>
      <c r="K10" s="188">
        <f t="shared" si="4"/>
        <v>6</v>
      </c>
      <c r="L10" s="188">
        <f t="shared" si="4"/>
        <v>7</v>
      </c>
      <c r="M10" s="188">
        <f t="shared" ref="M10" si="5">L10+1</f>
        <v>8</v>
      </c>
      <c r="N10" s="188">
        <f t="shared" ref="N10" si="6">M10+1</f>
        <v>9</v>
      </c>
      <c r="O10" s="188">
        <f t="shared" ref="O10" si="7">N10+1</f>
        <v>10</v>
      </c>
    </row>
    <row r="11" spans="2:15" s="126" customFormat="1" ht="18" customHeight="1">
      <c r="B11" s="185" t="s">
        <v>47</v>
      </c>
      <c r="C11" s="186">
        <f>'Common Assumption'!E12</f>
        <v>11</v>
      </c>
      <c r="D11" s="187">
        <f>MONTH(D9-'Common Assumption'!E11)</f>
        <v>1</v>
      </c>
      <c r="E11" s="187">
        <f>C11-D11</f>
        <v>10</v>
      </c>
      <c r="F11" s="186">
        <f>MONTH(F9-E9)</f>
        <v>2</v>
      </c>
      <c r="G11" s="186">
        <f t="shared" ref="G11:L11" si="8">MONTH(G9-F9)</f>
        <v>12</v>
      </c>
      <c r="H11" s="186">
        <f t="shared" si="8"/>
        <v>12</v>
      </c>
      <c r="I11" s="186">
        <f t="shared" si="8"/>
        <v>12</v>
      </c>
      <c r="J11" s="186">
        <f t="shared" si="8"/>
        <v>12</v>
      </c>
      <c r="K11" s="186">
        <f t="shared" si="8"/>
        <v>12</v>
      </c>
      <c r="L11" s="186">
        <f t="shared" si="8"/>
        <v>12</v>
      </c>
      <c r="M11" s="186">
        <f t="shared" ref="M11" si="9">MONTH(M9-L9)</f>
        <v>12</v>
      </c>
      <c r="N11" s="186">
        <f t="shared" ref="N11" si="10">MONTH(N9-M9)</f>
        <v>12</v>
      </c>
      <c r="O11" s="186">
        <f t="shared" ref="O11" si="11">MONTH(O9-N9)</f>
        <v>12</v>
      </c>
    </row>
    <row r="13" spans="2:15" ht="18" customHeight="1">
      <c r="B13" s="143" t="s">
        <v>49</v>
      </c>
      <c r="C13" s="144"/>
      <c r="D13" s="144"/>
      <c r="E13" s="144"/>
      <c r="F13" s="145"/>
      <c r="G13" s="145"/>
      <c r="H13" s="145"/>
      <c r="I13" s="145"/>
      <c r="J13" s="145"/>
      <c r="K13" s="145"/>
      <c r="L13" s="145"/>
      <c r="M13" s="145"/>
      <c r="N13" s="145"/>
      <c r="O13" s="145"/>
    </row>
    <row r="14" spans="2:15" ht="18" customHeight="1">
      <c r="B14" s="127" t="s">
        <v>775</v>
      </c>
      <c r="F14" s="104"/>
      <c r="G14" s="104"/>
      <c r="H14" s="104"/>
    </row>
    <row r="15" spans="2:15" ht="18" customHeight="1">
      <c r="B15" s="94" t="s">
        <v>774</v>
      </c>
      <c r="F15" s="102">
        <f>'Common Assumption'!D26</f>
        <v>20000</v>
      </c>
      <c r="G15" s="102">
        <f t="shared" ref="G15:L15" si="12">F15</f>
        <v>20000</v>
      </c>
      <c r="H15" s="102">
        <f t="shared" si="12"/>
        <v>20000</v>
      </c>
      <c r="I15" s="102">
        <f t="shared" si="12"/>
        <v>20000</v>
      </c>
      <c r="J15" s="102">
        <f t="shared" si="12"/>
        <v>20000</v>
      </c>
      <c r="K15" s="102">
        <f t="shared" si="12"/>
        <v>20000</v>
      </c>
      <c r="L15" s="102">
        <f t="shared" si="12"/>
        <v>20000</v>
      </c>
      <c r="M15" s="102">
        <f t="shared" ref="M15" si="13">L15</f>
        <v>20000</v>
      </c>
      <c r="N15" s="102">
        <f t="shared" ref="N15" si="14">M15</f>
        <v>20000</v>
      </c>
      <c r="O15" s="102">
        <f t="shared" ref="O15" si="15">N15</f>
        <v>20000</v>
      </c>
    </row>
    <row r="16" spans="2:15" ht="18" customHeight="1">
      <c r="B16" s="94" t="s">
        <v>623</v>
      </c>
      <c r="F16" s="106">
        <f>'Common Assumption'!D30</f>
        <v>0.3</v>
      </c>
      <c r="G16" s="106">
        <f>'Common Assumption'!D31</f>
        <v>0.4</v>
      </c>
      <c r="H16" s="106">
        <f>'Common Assumption'!D32</f>
        <v>0.5</v>
      </c>
      <c r="I16" s="106">
        <f>'Common Assumption'!D33</f>
        <v>0.6</v>
      </c>
      <c r="J16" s="106">
        <f>'Common Assumption'!D34</f>
        <v>0.65</v>
      </c>
      <c r="K16" s="106">
        <f>'Common Assumption'!D35</f>
        <v>0.7</v>
      </c>
      <c r="L16" s="106">
        <f>'Common Assumption'!D36</f>
        <v>0.75</v>
      </c>
      <c r="M16" s="106">
        <f>'Common Assumption'!D37</f>
        <v>0.8</v>
      </c>
      <c r="N16" s="106">
        <f>'Common Assumption'!D38</f>
        <v>0.85</v>
      </c>
      <c r="O16" s="106">
        <f>'Common Assumption'!D39</f>
        <v>0.9</v>
      </c>
    </row>
    <row r="17" spans="2:15" ht="18" customHeight="1">
      <c r="B17" s="94" t="s">
        <v>21</v>
      </c>
      <c r="F17" s="102">
        <f>'Common Assumption'!D23</f>
        <v>300</v>
      </c>
      <c r="G17" s="102">
        <f t="shared" ref="G17:K17" si="16">F17</f>
        <v>300</v>
      </c>
      <c r="H17" s="102">
        <f t="shared" si="16"/>
        <v>300</v>
      </c>
      <c r="I17" s="102">
        <f t="shared" si="16"/>
        <v>300</v>
      </c>
      <c r="J17" s="102">
        <f t="shared" si="16"/>
        <v>300</v>
      </c>
      <c r="K17" s="102">
        <f t="shared" si="16"/>
        <v>300</v>
      </c>
      <c r="L17" s="102">
        <f>K17</f>
        <v>300</v>
      </c>
      <c r="M17" s="102">
        <f t="shared" ref="M17:O17" si="17">L17</f>
        <v>300</v>
      </c>
      <c r="N17" s="102">
        <f t="shared" si="17"/>
        <v>300</v>
      </c>
      <c r="O17" s="102">
        <f t="shared" si="17"/>
        <v>300</v>
      </c>
    </row>
    <row r="18" spans="2:15" ht="18" customHeight="1">
      <c r="B18" s="94" t="s">
        <v>50</v>
      </c>
      <c r="F18" s="102">
        <f>IF(F11&lt;12,F9-E9,F17)</f>
        <v>59</v>
      </c>
      <c r="G18" s="102">
        <f>IF(G11&lt;12,G9-F9,G17)</f>
        <v>300</v>
      </c>
      <c r="H18" s="102">
        <f t="shared" ref="H18:L18" si="18">IF(H11&lt;12,H9-G9,H17)</f>
        <v>300</v>
      </c>
      <c r="I18" s="102">
        <f t="shared" si="18"/>
        <v>300</v>
      </c>
      <c r="J18" s="102">
        <f t="shared" si="18"/>
        <v>300</v>
      </c>
      <c r="K18" s="102">
        <f t="shared" si="18"/>
        <v>300</v>
      </c>
      <c r="L18" s="102">
        <f t="shared" si="18"/>
        <v>300</v>
      </c>
      <c r="M18" s="102">
        <f t="shared" ref="M18" si="19">IF(M11&lt;12,M9-L9,M17)</f>
        <v>300</v>
      </c>
      <c r="N18" s="102">
        <f t="shared" ref="N18" si="20">IF(N11&lt;12,N9-M9,N17)</f>
        <v>300</v>
      </c>
      <c r="O18" s="102">
        <f t="shared" ref="O18" si="21">IF(O11&lt;12,O9-N9,O17)</f>
        <v>300</v>
      </c>
    </row>
    <row r="19" spans="2:15" ht="15.75" customHeight="1">
      <c r="F19" s="102"/>
      <c r="G19" s="102"/>
      <c r="H19" s="102"/>
      <c r="I19" s="102"/>
      <c r="J19" s="102"/>
      <c r="K19" s="102"/>
      <c r="L19" s="102"/>
    </row>
    <row r="20" spans="2:15" ht="19.5" customHeight="1">
      <c r="B20" s="127" t="s">
        <v>789</v>
      </c>
      <c r="C20" s="94">
        <f>8*2.75</f>
        <v>22</v>
      </c>
      <c r="F20" s="102"/>
      <c r="G20" s="102"/>
      <c r="H20" s="102"/>
      <c r="I20" s="102"/>
      <c r="J20" s="102"/>
      <c r="K20" s="102"/>
      <c r="L20" s="102"/>
    </row>
    <row r="21" spans="2:15" ht="18" customHeight="1">
      <c r="B21" s="94" t="s">
        <v>805</v>
      </c>
      <c r="F21" s="102">
        <f>F15*F16*$C$22*F11/12</f>
        <v>333.3</v>
      </c>
      <c r="G21" s="102">
        <f t="shared" ref="F21:O21" si="22">G15*G16*$C$22*G11/12</f>
        <v>2666.4</v>
      </c>
      <c r="H21" s="102">
        <f t="shared" si="22"/>
        <v>3333</v>
      </c>
      <c r="I21" s="102">
        <f t="shared" si="22"/>
        <v>3999.6</v>
      </c>
      <c r="J21" s="102">
        <f t="shared" si="22"/>
        <v>4332.8999999999996</v>
      </c>
      <c r="K21" s="102">
        <f t="shared" si="22"/>
        <v>4666.2</v>
      </c>
      <c r="L21" s="102">
        <f t="shared" si="22"/>
        <v>4999.5</v>
      </c>
      <c r="M21" s="102">
        <f t="shared" si="22"/>
        <v>5332.8</v>
      </c>
      <c r="N21" s="102">
        <f t="shared" si="22"/>
        <v>5666.0999999999995</v>
      </c>
      <c r="O21" s="102">
        <f t="shared" si="22"/>
        <v>5999.3999999999987</v>
      </c>
    </row>
    <row r="22" spans="2:15" ht="18" customHeight="1">
      <c r="B22" s="94" t="s">
        <v>801</v>
      </c>
      <c r="C22" s="289">
        <v>0.33329999999999999</v>
      </c>
      <c r="F22" s="102">
        <f>F21*1000</f>
        <v>333300</v>
      </c>
      <c r="G22" s="102">
        <f t="shared" ref="G22:O22" si="23">G21*1000</f>
        <v>2666400</v>
      </c>
      <c r="H22" s="102">
        <f t="shared" si="23"/>
        <v>3333000</v>
      </c>
      <c r="I22" s="102">
        <f t="shared" si="23"/>
        <v>3999600</v>
      </c>
      <c r="J22" s="102">
        <f t="shared" si="23"/>
        <v>4332900</v>
      </c>
      <c r="K22" s="102">
        <f t="shared" si="23"/>
        <v>4666200</v>
      </c>
      <c r="L22" s="102">
        <f t="shared" si="23"/>
        <v>4999500</v>
      </c>
      <c r="M22" s="102">
        <f t="shared" si="23"/>
        <v>5332800</v>
      </c>
      <c r="N22" s="102">
        <f t="shared" si="23"/>
        <v>5666099.9999999991</v>
      </c>
      <c r="O22" s="102">
        <f t="shared" si="23"/>
        <v>5999399.9999999991</v>
      </c>
    </row>
    <row r="23" spans="2:15" ht="18" customHeight="1">
      <c r="B23" s="94" t="s">
        <v>799</v>
      </c>
      <c r="C23" s="289"/>
      <c r="F23" s="102">
        <f>F22/$C$20</f>
        <v>15150</v>
      </c>
      <c r="G23" s="102">
        <f t="shared" ref="G23:O23" si="24">G22/$C$20</f>
        <v>121200</v>
      </c>
      <c r="H23" s="102">
        <f t="shared" si="24"/>
        <v>151500</v>
      </c>
      <c r="I23" s="102">
        <f t="shared" si="24"/>
        <v>181800</v>
      </c>
      <c r="J23" s="102">
        <f t="shared" si="24"/>
        <v>196950</v>
      </c>
      <c r="K23" s="102">
        <f t="shared" si="24"/>
        <v>212100</v>
      </c>
      <c r="L23" s="102">
        <f t="shared" si="24"/>
        <v>227250</v>
      </c>
      <c r="M23" s="102">
        <f t="shared" si="24"/>
        <v>242400</v>
      </c>
      <c r="N23" s="102">
        <f t="shared" si="24"/>
        <v>257549.99999999997</v>
      </c>
      <c r="O23" s="102">
        <f t="shared" si="24"/>
        <v>272699.99999999994</v>
      </c>
    </row>
    <row r="24" spans="2:15" ht="18" customHeight="1">
      <c r="B24" s="94" t="s">
        <v>809</v>
      </c>
      <c r="C24" s="289"/>
      <c r="F24" s="102">
        <f>F23*'Common Assumption'!$D$27</f>
        <v>757.5</v>
      </c>
      <c r="G24" s="102">
        <f>G23*'Common Assumption'!$D$27</f>
        <v>6060</v>
      </c>
      <c r="H24" s="102">
        <f>H23*'Common Assumption'!$D$27</f>
        <v>7575</v>
      </c>
      <c r="I24" s="102">
        <f>I23*'Common Assumption'!$D$27</f>
        <v>9090</v>
      </c>
      <c r="J24" s="102">
        <f>J23*'Common Assumption'!$D$27</f>
        <v>9847.5</v>
      </c>
      <c r="K24" s="102">
        <f>K23*'Common Assumption'!$D$27</f>
        <v>10605</v>
      </c>
      <c r="L24" s="102">
        <f>L23*'Common Assumption'!$D$27</f>
        <v>11362.5</v>
      </c>
      <c r="M24" s="102">
        <f>M23*'Common Assumption'!$D$27</f>
        <v>12120</v>
      </c>
      <c r="N24" s="102">
        <f>N23*'Common Assumption'!$D$27</f>
        <v>12877.5</v>
      </c>
      <c r="O24" s="102">
        <f>O23*'Common Assumption'!$D$27</f>
        <v>13634.999999999998</v>
      </c>
    </row>
    <row r="25" spans="2:15" ht="18" customHeight="1">
      <c r="B25" s="94" t="s">
        <v>800</v>
      </c>
      <c r="C25" s="289"/>
      <c r="F25" s="102">
        <f>F23-F24</f>
        <v>14392.5</v>
      </c>
      <c r="G25" s="102">
        <f t="shared" ref="G25:K25" si="25">G23-G24</f>
        <v>115140</v>
      </c>
      <c r="H25" s="102">
        <f t="shared" si="25"/>
        <v>143925</v>
      </c>
      <c r="I25" s="102">
        <f t="shared" si="25"/>
        <v>172710</v>
      </c>
      <c r="J25" s="102">
        <f t="shared" si="25"/>
        <v>187102.5</v>
      </c>
      <c r="K25" s="102">
        <f t="shared" si="25"/>
        <v>201495</v>
      </c>
      <c r="L25" s="102">
        <f>L23-L24</f>
        <v>215887.5</v>
      </c>
      <c r="M25" s="102">
        <f t="shared" ref="M25:O25" si="26">M23-M24</f>
        <v>230280</v>
      </c>
      <c r="N25" s="102">
        <f t="shared" si="26"/>
        <v>244672.49999999997</v>
      </c>
      <c r="O25" s="102">
        <f t="shared" si="26"/>
        <v>259064.99999999994</v>
      </c>
    </row>
    <row r="26" spans="2:15" ht="18" customHeight="1">
      <c r="B26" s="94" t="s">
        <v>783</v>
      </c>
      <c r="F26" s="104">
        <f>'Common Assumption'!D54</f>
        <v>1435</v>
      </c>
      <c r="G26" s="104">
        <f>F26*(1+G27)</f>
        <v>1470.8749999999998</v>
      </c>
      <c r="H26" s="104">
        <f t="shared" ref="H26:K26" si="27">G26*(1+H27)</f>
        <v>1507.6468749999997</v>
      </c>
      <c r="I26" s="104">
        <f t="shared" si="27"/>
        <v>1545.3380468749995</v>
      </c>
      <c r="J26" s="104">
        <f t="shared" si="27"/>
        <v>1583.9714980468743</v>
      </c>
      <c r="K26" s="104">
        <f t="shared" si="27"/>
        <v>1623.570785498046</v>
      </c>
      <c r="L26" s="104">
        <f>K26*(1+L27)</f>
        <v>1664.160055135497</v>
      </c>
      <c r="M26" s="104">
        <f>L26*(1+M27)</f>
        <v>1705.7640565138843</v>
      </c>
      <c r="N26" s="104">
        <f>M26*(1+N27)</f>
        <v>1748.4081579267313</v>
      </c>
      <c r="O26" s="104">
        <f>N26*(1+O27)</f>
        <v>1792.1183618748994</v>
      </c>
    </row>
    <row r="27" spans="2:15" ht="18" customHeight="1">
      <c r="B27" s="94" t="s">
        <v>51</v>
      </c>
      <c r="F27" s="103">
        <v>2.5000000000000001E-2</v>
      </c>
      <c r="G27" s="103">
        <v>2.5000000000000001E-2</v>
      </c>
      <c r="H27" s="103">
        <v>2.5000000000000001E-2</v>
      </c>
      <c r="I27" s="103">
        <v>2.5000000000000001E-2</v>
      </c>
      <c r="J27" s="103">
        <v>2.5000000000000001E-2</v>
      </c>
      <c r="K27" s="103">
        <v>2.5000000000000001E-2</v>
      </c>
      <c r="L27" s="103">
        <v>2.5000000000000001E-2</v>
      </c>
      <c r="M27" s="103">
        <v>2.5000000000000001E-2</v>
      </c>
      <c r="N27" s="103">
        <v>2.5000000000000001E-2</v>
      </c>
      <c r="O27" s="103">
        <v>2.5000000000000001E-2</v>
      </c>
    </row>
    <row r="28" spans="2:15" ht="18" customHeight="1">
      <c r="B28" s="118" t="s">
        <v>784</v>
      </c>
      <c r="C28" s="118"/>
      <c r="D28" s="118"/>
      <c r="E28" s="118"/>
      <c r="F28" s="146">
        <f>F25*F26/10^7</f>
        <v>2.0653237500000001</v>
      </c>
      <c r="G28" s="146">
        <f t="shared" ref="G28:O28" si="28">G25*G26/10^7</f>
        <v>16.935654749999998</v>
      </c>
      <c r="H28" s="146">
        <f t="shared" si="28"/>
        <v>21.698807648437494</v>
      </c>
      <c r="I28" s="146">
        <f t="shared" si="28"/>
        <v>26.689533407578118</v>
      </c>
      <c r="J28" s="146">
        <f t="shared" si="28"/>
        <v>29.636502721331532</v>
      </c>
      <c r="K28" s="146">
        <f t="shared" si="28"/>
        <v>32.714139542392878</v>
      </c>
      <c r="L28" s="146">
        <f t="shared" si="28"/>
        <v>35.927135390306461</v>
      </c>
      <c r="M28" s="146">
        <f t="shared" si="28"/>
        <v>39.280334693401727</v>
      </c>
      <c r="N28" s="146">
        <f t="shared" si="28"/>
        <v>42.778739502032813</v>
      </c>
      <c r="O28" s="146">
        <f t="shared" si="28"/>
        <v>46.427514341912072</v>
      </c>
    </row>
    <row r="29" spans="2:15" ht="18" customHeight="1">
      <c r="B29" s="95"/>
      <c r="C29" s="95"/>
      <c r="D29" s="95"/>
      <c r="E29" s="95"/>
      <c r="F29" s="128"/>
      <c r="G29" s="128"/>
      <c r="H29" s="128"/>
      <c r="I29" s="128"/>
      <c r="J29" s="128"/>
      <c r="K29" s="128"/>
      <c r="L29" s="128"/>
    </row>
    <row r="30" spans="2:15" ht="18" customHeight="1">
      <c r="B30" s="95" t="s">
        <v>790</v>
      </c>
      <c r="C30" s="95"/>
      <c r="D30" s="95"/>
      <c r="E30" s="95"/>
      <c r="F30" s="128"/>
      <c r="G30" s="128"/>
      <c r="H30" s="128"/>
      <c r="I30" s="128"/>
      <c r="J30" s="128"/>
      <c r="K30" s="128"/>
      <c r="L30" s="128"/>
    </row>
    <row r="31" spans="2:15" ht="18" customHeight="1">
      <c r="B31" s="94" t="s">
        <v>791</v>
      </c>
      <c r="C31" s="94">
        <f>5*2.75</f>
        <v>13.75</v>
      </c>
      <c r="F31" s="102">
        <f>F15*F16*$C$32*F11/12</f>
        <v>333.3</v>
      </c>
      <c r="G31" s="102">
        <f t="shared" ref="G31:O31" si="29">G15*G16*$C$32*G11/12</f>
        <v>2666.4</v>
      </c>
      <c r="H31" s="102">
        <f t="shared" si="29"/>
        <v>3333</v>
      </c>
      <c r="I31" s="102">
        <f t="shared" si="29"/>
        <v>3999.6</v>
      </c>
      <c r="J31" s="102">
        <f t="shared" si="29"/>
        <v>4332.8999999999996</v>
      </c>
      <c r="K31" s="102">
        <f t="shared" si="29"/>
        <v>4666.2</v>
      </c>
      <c r="L31" s="102">
        <f t="shared" si="29"/>
        <v>4999.5</v>
      </c>
      <c r="M31" s="102">
        <f t="shared" si="29"/>
        <v>5332.8</v>
      </c>
      <c r="N31" s="102">
        <f t="shared" si="29"/>
        <v>5666.0999999999995</v>
      </c>
      <c r="O31" s="102">
        <f t="shared" si="29"/>
        <v>5999.3999999999987</v>
      </c>
    </row>
    <row r="32" spans="2:15" ht="18" customHeight="1">
      <c r="B32" s="94" t="s">
        <v>802</v>
      </c>
      <c r="C32" s="289">
        <v>0.33329999999999999</v>
      </c>
      <c r="D32" s="95"/>
      <c r="E32" s="95"/>
      <c r="F32" s="102">
        <f>F31*1000</f>
        <v>333300</v>
      </c>
      <c r="G32" s="102">
        <f t="shared" ref="G32:O32" si="30">G31*1000</f>
        <v>2666400</v>
      </c>
      <c r="H32" s="102">
        <f t="shared" si="30"/>
        <v>3333000</v>
      </c>
      <c r="I32" s="102">
        <f t="shared" si="30"/>
        <v>3999600</v>
      </c>
      <c r="J32" s="102">
        <f t="shared" si="30"/>
        <v>4332900</v>
      </c>
      <c r="K32" s="102">
        <f t="shared" si="30"/>
        <v>4666200</v>
      </c>
      <c r="L32" s="102">
        <f t="shared" si="30"/>
        <v>4999500</v>
      </c>
      <c r="M32" s="102">
        <f t="shared" si="30"/>
        <v>5332800</v>
      </c>
      <c r="N32" s="102">
        <f t="shared" si="30"/>
        <v>5666099.9999999991</v>
      </c>
      <c r="O32" s="102">
        <f t="shared" si="30"/>
        <v>5999399.9999999991</v>
      </c>
    </row>
    <row r="33" spans="2:15" ht="18" customHeight="1">
      <c r="B33" s="94" t="s">
        <v>803</v>
      </c>
      <c r="C33" s="289"/>
      <c r="D33" s="95"/>
      <c r="E33" s="95"/>
      <c r="F33" s="102">
        <f>F32/$C$31</f>
        <v>24240</v>
      </c>
      <c r="G33" s="102">
        <f t="shared" ref="G33:O33" si="31">G32/$C$31</f>
        <v>193920</v>
      </c>
      <c r="H33" s="102">
        <f t="shared" si="31"/>
        <v>242400</v>
      </c>
      <c r="I33" s="102">
        <f t="shared" si="31"/>
        <v>290880</v>
      </c>
      <c r="J33" s="102">
        <f t="shared" si="31"/>
        <v>315120</v>
      </c>
      <c r="K33" s="102">
        <f t="shared" si="31"/>
        <v>339360</v>
      </c>
      <c r="L33" s="102">
        <f t="shared" si="31"/>
        <v>363600</v>
      </c>
      <c r="M33" s="102">
        <f t="shared" si="31"/>
        <v>387840</v>
      </c>
      <c r="N33" s="102">
        <f t="shared" si="31"/>
        <v>412079.99999999994</v>
      </c>
      <c r="O33" s="102">
        <f t="shared" si="31"/>
        <v>436319.99999999994</v>
      </c>
    </row>
    <row r="34" spans="2:15" ht="18" customHeight="1">
      <c r="B34" s="94" t="s">
        <v>809</v>
      </c>
      <c r="C34" s="289"/>
      <c r="D34" s="95"/>
      <c r="E34" s="95"/>
      <c r="F34" s="102">
        <f>F33*'Common Assumption'!$D$27</f>
        <v>1212</v>
      </c>
      <c r="G34" s="102">
        <f>G33*'Common Assumption'!$D$27</f>
        <v>9696</v>
      </c>
      <c r="H34" s="102">
        <f>H33*'Common Assumption'!$D$27</f>
        <v>12120</v>
      </c>
      <c r="I34" s="102">
        <f>I33*'Common Assumption'!$D$27</f>
        <v>14544</v>
      </c>
      <c r="J34" s="102">
        <f>J33*'Common Assumption'!$D$27</f>
        <v>15756</v>
      </c>
      <c r="K34" s="102">
        <f>K33*'Common Assumption'!$D$27</f>
        <v>16968</v>
      </c>
      <c r="L34" s="102">
        <f>L33*'Common Assumption'!$D$27</f>
        <v>18180</v>
      </c>
      <c r="M34" s="102">
        <f>M33*'Common Assumption'!$D$27</f>
        <v>19392</v>
      </c>
      <c r="N34" s="102">
        <f>N33*'Common Assumption'!$D$27</f>
        <v>20604</v>
      </c>
      <c r="O34" s="102">
        <f>O33*'Common Assumption'!$D$27</f>
        <v>21816</v>
      </c>
    </row>
    <row r="35" spans="2:15" ht="18" customHeight="1">
      <c r="B35" s="94" t="s">
        <v>804</v>
      </c>
      <c r="C35" s="289"/>
      <c r="D35" s="95"/>
      <c r="E35" s="95"/>
      <c r="F35" s="102">
        <f>F33-F34</f>
        <v>23028</v>
      </c>
      <c r="G35" s="102">
        <f t="shared" ref="G35:O35" si="32">G33-G34</f>
        <v>184224</v>
      </c>
      <c r="H35" s="102">
        <f t="shared" si="32"/>
        <v>230280</v>
      </c>
      <c r="I35" s="102">
        <f t="shared" si="32"/>
        <v>276336</v>
      </c>
      <c r="J35" s="102">
        <f t="shared" si="32"/>
        <v>299364</v>
      </c>
      <c r="K35" s="102">
        <f t="shared" si="32"/>
        <v>322392</v>
      </c>
      <c r="L35" s="102">
        <f t="shared" si="32"/>
        <v>345420</v>
      </c>
      <c r="M35" s="102">
        <f t="shared" si="32"/>
        <v>368448</v>
      </c>
      <c r="N35" s="102">
        <f t="shared" si="32"/>
        <v>391475.99999999994</v>
      </c>
      <c r="O35" s="102">
        <f t="shared" si="32"/>
        <v>414503.99999999994</v>
      </c>
    </row>
    <row r="36" spans="2:15" ht="18" customHeight="1">
      <c r="B36" s="94" t="s">
        <v>786</v>
      </c>
      <c r="C36" s="95"/>
      <c r="D36" s="95"/>
      <c r="E36" s="95"/>
      <c r="F36" s="102">
        <f>'Common Assumption'!D55</f>
        <v>1744</v>
      </c>
      <c r="G36" s="102">
        <f>F36*(1+G37)</f>
        <v>1787.6</v>
      </c>
      <c r="H36" s="102">
        <f t="shared" ref="H36:L36" si="33">G36*(1+H37)</f>
        <v>1832.2899999999997</v>
      </c>
      <c r="I36" s="102">
        <f t="shared" si="33"/>
        <v>1878.0972499999996</v>
      </c>
      <c r="J36" s="102">
        <f t="shared" si="33"/>
        <v>1925.0496812499994</v>
      </c>
      <c r="K36" s="102">
        <f t="shared" si="33"/>
        <v>1973.1759232812492</v>
      </c>
      <c r="L36" s="102">
        <f t="shared" si="33"/>
        <v>2022.5053213632802</v>
      </c>
      <c r="M36" s="102">
        <f t="shared" ref="M36" si="34">L36*(1+M37)</f>
        <v>2073.067954397362</v>
      </c>
      <c r="N36" s="102">
        <f t="shared" ref="N36" si="35">M36*(1+N37)</f>
        <v>2124.8946532572959</v>
      </c>
      <c r="O36" s="102">
        <f>N36*(1+O37)</f>
        <v>2178.0170195887281</v>
      </c>
    </row>
    <row r="37" spans="2:15" ht="18" customHeight="1">
      <c r="B37" s="94" t="s">
        <v>51</v>
      </c>
      <c r="C37" s="95"/>
      <c r="D37" s="95"/>
      <c r="E37" s="95"/>
      <c r="F37" s="103">
        <v>2.5000000000000001E-2</v>
      </c>
      <c r="G37" s="103">
        <v>2.5000000000000001E-2</v>
      </c>
      <c r="H37" s="103">
        <v>2.5000000000000001E-2</v>
      </c>
      <c r="I37" s="103">
        <v>2.5000000000000001E-2</v>
      </c>
      <c r="J37" s="103">
        <v>2.5000000000000001E-2</v>
      </c>
      <c r="K37" s="103">
        <v>2.5000000000000001E-2</v>
      </c>
      <c r="L37" s="103">
        <v>2.5000000000000001E-2</v>
      </c>
      <c r="M37" s="103">
        <v>2.5000000000000001E-2</v>
      </c>
      <c r="N37" s="103">
        <v>2.5000000000000001E-2</v>
      </c>
      <c r="O37" s="103">
        <v>2.5000000000000001E-2</v>
      </c>
    </row>
    <row r="38" spans="2:15" ht="18" customHeight="1">
      <c r="B38" s="118" t="s">
        <v>785</v>
      </c>
      <c r="C38" s="95"/>
      <c r="D38" s="95"/>
      <c r="E38" s="95"/>
      <c r="F38" s="146">
        <f>F35*F36/10^7</f>
        <v>4.0160831999999997</v>
      </c>
      <c r="G38" s="146">
        <f t="shared" ref="G38:O38" si="36">G35*G36/10^7</f>
        <v>32.93188224</v>
      </c>
      <c r="H38" s="146">
        <f t="shared" si="36"/>
        <v>42.193974119999993</v>
      </c>
      <c r="I38" s="146">
        <f t="shared" si="36"/>
        <v>51.898588167599989</v>
      </c>
      <c r="J38" s="146">
        <f t="shared" si="36"/>
        <v>57.629057277772489</v>
      </c>
      <c r="K38" s="146">
        <f t="shared" si="36"/>
        <v>63.613613225848852</v>
      </c>
      <c r="L38" s="146">
        <f t="shared" si="36"/>
        <v>69.861378810530425</v>
      </c>
      <c r="M38" s="146">
        <f t="shared" si="36"/>
        <v>76.381774166179923</v>
      </c>
      <c r="N38" s="146">
        <f t="shared" si="36"/>
        <v>83.184525927855304</v>
      </c>
      <c r="O38" s="146">
        <f t="shared" si="36"/>
        <v>90.279676668760601</v>
      </c>
    </row>
    <row r="39" spans="2:15" ht="18" customHeight="1">
      <c r="B39" s="95"/>
      <c r="C39" s="95"/>
      <c r="D39" s="95"/>
      <c r="E39" s="95"/>
      <c r="F39" s="128"/>
      <c r="G39" s="128"/>
      <c r="H39" s="128"/>
      <c r="I39" s="128"/>
      <c r="J39" s="128"/>
      <c r="K39" s="128"/>
      <c r="L39" s="128"/>
    </row>
    <row r="40" spans="2:15" ht="18" customHeight="1">
      <c r="B40" s="95" t="s">
        <v>829</v>
      </c>
      <c r="C40" s="95"/>
      <c r="D40" s="95"/>
      <c r="E40" s="95"/>
      <c r="F40" s="128"/>
      <c r="G40" s="128"/>
      <c r="H40" s="128"/>
      <c r="I40" s="128"/>
      <c r="J40" s="128"/>
      <c r="K40" s="128"/>
      <c r="L40" s="128"/>
    </row>
    <row r="41" spans="2:15" ht="18" customHeight="1">
      <c r="B41" s="94" t="s">
        <v>805</v>
      </c>
      <c r="C41" s="95">
        <f>12*2.75</f>
        <v>33</v>
      </c>
      <c r="D41" s="95"/>
      <c r="E41" s="95"/>
      <c r="F41" s="102">
        <f>F15*F16*F11/12*$C$42</f>
        <v>333.3</v>
      </c>
      <c r="G41" s="102">
        <f t="shared" ref="G41:L41" si="37">G15*G16*G11/12*$C$42</f>
        <v>2666.4</v>
      </c>
      <c r="H41" s="102">
        <f t="shared" si="37"/>
        <v>3333</v>
      </c>
      <c r="I41" s="102">
        <f t="shared" si="37"/>
        <v>3999.6</v>
      </c>
      <c r="J41" s="102">
        <f t="shared" si="37"/>
        <v>4332.8999999999996</v>
      </c>
      <c r="K41" s="102">
        <f t="shared" si="37"/>
        <v>4666.2</v>
      </c>
      <c r="L41" s="102">
        <f t="shared" si="37"/>
        <v>4999.5</v>
      </c>
      <c r="M41" s="102">
        <f t="shared" ref="M41:O41" si="38">M15*M16*M11/12*$C$42</f>
        <v>5332.8</v>
      </c>
      <c r="N41" s="102">
        <f t="shared" si="38"/>
        <v>5666.0999999999995</v>
      </c>
      <c r="O41" s="102">
        <f t="shared" si="38"/>
        <v>5999.4</v>
      </c>
    </row>
    <row r="42" spans="2:15" ht="18" customHeight="1">
      <c r="B42" s="94" t="s">
        <v>806</v>
      </c>
      <c r="C42" s="289">
        <v>0.33329999999999999</v>
      </c>
      <c r="D42" s="95"/>
      <c r="E42" s="95"/>
      <c r="F42" s="102">
        <f>F41*1000</f>
        <v>333300</v>
      </c>
      <c r="G42" s="102">
        <f t="shared" ref="G42:O42" si="39">G41*1000</f>
        <v>2666400</v>
      </c>
      <c r="H42" s="102">
        <f t="shared" si="39"/>
        <v>3333000</v>
      </c>
      <c r="I42" s="102">
        <f t="shared" si="39"/>
        <v>3999600</v>
      </c>
      <c r="J42" s="102">
        <f t="shared" si="39"/>
        <v>4332900</v>
      </c>
      <c r="K42" s="102">
        <f t="shared" si="39"/>
        <v>4666200</v>
      </c>
      <c r="L42" s="102">
        <f t="shared" si="39"/>
        <v>4999500</v>
      </c>
      <c r="M42" s="102">
        <f t="shared" si="39"/>
        <v>5332800</v>
      </c>
      <c r="N42" s="102">
        <f t="shared" si="39"/>
        <v>5666099.9999999991</v>
      </c>
      <c r="O42" s="102">
        <f t="shared" si="39"/>
        <v>5999400</v>
      </c>
    </row>
    <row r="43" spans="2:15" ht="18" customHeight="1">
      <c r="B43" s="94" t="s">
        <v>807</v>
      </c>
      <c r="C43" s="289"/>
      <c r="D43" s="95"/>
      <c r="E43" s="95"/>
      <c r="F43" s="102">
        <f>F42/$C$41</f>
        <v>10100</v>
      </c>
      <c r="G43" s="102">
        <f t="shared" ref="G43:O43" si="40">G42/$C$41</f>
        <v>80800</v>
      </c>
      <c r="H43" s="102">
        <f t="shared" si="40"/>
        <v>101000</v>
      </c>
      <c r="I43" s="102">
        <f t="shared" si="40"/>
        <v>121200</v>
      </c>
      <c r="J43" s="102">
        <f t="shared" si="40"/>
        <v>131300</v>
      </c>
      <c r="K43" s="102">
        <f t="shared" si="40"/>
        <v>141400</v>
      </c>
      <c r="L43" s="102">
        <f t="shared" si="40"/>
        <v>151500</v>
      </c>
      <c r="M43" s="102">
        <f t="shared" si="40"/>
        <v>161600</v>
      </c>
      <c r="N43" s="102">
        <f t="shared" si="40"/>
        <v>171699.99999999997</v>
      </c>
      <c r="O43" s="102">
        <f t="shared" si="40"/>
        <v>181800</v>
      </c>
    </row>
    <row r="44" spans="2:15" ht="18" customHeight="1">
      <c r="B44" s="94" t="s">
        <v>809</v>
      </c>
      <c r="C44" s="289"/>
      <c r="D44" s="95"/>
      <c r="E44" s="95"/>
      <c r="F44" s="102">
        <f>F43*'Common Assumption'!$D$27</f>
        <v>505</v>
      </c>
      <c r="G44" s="102">
        <f>G43*'Common Assumption'!$D$27</f>
        <v>4040</v>
      </c>
      <c r="H44" s="102">
        <f>H43*'Common Assumption'!$D$27</f>
        <v>5050</v>
      </c>
      <c r="I44" s="102">
        <f>I43*'Common Assumption'!$D$27</f>
        <v>6060</v>
      </c>
      <c r="J44" s="102">
        <f>J43*'Common Assumption'!$D$27</f>
        <v>6565</v>
      </c>
      <c r="K44" s="102">
        <f>K43*'Common Assumption'!$D$27</f>
        <v>7070</v>
      </c>
      <c r="L44" s="102">
        <f>L43*'Common Assumption'!$D$27</f>
        <v>7575</v>
      </c>
      <c r="M44" s="102">
        <f>M43*'Common Assumption'!$D$27</f>
        <v>8080</v>
      </c>
      <c r="N44" s="102">
        <f>N43*'Common Assumption'!$D$27</f>
        <v>8584.9999999999982</v>
      </c>
      <c r="O44" s="102">
        <f>O43*'Common Assumption'!$D$27</f>
        <v>9090</v>
      </c>
    </row>
    <row r="45" spans="2:15" ht="18" customHeight="1">
      <c r="B45" s="94" t="s">
        <v>808</v>
      </c>
      <c r="C45" s="289"/>
      <c r="D45" s="95"/>
      <c r="E45" s="95"/>
      <c r="F45" s="102">
        <f>F43-F44</f>
        <v>9595</v>
      </c>
      <c r="G45" s="102">
        <f t="shared" ref="G45:O45" si="41">G43-G44</f>
        <v>76760</v>
      </c>
      <c r="H45" s="102">
        <f t="shared" si="41"/>
        <v>95950</v>
      </c>
      <c r="I45" s="102">
        <f t="shared" si="41"/>
        <v>115140</v>
      </c>
      <c r="J45" s="102">
        <f t="shared" si="41"/>
        <v>124735</v>
      </c>
      <c r="K45" s="102">
        <f t="shared" si="41"/>
        <v>134330</v>
      </c>
      <c r="L45" s="102">
        <f t="shared" si="41"/>
        <v>143925</v>
      </c>
      <c r="M45" s="102">
        <f t="shared" si="41"/>
        <v>153520</v>
      </c>
      <c r="N45" s="102">
        <f t="shared" si="41"/>
        <v>163114.99999999997</v>
      </c>
      <c r="O45" s="102">
        <f t="shared" si="41"/>
        <v>172710</v>
      </c>
    </row>
    <row r="46" spans="2:15" ht="18" customHeight="1">
      <c r="B46" s="94" t="s">
        <v>787</v>
      </c>
      <c r="C46" s="95"/>
      <c r="D46" s="95"/>
      <c r="E46" s="95"/>
      <c r="F46" s="104">
        <f>'Common Assumption'!D57</f>
        <v>1485</v>
      </c>
      <c r="G46" s="102">
        <f>F46*(1+G47)</f>
        <v>1522.1249999999998</v>
      </c>
      <c r="H46" s="102">
        <f t="shared" ref="H46:L46" si="42">G46*(1+H47)</f>
        <v>1560.1781249999997</v>
      </c>
      <c r="I46" s="102">
        <f t="shared" si="42"/>
        <v>1599.1825781249995</v>
      </c>
      <c r="J46" s="102">
        <f t="shared" si="42"/>
        <v>1639.1621425781243</v>
      </c>
      <c r="K46" s="102">
        <f t="shared" si="42"/>
        <v>1680.1411961425772</v>
      </c>
      <c r="L46" s="102">
        <f t="shared" si="42"/>
        <v>1722.1447260461414</v>
      </c>
      <c r="M46" s="102">
        <f t="shared" ref="M46" si="43">L46*(1+M47)</f>
        <v>1765.1983441972948</v>
      </c>
      <c r="N46" s="102">
        <f t="shared" ref="N46" si="44">M46*(1+N47)</f>
        <v>1809.328302802227</v>
      </c>
      <c r="O46" s="102">
        <f t="shared" ref="O46" si="45">N46*(1+O47)</f>
        <v>1854.5615103722826</v>
      </c>
    </row>
    <row r="47" spans="2:15" ht="18" customHeight="1">
      <c r="B47" s="94" t="s">
        <v>51</v>
      </c>
      <c r="C47" s="95"/>
      <c r="D47" s="95"/>
      <c r="E47" s="95"/>
      <c r="F47" s="103">
        <v>2.5000000000000001E-2</v>
      </c>
      <c r="G47" s="103">
        <v>2.5000000000000001E-2</v>
      </c>
      <c r="H47" s="103">
        <v>2.5000000000000001E-2</v>
      </c>
      <c r="I47" s="103">
        <v>2.5000000000000001E-2</v>
      </c>
      <c r="J47" s="103">
        <v>2.5000000000000001E-2</v>
      </c>
      <c r="K47" s="103">
        <v>2.5000000000000001E-2</v>
      </c>
      <c r="L47" s="103">
        <v>2.5000000000000001E-2</v>
      </c>
      <c r="M47" s="103">
        <v>2.5000000000000001E-2</v>
      </c>
      <c r="N47" s="103">
        <v>2.5000000000000001E-2</v>
      </c>
      <c r="O47" s="103">
        <v>2.5000000000000001E-2</v>
      </c>
    </row>
    <row r="48" spans="2:15" ht="18" customHeight="1">
      <c r="B48" s="118" t="s">
        <v>785</v>
      </c>
      <c r="C48" s="95"/>
      <c r="D48" s="95"/>
      <c r="E48" s="95"/>
      <c r="F48" s="146">
        <f>F45*F46/10^7</f>
        <v>1.4248575000000001</v>
      </c>
      <c r="G48" s="146">
        <f t="shared" ref="G48:O48" si="46">G45*G46/10^7</f>
        <v>11.683831499999998</v>
      </c>
      <c r="H48" s="146">
        <f t="shared" si="46"/>
        <v>14.969909109374997</v>
      </c>
      <c r="I48" s="146">
        <f t="shared" si="46"/>
        <v>18.412988204531242</v>
      </c>
      <c r="J48" s="146">
        <f t="shared" si="46"/>
        <v>20.446088985448231</v>
      </c>
      <c r="K48" s="146">
        <f t="shared" si="46"/>
        <v>22.569336687783238</v>
      </c>
      <c r="L48" s="146">
        <f t="shared" si="46"/>
        <v>24.78596796961909</v>
      </c>
      <c r="M48" s="146">
        <f t="shared" si="46"/>
        <v>27.099324980116869</v>
      </c>
      <c r="N48" s="146">
        <f t="shared" si="46"/>
        <v>29.512858611158521</v>
      </c>
      <c r="O48" s="146">
        <f t="shared" si="46"/>
        <v>32.030131845639694</v>
      </c>
    </row>
    <row r="49" spans="2:15" ht="18" customHeight="1">
      <c r="F49" s="102"/>
      <c r="G49" s="102"/>
      <c r="H49" s="102"/>
      <c r="I49" s="102"/>
      <c r="J49" s="102"/>
      <c r="K49" s="102"/>
      <c r="L49" s="102"/>
    </row>
    <row r="50" spans="2:15" ht="18" customHeight="1">
      <c r="B50" s="135" t="s">
        <v>792</v>
      </c>
      <c r="C50" s="135"/>
      <c r="D50" s="135"/>
      <c r="E50" s="135"/>
      <c r="F50" s="147">
        <f>F28+F38+F48</f>
        <v>7.5062644499999998</v>
      </c>
      <c r="G50" s="147">
        <f>G28+G38+G48</f>
        <v>61.551368489999994</v>
      </c>
      <c r="H50" s="147">
        <f t="shared" ref="H50:O50" si="47">H28+H38+H48</f>
        <v>78.862690877812483</v>
      </c>
      <c r="I50" s="147">
        <f t="shared" si="47"/>
        <v>97.001109779709353</v>
      </c>
      <c r="J50" s="147">
        <f t="shared" si="47"/>
        <v>107.71164898455226</v>
      </c>
      <c r="K50" s="147">
        <f t="shared" si="47"/>
        <v>118.89708945602497</v>
      </c>
      <c r="L50" s="147">
        <f t="shared" si="47"/>
        <v>130.57448217045598</v>
      </c>
      <c r="M50" s="147">
        <f t="shared" si="47"/>
        <v>142.76143383969853</v>
      </c>
      <c r="N50" s="147">
        <f t="shared" si="47"/>
        <v>155.47612404104663</v>
      </c>
      <c r="O50" s="147">
        <f t="shared" si="47"/>
        <v>168.73732285631235</v>
      </c>
    </row>
    <row r="51" spans="2:15" ht="14.25" customHeight="1"/>
    <row r="52" spans="2:15" ht="18.75" customHeight="1">
      <c r="B52" s="94" t="s">
        <v>835</v>
      </c>
      <c r="D52" s="104"/>
      <c r="E52" s="104"/>
      <c r="F52" s="104">
        <f>'Loan Schedule'!F16/'Loan Schedule'!$C$23*'Common Assumption'!$D$63</f>
        <v>7.5099999999999986E-2</v>
      </c>
      <c r="G52" s="104">
        <f>'Loan Schedule'!G16/'Loan Schedule'!$C$23*'Common Assumption'!$D$63</f>
        <v>0.43140256249999992</v>
      </c>
      <c r="H52" s="104">
        <f>'Loan Schedule'!H16/'Loan Schedule'!$C$23*'Common Assumption'!$D$63</f>
        <v>0.38675936749999995</v>
      </c>
      <c r="I52" s="104">
        <f>'Loan Schedule'!I16/'Loan Schedule'!$C$23*'Common Assumption'!$D$63</f>
        <v>0.33669770750000005</v>
      </c>
      <c r="J52" s="104">
        <f>'Loan Schedule'!J16/'Loan Schedule'!$C$23*'Common Assumption'!$D$63</f>
        <v>0.28663604750000005</v>
      </c>
      <c r="K52" s="104">
        <f>'Loan Schedule'!K16/'Loan Schedule'!$C$23*'Common Assumption'!$D$63</f>
        <v>0.23657438749999996</v>
      </c>
      <c r="L52" s="104">
        <f>'Loan Schedule'!L16/'Loan Schedule'!$C$23*'Common Assumption'!$D$63</f>
        <v>0.1865127275</v>
      </c>
      <c r="M52" s="104">
        <v>0</v>
      </c>
      <c r="N52" s="104">
        <v>0</v>
      </c>
      <c r="O52" s="104">
        <v>0</v>
      </c>
    </row>
    <row r="53" spans="2:15" ht="18" customHeight="1">
      <c r="B53" s="135" t="s">
        <v>792</v>
      </c>
      <c r="C53" s="135"/>
      <c r="D53" s="135"/>
      <c r="E53" s="135"/>
      <c r="F53" s="147">
        <f>F50+F52</f>
        <v>7.5813644499999997</v>
      </c>
      <c r="G53" s="147">
        <f t="shared" ref="G53:O53" si="48">G50+G52</f>
        <v>61.982771052499992</v>
      </c>
      <c r="H53" s="147">
        <f t="shared" si="48"/>
        <v>79.249450245312488</v>
      </c>
      <c r="I53" s="147">
        <f t="shared" si="48"/>
        <v>97.337807487209346</v>
      </c>
      <c r="J53" s="147">
        <f t="shared" si="48"/>
        <v>107.99828503205225</v>
      </c>
      <c r="K53" s="147">
        <f t="shared" si="48"/>
        <v>119.13366384352497</v>
      </c>
      <c r="L53" s="147">
        <f t="shared" si="48"/>
        <v>130.76099489795598</v>
      </c>
      <c r="M53" s="147">
        <f t="shared" si="48"/>
        <v>142.76143383969853</v>
      </c>
      <c r="N53" s="147">
        <f t="shared" si="48"/>
        <v>155.47612404104663</v>
      </c>
      <c r="O53" s="147">
        <f t="shared" si="48"/>
        <v>168.73732285631235</v>
      </c>
    </row>
    <row r="54" spans="2:15" ht="14.25" customHeight="1"/>
    <row r="55" spans="2:15" ht="18" customHeight="1">
      <c r="B55" s="127" t="s">
        <v>793</v>
      </c>
      <c r="C55" s="100"/>
      <c r="D55" s="101"/>
      <c r="E55" s="101"/>
      <c r="F55" s="101"/>
      <c r="G55" s="100"/>
      <c r="H55" s="100"/>
      <c r="I55" s="100"/>
      <c r="J55" s="100"/>
      <c r="K55" s="100"/>
      <c r="L55" s="100"/>
    </row>
    <row r="56" spans="2:15" ht="18" customHeight="1">
      <c r="B56" s="94" t="s">
        <v>795</v>
      </c>
      <c r="C56" s="100"/>
      <c r="D56" s="101"/>
      <c r="E56" s="101"/>
      <c r="F56" s="102">
        <f>F15*F16*F11/12*'Common Assumption'!$D$27</f>
        <v>50</v>
      </c>
      <c r="G56" s="102">
        <f>G15*G16*G11/12*'Common Assumption'!$D$27</f>
        <v>400</v>
      </c>
      <c r="H56" s="102">
        <f>H15*H16*H11/12*'Common Assumption'!$D$27</f>
        <v>500</v>
      </c>
      <c r="I56" s="102">
        <f>I15*I16*I11/12*'Common Assumption'!$D$27</f>
        <v>600</v>
      </c>
      <c r="J56" s="102">
        <f>J15*J16*J11/12*'Common Assumption'!$D$27</f>
        <v>650</v>
      </c>
      <c r="K56" s="102">
        <f>K15*K16*K11/12*'Common Assumption'!$D$27</f>
        <v>700</v>
      </c>
      <c r="L56" s="102">
        <f>L15*L16*L11/12*'Common Assumption'!$D$27</f>
        <v>750</v>
      </c>
      <c r="M56" s="102">
        <f>M15*M16*M11/12*'Common Assumption'!$D$27</f>
        <v>800</v>
      </c>
      <c r="N56" s="102">
        <f>N15*N16*N11/12*'Common Assumption'!$D$27</f>
        <v>850</v>
      </c>
      <c r="O56" s="102">
        <f>O15*O16*O11/12*'Common Assumption'!$D$27</f>
        <v>900</v>
      </c>
    </row>
    <row r="57" spans="2:15" ht="18" customHeight="1">
      <c r="B57" s="94" t="s">
        <v>796</v>
      </c>
      <c r="C57" s="100"/>
      <c r="D57" s="101"/>
      <c r="E57" s="101"/>
      <c r="F57" s="102">
        <f>F56*1000</f>
        <v>50000</v>
      </c>
      <c r="G57" s="102">
        <f t="shared" ref="G57:O57" si="49">G56*1000</f>
        <v>400000</v>
      </c>
      <c r="H57" s="102">
        <f t="shared" si="49"/>
        <v>500000</v>
      </c>
      <c r="I57" s="102">
        <f t="shared" si="49"/>
        <v>600000</v>
      </c>
      <c r="J57" s="102">
        <f t="shared" si="49"/>
        <v>650000</v>
      </c>
      <c r="K57" s="102">
        <f t="shared" si="49"/>
        <v>700000</v>
      </c>
      <c r="L57" s="102">
        <f t="shared" si="49"/>
        <v>750000</v>
      </c>
      <c r="M57" s="102">
        <f t="shared" si="49"/>
        <v>800000</v>
      </c>
      <c r="N57" s="102">
        <f t="shared" si="49"/>
        <v>850000</v>
      </c>
      <c r="O57" s="102">
        <f t="shared" si="49"/>
        <v>900000</v>
      </c>
    </row>
    <row r="58" spans="2:15" ht="18" customHeight="1">
      <c r="B58" s="94" t="s">
        <v>794</v>
      </c>
      <c r="C58" s="100"/>
      <c r="D58" s="100"/>
      <c r="E58" s="100"/>
      <c r="F58" s="102">
        <f>'Common Assumption'!D59</f>
        <v>8</v>
      </c>
      <c r="G58" s="102">
        <f t="shared" ref="G58:L58" si="50">F58</f>
        <v>8</v>
      </c>
      <c r="H58" s="102">
        <f t="shared" si="50"/>
        <v>8</v>
      </c>
      <c r="I58" s="102">
        <f t="shared" si="50"/>
        <v>8</v>
      </c>
      <c r="J58" s="102">
        <f t="shared" si="50"/>
        <v>8</v>
      </c>
      <c r="K58" s="102">
        <f t="shared" si="50"/>
        <v>8</v>
      </c>
      <c r="L58" s="102">
        <f t="shared" si="50"/>
        <v>8</v>
      </c>
      <c r="M58" s="102">
        <f t="shared" ref="M58" si="51">L58</f>
        <v>8</v>
      </c>
      <c r="N58" s="102">
        <f t="shared" ref="N58" si="52">M58</f>
        <v>8</v>
      </c>
      <c r="O58" s="102">
        <f t="shared" ref="O58" si="53">N58</f>
        <v>8</v>
      </c>
    </row>
    <row r="59" spans="2:15" ht="18" customHeight="1">
      <c r="B59" s="118" t="s">
        <v>797</v>
      </c>
      <c r="C59" s="118"/>
      <c r="D59" s="118"/>
      <c r="E59" s="118"/>
      <c r="F59" s="146">
        <f>F57*F58/10^7</f>
        <v>0.04</v>
      </c>
      <c r="G59" s="146">
        <f t="shared" ref="G59:O59" si="54">G57*G58/10^7</f>
        <v>0.32</v>
      </c>
      <c r="H59" s="146">
        <f t="shared" si="54"/>
        <v>0.4</v>
      </c>
      <c r="I59" s="146">
        <f t="shared" si="54"/>
        <v>0.48</v>
      </c>
      <c r="J59" s="146">
        <f t="shared" si="54"/>
        <v>0.52</v>
      </c>
      <c r="K59" s="146">
        <f t="shared" si="54"/>
        <v>0.56000000000000005</v>
      </c>
      <c r="L59" s="146">
        <f t="shared" si="54"/>
        <v>0.6</v>
      </c>
      <c r="M59" s="146">
        <f t="shared" si="54"/>
        <v>0.64</v>
      </c>
      <c r="N59" s="146">
        <f t="shared" si="54"/>
        <v>0.68</v>
      </c>
      <c r="O59" s="146">
        <f t="shared" si="54"/>
        <v>0.72</v>
      </c>
    </row>
    <row r="60" spans="2:15" ht="18" customHeight="1">
      <c r="F60" s="105"/>
      <c r="G60" s="105"/>
      <c r="H60" s="105"/>
      <c r="I60" s="105"/>
      <c r="J60" s="105"/>
    </row>
    <row r="61" spans="2:15" ht="18" customHeight="1">
      <c r="B61" s="135" t="s">
        <v>69</v>
      </c>
      <c r="C61" s="135"/>
      <c r="D61" s="135"/>
      <c r="E61" s="135"/>
      <c r="F61" s="147">
        <f>F50+F59</f>
        <v>7.5462644499999998</v>
      </c>
      <c r="G61" s="147">
        <f t="shared" ref="G61:N61" si="55">G50+G59</f>
        <v>61.871368489999995</v>
      </c>
      <c r="H61" s="147">
        <f t="shared" si="55"/>
        <v>79.262690877812489</v>
      </c>
      <c r="I61" s="147">
        <f t="shared" si="55"/>
        <v>97.481109779709357</v>
      </c>
      <c r="J61" s="147">
        <f t="shared" si="55"/>
        <v>108.23164898455225</v>
      </c>
      <c r="K61" s="147">
        <f t="shared" si="55"/>
        <v>119.45708945602497</v>
      </c>
      <c r="L61" s="147">
        <f t="shared" si="55"/>
        <v>131.17448217045597</v>
      </c>
      <c r="M61" s="147">
        <f t="shared" si="55"/>
        <v>143.40143383969851</v>
      </c>
      <c r="N61" s="147">
        <f t="shared" si="55"/>
        <v>156.15612404104664</v>
      </c>
      <c r="O61" s="147">
        <f>O50+O59</f>
        <v>169.45732285631235</v>
      </c>
    </row>
    <row r="63" spans="2:15" ht="20.25" customHeight="1">
      <c r="B63" s="143" t="s">
        <v>54</v>
      </c>
      <c r="C63" s="144"/>
      <c r="D63" s="144"/>
      <c r="E63" s="144"/>
      <c r="F63" s="145"/>
      <c r="G63" s="145"/>
      <c r="H63" s="145"/>
      <c r="I63" s="145"/>
      <c r="J63" s="145"/>
      <c r="K63" s="145"/>
      <c r="L63" s="145"/>
      <c r="M63" s="145"/>
      <c r="N63" s="145"/>
      <c r="O63" s="145"/>
    </row>
    <row r="64" spans="2:15" ht="18" customHeight="1">
      <c r="B64" s="94" t="s">
        <v>55</v>
      </c>
      <c r="F64" s="104">
        <f>F61*'Common Assumption'!$D$79</f>
        <v>5.2823851149999994</v>
      </c>
      <c r="G64" s="104">
        <f>G61*'Common Assumption'!$D$79</f>
        <v>43.309957942999993</v>
      </c>
      <c r="H64" s="104">
        <f>H61*'Common Assumption'!$D$79</f>
        <v>55.483883614468738</v>
      </c>
      <c r="I64" s="104">
        <f>I61*'Common Assumption'!$D$79</f>
        <v>68.236776845796541</v>
      </c>
      <c r="J64" s="104">
        <f>J61*'Common Assumption'!$D$79</f>
        <v>75.762154289186569</v>
      </c>
      <c r="K64" s="104">
        <f>K61*'Common Assumption'!$D$79</f>
        <v>83.619962619217475</v>
      </c>
      <c r="L64" s="104">
        <f>L61*'Common Assumption'!$D$79</f>
        <v>91.82213751931917</v>
      </c>
      <c r="M64" s="104">
        <f>M61*'Common Assumption'!$D$79</f>
        <v>100.38100368778895</v>
      </c>
      <c r="N64" s="104">
        <f>N61*'Common Assumption'!$D$79</f>
        <v>109.30928682873264</v>
      </c>
      <c r="O64" s="104">
        <f>O61*'Common Assumption'!$D$79</f>
        <v>118.62012599941863</v>
      </c>
    </row>
    <row r="66" spans="2:15" ht="18" customHeight="1">
      <c r="B66" s="135" t="s">
        <v>57</v>
      </c>
      <c r="C66" s="135"/>
      <c r="D66" s="135"/>
      <c r="E66" s="135"/>
      <c r="F66" s="147">
        <f>F64</f>
        <v>5.2823851149999994</v>
      </c>
      <c r="G66" s="147">
        <f t="shared" ref="G66:O66" si="56">G64</f>
        <v>43.309957942999993</v>
      </c>
      <c r="H66" s="147">
        <f t="shared" si="56"/>
        <v>55.483883614468738</v>
      </c>
      <c r="I66" s="147">
        <f t="shared" si="56"/>
        <v>68.236776845796541</v>
      </c>
      <c r="J66" s="147">
        <f t="shared" si="56"/>
        <v>75.762154289186569</v>
      </c>
      <c r="K66" s="147">
        <f t="shared" si="56"/>
        <v>83.619962619217475</v>
      </c>
      <c r="L66" s="147">
        <f t="shared" si="56"/>
        <v>91.82213751931917</v>
      </c>
      <c r="M66" s="147">
        <f t="shared" si="56"/>
        <v>100.38100368778895</v>
      </c>
      <c r="N66" s="147">
        <f t="shared" si="56"/>
        <v>109.30928682873264</v>
      </c>
      <c r="O66" s="147">
        <f t="shared" si="56"/>
        <v>118.62012599941863</v>
      </c>
    </row>
    <row r="68" spans="2:15" ht="18" customHeight="1">
      <c r="B68" s="94" t="str">
        <f>'Common Assumption'!B81</f>
        <v>Packaging Material</v>
      </c>
      <c r="C68" s="179">
        <f>'Common Assumption'!D81</f>
        <v>0.01</v>
      </c>
      <c r="F68" s="104">
        <f>$C$68*F53</f>
        <v>7.5813644499999999E-2</v>
      </c>
      <c r="G68" s="104">
        <f t="shared" ref="G68:O68" si="57">$C$68*G53</f>
        <v>0.61982771052499996</v>
      </c>
      <c r="H68" s="104">
        <f t="shared" si="57"/>
        <v>0.79249450245312492</v>
      </c>
      <c r="I68" s="104">
        <f t="shared" si="57"/>
        <v>0.97337807487209349</v>
      </c>
      <c r="J68" s="104">
        <f t="shared" si="57"/>
        <v>1.0799828503205224</v>
      </c>
      <c r="K68" s="104">
        <f t="shared" si="57"/>
        <v>1.1913366384352497</v>
      </c>
      <c r="L68" s="104">
        <f t="shared" si="57"/>
        <v>1.3076099489795598</v>
      </c>
      <c r="M68" s="104">
        <f t="shared" si="57"/>
        <v>1.4276143383969853</v>
      </c>
      <c r="N68" s="104">
        <f t="shared" si="57"/>
        <v>1.5547612404104663</v>
      </c>
      <c r="O68" s="104">
        <f t="shared" si="57"/>
        <v>1.6873732285631236</v>
      </c>
    </row>
    <row r="70" spans="2:15" ht="18" customHeight="1">
      <c r="B70" s="127" t="s">
        <v>229</v>
      </c>
      <c r="C70" s="100"/>
      <c r="D70" s="100"/>
      <c r="E70" s="100"/>
      <c r="F70" s="100"/>
      <c r="G70" s="100"/>
      <c r="H70" s="100"/>
      <c r="I70" s="100"/>
    </row>
    <row r="71" spans="2:15" ht="18" customHeight="1">
      <c r="B71" s="94" t="s">
        <v>239</v>
      </c>
      <c r="C71" s="100"/>
      <c r="D71" s="100"/>
      <c r="E71" s="100"/>
      <c r="F71" s="102">
        <f>'Common Assumption'!$D$85*'Revenue &amp; Expense Modelling'!F16</f>
        <v>4800</v>
      </c>
      <c r="G71" s="102">
        <f>'Common Assumption'!$D$85*'Revenue &amp; Expense Modelling'!G16</f>
        <v>6400</v>
      </c>
      <c r="H71" s="102">
        <f>'Common Assumption'!$D$85*'Revenue &amp; Expense Modelling'!H16</f>
        <v>8000</v>
      </c>
      <c r="I71" s="102">
        <f>'Common Assumption'!$D$85*'Revenue &amp; Expense Modelling'!I16</f>
        <v>9600</v>
      </c>
      <c r="J71" s="102">
        <f>'Common Assumption'!$D$85*'Revenue &amp; Expense Modelling'!J16</f>
        <v>10400</v>
      </c>
      <c r="K71" s="102">
        <f>'Common Assumption'!$D$85*'Revenue &amp; Expense Modelling'!K16</f>
        <v>11200</v>
      </c>
      <c r="L71" s="102">
        <f>'Common Assumption'!$D$85*'Revenue &amp; Expense Modelling'!L16</f>
        <v>12000</v>
      </c>
      <c r="M71" s="102">
        <f>'Common Assumption'!$D$85*'Revenue &amp; Expense Modelling'!M16</f>
        <v>12800</v>
      </c>
      <c r="N71" s="102">
        <f>'Common Assumption'!$D$85*'Revenue &amp; Expense Modelling'!N16</f>
        <v>13600</v>
      </c>
      <c r="O71" s="102">
        <f>'Common Assumption'!$D$85*'Revenue &amp; Expense Modelling'!O16</f>
        <v>14400</v>
      </c>
    </row>
    <row r="72" spans="2:15" ht="18" customHeight="1">
      <c r="B72" s="94" t="s">
        <v>231</v>
      </c>
      <c r="C72" s="100"/>
      <c r="D72" s="100"/>
      <c r="E72" s="100"/>
      <c r="F72" s="100">
        <f>F71*F18</f>
        <v>283200</v>
      </c>
      <c r="G72" s="100">
        <f t="shared" ref="G72:O72" si="58">G71*G18</f>
        <v>1920000</v>
      </c>
      <c r="H72" s="100">
        <f t="shared" si="58"/>
        <v>2400000</v>
      </c>
      <c r="I72" s="100">
        <f t="shared" si="58"/>
        <v>2880000</v>
      </c>
      <c r="J72" s="100">
        <f t="shared" si="58"/>
        <v>3120000</v>
      </c>
      <c r="K72" s="100">
        <f t="shared" si="58"/>
        <v>3360000</v>
      </c>
      <c r="L72" s="100">
        <f t="shared" si="58"/>
        <v>3600000</v>
      </c>
      <c r="M72" s="100">
        <f t="shared" si="58"/>
        <v>3840000</v>
      </c>
      <c r="N72" s="100">
        <f t="shared" si="58"/>
        <v>4080000</v>
      </c>
      <c r="O72" s="100">
        <f t="shared" si="58"/>
        <v>4320000</v>
      </c>
    </row>
    <row r="73" spans="2:15" ht="18" customHeight="1">
      <c r="B73" s="94" t="s">
        <v>232</v>
      </c>
      <c r="C73" s="100"/>
      <c r="D73" s="100"/>
      <c r="E73" s="100"/>
      <c r="F73" s="104">
        <f>'Common Assumption'!D86</f>
        <v>8.5499999999999989</v>
      </c>
      <c r="G73" s="104">
        <f>F73*(1+G74)</f>
        <v>8.9774999999999991</v>
      </c>
      <c r="H73" s="104">
        <f t="shared" ref="H73:L73" si="59">G73*(1+H74)</f>
        <v>9.4263750000000002</v>
      </c>
      <c r="I73" s="104">
        <f t="shared" si="59"/>
        <v>9.8976937500000002</v>
      </c>
      <c r="J73" s="104">
        <f t="shared" si="59"/>
        <v>10.392578437500001</v>
      </c>
      <c r="K73" s="104">
        <f t="shared" si="59"/>
        <v>10.912207359375001</v>
      </c>
      <c r="L73" s="104">
        <f t="shared" si="59"/>
        <v>11.457817727343752</v>
      </c>
      <c r="M73" s="104">
        <f t="shared" ref="M73" si="60">L73*(1+M74)</f>
        <v>12.03070861371094</v>
      </c>
      <c r="N73" s="104">
        <f t="shared" ref="N73" si="61">M73*(1+N74)</f>
        <v>12.632244044396488</v>
      </c>
      <c r="O73" s="104">
        <f t="shared" ref="O73" si="62">N73*(1+O74)</f>
        <v>13.263856246616314</v>
      </c>
    </row>
    <row r="74" spans="2:15" ht="18" customHeight="1">
      <c r="B74" s="94" t="s">
        <v>230</v>
      </c>
      <c r="F74" s="101"/>
      <c r="G74" s="101">
        <f>'Common Assumption'!D87</f>
        <v>0.05</v>
      </c>
      <c r="H74" s="101">
        <f>G74</f>
        <v>0.05</v>
      </c>
      <c r="I74" s="101">
        <f>H74</f>
        <v>0.05</v>
      </c>
      <c r="J74" s="101">
        <f>I74</f>
        <v>0.05</v>
      </c>
      <c r="K74" s="101">
        <f>J74</f>
        <v>0.05</v>
      </c>
      <c r="L74" s="101">
        <f>K74</f>
        <v>0.05</v>
      </c>
      <c r="M74" s="101">
        <f t="shared" ref="M74:O74" si="63">L74</f>
        <v>0.05</v>
      </c>
      <c r="N74" s="101">
        <f t="shared" si="63"/>
        <v>0.05</v>
      </c>
      <c r="O74" s="101">
        <f t="shared" si="63"/>
        <v>0.05</v>
      </c>
    </row>
    <row r="75" spans="2:15" ht="18" customHeight="1">
      <c r="B75" s="118" t="s">
        <v>233</v>
      </c>
      <c r="C75" s="118"/>
      <c r="D75" s="118"/>
      <c r="E75" s="118"/>
      <c r="F75" s="146">
        <f>F72*F73/10^7</f>
        <v>0.24213599999999996</v>
      </c>
      <c r="G75" s="146">
        <f>G72*G73/10^7</f>
        <v>1.7236800000000001</v>
      </c>
      <c r="H75" s="146">
        <f t="shared" ref="H75:L75" si="64">H72*H73/10^7</f>
        <v>2.26233</v>
      </c>
      <c r="I75" s="146">
        <f t="shared" si="64"/>
        <v>2.8505357999999998</v>
      </c>
      <c r="J75" s="146">
        <f t="shared" si="64"/>
        <v>3.2424844725000002</v>
      </c>
      <c r="K75" s="146">
        <f t="shared" si="64"/>
        <v>3.6665016727500008</v>
      </c>
      <c r="L75" s="146">
        <f t="shared" si="64"/>
        <v>4.124814381843751</v>
      </c>
      <c r="M75" s="146">
        <f t="shared" ref="M75:O75" si="65">M72*M73/10^7</f>
        <v>4.6197921076650008</v>
      </c>
      <c r="N75" s="146">
        <f t="shared" si="65"/>
        <v>5.1539555701137667</v>
      </c>
      <c r="O75" s="146">
        <f t="shared" si="65"/>
        <v>5.7299858985382475</v>
      </c>
    </row>
    <row r="77" spans="2:15" ht="18" customHeight="1">
      <c r="B77" s="127" t="s">
        <v>26</v>
      </c>
      <c r="C77" s="100"/>
      <c r="D77" s="100"/>
      <c r="E77" s="100"/>
      <c r="F77" s="100"/>
      <c r="G77" s="100"/>
      <c r="H77" s="100"/>
      <c r="I77" s="100"/>
      <c r="J77" s="100"/>
      <c r="K77" s="100"/>
      <c r="L77" s="100"/>
    </row>
    <row r="78" spans="2:15" ht="18" customHeight="1">
      <c r="B78" s="94" t="s">
        <v>234</v>
      </c>
      <c r="C78" s="100"/>
      <c r="D78" s="100"/>
      <c r="E78" s="100"/>
      <c r="F78" s="102">
        <f>'Common Assumption'!D97</f>
        <v>43675311.399999999</v>
      </c>
      <c r="G78" s="102">
        <f>F78*(1+G80)</f>
        <v>48042842.539999999</v>
      </c>
      <c r="H78" s="102">
        <f t="shared" ref="H78:O78" si="66">G78*(1+H80)</f>
        <v>52847126.794</v>
      </c>
      <c r="I78" s="102">
        <f t="shared" si="66"/>
        <v>58131839.473400004</v>
      </c>
      <c r="J78" s="102">
        <f t="shared" si="66"/>
        <v>63945023.420740008</v>
      </c>
      <c r="K78" s="102">
        <f t="shared" si="66"/>
        <v>70339525.762814015</v>
      </c>
      <c r="L78" s="102">
        <f t="shared" si="66"/>
        <v>77373478.339095429</v>
      </c>
      <c r="M78" s="102">
        <f t="shared" si="66"/>
        <v>85110826.173004985</v>
      </c>
      <c r="N78" s="102">
        <f t="shared" si="66"/>
        <v>93621908.790305495</v>
      </c>
      <c r="O78" s="102">
        <f t="shared" si="66"/>
        <v>102984099.66933605</v>
      </c>
    </row>
    <row r="79" spans="2:15" ht="18" customHeight="1">
      <c r="B79" s="94" t="s">
        <v>235</v>
      </c>
      <c r="C79" s="100"/>
      <c r="D79" s="100"/>
      <c r="E79" s="100"/>
      <c r="F79" s="102">
        <f>F78/12*F11*F16</f>
        <v>2183765.5699999998</v>
      </c>
      <c r="G79" s="102">
        <f t="shared" ref="G79:O79" si="67">G78/12*G11*G16</f>
        <v>19217137.015999999</v>
      </c>
      <c r="H79" s="102">
        <f t="shared" si="67"/>
        <v>26423563.397</v>
      </c>
      <c r="I79" s="102">
        <f t="shared" si="67"/>
        <v>34879103.684040003</v>
      </c>
      <c r="J79" s="102">
        <f t="shared" si="67"/>
        <v>41564265.223481007</v>
      </c>
      <c r="K79" s="102">
        <f t="shared" si="67"/>
        <v>49237668.033969805</v>
      </c>
      <c r="L79" s="102">
        <f t="shared" si="67"/>
        <v>58030108.754321575</v>
      </c>
      <c r="M79" s="102">
        <f t="shared" si="67"/>
        <v>68088660.938403994</v>
      </c>
      <c r="N79" s="102">
        <f t="shared" si="67"/>
        <v>79578622.471759662</v>
      </c>
      <c r="O79" s="102">
        <f t="shared" si="67"/>
        <v>92685689.702402443</v>
      </c>
    </row>
    <row r="80" spans="2:15" ht="18" customHeight="1">
      <c r="B80" s="94" t="s">
        <v>230</v>
      </c>
      <c r="F80" s="101"/>
      <c r="G80" s="101">
        <f>'Common Assumption'!D98</f>
        <v>0.1</v>
      </c>
      <c r="H80" s="101">
        <f>G80</f>
        <v>0.1</v>
      </c>
      <c r="I80" s="101">
        <f>H80</f>
        <v>0.1</v>
      </c>
      <c r="J80" s="101">
        <f>I80</f>
        <v>0.1</v>
      </c>
      <c r="K80" s="101">
        <f>J80</f>
        <v>0.1</v>
      </c>
      <c r="L80" s="101">
        <f>K80</f>
        <v>0.1</v>
      </c>
      <c r="M80" s="101">
        <f t="shared" ref="M80:O80" si="68">L80</f>
        <v>0.1</v>
      </c>
      <c r="N80" s="101">
        <f t="shared" si="68"/>
        <v>0.1</v>
      </c>
      <c r="O80" s="101">
        <f t="shared" si="68"/>
        <v>0.1</v>
      </c>
    </row>
    <row r="81" spans="2:15" ht="18" customHeight="1">
      <c r="B81" s="118" t="s">
        <v>236</v>
      </c>
      <c r="C81" s="118"/>
      <c r="D81" s="118"/>
      <c r="E81" s="118"/>
      <c r="F81" s="146">
        <f>F79/10^7</f>
        <v>0.21837655699999997</v>
      </c>
      <c r="G81" s="146">
        <f t="shared" ref="G81:O81" si="69">G79/10^7</f>
        <v>1.9217137015999999</v>
      </c>
      <c r="H81" s="146">
        <f t="shared" si="69"/>
        <v>2.6423563397000001</v>
      </c>
      <c r="I81" s="146">
        <f t="shared" si="69"/>
        <v>3.487910368404</v>
      </c>
      <c r="J81" s="146">
        <f t="shared" si="69"/>
        <v>4.1564265223481005</v>
      </c>
      <c r="K81" s="146">
        <f t="shared" si="69"/>
        <v>4.9237668033969806</v>
      </c>
      <c r="L81" s="146">
        <f t="shared" si="69"/>
        <v>5.8030108754321574</v>
      </c>
      <c r="M81" s="146">
        <f t="shared" si="69"/>
        <v>6.8088660938403995</v>
      </c>
      <c r="N81" s="146">
        <f t="shared" si="69"/>
        <v>7.9578622471759664</v>
      </c>
      <c r="O81" s="146">
        <f t="shared" si="69"/>
        <v>9.2685689702402438</v>
      </c>
    </row>
    <row r="83" spans="2:15" ht="18" customHeight="1">
      <c r="B83" s="127" t="s">
        <v>27</v>
      </c>
      <c r="C83" s="100"/>
      <c r="D83" s="100"/>
      <c r="E83" s="100"/>
      <c r="F83" s="100"/>
      <c r="G83" s="100"/>
      <c r="H83" s="100"/>
      <c r="I83" s="100"/>
      <c r="J83" s="100"/>
      <c r="K83" s="100"/>
      <c r="L83" s="100"/>
    </row>
    <row r="84" spans="2:15" ht="18" customHeight="1">
      <c r="B84" s="111" t="s">
        <v>64</v>
      </c>
      <c r="C84" s="103">
        <f>'Common Assumption'!D103</f>
        <v>1.4999999999999999E-2</v>
      </c>
      <c r="D84" s="100"/>
      <c r="E84" s="100"/>
      <c r="G84" s="104">
        <f>$C$84*'Depreciation Schedule'!F18</f>
        <v>0.31717785033412288</v>
      </c>
      <c r="H84" s="104">
        <f>G86*(1+H85)</f>
        <v>0.33303674285082902</v>
      </c>
      <c r="I84" s="104">
        <f>H84*(1+I85)</f>
        <v>0.3496885799933705</v>
      </c>
      <c r="J84" s="104">
        <f>I84*(1+J85)</f>
        <v>0.36717300899303906</v>
      </c>
      <c r="K84" s="104">
        <f>J84*(1+K85)</f>
        <v>0.38553165944269102</v>
      </c>
      <c r="L84" s="104">
        <f>K84*(1+L85)</f>
        <v>0.4048082424148256</v>
      </c>
      <c r="M84" s="104">
        <f t="shared" ref="M84" si="70">L84*(1+M85)</f>
        <v>0.42504865453556689</v>
      </c>
      <c r="N84" s="104">
        <f>M84*(1+N85)</f>
        <v>0.44630108726234524</v>
      </c>
      <c r="O84" s="104">
        <f>N84*(1+O85)</f>
        <v>0.4686161416254625</v>
      </c>
    </row>
    <row r="85" spans="2:15" ht="18" customHeight="1">
      <c r="B85" s="94" t="s">
        <v>245</v>
      </c>
      <c r="F85" s="101"/>
      <c r="G85" s="101"/>
      <c r="H85" s="101">
        <f>'Common Assumption'!D104</f>
        <v>0.05</v>
      </c>
      <c r="I85" s="101">
        <f>H85</f>
        <v>0.05</v>
      </c>
      <c r="J85" s="101">
        <f>I85</f>
        <v>0.05</v>
      </c>
      <c r="K85" s="101">
        <f>J85</f>
        <v>0.05</v>
      </c>
      <c r="L85" s="101">
        <f>K85</f>
        <v>0.05</v>
      </c>
      <c r="M85" s="101">
        <f t="shared" ref="M85:O85" si="71">L85</f>
        <v>0.05</v>
      </c>
      <c r="N85" s="101">
        <f t="shared" si="71"/>
        <v>0.05</v>
      </c>
      <c r="O85" s="101">
        <f t="shared" si="71"/>
        <v>0.05</v>
      </c>
    </row>
    <row r="86" spans="2:15" ht="18" customHeight="1">
      <c r="B86" s="118" t="s">
        <v>812</v>
      </c>
      <c r="C86" s="118"/>
      <c r="D86" s="118"/>
      <c r="E86" s="118"/>
      <c r="F86" s="146"/>
      <c r="G86" s="146">
        <f t="shared" ref="G86:L86" si="72">G84</f>
        <v>0.31717785033412288</v>
      </c>
      <c r="H86" s="146">
        <f t="shared" si="72"/>
        <v>0.33303674285082902</v>
      </c>
      <c r="I86" s="146">
        <f t="shared" si="72"/>
        <v>0.3496885799933705</v>
      </c>
      <c r="J86" s="146">
        <f t="shared" si="72"/>
        <v>0.36717300899303906</v>
      </c>
      <c r="K86" s="146">
        <f t="shared" si="72"/>
        <v>0.38553165944269102</v>
      </c>
      <c r="L86" s="146">
        <f t="shared" si="72"/>
        <v>0.4048082424148256</v>
      </c>
      <c r="M86" s="146">
        <f t="shared" ref="M86:O86" si="73">M84</f>
        <v>0.42504865453556689</v>
      </c>
      <c r="N86" s="146">
        <f t="shared" si="73"/>
        <v>0.44630108726234524</v>
      </c>
      <c r="O86" s="146">
        <f t="shared" si="73"/>
        <v>0.4686161416254625</v>
      </c>
    </row>
    <row r="88" spans="2:15" ht="18" customHeight="1">
      <c r="B88" s="127" t="s">
        <v>29</v>
      </c>
      <c r="C88" s="100"/>
      <c r="D88" s="100"/>
      <c r="E88" s="100"/>
      <c r="F88" s="100"/>
      <c r="G88" s="100"/>
      <c r="H88" s="100"/>
      <c r="I88" s="100"/>
      <c r="J88" s="100"/>
      <c r="K88" s="100"/>
      <c r="L88" s="100"/>
    </row>
    <row r="89" spans="2:15" ht="18" customHeight="1">
      <c r="B89" s="94" t="s">
        <v>840</v>
      </c>
      <c r="C89" s="103">
        <f>'Common Assumption'!D109</f>
        <v>2.5000000000000001E-2</v>
      </c>
      <c r="D89" s="100"/>
      <c r="E89" s="100"/>
      <c r="F89" s="104">
        <f>$C$89*F61</f>
        <v>0.18865661124999999</v>
      </c>
      <c r="G89" s="104">
        <f t="shared" ref="G89:O89" si="74">$C$89*G61</f>
        <v>1.54678421225</v>
      </c>
      <c r="H89" s="104">
        <f t="shared" si="74"/>
        <v>1.9815672719453123</v>
      </c>
      <c r="I89" s="104">
        <f t="shared" si="74"/>
        <v>2.4370277444927342</v>
      </c>
      <c r="J89" s="104">
        <f t="shared" si="74"/>
        <v>2.7057912246138063</v>
      </c>
      <c r="K89" s="104">
        <f t="shared" si="74"/>
        <v>2.9864272364006244</v>
      </c>
      <c r="L89" s="104">
        <f t="shared" si="74"/>
        <v>3.2793620542613997</v>
      </c>
      <c r="M89" s="104">
        <f t="shared" si="74"/>
        <v>3.5850358459924632</v>
      </c>
      <c r="N89" s="104">
        <f t="shared" si="74"/>
        <v>3.9039031010261662</v>
      </c>
      <c r="O89" s="104">
        <f t="shared" si="74"/>
        <v>4.2364330714078084</v>
      </c>
    </row>
    <row r="90" spans="2:15" ht="18" customHeight="1">
      <c r="B90" s="118" t="s">
        <v>246</v>
      </c>
      <c r="C90" s="118"/>
      <c r="D90" s="118"/>
      <c r="E90" s="118"/>
      <c r="F90" s="146">
        <f>F89</f>
        <v>0.18865661124999999</v>
      </c>
      <c r="G90" s="146">
        <f t="shared" ref="G90:L90" si="75">G89</f>
        <v>1.54678421225</v>
      </c>
      <c r="H90" s="146">
        <f t="shared" si="75"/>
        <v>1.9815672719453123</v>
      </c>
      <c r="I90" s="146">
        <f t="shared" si="75"/>
        <v>2.4370277444927342</v>
      </c>
      <c r="J90" s="146">
        <f t="shared" si="75"/>
        <v>2.7057912246138063</v>
      </c>
      <c r="K90" s="146">
        <f t="shared" si="75"/>
        <v>2.9864272364006244</v>
      </c>
      <c r="L90" s="146">
        <f t="shared" si="75"/>
        <v>3.2793620542613997</v>
      </c>
      <c r="M90" s="146">
        <f t="shared" ref="M90:O90" si="76">M89</f>
        <v>3.5850358459924632</v>
      </c>
      <c r="N90" s="146">
        <f t="shared" si="76"/>
        <v>3.9039031010261662</v>
      </c>
      <c r="O90" s="146">
        <f t="shared" si="76"/>
        <v>4.2364330714078084</v>
      </c>
    </row>
    <row r="92" spans="2:15" ht="18" customHeight="1">
      <c r="B92" s="127" t="s">
        <v>30</v>
      </c>
      <c r="C92" s="100"/>
      <c r="D92" s="100"/>
      <c r="E92" s="100"/>
      <c r="F92" s="100"/>
      <c r="G92" s="100"/>
      <c r="H92" s="100"/>
      <c r="I92" s="100"/>
      <c r="J92" s="100"/>
      <c r="K92" s="100"/>
      <c r="L92" s="100"/>
    </row>
    <row r="93" spans="2:15" ht="18" customHeight="1">
      <c r="B93" s="99" t="s">
        <v>839</v>
      </c>
      <c r="C93" s="103">
        <f>'Common Assumption'!D110</f>
        <v>2.5000000000000001E-2</v>
      </c>
      <c r="D93" s="100"/>
      <c r="E93" s="100"/>
      <c r="F93" s="104">
        <f>$C$93*F61</f>
        <v>0.18865661124999999</v>
      </c>
      <c r="G93" s="104">
        <f t="shared" ref="G93:L93" si="77">$C$93*G61</f>
        <v>1.54678421225</v>
      </c>
      <c r="H93" s="104">
        <f t="shared" si="77"/>
        <v>1.9815672719453123</v>
      </c>
      <c r="I93" s="104">
        <f t="shared" si="77"/>
        <v>2.4370277444927342</v>
      </c>
      <c r="J93" s="104">
        <f t="shared" si="77"/>
        <v>2.7057912246138063</v>
      </c>
      <c r="K93" s="104">
        <f t="shared" si="77"/>
        <v>2.9864272364006244</v>
      </c>
      <c r="L93" s="104">
        <f t="shared" si="77"/>
        <v>3.2793620542613997</v>
      </c>
      <c r="M93" s="104">
        <f t="shared" ref="M93:O93" si="78">$C$93*M61</f>
        <v>3.5850358459924632</v>
      </c>
      <c r="N93" s="104">
        <f t="shared" si="78"/>
        <v>3.9039031010261662</v>
      </c>
      <c r="O93" s="104">
        <f t="shared" si="78"/>
        <v>4.2364330714078084</v>
      </c>
    </row>
    <row r="94" spans="2:15" ht="18" customHeight="1">
      <c r="B94" s="118" t="s">
        <v>247</v>
      </c>
      <c r="C94" s="118"/>
      <c r="D94" s="118"/>
      <c r="E94" s="118"/>
      <c r="F94" s="146">
        <f>F93</f>
        <v>0.18865661124999999</v>
      </c>
      <c r="G94" s="146">
        <f t="shared" ref="G94:L94" si="79">G93</f>
        <v>1.54678421225</v>
      </c>
      <c r="H94" s="146">
        <f t="shared" si="79"/>
        <v>1.9815672719453123</v>
      </c>
      <c r="I94" s="146">
        <f t="shared" si="79"/>
        <v>2.4370277444927342</v>
      </c>
      <c r="J94" s="146">
        <f t="shared" si="79"/>
        <v>2.7057912246138063</v>
      </c>
      <c r="K94" s="146">
        <f t="shared" si="79"/>
        <v>2.9864272364006244</v>
      </c>
      <c r="L94" s="146">
        <f t="shared" si="79"/>
        <v>3.2793620542613997</v>
      </c>
      <c r="M94" s="146">
        <f t="shared" ref="M94:O94" si="80">M93</f>
        <v>3.5850358459924632</v>
      </c>
      <c r="N94" s="146">
        <f t="shared" si="80"/>
        <v>3.9039031010261662</v>
      </c>
      <c r="O94" s="146">
        <f t="shared" si="80"/>
        <v>4.2364330714078084</v>
      </c>
    </row>
    <row r="96" spans="2:15" ht="18" customHeight="1">
      <c r="B96" s="127" t="s">
        <v>614</v>
      </c>
      <c r="C96" s="100"/>
      <c r="D96" s="100"/>
      <c r="E96" s="100"/>
      <c r="F96" s="100"/>
      <c r="G96" s="100"/>
      <c r="H96" s="100"/>
      <c r="I96" s="100"/>
      <c r="J96" s="100"/>
      <c r="K96" s="100"/>
      <c r="L96" s="100"/>
    </row>
    <row r="97" spans="2:15" ht="18" customHeight="1">
      <c r="B97" s="94" t="s">
        <v>617</v>
      </c>
      <c r="C97" s="103">
        <f>'Common Assumption'!D106</f>
        <v>1.4999999999999999E-2</v>
      </c>
      <c r="D97" s="100"/>
      <c r="E97" s="100"/>
      <c r="F97" s="104">
        <f>$C$97*BS!F32</f>
        <v>0.62109286654685614</v>
      </c>
      <c r="G97" s="104">
        <f>$C$97*BS!G32</f>
        <v>0.59334738436864221</v>
      </c>
      <c r="H97" s="104">
        <f>$C$97*BS!H32</f>
        <v>0.5656019021904285</v>
      </c>
      <c r="I97" s="104">
        <f>$C$97*BS!I32</f>
        <v>0.53785642001221456</v>
      </c>
      <c r="J97" s="104">
        <f>$C$97*BS!J32</f>
        <v>0.51011093783400074</v>
      </c>
      <c r="K97" s="104">
        <f>$C$97*BS!K32</f>
        <v>0.48236545565578687</v>
      </c>
      <c r="L97" s="104">
        <f>$C$97*BS!L32</f>
        <v>0.45461997347757299</v>
      </c>
      <c r="M97" s="104">
        <f>$C$97*BS!M32</f>
        <v>0.42687449129935917</v>
      </c>
      <c r="N97" s="104">
        <f>$C$97*BS!N32</f>
        <v>0.3991290091211453</v>
      </c>
      <c r="O97" s="104">
        <f>$C$97*BS!O32</f>
        <v>0.37138352694293147</v>
      </c>
    </row>
    <row r="98" spans="2:15" ht="18" customHeight="1">
      <c r="B98" s="118" t="s">
        <v>616</v>
      </c>
      <c r="C98" s="118"/>
      <c r="D98" s="118"/>
      <c r="E98" s="118"/>
      <c r="F98" s="146">
        <f t="shared" ref="F98:L98" si="81">F97</f>
        <v>0.62109286654685614</v>
      </c>
      <c r="G98" s="146">
        <f t="shared" si="81"/>
        <v>0.59334738436864221</v>
      </c>
      <c r="H98" s="146">
        <f t="shared" si="81"/>
        <v>0.5656019021904285</v>
      </c>
      <c r="I98" s="146">
        <f t="shared" si="81"/>
        <v>0.53785642001221456</v>
      </c>
      <c r="J98" s="146">
        <f t="shared" si="81"/>
        <v>0.51011093783400074</v>
      </c>
      <c r="K98" s="146">
        <f t="shared" si="81"/>
        <v>0.48236545565578687</v>
      </c>
      <c r="L98" s="146">
        <f t="shared" si="81"/>
        <v>0.45461997347757299</v>
      </c>
      <c r="M98" s="146">
        <f t="shared" ref="M98:O98" si="82">M97</f>
        <v>0.42687449129935917</v>
      </c>
      <c r="N98" s="146">
        <f t="shared" si="82"/>
        <v>0.3991290091211453</v>
      </c>
      <c r="O98" s="146">
        <f t="shared" si="82"/>
        <v>0.37138352694293147</v>
      </c>
    </row>
    <row r="100" spans="2:15" ht="18" customHeight="1">
      <c r="B100" s="127" t="s">
        <v>818</v>
      </c>
    </row>
    <row r="101" spans="2:15" ht="27" customHeight="1">
      <c r="B101" s="99" t="s">
        <v>819</v>
      </c>
      <c r="C101" s="289">
        <v>6.2799999999999995E-2</v>
      </c>
      <c r="F101" s="104">
        <f>F61*$C$101</f>
        <v>0.47390540745999993</v>
      </c>
      <c r="G101" s="104">
        <f t="shared" ref="G101:O101" si="83">G61*$C$101</f>
        <v>3.8855219411719992</v>
      </c>
      <c r="H101" s="104">
        <f t="shared" si="83"/>
        <v>4.9776969871266239</v>
      </c>
      <c r="I101" s="104">
        <f t="shared" si="83"/>
        <v>6.1218136941657475</v>
      </c>
      <c r="J101" s="104">
        <f t="shared" si="83"/>
        <v>6.7969475562298811</v>
      </c>
      <c r="K101" s="104">
        <f t="shared" si="83"/>
        <v>7.5019052178383676</v>
      </c>
      <c r="L101" s="104">
        <f t="shared" si="83"/>
        <v>8.2377574803046336</v>
      </c>
      <c r="M101" s="104">
        <f t="shared" si="83"/>
        <v>9.0056100451330661</v>
      </c>
      <c r="N101" s="104">
        <f t="shared" si="83"/>
        <v>9.8066045897777272</v>
      </c>
      <c r="O101" s="104">
        <f t="shared" si="83"/>
        <v>10.641919875376415</v>
      </c>
    </row>
    <row r="102" spans="2:15" ht="18" customHeight="1">
      <c r="B102" s="118" t="s">
        <v>818</v>
      </c>
      <c r="C102" s="118"/>
      <c r="D102" s="118"/>
      <c r="E102" s="118"/>
      <c r="F102" s="146">
        <f>F101</f>
        <v>0.47390540745999993</v>
      </c>
      <c r="G102" s="146">
        <f t="shared" ref="G102:L102" si="84">G101</f>
        <v>3.8855219411719992</v>
      </c>
      <c r="H102" s="146">
        <f t="shared" si="84"/>
        <v>4.9776969871266239</v>
      </c>
      <c r="I102" s="146">
        <f t="shared" si="84"/>
        <v>6.1218136941657475</v>
      </c>
      <c r="J102" s="146">
        <f t="shared" si="84"/>
        <v>6.7969475562298811</v>
      </c>
      <c r="K102" s="146">
        <f t="shared" si="84"/>
        <v>7.5019052178383676</v>
      </c>
      <c r="L102" s="146">
        <f t="shared" si="84"/>
        <v>8.2377574803046336</v>
      </c>
      <c r="M102" s="146">
        <f t="shared" ref="M102:O102" si="85">M101</f>
        <v>9.0056100451330661</v>
      </c>
      <c r="N102" s="146">
        <f t="shared" si="85"/>
        <v>9.8066045897777272</v>
      </c>
      <c r="O102" s="146">
        <f t="shared" si="85"/>
        <v>10.641919875376415</v>
      </c>
    </row>
  </sheetData>
  <mergeCells count="2">
    <mergeCell ref="D8:E8"/>
    <mergeCell ref="F8:O8"/>
  </mergeCells>
  <pageMargins left="0.7" right="0.7" top="0.75" bottom="0.75" header="0.3" footer="0.3"/>
  <pageSetup orientation="portrait" r:id="rId1"/>
  <ignoredErrors>
    <ignoredError sqref="G16:M16 N16:O16" formula="1"/>
  </ignoredError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O71"/>
  <sheetViews>
    <sheetView showGridLines="0" tabSelected="1" workbookViewId="0">
      <selection activeCell="A15" sqref="A15"/>
    </sheetView>
  </sheetViews>
  <sheetFormatPr defaultColWidth="13.7109375" defaultRowHeight="18" customHeight="1"/>
  <cols>
    <col min="1" max="1" width="6" style="94" customWidth="1"/>
    <col min="2" max="2" width="50.85546875" style="94" customWidth="1"/>
    <col min="3" max="3" width="7.140625" style="94" customWidth="1"/>
    <col min="4" max="12" width="12.7109375" style="94" customWidth="1"/>
    <col min="13" max="16384" width="13.7109375" style="94"/>
  </cols>
  <sheetData>
    <row r="1" spans="1:15" ht="15.75" customHeight="1"/>
    <row r="2" spans="1:15" ht="18" customHeight="1">
      <c r="B2" s="132" t="str">
        <f>"Financial Model of " &amp; B4</f>
        <v>Financial Model of 20,000 M.T of glass Toughening pa. set up by SSRM Glasses Private Limited</v>
      </c>
      <c r="C2" s="133"/>
      <c r="D2" s="133"/>
      <c r="E2" s="133"/>
      <c r="F2" s="133"/>
      <c r="G2" s="133"/>
      <c r="H2" s="133"/>
      <c r="I2" s="133"/>
      <c r="J2" s="133"/>
      <c r="K2" s="133"/>
      <c r="L2" s="133"/>
      <c r="M2" s="133"/>
      <c r="N2" s="133"/>
      <c r="O2" s="133"/>
    </row>
    <row r="3" spans="1:15" ht="12" customHeight="1">
      <c r="C3" s="100"/>
      <c r="D3" s="100"/>
      <c r="E3" s="100"/>
      <c r="F3" s="100"/>
      <c r="G3" s="100"/>
      <c r="H3" s="100"/>
      <c r="I3" s="100"/>
      <c r="J3" s="100"/>
      <c r="K3" s="100"/>
      <c r="L3" s="100"/>
      <c r="M3" s="100"/>
      <c r="N3" s="100"/>
      <c r="O3" s="100"/>
    </row>
    <row r="4" spans="1:15" ht="18" customHeight="1">
      <c r="B4" s="137" t="str">
        <f>'Common Assumption'!B4</f>
        <v>20,000 M.T of glass Toughening pa. set up by SSRM Glasses Private Limited</v>
      </c>
      <c r="C4" s="137"/>
      <c r="D4" s="138"/>
      <c r="E4" s="138"/>
      <c r="F4" s="138"/>
      <c r="G4" s="138"/>
      <c r="H4" s="138"/>
      <c r="I4" s="138"/>
      <c r="J4" s="138"/>
      <c r="K4" s="138"/>
      <c r="L4" s="138"/>
      <c r="M4" s="138"/>
      <c r="N4" s="138"/>
      <c r="O4" s="138"/>
    </row>
    <row r="5" spans="1:15" ht="13.5" customHeight="1">
      <c r="C5" s="100"/>
      <c r="D5" s="100"/>
      <c r="F5" s="125"/>
    </row>
    <row r="6" spans="1:15" ht="18" customHeight="1">
      <c r="B6" s="137" t="s">
        <v>249</v>
      </c>
      <c r="C6" s="137"/>
      <c r="D6" s="138"/>
      <c r="E6" s="138"/>
      <c r="F6" s="138"/>
      <c r="G6" s="138"/>
      <c r="H6" s="138"/>
      <c r="I6" s="138"/>
      <c r="J6" s="138"/>
      <c r="K6" s="138"/>
      <c r="L6" s="138"/>
      <c r="M6" s="138"/>
      <c r="N6" s="138"/>
      <c r="O6" s="138"/>
    </row>
    <row r="7" spans="1:15" ht="12.75" customHeight="1">
      <c r="C7" s="100"/>
      <c r="D7" s="100"/>
      <c r="F7" s="125"/>
    </row>
    <row r="8" spans="1:15" ht="18" customHeight="1">
      <c r="C8" s="100"/>
      <c r="D8" s="354" t="str">
        <f>'Revenue &amp; Expense Modelling'!D8:E8</f>
        <v>Implementation period</v>
      </c>
      <c r="E8" s="354"/>
      <c r="F8" s="355" t="s">
        <v>43</v>
      </c>
      <c r="G8" s="355"/>
      <c r="H8" s="355"/>
      <c r="I8" s="355"/>
      <c r="J8" s="355"/>
      <c r="K8" s="355"/>
      <c r="L8" s="355"/>
      <c r="M8" s="355"/>
      <c r="N8" s="355"/>
      <c r="O8" s="355"/>
    </row>
    <row r="9" spans="1:15" ht="18" customHeight="1">
      <c r="B9" s="139" t="s">
        <v>44</v>
      </c>
      <c r="C9" s="140" t="s">
        <v>45</v>
      </c>
      <c r="D9" s="184">
        <f>EOMONTH('Common Assumption'!E11,1)</f>
        <v>45747</v>
      </c>
      <c r="E9" s="184">
        <f>'Common Assumption'!E13</f>
        <v>46053</v>
      </c>
      <c r="F9" s="184">
        <f>DATE(YEAR(E9),MONTH(E9)+2,DAY(E9))</f>
        <v>46112</v>
      </c>
      <c r="G9" s="184">
        <f t="shared" ref="G9:L9" si="0">DATE(YEAR(F9)+1,MONTH(F9),DAY(F9))</f>
        <v>46477</v>
      </c>
      <c r="H9" s="184">
        <f t="shared" si="0"/>
        <v>46843</v>
      </c>
      <c r="I9" s="184">
        <f t="shared" si="0"/>
        <v>47208</v>
      </c>
      <c r="J9" s="184">
        <f t="shared" si="0"/>
        <v>47573</v>
      </c>
      <c r="K9" s="184">
        <f t="shared" si="0"/>
        <v>47938</v>
      </c>
      <c r="L9" s="184">
        <f t="shared" si="0"/>
        <v>48304</v>
      </c>
      <c r="M9" s="184">
        <f t="shared" ref="M9" si="1">DATE(YEAR(L9)+1,MONTH(L9),DAY(L9))</f>
        <v>48669</v>
      </c>
      <c r="N9" s="184">
        <f t="shared" ref="N9" si="2">DATE(YEAR(M9)+1,MONTH(M9),DAY(M9))</f>
        <v>49034</v>
      </c>
      <c r="O9" s="184">
        <f t="shared" ref="O9" si="3">DATE(YEAR(N9)+1,MONTH(N9),DAY(N9))</f>
        <v>49399</v>
      </c>
    </row>
    <row r="10" spans="1:15" s="126" customFormat="1" ht="18" customHeight="1">
      <c r="B10" s="141" t="s">
        <v>46</v>
      </c>
      <c r="C10" s="142"/>
      <c r="D10" s="187">
        <v>0</v>
      </c>
      <c r="E10" s="187">
        <v>0</v>
      </c>
      <c r="F10" s="188">
        <v>1</v>
      </c>
      <c r="G10" s="188">
        <f t="shared" ref="G10:L10" si="4">F10+1</f>
        <v>2</v>
      </c>
      <c r="H10" s="188">
        <f t="shared" si="4"/>
        <v>3</v>
      </c>
      <c r="I10" s="188">
        <f t="shared" si="4"/>
        <v>4</v>
      </c>
      <c r="J10" s="188">
        <f t="shared" si="4"/>
        <v>5</v>
      </c>
      <c r="K10" s="188">
        <f t="shared" si="4"/>
        <v>6</v>
      </c>
      <c r="L10" s="188">
        <f t="shared" si="4"/>
        <v>7</v>
      </c>
      <c r="M10" s="188">
        <f t="shared" ref="M10" si="5">L10+1</f>
        <v>8</v>
      </c>
      <c r="N10" s="188">
        <f t="shared" ref="N10" si="6">M10+1</f>
        <v>9</v>
      </c>
      <c r="O10" s="188">
        <f t="shared" ref="O10" si="7">N10+1</f>
        <v>10</v>
      </c>
    </row>
    <row r="11" spans="1:15" s="126" customFormat="1" ht="18" customHeight="1">
      <c r="B11" s="141" t="s">
        <v>47</v>
      </c>
      <c r="C11" s="142">
        <f>'Common Assumption'!E12</f>
        <v>11</v>
      </c>
      <c r="D11" s="187">
        <f>MONTH(D9-'Common Assumption'!E11)</f>
        <v>1</v>
      </c>
      <c r="E11" s="187">
        <f>C11-D11</f>
        <v>10</v>
      </c>
      <c r="F11" s="186">
        <f>MONTH(F9-E9)</f>
        <v>2</v>
      </c>
      <c r="G11" s="186">
        <f t="shared" ref="G11:L11" si="8">MONTH(G9-F9)</f>
        <v>12</v>
      </c>
      <c r="H11" s="186">
        <f t="shared" si="8"/>
        <v>12</v>
      </c>
      <c r="I11" s="186">
        <f t="shared" si="8"/>
        <v>12</v>
      </c>
      <c r="J11" s="186">
        <f t="shared" si="8"/>
        <v>12</v>
      </c>
      <c r="K11" s="186">
        <f t="shared" si="8"/>
        <v>12</v>
      </c>
      <c r="L11" s="186">
        <f t="shared" si="8"/>
        <v>12</v>
      </c>
      <c r="M11" s="186">
        <f t="shared" ref="M11" si="9">MONTH(M9-L9)</f>
        <v>12</v>
      </c>
      <c r="N11" s="186">
        <f t="shared" ref="N11" si="10">MONTH(N9-M9)</f>
        <v>12</v>
      </c>
      <c r="O11" s="186">
        <f t="shared" ref="O11" si="11">MONTH(O9-N9)</f>
        <v>12</v>
      </c>
    </row>
    <row r="12" spans="1:15" ht="18" customHeight="1">
      <c r="B12" s="127" t="s">
        <v>250</v>
      </c>
    </row>
    <row r="13" spans="1:15" ht="18" customHeight="1">
      <c r="A13" s="181">
        <v>0</v>
      </c>
      <c r="B13" s="121" t="s">
        <v>250</v>
      </c>
      <c r="C13" s="121"/>
      <c r="D13" s="121"/>
      <c r="E13" s="121"/>
      <c r="F13" s="190">
        <f>'Revenue &amp; Expense Modelling'!F61*(1-$A$13)</f>
        <v>7.5462644499999998</v>
      </c>
      <c r="G13" s="190">
        <f>'Revenue &amp; Expense Modelling'!G61*(1-$A$13)</f>
        <v>61.871368489999995</v>
      </c>
      <c r="H13" s="190">
        <f>'Revenue &amp; Expense Modelling'!H61*(1-$A$13)</f>
        <v>79.262690877812489</v>
      </c>
      <c r="I13" s="190">
        <f>'Revenue &amp; Expense Modelling'!I61*(1-$A$13)</f>
        <v>97.481109779709357</v>
      </c>
      <c r="J13" s="190">
        <f>'Revenue &amp; Expense Modelling'!J61*(1-$A$13)</f>
        <v>108.23164898455225</v>
      </c>
      <c r="K13" s="190">
        <f>'Revenue &amp; Expense Modelling'!K61*(1-$A$13)</f>
        <v>119.45708945602497</v>
      </c>
      <c r="L13" s="190">
        <f>'Revenue &amp; Expense Modelling'!L61*(1-$A$13)</f>
        <v>131.17448217045597</v>
      </c>
      <c r="M13" s="190">
        <f>'Revenue &amp; Expense Modelling'!M61*(1-$A$13)</f>
        <v>143.40143383969851</v>
      </c>
      <c r="N13" s="190">
        <f>'Revenue &amp; Expense Modelling'!N61*(1-$A$13)</f>
        <v>156.15612404104664</v>
      </c>
      <c r="O13" s="190">
        <f>'Revenue &amp; Expense Modelling'!O61*(1-$A$13)</f>
        <v>169.45732285631235</v>
      </c>
    </row>
    <row r="14" spans="1:15" ht="18" customHeight="1">
      <c r="B14" s="127" t="s">
        <v>251</v>
      </c>
      <c r="F14" s="104"/>
      <c r="G14" s="104"/>
      <c r="H14" s="104"/>
      <c r="I14" s="104"/>
      <c r="J14" s="104"/>
      <c r="K14" s="104"/>
      <c r="L14" s="104"/>
    </row>
    <row r="15" spans="1:15" ht="18" customHeight="1">
      <c r="A15" s="181">
        <v>0</v>
      </c>
      <c r="B15" s="94" t="s">
        <v>252</v>
      </c>
      <c r="F15" s="104">
        <f>'Revenue &amp; Expense Modelling'!F66*(1+$A$15)</f>
        <v>5.2823851149999994</v>
      </c>
      <c r="G15" s="104">
        <f>'Revenue &amp; Expense Modelling'!G66*(1+$A$15)</f>
        <v>43.309957942999993</v>
      </c>
      <c r="H15" s="104">
        <f>'Revenue &amp; Expense Modelling'!H66*(1+$A$15)</f>
        <v>55.483883614468738</v>
      </c>
      <c r="I15" s="104">
        <f>'Revenue &amp; Expense Modelling'!I66*(1+$A$15)</f>
        <v>68.236776845796541</v>
      </c>
      <c r="J15" s="104">
        <f>'Revenue &amp; Expense Modelling'!J66*(1+$A$15)</f>
        <v>75.762154289186569</v>
      </c>
      <c r="K15" s="104">
        <f>'Revenue &amp; Expense Modelling'!K66*(1+$A$15)</f>
        <v>83.619962619217475</v>
      </c>
      <c r="L15" s="104">
        <f>'Revenue &amp; Expense Modelling'!L66*(1+$A$15)</f>
        <v>91.82213751931917</v>
      </c>
      <c r="M15" s="104">
        <f>'Revenue &amp; Expense Modelling'!M66*(1+$A$15)</f>
        <v>100.38100368778895</v>
      </c>
      <c r="N15" s="104">
        <f>'Revenue &amp; Expense Modelling'!N66*(1+$A$15)</f>
        <v>109.30928682873264</v>
      </c>
      <c r="O15" s="104">
        <f>'Revenue &amp; Expense Modelling'!O66*(1+$A$15)</f>
        <v>118.62012599941863</v>
      </c>
    </row>
    <row r="16" spans="1:15" ht="18" customHeight="1">
      <c r="B16" s="320" t="str">
        <f>'Revenue &amp; Expense Modelling'!B68</f>
        <v>Packaging Material</v>
      </c>
      <c r="C16" s="320"/>
      <c r="D16" s="320"/>
      <c r="E16" s="320"/>
      <c r="F16" s="321">
        <f>'Revenue &amp; Expense Modelling'!F68</f>
        <v>7.5813644499999999E-2</v>
      </c>
      <c r="G16" s="321">
        <f>'Revenue &amp; Expense Modelling'!G68</f>
        <v>0.61982771052499996</v>
      </c>
      <c r="H16" s="321">
        <f>'Revenue &amp; Expense Modelling'!H68</f>
        <v>0.79249450245312492</v>
      </c>
      <c r="I16" s="321">
        <f>'Revenue &amp; Expense Modelling'!I68</f>
        <v>0.97337807487209349</v>
      </c>
      <c r="J16" s="321">
        <f>'Revenue &amp; Expense Modelling'!J68</f>
        <v>1.0799828503205224</v>
      </c>
      <c r="K16" s="321">
        <f>'Revenue &amp; Expense Modelling'!K68</f>
        <v>1.1913366384352497</v>
      </c>
      <c r="L16" s="321">
        <f>'Revenue &amp; Expense Modelling'!L68</f>
        <v>1.3076099489795598</v>
      </c>
      <c r="M16" s="321">
        <f>'Revenue &amp; Expense Modelling'!M68</f>
        <v>1.4276143383969853</v>
      </c>
      <c r="N16" s="321">
        <f>'Revenue &amp; Expense Modelling'!N68</f>
        <v>1.5547612404104663</v>
      </c>
      <c r="O16" s="321">
        <f>'Revenue &amp; Expense Modelling'!O68</f>
        <v>1.6873732285631236</v>
      </c>
    </row>
    <row r="17" spans="2:15" ht="18" customHeight="1">
      <c r="B17" s="94" t="s">
        <v>253</v>
      </c>
      <c r="F17" s="104">
        <f>'Revenue &amp; Expense Modelling'!F75</f>
        <v>0.24213599999999996</v>
      </c>
      <c r="G17" s="104">
        <f>'Revenue &amp; Expense Modelling'!G75</f>
        <v>1.7236800000000001</v>
      </c>
      <c r="H17" s="104">
        <f>'Revenue &amp; Expense Modelling'!H75</f>
        <v>2.26233</v>
      </c>
      <c r="I17" s="104">
        <f>'Revenue &amp; Expense Modelling'!I75</f>
        <v>2.8505357999999998</v>
      </c>
      <c r="J17" s="104">
        <f>'Revenue &amp; Expense Modelling'!J75</f>
        <v>3.2424844725000002</v>
      </c>
      <c r="K17" s="104">
        <f>'Revenue &amp; Expense Modelling'!K75</f>
        <v>3.6665016727500008</v>
      </c>
      <c r="L17" s="104">
        <f>'Revenue &amp; Expense Modelling'!L75</f>
        <v>4.124814381843751</v>
      </c>
      <c r="M17" s="104">
        <f>'Revenue &amp; Expense Modelling'!M75</f>
        <v>4.6197921076650008</v>
      </c>
      <c r="N17" s="104">
        <f>'Revenue &amp; Expense Modelling'!N75</f>
        <v>5.1539555701137667</v>
      </c>
      <c r="O17" s="104">
        <f>'Revenue &amp; Expense Modelling'!O75</f>
        <v>5.7299858985382475</v>
      </c>
    </row>
    <row r="18" spans="2:15" ht="18" customHeight="1">
      <c r="B18" s="94" t="s">
        <v>26</v>
      </c>
      <c r="F18" s="104">
        <f>'Revenue &amp; Expense Modelling'!F81</f>
        <v>0.21837655699999997</v>
      </c>
      <c r="G18" s="104">
        <f>'Revenue &amp; Expense Modelling'!G81</f>
        <v>1.9217137015999999</v>
      </c>
      <c r="H18" s="104">
        <f>'Revenue &amp; Expense Modelling'!H81</f>
        <v>2.6423563397000001</v>
      </c>
      <c r="I18" s="104">
        <f>'Revenue &amp; Expense Modelling'!I81</f>
        <v>3.487910368404</v>
      </c>
      <c r="J18" s="104">
        <f>'Revenue &amp; Expense Modelling'!J81</f>
        <v>4.1564265223481005</v>
      </c>
      <c r="K18" s="104">
        <f>'Revenue &amp; Expense Modelling'!K81</f>
        <v>4.9237668033969806</v>
      </c>
      <c r="L18" s="104">
        <f>'Revenue &amp; Expense Modelling'!L81</f>
        <v>5.8030108754321574</v>
      </c>
      <c r="M18" s="104">
        <f>'Revenue &amp; Expense Modelling'!M81</f>
        <v>6.8088660938403995</v>
      </c>
      <c r="N18" s="104">
        <f>'Revenue &amp; Expense Modelling'!N81</f>
        <v>7.9578622471759664</v>
      </c>
      <c r="O18" s="104">
        <f>'Revenue &amp; Expense Modelling'!O81</f>
        <v>9.2685689702402438</v>
      </c>
    </row>
    <row r="19" spans="2:15" ht="18" customHeight="1">
      <c r="B19" s="94" t="s">
        <v>254</v>
      </c>
      <c r="F19" s="104">
        <f>'Revenue &amp; Expense Modelling'!F86</f>
        <v>0</v>
      </c>
      <c r="G19" s="104">
        <f>'Revenue &amp; Expense Modelling'!G86</f>
        <v>0.31717785033412288</v>
      </c>
      <c r="H19" s="104">
        <f>'Revenue &amp; Expense Modelling'!H86</f>
        <v>0.33303674285082902</v>
      </c>
      <c r="I19" s="104">
        <f>'Revenue &amp; Expense Modelling'!I86</f>
        <v>0.3496885799933705</v>
      </c>
      <c r="J19" s="104">
        <f>'Revenue &amp; Expense Modelling'!J86</f>
        <v>0.36717300899303906</v>
      </c>
      <c r="K19" s="104">
        <f>'Revenue &amp; Expense Modelling'!K86</f>
        <v>0.38553165944269102</v>
      </c>
      <c r="L19" s="104">
        <f>'Revenue &amp; Expense Modelling'!L86</f>
        <v>0.4048082424148256</v>
      </c>
      <c r="M19" s="104">
        <f>'Revenue &amp; Expense Modelling'!M86</f>
        <v>0.42504865453556689</v>
      </c>
      <c r="N19" s="104">
        <f>'Revenue &amp; Expense Modelling'!N86</f>
        <v>0.44630108726234524</v>
      </c>
      <c r="O19" s="104">
        <f>'Revenue &amp; Expense Modelling'!O86</f>
        <v>0.4686161416254625</v>
      </c>
    </row>
    <row r="20" spans="2:15" ht="18" customHeight="1">
      <c r="B20" s="94" t="s">
        <v>614</v>
      </c>
      <c r="F20" s="104">
        <f>'Revenue &amp; Expense Modelling'!F98</f>
        <v>0.62109286654685614</v>
      </c>
      <c r="G20" s="104">
        <f>'Revenue &amp; Expense Modelling'!G98</f>
        <v>0.59334738436864221</v>
      </c>
      <c r="H20" s="104">
        <f>'Revenue &amp; Expense Modelling'!H98</f>
        <v>0.5656019021904285</v>
      </c>
      <c r="I20" s="104">
        <f>'Revenue &amp; Expense Modelling'!I98</f>
        <v>0.53785642001221456</v>
      </c>
      <c r="J20" s="104">
        <f>'Revenue &amp; Expense Modelling'!J98</f>
        <v>0.51011093783400074</v>
      </c>
      <c r="K20" s="104">
        <f>'Revenue &amp; Expense Modelling'!K98</f>
        <v>0.48236545565578687</v>
      </c>
      <c r="L20" s="104">
        <f>'Revenue &amp; Expense Modelling'!L98</f>
        <v>0.45461997347757299</v>
      </c>
      <c r="M20" s="104">
        <f>'Revenue &amp; Expense Modelling'!M98</f>
        <v>0.42687449129935917</v>
      </c>
      <c r="N20" s="104">
        <f>'Revenue &amp; Expense Modelling'!N98</f>
        <v>0.3991290091211453</v>
      </c>
      <c r="O20" s="104">
        <f>'Revenue &amp; Expense Modelling'!O98</f>
        <v>0.37138352694293147</v>
      </c>
    </row>
    <row r="21" spans="2:15" ht="18" customHeight="1">
      <c r="B21" s="94" t="s">
        <v>255</v>
      </c>
      <c r="D21" s="104">
        <f>'Depreciation Schedule'!D33</f>
        <v>0</v>
      </c>
      <c r="E21" s="104">
        <f>'Depreciation Schedule'!E33</f>
        <v>0</v>
      </c>
      <c r="F21" s="104">
        <f>'Depreciation Schedule'!F33</f>
        <v>0.30058661020959415</v>
      </c>
      <c r="G21" s="104">
        <f>'Depreciation Schedule'!G33:P33</f>
        <v>1.8496988118809239</v>
      </c>
      <c r="H21" s="104">
        <f>'Depreciation Schedule'!H33:Q33</f>
        <v>1.8496988118809239</v>
      </c>
      <c r="I21" s="104">
        <f>'Depreciation Schedule'!I33:R33</f>
        <v>1.8496988118809239</v>
      </c>
      <c r="J21" s="104">
        <f>'Depreciation Schedule'!J33:S33</f>
        <v>1.8496988118809239</v>
      </c>
      <c r="K21" s="104">
        <f>'Depreciation Schedule'!K33:T33</f>
        <v>1.8496988118809239</v>
      </c>
      <c r="L21" s="104">
        <f>'Depreciation Schedule'!L33:U33</f>
        <v>1.8496988118809239</v>
      </c>
      <c r="M21" s="104">
        <f>'Depreciation Schedule'!M33:V33</f>
        <v>1.8496988118809239</v>
      </c>
      <c r="N21" s="104">
        <f>'Depreciation Schedule'!N33:W33</f>
        <v>1.8496988118809239</v>
      </c>
      <c r="O21" s="104">
        <f>'Depreciation Schedule'!O33:X33</f>
        <v>1.8496988118809239</v>
      </c>
    </row>
    <row r="22" spans="2:15" ht="18" customHeight="1">
      <c r="B22" s="206" t="s">
        <v>256</v>
      </c>
      <c r="C22" s="206"/>
      <c r="D22" s="206"/>
      <c r="E22" s="206"/>
      <c r="F22" s="207">
        <f>SUM(F15:F21)</f>
        <v>6.7403907932564504</v>
      </c>
      <c r="G22" s="207">
        <f t="shared" ref="G22:O22" si="12">SUM(G15:G21)</f>
        <v>50.335403401708689</v>
      </c>
      <c r="H22" s="207">
        <f t="shared" si="12"/>
        <v>63.929401913544048</v>
      </c>
      <c r="I22" s="207">
        <f t="shared" si="12"/>
        <v>78.285844900959148</v>
      </c>
      <c r="J22" s="207">
        <f t="shared" si="12"/>
        <v>86.968030893063144</v>
      </c>
      <c r="K22" s="207">
        <f t="shared" si="12"/>
        <v>96.119163660779108</v>
      </c>
      <c r="L22" s="207">
        <f t="shared" si="12"/>
        <v>105.76669975334796</v>
      </c>
      <c r="M22" s="207">
        <f t="shared" si="12"/>
        <v>115.9388981854072</v>
      </c>
      <c r="N22" s="207">
        <f t="shared" si="12"/>
        <v>126.67099479469725</v>
      </c>
      <c r="O22" s="207">
        <f t="shared" si="12"/>
        <v>137.99575257720957</v>
      </c>
    </row>
    <row r="23" spans="2:15" ht="18" customHeight="1">
      <c r="F23" s="108"/>
      <c r="G23" s="108"/>
      <c r="H23" s="108"/>
      <c r="I23" s="108"/>
      <c r="J23" s="108"/>
      <c r="K23" s="108"/>
      <c r="L23" s="108"/>
      <c r="M23" s="108"/>
      <c r="N23" s="108"/>
      <c r="O23" s="108"/>
    </row>
    <row r="24" spans="2:15" ht="18" customHeight="1">
      <c r="B24" s="94" t="s">
        <v>257</v>
      </c>
      <c r="F24" s="104">
        <f>E26</f>
        <v>0</v>
      </c>
      <c r="G24" s="104">
        <f t="shared" ref="G24:L24" si="13">F26</f>
        <v>1.3622539219067795</v>
      </c>
      <c r="H24" s="104">
        <f t="shared" si="13"/>
        <v>2.1964892826762497</v>
      </c>
      <c r="I24" s="104">
        <f t="shared" si="13"/>
        <v>2.8138189058460932</v>
      </c>
      <c r="J24" s="104">
        <f t="shared" si="13"/>
        <v>3.4605077460334317</v>
      </c>
      <c r="K24" s="104">
        <f t="shared" si="13"/>
        <v>3.8421068569753549</v>
      </c>
      <c r="L24" s="104">
        <f t="shared" si="13"/>
        <v>4.2405649628826358</v>
      </c>
      <c r="M24" s="104">
        <f t="shared" ref="M24" si="14">L26</f>
        <v>4.6564873734149366</v>
      </c>
      <c r="N24" s="104">
        <f t="shared" ref="N24" si="15">M26</f>
        <v>5.090430901309297</v>
      </c>
      <c r="O24" s="104">
        <f t="shared" ref="O24" si="16">N26</f>
        <v>5.5432024034571556</v>
      </c>
    </row>
    <row r="25" spans="2:15" ht="18" customHeight="1">
      <c r="B25" s="94" t="s">
        <v>258</v>
      </c>
      <c r="F25" s="104">
        <f>F22+F24</f>
        <v>6.7403907932564504</v>
      </c>
      <c r="G25" s="104">
        <f t="shared" ref="G25:O25" si="17">G22+G24</f>
        <v>51.697657323615466</v>
      </c>
      <c r="H25" s="104">
        <f t="shared" si="17"/>
        <v>66.125891196220294</v>
      </c>
      <c r="I25" s="104">
        <f t="shared" si="17"/>
        <v>81.099663806805239</v>
      </c>
      <c r="J25" s="104">
        <f t="shared" si="17"/>
        <v>90.428538639096573</v>
      </c>
      <c r="K25" s="104">
        <f t="shared" si="17"/>
        <v>99.961270517754457</v>
      </c>
      <c r="L25" s="104">
        <f t="shared" si="17"/>
        <v>110.00726471623059</v>
      </c>
      <c r="M25" s="104">
        <f t="shared" si="17"/>
        <v>120.59538555882213</v>
      </c>
      <c r="N25" s="104">
        <f t="shared" si="17"/>
        <v>131.76142569600654</v>
      </c>
      <c r="O25" s="104">
        <f t="shared" si="17"/>
        <v>143.53895498066672</v>
      </c>
    </row>
    <row r="26" spans="2:15" ht="18" customHeight="1">
      <c r="B26" s="94" t="s">
        <v>259</v>
      </c>
      <c r="E26" s="104">
        <v>0</v>
      </c>
      <c r="F26" s="104">
        <f>'Working Capital Assessment'!F41</f>
        <v>1.3622539219067795</v>
      </c>
      <c r="G26" s="104">
        <f>'Working Capital Assessment'!G41</f>
        <v>2.1964892826762497</v>
      </c>
      <c r="H26" s="104">
        <f>'Working Capital Assessment'!H41</f>
        <v>2.8138189058460932</v>
      </c>
      <c r="I26" s="104">
        <f>'Working Capital Assessment'!I41</f>
        <v>3.4605077460334317</v>
      </c>
      <c r="J26" s="104">
        <f>'Working Capital Assessment'!J41</f>
        <v>3.8421068569753549</v>
      </c>
      <c r="K26" s="104">
        <f>'Working Capital Assessment'!K41</f>
        <v>4.2405649628826358</v>
      </c>
      <c r="L26" s="104">
        <f>'Working Capital Assessment'!L41</f>
        <v>4.6564873734149366</v>
      </c>
      <c r="M26" s="104">
        <f>'Working Capital Assessment'!M41</f>
        <v>5.090430901309297</v>
      </c>
      <c r="N26" s="104">
        <f>'Working Capital Assessment'!N41</f>
        <v>5.5432024034571556</v>
      </c>
      <c r="O26" s="104">
        <f>'Working Capital Assessment'!O41</f>
        <v>6.0153749613990879</v>
      </c>
    </row>
    <row r="27" spans="2:15" ht="18" customHeight="1">
      <c r="B27" s="94" t="s">
        <v>258</v>
      </c>
      <c r="F27" s="104">
        <f>F25-F26</f>
        <v>5.3781368713496711</v>
      </c>
      <c r="G27" s="104">
        <f t="shared" ref="G27:O27" si="18">G25-G26</f>
        <v>49.50116804093922</v>
      </c>
      <c r="H27" s="104">
        <f t="shared" si="18"/>
        <v>63.312072290374203</v>
      </c>
      <c r="I27" s="104">
        <f t="shared" si="18"/>
        <v>77.639156060771811</v>
      </c>
      <c r="J27" s="104">
        <f t="shared" si="18"/>
        <v>86.586431782121224</v>
      </c>
      <c r="K27" s="104">
        <f t="shared" si="18"/>
        <v>95.720705554871827</v>
      </c>
      <c r="L27" s="104">
        <f t="shared" si="18"/>
        <v>105.35077734281566</v>
      </c>
      <c r="M27" s="104">
        <f t="shared" si="18"/>
        <v>115.50495465751283</v>
      </c>
      <c r="N27" s="104">
        <f t="shared" si="18"/>
        <v>126.21822329254938</v>
      </c>
      <c r="O27" s="104">
        <f t="shared" si="18"/>
        <v>137.52358001926763</v>
      </c>
    </row>
    <row r="28" spans="2:15" ht="18" customHeight="1">
      <c r="B28" s="94" t="s">
        <v>260</v>
      </c>
      <c r="F28" s="104">
        <f>E30</f>
        <v>0</v>
      </c>
      <c r="G28" s="104">
        <f t="shared" ref="G28:O28" si="19">F30</f>
        <v>0.25580557457627118</v>
      </c>
      <c r="H28" s="104">
        <f t="shared" si="19"/>
        <v>0.41247578993333328</v>
      </c>
      <c r="I28" s="104">
        <f t="shared" si="19"/>
        <v>0.52841793918541657</v>
      </c>
      <c r="J28" s="104">
        <f t="shared" si="19"/>
        <v>0.64987406519806235</v>
      </c>
      <c r="K28" s="104">
        <f t="shared" si="19"/>
        <v>0.72154432656368173</v>
      </c>
      <c r="L28" s="104">
        <f t="shared" si="19"/>
        <v>0.79638059637349978</v>
      </c>
      <c r="M28" s="104">
        <f t="shared" si="19"/>
        <v>0.87449654780303987</v>
      </c>
      <c r="N28" s="104">
        <f t="shared" si="19"/>
        <v>0.95600955893132344</v>
      </c>
      <c r="O28" s="104">
        <f t="shared" si="19"/>
        <v>1.0410408269403109</v>
      </c>
    </row>
    <row r="29" spans="2:15" ht="18" customHeight="1">
      <c r="B29" s="94" t="s">
        <v>258</v>
      </c>
      <c r="F29" s="104">
        <f>F27+F28</f>
        <v>5.3781368713496711</v>
      </c>
      <c r="G29" s="104">
        <f>G27+G28</f>
        <v>49.756973615515491</v>
      </c>
      <c r="H29" s="104">
        <f t="shared" ref="H29:O29" si="20">H27+H28</f>
        <v>63.724548080307535</v>
      </c>
      <c r="I29" s="104">
        <f t="shared" si="20"/>
        <v>78.167573999957227</v>
      </c>
      <c r="J29" s="104">
        <f t="shared" si="20"/>
        <v>87.236305847319286</v>
      </c>
      <c r="K29" s="104">
        <f t="shared" si="20"/>
        <v>96.442249881435515</v>
      </c>
      <c r="L29" s="104">
        <f t="shared" si="20"/>
        <v>106.14715793918916</v>
      </c>
      <c r="M29" s="104">
        <f t="shared" si="20"/>
        <v>116.37945120531586</v>
      </c>
      <c r="N29" s="104">
        <f t="shared" si="20"/>
        <v>127.17423285148071</v>
      </c>
      <c r="O29" s="104">
        <f t="shared" si="20"/>
        <v>138.56462084620793</v>
      </c>
    </row>
    <row r="30" spans="2:15" ht="18" customHeight="1">
      <c r="B30" s="94" t="s">
        <v>261</v>
      </c>
      <c r="E30" s="104">
        <v>0</v>
      </c>
      <c r="F30" s="104">
        <f>'Working Capital Assessment'!F46</f>
        <v>0.25580557457627118</v>
      </c>
      <c r="G30" s="104">
        <f>'Working Capital Assessment'!G46</f>
        <v>0.41247578993333328</v>
      </c>
      <c r="H30" s="104">
        <f>'Working Capital Assessment'!H46</f>
        <v>0.52841793918541657</v>
      </c>
      <c r="I30" s="104">
        <f>'Working Capital Assessment'!I46</f>
        <v>0.64987406519806235</v>
      </c>
      <c r="J30" s="104">
        <f>'Working Capital Assessment'!J46</f>
        <v>0.72154432656368173</v>
      </c>
      <c r="K30" s="104">
        <f>'Working Capital Assessment'!K46</f>
        <v>0.79638059637349978</v>
      </c>
      <c r="L30" s="104">
        <f>'Working Capital Assessment'!L46</f>
        <v>0.87449654780303987</v>
      </c>
      <c r="M30" s="104">
        <f>'Working Capital Assessment'!M46</f>
        <v>0.95600955893132344</v>
      </c>
      <c r="N30" s="104">
        <f>'Working Capital Assessment'!N46</f>
        <v>1.0410408269403109</v>
      </c>
      <c r="O30" s="104">
        <f>'Working Capital Assessment'!O46</f>
        <v>1.129715485708749</v>
      </c>
    </row>
    <row r="31" spans="2:15" ht="18" customHeight="1">
      <c r="B31" s="95" t="s">
        <v>262</v>
      </c>
      <c r="C31" s="95"/>
      <c r="D31" s="95"/>
      <c r="E31" s="95"/>
      <c r="F31" s="128">
        <f>F29-F30</f>
        <v>5.1223312967733996</v>
      </c>
      <c r="G31" s="128">
        <f>G29-G30</f>
        <v>49.34449782558216</v>
      </c>
      <c r="H31" s="128">
        <f t="shared" ref="H31:O31" si="21">H29-H30</f>
        <v>63.196130141122119</v>
      </c>
      <c r="I31" s="128">
        <f t="shared" si="21"/>
        <v>77.517699934759165</v>
      </c>
      <c r="J31" s="128">
        <f t="shared" si="21"/>
        <v>86.514761520755599</v>
      </c>
      <c r="K31" s="128">
        <f t="shared" si="21"/>
        <v>95.64586928506202</v>
      </c>
      <c r="L31" s="128">
        <f t="shared" si="21"/>
        <v>105.27266139138612</v>
      </c>
      <c r="M31" s="128">
        <f t="shared" si="21"/>
        <v>115.42344164638453</v>
      </c>
      <c r="N31" s="128">
        <f t="shared" si="21"/>
        <v>126.13319202454039</v>
      </c>
      <c r="O31" s="128">
        <f t="shared" si="21"/>
        <v>137.43490536049919</v>
      </c>
    </row>
    <row r="32" spans="2:15" ht="18" customHeight="1">
      <c r="B32" s="94" t="s">
        <v>263</v>
      </c>
      <c r="F32" s="104">
        <f>'Revenue &amp; Expense Modelling'!F102</f>
        <v>0.47390540745999993</v>
      </c>
      <c r="G32" s="104">
        <f>'Revenue &amp; Expense Modelling'!G102</f>
        <v>3.8855219411719992</v>
      </c>
      <c r="H32" s="104">
        <f>'Revenue &amp; Expense Modelling'!H102</f>
        <v>4.9776969871266239</v>
      </c>
      <c r="I32" s="104">
        <f>'Revenue &amp; Expense Modelling'!I102</f>
        <v>6.1218136941657475</v>
      </c>
      <c r="J32" s="104">
        <f>'Revenue &amp; Expense Modelling'!J102</f>
        <v>6.7969475562298811</v>
      </c>
      <c r="K32" s="104">
        <f>'Revenue &amp; Expense Modelling'!K102</f>
        <v>7.5019052178383676</v>
      </c>
      <c r="L32" s="104">
        <f>'Revenue &amp; Expense Modelling'!L102</f>
        <v>8.2377574803046336</v>
      </c>
      <c r="M32" s="104">
        <f>'Revenue &amp; Expense Modelling'!M102</f>
        <v>9.0056100451330661</v>
      </c>
      <c r="N32" s="104">
        <f>'Revenue &amp; Expense Modelling'!N102</f>
        <v>9.8066045897777272</v>
      </c>
      <c r="O32" s="104">
        <f>'Revenue &amp; Expense Modelling'!O102</f>
        <v>10.641919875376415</v>
      </c>
    </row>
    <row r="33" spans="2:15" ht="18" customHeight="1">
      <c r="B33" s="94" t="s">
        <v>264</v>
      </c>
      <c r="F33" s="104">
        <f>'TPC and MoF'!D13/5</f>
        <v>0</v>
      </c>
      <c r="G33" s="104">
        <f t="shared" ref="G33:L33" si="22">F33</f>
        <v>0</v>
      </c>
      <c r="H33" s="104">
        <f t="shared" si="22"/>
        <v>0</v>
      </c>
      <c r="I33" s="104">
        <f t="shared" si="22"/>
        <v>0</v>
      </c>
      <c r="J33" s="104">
        <f t="shared" si="22"/>
        <v>0</v>
      </c>
      <c r="K33" s="104">
        <f t="shared" si="22"/>
        <v>0</v>
      </c>
      <c r="L33" s="104">
        <f t="shared" si="22"/>
        <v>0</v>
      </c>
      <c r="M33" s="104">
        <f t="shared" ref="M33" si="23">L33</f>
        <v>0</v>
      </c>
      <c r="N33" s="104">
        <f t="shared" ref="N33" si="24">M33</f>
        <v>0</v>
      </c>
      <c r="O33" s="104">
        <f t="shared" ref="O33" si="25">N33</f>
        <v>0</v>
      </c>
    </row>
    <row r="34" spans="2:15" ht="18" customHeight="1">
      <c r="B34" s="206" t="s">
        <v>339</v>
      </c>
      <c r="C34" s="206"/>
      <c r="D34" s="206"/>
      <c r="E34" s="206"/>
      <c r="F34" s="207">
        <f>F31+F32+F33</f>
        <v>5.5962367042333998</v>
      </c>
      <c r="G34" s="207">
        <f t="shared" ref="G34:L34" si="26">G31+G32+G33</f>
        <v>53.230019766754161</v>
      </c>
      <c r="H34" s="207">
        <f t="shared" si="26"/>
        <v>68.173827128248746</v>
      </c>
      <c r="I34" s="207">
        <f t="shared" si="26"/>
        <v>83.639513628924917</v>
      </c>
      <c r="J34" s="207">
        <f t="shared" si="26"/>
        <v>93.31170907698548</v>
      </c>
      <c r="K34" s="207">
        <f t="shared" si="26"/>
        <v>103.14777450290039</v>
      </c>
      <c r="L34" s="207">
        <f t="shared" si="26"/>
        <v>113.51041887169076</v>
      </c>
      <c r="M34" s="207">
        <f t="shared" ref="M34:O34" si="27">M31+M32+M33</f>
        <v>124.4290516915176</v>
      </c>
      <c r="N34" s="207">
        <f t="shared" si="27"/>
        <v>135.93979661431811</v>
      </c>
      <c r="O34" s="207">
        <f t="shared" si="27"/>
        <v>148.07682523587559</v>
      </c>
    </row>
    <row r="35" spans="2:15" ht="18" customHeight="1">
      <c r="B35" s="94" t="s">
        <v>265</v>
      </c>
      <c r="F35" s="104">
        <f>F13-F34</f>
        <v>1.9500277457666</v>
      </c>
      <c r="G35" s="104">
        <f t="shared" ref="G35:O35" si="28">G13-G34</f>
        <v>8.6413487232458337</v>
      </c>
      <c r="H35" s="104">
        <f t="shared" si="28"/>
        <v>11.088863749563743</v>
      </c>
      <c r="I35" s="104">
        <f t="shared" si="28"/>
        <v>13.84159615078444</v>
      </c>
      <c r="J35" s="104">
        <f t="shared" si="28"/>
        <v>14.919939907566771</v>
      </c>
      <c r="K35" s="104">
        <f t="shared" si="28"/>
        <v>16.309314953124584</v>
      </c>
      <c r="L35" s="104">
        <f t="shared" si="28"/>
        <v>17.664063298765214</v>
      </c>
      <c r="M35" s="104">
        <f t="shared" si="28"/>
        <v>18.972382148180913</v>
      </c>
      <c r="N35" s="104">
        <f t="shared" si="28"/>
        <v>20.216327426728526</v>
      </c>
      <c r="O35" s="104">
        <f t="shared" si="28"/>
        <v>21.380497620436756</v>
      </c>
    </row>
    <row r="36" spans="2:15" ht="18" customHeight="1">
      <c r="B36" s="127" t="s">
        <v>266</v>
      </c>
    </row>
    <row r="37" spans="2:15" ht="18" customHeight="1">
      <c r="B37" s="94" t="s">
        <v>267</v>
      </c>
      <c r="F37" s="104">
        <f>'Loan Schedule'!F18</f>
        <v>0.27536666666666665</v>
      </c>
      <c r="G37" s="104">
        <f>'Loan Schedule'!G18</f>
        <v>1.5818093958333332</v>
      </c>
      <c r="H37" s="104">
        <f>'Loan Schedule'!H18</f>
        <v>1.4181176808333333</v>
      </c>
      <c r="I37" s="104">
        <f>'Loan Schedule'!I18</f>
        <v>1.2345582608333336</v>
      </c>
      <c r="J37" s="104">
        <f>'Loan Schedule'!J18</f>
        <v>1.0509988408333335</v>
      </c>
      <c r="K37" s="104">
        <f>'Loan Schedule'!K18</f>
        <v>0.86743942083333325</v>
      </c>
      <c r="L37" s="104">
        <f>'Loan Schedule'!L18</f>
        <v>0.68388000083333333</v>
      </c>
      <c r="M37" s="104">
        <f>'Loan Schedule'!M18</f>
        <v>0.50032058083333319</v>
      </c>
      <c r="N37" s="104">
        <f>'Loan Schedule'!N18</f>
        <v>0.31676116083333317</v>
      </c>
      <c r="O37" s="104">
        <f>'Loan Schedule'!O18</f>
        <v>0.11718572708333319</v>
      </c>
    </row>
    <row r="38" spans="2:15" ht="18" customHeight="1">
      <c r="B38" s="94" t="s">
        <v>268</v>
      </c>
      <c r="F38" s="104">
        <f>'Working Capital Assessment'!F74</f>
        <v>0.14084362741831249</v>
      </c>
      <c r="G38" s="104">
        <f>'Working Capital Assessment'!G74</f>
        <v>1.1000000000000001</v>
      </c>
      <c r="H38" s="104">
        <f>'Working Capital Assessment'!H74</f>
        <v>1.1000000000000001</v>
      </c>
      <c r="I38" s="104">
        <f>'Working Capital Assessment'!I74</f>
        <v>1.1000000000000001</v>
      </c>
      <c r="J38" s="104">
        <f>'Working Capital Assessment'!J74</f>
        <v>1.1000000000000001</v>
      </c>
      <c r="K38" s="104">
        <f>'Working Capital Assessment'!K74</f>
        <v>1.1000000000000001</v>
      </c>
      <c r="L38" s="104">
        <f>'Working Capital Assessment'!L74</f>
        <v>1.1000000000000001</v>
      </c>
      <c r="M38" s="104">
        <f>'Working Capital Assessment'!M74</f>
        <v>1.1000000000000001</v>
      </c>
      <c r="N38" s="104">
        <f>'Working Capital Assessment'!N74</f>
        <v>1.1000000000000001</v>
      </c>
      <c r="O38" s="104">
        <f>'Working Capital Assessment'!O74</f>
        <v>1.1000000000000001</v>
      </c>
    </row>
    <row r="39" spans="2:15" ht="18" customHeight="1">
      <c r="B39" s="94" t="s">
        <v>624</v>
      </c>
      <c r="C39" s="179">
        <v>0</v>
      </c>
      <c r="F39" s="104">
        <f>$C$39*BS!F16</f>
        <v>0</v>
      </c>
      <c r="G39" s="104">
        <f>$C$39*BS!G16</f>
        <v>0</v>
      </c>
      <c r="H39" s="104">
        <f>$C$39*BS!H16</f>
        <v>0</v>
      </c>
      <c r="I39" s="104">
        <f>$C$39*BS!I16</f>
        <v>0</v>
      </c>
      <c r="J39" s="104">
        <f>$C$39*BS!J16</f>
        <v>0</v>
      </c>
      <c r="K39" s="104">
        <f>$C$39*BS!K16</f>
        <v>0</v>
      </c>
      <c r="L39" s="104">
        <f>$C$39*BS!L16</f>
        <v>0</v>
      </c>
      <c r="M39" s="104">
        <f>$C$39*BS!M16</f>
        <v>0</v>
      </c>
      <c r="N39" s="104">
        <f>$C$39*BS!N16</f>
        <v>0</v>
      </c>
      <c r="O39" s="104">
        <f>$C$39*BS!O16</f>
        <v>0</v>
      </c>
    </row>
    <row r="40" spans="2:15" ht="18" customHeight="1">
      <c r="B40" s="94" t="s">
        <v>269</v>
      </c>
      <c r="F40" s="104">
        <f>SUM(F37:F39)</f>
        <v>0.41621029408497912</v>
      </c>
      <c r="G40" s="104">
        <f t="shared" ref="G40:O40" si="29">SUM(G37:G39)</f>
        <v>2.6818093958333336</v>
      </c>
      <c r="H40" s="104">
        <f t="shared" si="29"/>
        <v>2.5181176808333334</v>
      </c>
      <c r="I40" s="104">
        <f t="shared" si="29"/>
        <v>2.334558260833334</v>
      </c>
      <c r="J40" s="104">
        <f t="shared" si="29"/>
        <v>2.1509988408333336</v>
      </c>
      <c r="K40" s="104">
        <f t="shared" si="29"/>
        <v>1.9674394208333332</v>
      </c>
      <c r="L40" s="104">
        <f t="shared" si="29"/>
        <v>1.7838800008333333</v>
      </c>
      <c r="M40" s="104">
        <f t="shared" si="29"/>
        <v>1.6003205808333334</v>
      </c>
      <c r="N40" s="104">
        <f t="shared" si="29"/>
        <v>1.4167611608333333</v>
      </c>
      <c r="O40" s="104">
        <f t="shared" si="29"/>
        <v>1.2171857270833333</v>
      </c>
    </row>
    <row r="41" spans="2:15" ht="18" customHeight="1">
      <c r="B41" s="206" t="s">
        <v>704</v>
      </c>
      <c r="C41" s="206"/>
      <c r="D41" s="206"/>
      <c r="E41" s="206"/>
      <c r="F41" s="207">
        <f>F35-F40</f>
        <v>1.533817451681621</v>
      </c>
      <c r="G41" s="207">
        <f t="shared" ref="G41:O41" si="30">G35-G40</f>
        <v>5.9595393274125001</v>
      </c>
      <c r="H41" s="207">
        <f t="shared" si="30"/>
        <v>8.5707460687304096</v>
      </c>
      <c r="I41" s="207">
        <f t="shared" si="30"/>
        <v>11.507037889951107</v>
      </c>
      <c r="J41" s="207">
        <f t="shared" si="30"/>
        <v>12.768941066733438</v>
      </c>
      <c r="K41" s="207">
        <f t="shared" si="30"/>
        <v>14.341875532291251</v>
      </c>
      <c r="L41" s="207">
        <f t="shared" si="30"/>
        <v>15.880183297931881</v>
      </c>
      <c r="M41" s="207">
        <f t="shared" si="30"/>
        <v>17.372061567347579</v>
      </c>
      <c r="N41" s="207">
        <f t="shared" si="30"/>
        <v>18.799566265895194</v>
      </c>
      <c r="O41" s="207">
        <f t="shared" si="30"/>
        <v>20.163311893353423</v>
      </c>
    </row>
    <row r="42" spans="2:15" ht="18" customHeight="1">
      <c r="B42" s="94" t="s">
        <v>836</v>
      </c>
      <c r="F42" s="104">
        <f>'Revenue &amp; Expense Modelling'!F52</f>
        <v>7.5099999999999986E-2</v>
      </c>
      <c r="G42" s="104">
        <f>'Revenue &amp; Expense Modelling'!G52</f>
        <v>0.43140256249999992</v>
      </c>
      <c r="H42" s="104">
        <f>'Revenue &amp; Expense Modelling'!H52</f>
        <v>0.38675936749999995</v>
      </c>
      <c r="I42" s="104">
        <f>'Revenue &amp; Expense Modelling'!I52</f>
        <v>0.33669770750000005</v>
      </c>
      <c r="J42" s="104">
        <f>'Revenue &amp; Expense Modelling'!J52</f>
        <v>0.28663604750000005</v>
      </c>
      <c r="K42" s="104">
        <f>'Revenue &amp; Expense Modelling'!K52</f>
        <v>0.23657438749999996</v>
      </c>
      <c r="L42" s="104">
        <f>'Revenue &amp; Expense Modelling'!L52</f>
        <v>0.1865127275</v>
      </c>
      <c r="M42" s="104">
        <f>'Revenue &amp; Expense Modelling'!M52</f>
        <v>0</v>
      </c>
      <c r="N42" s="104">
        <f>'Revenue &amp; Expense Modelling'!N52</f>
        <v>0</v>
      </c>
      <c r="O42" s="104">
        <f>'Revenue &amp; Expense Modelling'!O52</f>
        <v>0</v>
      </c>
    </row>
    <row r="43" spans="2:15" ht="18" customHeight="1">
      <c r="B43" s="118" t="s">
        <v>720</v>
      </c>
      <c r="C43" s="118"/>
      <c r="D43" s="118"/>
      <c r="E43" s="118"/>
      <c r="F43" s="146">
        <f>+F41+F42</f>
        <v>1.6089174516816209</v>
      </c>
      <c r="G43" s="146">
        <f t="shared" ref="G43:O43" si="31">+G41+G42</f>
        <v>6.3909418899124999</v>
      </c>
      <c r="H43" s="146">
        <f t="shared" si="31"/>
        <v>8.9575054362304094</v>
      </c>
      <c r="I43" s="146">
        <f t="shared" si="31"/>
        <v>11.843735597451108</v>
      </c>
      <c r="J43" s="146">
        <f t="shared" si="31"/>
        <v>13.055577114233438</v>
      </c>
      <c r="K43" s="146">
        <f t="shared" si="31"/>
        <v>14.57844991979125</v>
      </c>
      <c r="L43" s="146">
        <f t="shared" si="31"/>
        <v>16.066696025431881</v>
      </c>
      <c r="M43" s="146">
        <f t="shared" si="31"/>
        <v>17.372061567347579</v>
      </c>
      <c r="N43" s="146">
        <f t="shared" si="31"/>
        <v>18.799566265895194</v>
      </c>
      <c r="O43" s="146">
        <f t="shared" si="31"/>
        <v>20.163311893353423</v>
      </c>
    </row>
    <row r="44" spans="2:15" ht="18" customHeight="1">
      <c r="B44" s="94" t="s">
        <v>708</v>
      </c>
      <c r="C44" s="289"/>
      <c r="E44" s="289"/>
      <c r="F44" s="104">
        <f>'Tax Calculations'!F36</f>
        <v>0.32596170515234002</v>
      </c>
      <c r="G44" s="104">
        <f>'Tax Calculations'!G36</f>
        <v>1.0888517663609798</v>
      </c>
      <c r="H44" s="104">
        <f>'Tax Calculations'!H36</f>
        <v>1.9662556456413567</v>
      </c>
      <c r="I44" s="104">
        <f>'Tax Calculations'!I36</f>
        <v>3.0457716686609686</v>
      </c>
      <c r="J44" s="104">
        <f>'Tax Calculations'!J36</f>
        <v>3.5253672565967897</v>
      </c>
      <c r="K44" s="104">
        <f>'Tax Calculations'!K36</f>
        <v>4.0779846677318776</v>
      </c>
      <c r="L44" s="104">
        <f>'Tax Calculations'!L36</f>
        <v>4.605455307708235</v>
      </c>
      <c r="M44" s="104">
        <f>'Tax Calculations'!M36</f>
        <v>4.7755361676684052</v>
      </c>
      <c r="N44" s="104">
        <f>'Tax Calculations'!N36</f>
        <v>4.9700713295349699</v>
      </c>
      <c r="O44" s="104">
        <f>'Tax Calculations'!O36</f>
        <v>5.1364880083093745</v>
      </c>
    </row>
    <row r="45" spans="2:15" ht="18" customHeight="1">
      <c r="B45" s="206" t="s">
        <v>270</v>
      </c>
      <c r="C45" s="206"/>
      <c r="D45" s="206"/>
      <c r="E45" s="206"/>
      <c r="F45" s="207">
        <f>F43-F44</f>
        <v>1.2829557465292809</v>
      </c>
      <c r="G45" s="207">
        <f t="shared" ref="G45:O45" si="32">G43-G44</f>
        <v>5.3020901235515199</v>
      </c>
      <c r="H45" s="207">
        <f t="shared" si="32"/>
        <v>6.9912497905890527</v>
      </c>
      <c r="I45" s="207">
        <f t="shared" si="32"/>
        <v>8.7979639287901392</v>
      </c>
      <c r="J45" s="207">
        <f t="shared" si="32"/>
        <v>9.530209857636649</v>
      </c>
      <c r="K45" s="207">
        <f t="shared" si="32"/>
        <v>10.500465252059373</v>
      </c>
      <c r="L45" s="207">
        <f t="shared" si="32"/>
        <v>11.461240717723646</v>
      </c>
      <c r="M45" s="207">
        <f t="shared" si="32"/>
        <v>12.596525399679173</v>
      </c>
      <c r="N45" s="207">
        <f t="shared" si="32"/>
        <v>13.829494936360224</v>
      </c>
      <c r="O45" s="207">
        <f t="shared" si="32"/>
        <v>15.026823885044049</v>
      </c>
    </row>
    <row r="48" spans="2:15" ht="18" customHeight="1">
      <c r="B48" s="212" t="s">
        <v>351</v>
      </c>
      <c r="C48" s="213"/>
      <c r="D48" s="213"/>
      <c r="E48" s="213"/>
      <c r="F48" s="213"/>
      <c r="G48" s="213"/>
      <c r="H48" s="213"/>
      <c r="I48" s="213"/>
      <c r="J48" s="213"/>
      <c r="K48" s="213"/>
      <c r="L48" s="213"/>
      <c r="M48" s="213"/>
      <c r="N48" s="213"/>
      <c r="O48" s="213"/>
    </row>
    <row r="49" spans="2:15" ht="18" customHeight="1">
      <c r="B49" s="94" t="s">
        <v>352</v>
      </c>
      <c r="F49" s="104">
        <f>F45</f>
        <v>1.2829557465292809</v>
      </c>
      <c r="G49" s="104">
        <f t="shared" ref="G49:L49" si="33">G45</f>
        <v>5.3020901235515199</v>
      </c>
      <c r="H49" s="104">
        <f t="shared" si="33"/>
        <v>6.9912497905890527</v>
      </c>
      <c r="I49" s="104">
        <f t="shared" si="33"/>
        <v>8.7979639287901392</v>
      </c>
      <c r="J49" s="104">
        <f t="shared" si="33"/>
        <v>9.530209857636649</v>
      </c>
      <c r="K49" s="104">
        <f t="shared" si="33"/>
        <v>10.500465252059373</v>
      </c>
      <c r="L49" s="104">
        <f t="shared" si="33"/>
        <v>11.461240717723646</v>
      </c>
      <c r="M49" s="104">
        <f t="shared" ref="M49:O49" si="34">M45</f>
        <v>12.596525399679173</v>
      </c>
      <c r="N49" s="104">
        <f t="shared" si="34"/>
        <v>13.829494936360224</v>
      </c>
      <c r="O49" s="104">
        <f t="shared" si="34"/>
        <v>15.026823885044049</v>
      </c>
    </row>
    <row r="50" spans="2:15" ht="18" customHeight="1">
      <c r="B50" s="94" t="s">
        <v>353</v>
      </c>
      <c r="F50" s="104">
        <f>F21</f>
        <v>0.30058661020959415</v>
      </c>
      <c r="G50" s="104">
        <f t="shared" ref="G50:L50" si="35">G21</f>
        <v>1.8496988118809239</v>
      </c>
      <c r="H50" s="104">
        <f t="shared" si="35"/>
        <v>1.8496988118809239</v>
      </c>
      <c r="I50" s="104">
        <f t="shared" si="35"/>
        <v>1.8496988118809239</v>
      </c>
      <c r="J50" s="104">
        <f t="shared" si="35"/>
        <v>1.8496988118809239</v>
      </c>
      <c r="K50" s="104">
        <f t="shared" si="35"/>
        <v>1.8496988118809239</v>
      </c>
      <c r="L50" s="104">
        <f t="shared" si="35"/>
        <v>1.8496988118809239</v>
      </c>
      <c r="M50" s="104">
        <f t="shared" ref="M50:O50" si="36">M21</f>
        <v>1.8496988118809239</v>
      </c>
      <c r="N50" s="104">
        <f t="shared" si="36"/>
        <v>1.8496988118809239</v>
      </c>
      <c r="O50" s="104">
        <f t="shared" si="36"/>
        <v>1.8496988118809239</v>
      </c>
    </row>
    <row r="51" spans="2:15" ht="18" customHeight="1">
      <c r="B51" s="94" t="s">
        <v>264</v>
      </c>
      <c r="F51" s="104">
        <f>F33</f>
        <v>0</v>
      </c>
      <c r="G51" s="104">
        <f t="shared" ref="G51:L51" si="37">G33</f>
        <v>0</v>
      </c>
      <c r="H51" s="104">
        <f t="shared" si="37"/>
        <v>0</v>
      </c>
      <c r="I51" s="104">
        <f t="shared" si="37"/>
        <v>0</v>
      </c>
      <c r="J51" s="104">
        <f t="shared" si="37"/>
        <v>0</v>
      </c>
      <c r="K51" s="104">
        <f t="shared" si="37"/>
        <v>0</v>
      </c>
      <c r="L51" s="104">
        <f t="shared" si="37"/>
        <v>0</v>
      </c>
      <c r="M51" s="104">
        <f t="shared" ref="M51:O51" si="38">M33</f>
        <v>0</v>
      </c>
      <c r="N51" s="104">
        <f t="shared" si="38"/>
        <v>0</v>
      </c>
      <c r="O51" s="104">
        <f t="shared" si="38"/>
        <v>0</v>
      </c>
    </row>
    <row r="52" spans="2:15" ht="18" customHeight="1">
      <c r="B52" s="206" t="s">
        <v>351</v>
      </c>
      <c r="C52" s="206"/>
      <c r="D52" s="206"/>
      <c r="E52" s="206"/>
      <c r="F52" s="207">
        <f>SUM(F49:F51)</f>
        <v>1.5835423567388751</v>
      </c>
      <c r="G52" s="207">
        <f t="shared" ref="G52:L52" si="39">SUM(G49:G51)</f>
        <v>7.1517889354324442</v>
      </c>
      <c r="H52" s="207">
        <f t="shared" si="39"/>
        <v>8.840948602469977</v>
      </c>
      <c r="I52" s="207">
        <f t="shared" si="39"/>
        <v>10.647662740671063</v>
      </c>
      <c r="J52" s="207">
        <f t="shared" si="39"/>
        <v>11.379908669517572</v>
      </c>
      <c r="K52" s="207">
        <f t="shared" si="39"/>
        <v>12.350164063940296</v>
      </c>
      <c r="L52" s="207">
        <f t="shared" si="39"/>
        <v>13.310939529604569</v>
      </c>
      <c r="M52" s="207">
        <f t="shared" ref="M52:O52" si="40">SUM(M49:M51)</f>
        <v>14.446224211560097</v>
      </c>
      <c r="N52" s="207">
        <f t="shared" si="40"/>
        <v>15.679193748241147</v>
      </c>
      <c r="O52" s="207">
        <f t="shared" si="40"/>
        <v>16.876522696924972</v>
      </c>
    </row>
    <row r="53" spans="2:15" ht="18" customHeight="1">
      <c r="B53" s="94" t="s">
        <v>354</v>
      </c>
      <c r="F53" s="104">
        <f>CFS!F25</f>
        <v>2.7912166666666668E-2</v>
      </c>
      <c r="G53" s="104">
        <f>CFS!G25</f>
        <v>1.335278</v>
      </c>
      <c r="H53" s="104">
        <f>CFS!H25</f>
        <v>1.668722</v>
      </c>
      <c r="I53" s="104">
        <f>CFS!I25</f>
        <v>1.668722</v>
      </c>
      <c r="J53" s="104">
        <f>CFS!J25</f>
        <v>1.668722</v>
      </c>
      <c r="K53" s="104">
        <f>CFS!K25</f>
        <v>1.668722</v>
      </c>
      <c r="L53" s="104">
        <f>CFS!L25</f>
        <v>1.668722</v>
      </c>
      <c r="M53" s="104">
        <f>CFS!M25</f>
        <v>1.668722</v>
      </c>
      <c r="N53" s="104">
        <f>CFS!N25</f>
        <v>1.668722</v>
      </c>
      <c r="O53" s="104">
        <f>CFS!O25</f>
        <v>1.9757558333333312</v>
      </c>
    </row>
    <row r="54" spans="2:15" ht="18" customHeight="1">
      <c r="B54" s="208" t="s">
        <v>355</v>
      </c>
      <c r="C54" s="208"/>
      <c r="D54" s="208"/>
      <c r="E54" s="208"/>
      <c r="F54" s="209">
        <f>F52-F53</f>
        <v>1.5556301900722085</v>
      </c>
      <c r="G54" s="209">
        <f t="shared" ref="G54:L54" si="41">G52-G53</f>
        <v>5.8165109354324445</v>
      </c>
      <c r="H54" s="209">
        <f t="shared" si="41"/>
        <v>7.1722266024699772</v>
      </c>
      <c r="I54" s="209">
        <f t="shared" si="41"/>
        <v>8.978940740671062</v>
      </c>
      <c r="J54" s="209">
        <f t="shared" si="41"/>
        <v>9.7111866695175717</v>
      </c>
      <c r="K54" s="209">
        <f t="shared" si="41"/>
        <v>10.681442063940295</v>
      </c>
      <c r="L54" s="209">
        <f t="shared" si="41"/>
        <v>11.642217529604569</v>
      </c>
      <c r="M54" s="209">
        <f t="shared" ref="M54:O54" si="42">M52-M53</f>
        <v>12.777502211560096</v>
      </c>
      <c r="N54" s="209">
        <f t="shared" si="42"/>
        <v>14.010471748241146</v>
      </c>
      <c r="O54" s="209">
        <f t="shared" si="42"/>
        <v>14.900766863591642</v>
      </c>
    </row>
    <row r="55" spans="2:15" ht="18" customHeight="1">
      <c r="B55" s="210" t="s">
        <v>356</v>
      </c>
      <c r="C55" s="210"/>
      <c r="D55" s="210"/>
      <c r="E55" s="210"/>
      <c r="F55" s="211">
        <f>E55+F54</f>
        <v>1.5556301900722085</v>
      </c>
      <c r="G55" s="211">
        <f t="shared" ref="G55:L55" si="43">F55+G54</f>
        <v>7.3721411255046529</v>
      </c>
      <c r="H55" s="211">
        <f t="shared" si="43"/>
        <v>14.544367727974631</v>
      </c>
      <c r="I55" s="211">
        <f t="shared" si="43"/>
        <v>23.523308468645695</v>
      </c>
      <c r="J55" s="211">
        <f t="shared" si="43"/>
        <v>33.234495138163268</v>
      </c>
      <c r="K55" s="211">
        <f t="shared" si="43"/>
        <v>43.915937202103564</v>
      </c>
      <c r="L55" s="211">
        <f t="shared" si="43"/>
        <v>55.558154731708129</v>
      </c>
      <c r="M55" s="211">
        <f t="shared" ref="M55" si="44">L55+M54</f>
        <v>68.335656943268219</v>
      </c>
      <c r="N55" s="211">
        <f t="shared" ref="N55" si="45">M55+N54</f>
        <v>82.346128691509364</v>
      </c>
      <c r="O55" s="211">
        <f t="shared" ref="O55" si="46">N55+O54</f>
        <v>97.246895555101005</v>
      </c>
    </row>
    <row r="58" spans="2:15" ht="18" customHeight="1">
      <c r="B58" s="212" t="s">
        <v>357</v>
      </c>
      <c r="C58" s="136"/>
      <c r="D58" s="136"/>
      <c r="E58" s="136"/>
      <c r="F58" s="136"/>
      <c r="G58" s="136"/>
      <c r="H58" s="136"/>
      <c r="I58" s="213"/>
      <c r="J58" s="213"/>
      <c r="K58" s="213"/>
      <c r="L58" s="213"/>
      <c r="M58" s="213"/>
      <c r="N58" s="213"/>
      <c r="O58" s="213"/>
    </row>
    <row r="59" spans="2:15" ht="18" customHeight="1">
      <c r="B59" s="94" t="s">
        <v>250</v>
      </c>
      <c r="C59" s="100"/>
      <c r="D59" s="100"/>
      <c r="E59" s="100"/>
      <c r="F59" s="104">
        <f t="shared" ref="F59:L59" si="47">F13</f>
        <v>7.5462644499999998</v>
      </c>
      <c r="G59" s="104">
        <f t="shared" si="47"/>
        <v>61.871368489999995</v>
      </c>
      <c r="H59" s="104">
        <f t="shared" si="47"/>
        <v>79.262690877812489</v>
      </c>
      <c r="I59" s="104">
        <f t="shared" si="47"/>
        <v>97.481109779709357</v>
      </c>
      <c r="J59" s="104">
        <f t="shared" si="47"/>
        <v>108.23164898455225</v>
      </c>
      <c r="K59" s="104">
        <f t="shared" si="47"/>
        <v>119.45708945602497</v>
      </c>
      <c r="L59" s="104">
        <f t="shared" si="47"/>
        <v>131.17448217045597</v>
      </c>
      <c r="M59" s="104">
        <f t="shared" ref="M59:O59" si="48">M13</f>
        <v>143.40143383969851</v>
      </c>
      <c r="N59" s="104">
        <f t="shared" si="48"/>
        <v>156.15612404104664</v>
      </c>
      <c r="O59" s="104">
        <f t="shared" si="48"/>
        <v>169.45732285631235</v>
      </c>
    </row>
    <row r="60" spans="2:15" ht="18" customHeight="1">
      <c r="B60" s="94" t="s">
        <v>358</v>
      </c>
      <c r="C60" s="100"/>
      <c r="D60" s="100"/>
      <c r="E60" s="100"/>
      <c r="F60" s="104">
        <f>F35+F21</f>
        <v>2.250614355976194</v>
      </c>
      <c r="G60" s="104">
        <f t="shared" ref="G60:L60" si="49">G35+G21</f>
        <v>10.491047535126757</v>
      </c>
      <c r="H60" s="104">
        <f t="shared" si="49"/>
        <v>12.938562561444666</v>
      </c>
      <c r="I60" s="104">
        <f t="shared" si="49"/>
        <v>15.691294962665363</v>
      </c>
      <c r="J60" s="104">
        <f t="shared" si="49"/>
        <v>16.769638719447695</v>
      </c>
      <c r="K60" s="104">
        <f t="shared" si="49"/>
        <v>18.159013765005508</v>
      </c>
      <c r="L60" s="104">
        <f t="shared" si="49"/>
        <v>19.513762110646137</v>
      </c>
      <c r="M60" s="104">
        <f t="shared" ref="M60:O60" si="50">M35+M21</f>
        <v>20.822080960061836</v>
      </c>
      <c r="N60" s="104">
        <f t="shared" si="50"/>
        <v>22.066026238609449</v>
      </c>
      <c r="O60" s="104">
        <f t="shared" si="50"/>
        <v>23.23019643231768</v>
      </c>
    </row>
    <row r="61" spans="2:15" ht="18" customHeight="1">
      <c r="B61" s="94" t="s">
        <v>265</v>
      </c>
      <c r="C61" s="100"/>
      <c r="D61" s="100"/>
      <c r="E61" s="100"/>
      <c r="F61" s="104">
        <f>F35</f>
        <v>1.9500277457666</v>
      </c>
      <c r="G61" s="104">
        <f t="shared" ref="G61:L61" si="51">G35</f>
        <v>8.6413487232458337</v>
      </c>
      <c r="H61" s="104">
        <f t="shared" si="51"/>
        <v>11.088863749563743</v>
      </c>
      <c r="I61" s="104">
        <f t="shared" si="51"/>
        <v>13.84159615078444</v>
      </c>
      <c r="J61" s="104">
        <f t="shared" si="51"/>
        <v>14.919939907566771</v>
      </c>
      <c r="K61" s="104">
        <f t="shared" si="51"/>
        <v>16.309314953124584</v>
      </c>
      <c r="L61" s="104">
        <f t="shared" si="51"/>
        <v>17.664063298765214</v>
      </c>
      <c r="M61" s="104">
        <f t="shared" ref="M61:O61" si="52">M35</f>
        <v>18.972382148180913</v>
      </c>
      <c r="N61" s="104">
        <f t="shared" si="52"/>
        <v>20.216327426728526</v>
      </c>
      <c r="O61" s="104">
        <f t="shared" si="52"/>
        <v>21.380497620436756</v>
      </c>
    </row>
    <row r="62" spans="2:15" ht="18" customHeight="1">
      <c r="B62" s="94" t="s">
        <v>352</v>
      </c>
      <c r="C62" s="100"/>
      <c r="D62" s="100"/>
      <c r="E62" s="100"/>
      <c r="F62" s="104">
        <f>F45</f>
        <v>1.2829557465292809</v>
      </c>
      <c r="G62" s="104">
        <f t="shared" ref="G62:L62" si="53">G45</f>
        <v>5.3020901235515199</v>
      </c>
      <c r="H62" s="104">
        <f t="shared" si="53"/>
        <v>6.9912497905890527</v>
      </c>
      <c r="I62" s="104">
        <f t="shared" si="53"/>
        <v>8.7979639287901392</v>
      </c>
      <c r="J62" s="104">
        <f t="shared" si="53"/>
        <v>9.530209857636649</v>
      </c>
      <c r="K62" s="104">
        <f t="shared" si="53"/>
        <v>10.500465252059373</v>
      </c>
      <c r="L62" s="104">
        <f t="shared" si="53"/>
        <v>11.461240717723646</v>
      </c>
      <c r="M62" s="104">
        <f t="shared" ref="M62:O62" si="54">M45</f>
        <v>12.596525399679173</v>
      </c>
      <c r="N62" s="104">
        <f t="shared" si="54"/>
        <v>13.829494936360224</v>
      </c>
      <c r="O62" s="104">
        <f t="shared" si="54"/>
        <v>15.026823885044049</v>
      </c>
    </row>
    <row r="63" spans="2:15" ht="18" customHeight="1">
      <c r="C63" s="100"/>
      <c r="D63" s="100"/>
      <c r="E63" s="100"/>
      <c r="F63" s="100"/>
      <c r="G63" s="100"/>
      <c r="H63" s="100"/>
    </row>
    <row r="64" spans="2:15" ht="18" customHeight="1">
      <c r="B64" s="95" t="s">
        <v>359</v>
      </c>
      <c r="C64" s="96"/>
      <c r="D64" s="96"/>
      <c r="E64" s="96"/>
      <c r="F64" s="180">
        <f>F60/F59</f>
        <v>0.29824217941052861</v>
      </c>
      <c r="G64" s="180">
        <f t="shared" ref="G64:L64" si="55">G60/G59</f>
        <v>0.16956223518512251</v>
      </c>
      <c r="H64" s="180">
        <f t="shared" si="55"/>
        <v>0.16323647882949274</v>
      </c>
      <c r="I64" s="180">
        <f t="shared" si="55"/>
        <v>0.16096754538520341</v>
      </c>
      <c r="J64" s="180">
        <f t="shared" si="55"/>
        <v>0.15494209759144667</v>
      </c>
      <c r="K64" s="180">
        <f t="shared" si="55"/>
        <v>0.15201285957741567</v>
      </c>
      <c r="L64" s="180">
        <f t="shared" si="55"/>
        <v>0.14876187645466582</v>
      </c>
      <c r="M64" s="180">
        <f t="shared" ref="M64:O64" si="56">M60/M59</f>
        <v>0.14520134424414352</v>
      </c>
      <c r="N64" s="180">
        <f t="shared" si="56"/>
        <v>0.14130746632011212</v>
      </c>
      <c r="O64" s="180">
        <f t="shared" si="56"/>
        <v>0.13708582220442148</v>
      </c>
    </row>
    <row r="65" spans="2:15" ht="18" customHeight="1">
      <c r="B65" s="118" t="s">
        <v>443</v>
      </c>
      <c r="C65" s="120"/>
      <c r="D65" s="120"/>
      <c r="E65" s="120"/>
      <c r="F65" s="356">
        <f>AVERAGE(F64:O64)</f>
        <v>0.16713199052025529</v>
      </c>
      <c r="G65" s="356"/>
      <c r="H65" s="356"/>
      <c r="I65" s="356"/>
      <c r="J65" s="356"/>
      <c r="K65" s="356"/>
      <c r="L65" s="356"/>
      <c r="M65" s="356"/>
      <c r="N65" s="356"/>
      <c r="O65" s="356"/>
    </row>
    <row r="66" spans="2:15" ht="18" customHeight="1">
      <c r="B66" s="95" t="s">
        <v>360</v>
      </c>
      <c r="C66" s="96"/>
      <c r="D66" s="96"/>
      <c r="E66" s="96"/>
      <c r="F66" s="180">
        <f t="shared" ref="F66:O66" si="57">F61/F59</f>
        <v>0.25840967523561942</v>
      </c>
      <c r="G66" s="180">
        <f t="shared" si="57"/>
        <v>0.13966635835188448</v>
      </c>
      <c r="H66" s="180">
        <f t="shared" si="57"/>
        <v>0.1399001677429523</v>
      </c>
      <c r="I66" s="180">
        <f t="shared" si="57"/>
        <v>0.14199259920269763</v>
      </c>
      <c r="J66" s="180">
        <f t="shared" si="57"/>
        <v>0.13785191344258529</v>
      </c>
      <c r="K66" s="180">
        <f t="shared" si="57"/>
        <v>0.13652864829867159</v>
      </c>
      <c r="L66" s="180">
        <f t="shared" si="57"/>
        <v>0.13466081974550106</v>
      </c>
      <c r="M66" s="180">
        <f t="shared" si="57"/>
        <v>0.13230259726265509</v>
      </c>
      <c r="N66" s="180">
        <f t="shared" si="57"/>
        <v>0.12946227726179049</v>
      </c>
      <c r="O66" s="180">
        <f t="shared" si="57"/>
        <v>0.12617039653438811</v>
      </c>
    </row>
    <row r="67" spans="2:15" s="95" customFormat="1" ht="18" customHeight="1">
      <c r="B67" s="118" t="s">
        <v>443</v>
      </c>
      <c r="C67" s="120"/>
      <c r="D67" s="120"/>
      <c r="E67" s="120"/>
      <c r="F67" s="356">
        <f>AVERAGE(F66:O66)</f>
        <v>0.14769454530787454</v>
      </c>
      <c r="G67" s="356"/>
      <c r="H67" s="356"/>
      <c r="I67" s="356"/>
      <c r="J67" s="356"/>
      <c r="K67" s="356"/>
      <c r="L67" s="356"/>
      <c r="M67" s="356"/>
      <c r="N67" s="356"/>
      <c r="O67" s="356"/>
    </row>
    <row r="68" spans="2:15" ht="18" customHeight="1">
      <c r="B68" s="95" t="s">
        <v>361</v>
      </c>
      <c r="C68" s="96"/>
      <c r="D68" s="96"/>
      <c r="E68" s="96"/>
      <c r="F68" s="180">
        <f>F62/F59</f>
        <v>0.17001203112213764</v>
      </c>
      <c r="G68" s="180">
        <f t="shared" ref="G68:O68" si="58">G62/G59</f>
        <v>8.5695374984448167E-2</v>
      </c>
      <c r="H68" s="180">
        <f t="shared" si="58"/>
        <v>8.8203538299834197E-2</v>
      </c>
      <c r="I68" s="180">
        <f t="shared" si="58"/>
        <v>9.0253013621531736E-2</v>
      </c>
      <c r="J68" s="180">
        <f t="shared" si="58"/>
        <v>8.8053817409701321E-2</v>
      </c>
      <c r="K68" s="180">
        <f t="shared" si="58"/>
        <v>8.7901566159661423E-2</v>
      </c>
      <c r="L68" s="180">
        <f t="shared" si="58"/>
        <v>8.7374011530918214E-2</v>
      </c>
      <c r="M68" s="180">
        <f t="shared" si="58"/>
        <v>8.7841000347041273E-2</v>
      </c>
      <c r="N68" s="180">
        <f t="shared" si="58"/>
        <v>8.8561976171520826E-2</v>
      </c>
      <c r="O68" s="180">
        <f t="shared" si="58"/>
        <v>8.8676155339629192E-2</v>
      </c>
    </row>
    <row r="69" spans="2:15" s="95" customFormat="1" ht="18" customHeight="1">
      <c r="B69" s="118" t="s">
        <v>443</v>
      </c>
      <c r="C69" s="120"/>
      <c r="D69" s="120"/>
      <c r="E69" s="120"/>
      <c r="F69" s="356">
        <f>AVERAGE(F68:O68)</f>
        <v>9.6257248498642395E-2</v>
      </c>
      <c r="G69" s="356"/>
      <c r="H69" s="356"/>
      <c r="I69" s="356"/>
      <c r="J69" s="356"/>
      <c r="K69" s="356"/>
      <c r="L69" s="356"/>
      <c r="M69" s="356"/>
      <c r="N69" s="356"/>
      <c r="O69" s="356"/>
    </row>
    <row r="70" spans="2:15" ht="18" customHeight="1">
      <c r="B70" s="95" t="s">
        <v>362</v>
      </c>
      <c r="C70" s="96"/>
      <c r="D70" s="96"/>
      <c r="E70" s="96"/>
      <c r="F70" s="100"/>
      <c r="G70" s="180">
        <f t="shared" ref="G70:L70" si="59">G59/F59-1</f>
        <v>7.1989398728267471</v>
      </c>
      <c r="H70" s="180">
        <f t="shared" si="59"/>
        <v>0.28108837435240153</v>
      </c>
      <c r="I70" s="180">
        <f t="shared" si="59"/>
        <v>0.22984860468567114</v>
      </c>
      <c r="J70" s="180">
        <f t="shared" si="59"/>
        <v>0.11028330749554738</v>
      </c>
      <c r="K70" s="180">
        <f t="shared" si="59"/>
        <v>0.10371680166376218</v>
      </c>
      <c r="L70" s="180">
        <f t="shared" si="59"/>
        <v>9.808871761223048E-2</v>
      </c>
      <c r="M70" s="180">
        <f t="shared" ref="M70" si="60">M59/L59-1</f>
        <v>9.3211358390224985E-2</v>
      </c>
      <c r="N70" s="180">
        <f t="shared" ref="N70" si="61">N59/M59-1</f>
        <v>8.8943951673495558E-2</v>
      </c>
      <c r="O70" s="180">
        <f t="shared" ref="O70" si="62">O59/N59-1</f>
        <v>8.5178848392583051E-2</v>
      </c>
    </row>
    <row r="71" spans="2:15" s="95" customFormat="1" ht="18" customHeight="1">
      <c r="B71" s="118" t="s">
        <v>443</v>
      </c>
      <c r="C71" s="120"/>
      <c r="D71" s="120"/>
      <c r="E71" s="120"/>
      <c r="F71" s="356">
        <f>AVERAGE(H70:O70)</f>
        <v>0.13629499553323954</v>
      </c>
      <c r="G71" s="356"/>
      <c r="H71" s="356"/>
      <c r="I71" s="356"/>
      <c r="J71" s="356"/>
      <c r="K71" s="356"/>
      <c r="L71" s="356"/>
      <c r="M71" s="356"/>
      <c r="N71" s="356"/>
      <c r="O71" s="356"/>
    </row>
  </sheetData>
  <mergeCells count="6">
    <mergeCell ref="F71:O71"/>
    <mergeCell ref="D8:E8"/>
    <mergeCell ref="F8:O8"/>
    <mergeCell ref="F65:O65"/>
    <mergeCell ref="F67:O67"/>
    <mergeCell ref="F69:O69"/>
  </mergeCells>
  <dataValidations count="1">
    <dataValidation type="list" allowBlank="1" showInputMessage="1" showErrorMessage="1" sqref="A13 A15" xr:uid="{00000000-0002-0000-0600-000000000000}">
      <formula1>"0%,5%,10%"</formula1>
    </dataValidation>
  </dataValidations>
  <pageMargins left="0.7" right="0.7" top="0.75" bottom="0.75" header="0.3" footer="0.3"/>
  <pageSetup orientation="portrait" r:id="rId1"/>
  <ignoredErrors>
    <ignoredError sqref="F68 F66" formula="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sheetPr>
  <dimension ref="B1:O54"/>
  <sheetViews>
    <sheetView showGridLines="0" workbookViewId="0">
      <pane ySplit="9" topLeftCell="A10" activePane="bottomLeft" state="frozen"/>
      <selection pane="bottomLeft" activeCell="D43" sqref="D43:O44"/>
    </sheetView>
  </sheetViews>
  <sheetFormatPr defaultColWidth="13.7109375" defaultRowHeight="18" customHeight="1"/>
  <cols>
    <col min="1" max="1" width="4.85546875" style="94" customWidth="1"/>
    <col min="2" max="2" width="50.85546875" style="94" customWidth="1"/>
    <col min="3" max="3" width="7.140625" style="94" customWidth="1"/>
    <col min="4" max="12" width="12.7109375" style="94" customWidth="1"/>
    <col min="13" max="16384" width="13.7109375" style="94"/>
  </cols>
  <sheetData>
    <row r="1" spans="2:15" ht="15.75" customHeight="1"/>
    <row r="2" spans="2:15" s="189" customFormat="1" ht="18" customHeight="1">
      <c r="B2" s="132" t="str">
        <f>"Financial Model of " &amp; B4</f>
        <v>Financial Model of 20,000 M.T of glass Toughening pa. set up by SSRM Glasses Private Limited</v>
      </c>
      <c r="C2" s="133"/>
      <c r="D2" s="133"/>
      <c r="E2" s="133"/>
      <c r="F2" s="133"/>
      <c r="G2" s="133"/>
      <c r="H2" s="133"/>
      <c r="I2" s="133"/>
      <c r="J2" s="133"/>
      <c r="K2" s="133"/>
      <c r="L2" s="133"/>
      <c r="M2" s="133"/>
      <c r="N2" s="133"/>
      <c r="O2" s="133"/>
    </row>
    <row r="3" spans="2:15" ht="12" customHeight="1">
      <c r="C3" s="100"/>
      <c r="D3" s="100"/>
      <c r="E3" s="100"/>
      <c r="F3" s="100"/>
      <c r="G3" s="100"/>
      <c r="H3" s="100"/>
      <c r="I3" s="100"/>
      <c r="J3" s="100"/>
      <c r="K3" s="100"/>
      <c r="L3" s="100"/>
      <c r="M3" s="100"/>
      <c r="N3" s="100"/>
      <c r="O3" s="100"/>
    </row>
    <row r="4" spans="2:15" s="182" customFormat="1" ht="18" customHeight="1">
      <c r="B4" s="137" t="str">
        <f>'Common Assumption'!B4</f>
        <v>20,000 M.T of glass Toughening pa. set up by SSRM Glasses Private Limited</v>
      </c>
      <c r="C4" s="137"/>
      <c r="D4" s="138"/>
      <c r="E4" s="138"/>
      <c r="F4" s="138"/>
      <c r="G4" s="138"/>
      <c r="H4" s="138"/>
      <c r="I4" s="138"/>
      <c r="J4" s="138"/>
      <c r="K4" s="138"/>
      <c r="L4" s="138"/>
      <c r="M4" s="138"/>
      <c r="N4" s="138"/>
      <c r="O4" s="138"/>
    </row>
    <row r="5" spans="2:15" ht="13.5" customHeight="1">
      <c r="C5" s="100"/>
      <c r="D5" s="100"/>
      <c r="F5" s="125"/>
    </row>
    <row r="6" spans="2:15" s="182" customFormat="1" ht="18" customHeight="1">
      <c r="B6" s="137" t="s">
        <v>363</v>
      </c>
      <c r="C6" s="137"/>
      <c r="D6" s="138"/>
      <c r="E6" s="138"/>
      <c r="F6" s="138"/>
      <c r="G6" s="138"/>
      <c r="H6" s="138"/>
      <c r="I6" s="138"/>
      <c r="J6" s="138"/>
      <c r="K6" s="138"/>
      <c r="L6" s="138"/>
      <c r="M6" s="138"/>
      <c r="N6" s="138"/>
      <c r="O6" s="138"/>
    </row>
    <row r="7" spans="2:15" ht="12.75" customHeight="1">
      <c r="C7" s="100"/>
      <c r="D7" s="100"/>
      <c r="F7" s="125"/>
    </row>
    <row r="8" spans="2:15" ht="18" customHeight="1">
      <c r="C8" s="100"/>
      <c r="D8" s="354" t="str">
        <f>IS!D8</f>
        <v>Implementation period</v>
      </c>
      <c r="E8" s="354"/>
      <c r="F8" s="355" t="s">
        <v>43</v>
      </c>
      <c r="G8" s="355"/>
      <c r="H8" s="355"/>
      <c r="I8" s="355"/>
      <c r="J8" s="355"/>
      <c r="K8" s="355"/>
      <c r="L8" s="355"/>
      <c r="M8" s="355"/>
      <c r="N8" s="355"/>
      <c r="O8" s="355"/>
    </row>
    <row r="9" spans="2:15" ht="18" customHeight="1">
      <c r="B9" s="135" t="s">
        <v>44</v>
      </c>
      <c r="C9" s="183" t="s">
        <v>45</v>
      </c>
      <c r="D9" s="184">
        <f>EOMONTH('Common Assumption'!E11,1)</f>
        <v>45747</v>
      </c>
      <c r="E9" s="184">
        <f>'Common Assumption'!E13</f>
        <v>46053</v>
      </c>
      <c r="F9" s="184">
        <f>DATE(YEAR(E9),MONTH(E9)+2,DAY(E9))</f>
        <v>46112</v>
      </c>
      <c r="G9" s="184">
        <f t="shared" ref="G9:L9" si="0">DATE(YEAR(F9)+1,MONTH(F9),DAY(F9))</f>
        <v>46477</v>
      </c>
      <c r="H9" s="184">
        <f t="shared" si="0"/>
        <v>46843</v>
      </c>
      <c r="I9" s="184">
        <f t="shared" si="0"/>
        <v>47208</v>
      </c>
      <c r="J9" s="184">
        <f t="shared" si="0"/>
        <v>47573</v>
      </c>
      <c r="K9" s="184">
        <f t="shared" si="0"/>
        <v>47938</v>
      </c>
      <c r="L9" s="184">
        <f t="shared" si="0"/>
        <v>48304</v>
      </c>
      <c r="M9" s="184">
        <f t="shared" ref="M9" si="1">DATE(YEAR(L9)+1,MONTH(L9),DAY(L9))</f>
        <v>48669</v>
      </c>
      <c r="N9" s="184">
        <f t="shared" ref="N9" si="2">DATE(YEAR(M9)+1,MONTH(M9),DAY(M9))</f>
        <v>49034</v>
      </c>
      <c r="O9" s="184">
        <f t="shared" ref="O9" si="3">DATE(YEAR(N9)+1,MONTH(N9),DAY(N9))</f>
        <v>49399</v>
      </c>
    </row>
    <row r="10" spans="2:15" s="126" customFormat="1" ht="18" customHeight="1">
      <c r="B10" s="185" t="s">
        <v>46</v>
      </c>
      <c r="C10" s="186"/>
      <c r="D10" s="187">
        <v>0</v>
      </c>
      <c r="E10" s="187">
        <v>0</v>
      </c>
      <c r="F10" s="188">
        <v>1</v>
      </c>
      <c r="G10" s="188">
        <f t="shared" ref="G10:K10" si="4">F10+1</f>
        <v>2</v>
      </c>
      <c r="H10" s="188">
        <f t="shared" si="4"/>
        <v>3</v>
      </c>
      <c r="I10" s="188">
        <f t="shared" si="4"/>
        <v>4</v>
      </c>
      <c r="J10" s="188">
        <f t="shared" si="4"/>
        <v>5</v>
      </c>
      <c r="K10" s="188">
        <f t="shared" si="4"/>
        <v>6</v>
      </c>
      <c r="L10" s="188">
        <f t="shared" ref="L10" si="5">K10+1</f>
        <v>7</v>
      </c>
      <c r="M10" s="188">
        <f t="shared" ref="M10" si="6">L10+1</f>
        <v>8</v>
      </c>
      <c r="N10" s="188">
        <f t="shared" ref="N10" si="7">M10+1</f>
        <v>9</v>
      </c>
      <c r="O10" s="188">
        <f t="shared" ref="O10" si="8">N10+1</f>
        <v>10</v>
      </c>
    </row>
    <row r="11" spans="2:15" s="126" customFormat="1" ht="18" customHeight="1">
      <c r="B11" s="185" t="s">
        <v>47</v>
      </c>
      <c r="C11" s="186">
        <f>'Common Assumption'!E12</f>
        <v>11</v>
      </c>
      <c r="D11" s="187">
        <f>MONTH(D9-'Common Assumption'!E11)</f>
        <v>1</v>
      </c>
      <c r="E11" s="187">
        <f>C11-D11</f>
        <v>10</v>
      </c>
      <c r="F11" s="186">
        <f>MONTH(F9-E9)</f>
        <v>2</v>
      </c>
      <c r="G11" s="186">
        <f t="shared" ref="G11:K11" si="9">MONTH(G9-F9)</f>
        <v>12</v>
      </c>
      <c r="H11" s="186">
        <f t="shared" si="9"/>
        <v>12</v>
      </c>
      <c r="I11" s="186">
        <f t="shared" si="9"/>
        <v>12</v>
      </c>
      <c r="J11" s="186">
        <f t="shared" si="9"/>
        <v>12</v>
      </c>
      <c r="K11" s="186">
        <f t="shared" si="9"/>
        <v>12</v>
      </c>
      <c r="L11" s="186">
        <f t="shared" ref="L11" si="10">MONTH(L9-K9)</f>
        <v>12</v>
      </c>
      <c r="M11" s="186">
        <f t="shared" ref="M11" si="11">MONTH(M9-L9)</f>
        <v>12</v>
      </c>
      <c r="N11" s="186">
        <f t="shared" ref="N11" si="12">MONTH(N9-M9)</f>
        <v>12</v>
      </c>
      <c r="O11" s="186">
        <f t="shared" ref="O11" si="13">MONTH(O9-N9)</f>
        <v>12</v>
      </c>
    </row>
    <row r="12" spans="2:15" ht="18" customHeight="1">
      <c r="B12" s="127" t="s">
        <v>365</v>
      </c>
      <c r="L12" s="340"/>
    </row>
    <row r="13" spans="2:15" ht="18" customHeight="1">
      <c r="B13" s="94" t="s">
        <v>366</v>
      </c>
      <c r="D13" s="104">
        <f>'TPC and MoF'!D22</f>
        <v>0.01</v>
      </c>
      <c r="E13" s="104">
        <f>D13+'TPC and MoF'!D23</f>
        <v>2</v>
      </c>
      <c r="F13" s="104">
        <f>E13</f>
        <v>2</v>
      </c>
      <c r="G13" s="104">
        <f t="shared" ref="G13:K13" si="14">F13</f>
        <v>2</v>
      </c>
      <c r="H13" s="104">
        <f t="shared" si="14"/>
        <v>2</v>
      </c>
      <c r="I13" s="104">
        <f t="shared" si="14"/>
        <v>2</v>
      </c>
      <c r="J13" s="104">
        <f t="shared" si="14"/>
        <v>2</v>
      </c>
      <c r="K13" s="104">
        <f t="shared" si="14"/>
        <v>2</v>
      </c>
      <c r="L13" s="104">
        <f t="shared" ref="L13" si="15">K13</f>
        <v>2</v>
      </c>
      <c r="M13" s="104">
        <f t="shared" ref="M13" si="16">L13</f>
        <v>2</v>
      </c>
      <c r="N13" s="104">
        <f t="shared" ref="N13" si="17">M13</f>
        <v>2</v>
      </c>
      <c r="O13" s="104">
        <f t="shared" ref="O13" si="18">N13</f>
        <v>2</v>
      </c>
    </row>
    <row r="14" spans="2:15" ht="18" customHeight="1">
      <c r="B14" s="94" t="s">
        <v>367</v>
      </c>
      <c r="D14" s="104">
        <v>0</v>
      </c>
      <c r="E14" s="104">
        <v>0</v>
      </c>
      <c r="F14" s="104">
        <f>E14+IS!F45</f>
        <v>1.2829557465292809</v>
      </c>
      <c r="G14" s="104">
        <f>F14+IS!G45</f>
        <v>6.5850458700808012</v>
      </c>
      <c r="H14" s="104">
        <f>G14+IS!H45</f>
        <v>13.576295660669853</v>
      </c>
      <c r="I14" s="104">
        <f>H14+IS!I45</f>
        <v>22.374259589459992</v>
      </c>
      <c r="J14" s="104">
        <f>I14+IS!J45</f>
        <v>31.904469447096641</v>
      </c>
      <c r="K14" s="104">
        <f>J14+IS!K45</f>
        <v>42.404934699156016</v>
      </c>
      <c r="L14" s="104">
        <f>K14+IS!L45</f>
        <v>53.866175416879663</v>
      </c>
      <c r="M14" s="104">
        <f>L14+IS!M45</f>
        <v>66.462700816558836</v>
      </c>
      <c r="N14" s="104">
        <f>M14+IS!N45</f>
        <v>80.292195752919056</v>
      </c>
      <c r="O14" s="104">
        <f>N14+IS!O45</f>
        <v>95.319019637963109</v>
      </c>
    </row>
    <row r="15" spans="2:15" ht="18" customHeight="1">
      <c r="B15" s="94" t="s">
        <v>368</v>
      </c>
      <c r="D15" s="104">
        <f>C15+CFS!D16-BS!D19</f>
        <v>7.51</v>
      </c>
      <c r="E15" s="104">
        <f>D15+CFS!E16-BS!E19</f>
        <v>14.992087833333333</v>
      </c>
      <c r="F15" s="104">
        <f>E15+CFS!F16-BS!F19</f>
        <v>13.656809833333332</v>
      </c>
      <c r="G15" s="104">
        <f>F15+CFS!G16-BS!G19</f>
        <v>11.988087833333331</v>
      </c>
      <c r="H15" s="104">
        <f>G15+CFS!H16-BS!H19</f>
        <v>10.319365833333331</v>
      </c>
      <c r="I15" s="104">
        <f>H15+CFS!I16-BS!I19</f>
        <v>8.65064383333333</v>
      </c>
      <c r="J15" s="104">
        <f>I15+CFS!J16-BS!J19</f>
        <v>6.9819218333333302</v>
      </c>
      <c r="K15" s="104">
        <f>J15+CFS!K16-BS!K19</f>
        <v>5.3131998333333303</v>
      </c>
      <c r="L15" s="104">
        <f>K15+CFS!L16-BS!L19</f>
        <v>3.6444778333333305</v>
      </c>
      <c r="M15" s="104">
        <f>L15+CFS!M16-BS!M19</f>
        <v>1.9757558333333305</v>
      </c>
      <c r="N15" s="104">
        <f>M15+CFS!N16-BS!N19</f>
        <v>0</v>
      </c>
      <c r="O15" s="104">
        <f>N15+CFS!O16-BS!O19</f>
        <v>0</v>
      </c>
    </row>
    <row r="16" spans="2:15" ht="18" customHeight="1">
      <c r="B16" s="94" t="s">
        <v>620</v>
      </c>
      <c r="D16" s="104">
        <f>'TPC and MoF'!D24-'TPC and MoF'!D12</f>
        <v>24.686777713333328</v>
      </c>
      <c r="E16" s="104">
        <f>D16</f>
        <v>24.686777713333328</v>
      </c>
      <c r="F16" s="104">
        <f>'TPC and MoF'!D24</f>
        <v>28.189331027123121</v>
      </c>
      <c r="G16" s="104">
        <f t="shared" ref="G16:K16" si="19">F16</f>
        <v>28.189331027123121</v>
      </c>
      <c r="H16" s="104">
        <f t="shared" si="19"/>
        <v>28.189331027123121</v>
      </c>
      <c r="I16" s="104">
        <f t="shared" si="19"/>
        <v>28.189331027123121</v>
      </c>
      <c r="J16" s="104">
        <f t="shared" si="19"/>
        <v>28.189331027123121</v>
      </c>
      <c r="K16" s="104">
        <f t="shared" si="19"/>
        <v>28.189331027123121</v>
      </c>
      <c r="L16" s="104">
        <f t="shared" ref="L16" si="20">K16</f>
        <v>28.189331027123121</v>
      </c>
      <c r="M16" s="104">
        <f t="shared" ref="M16" si="21">L16</f>
        <v>28.189331027123121</v>
      </c>
      <c r="N16" s="104">
        <f t="shared" ref="N16" si="22">M16</f>
        <v>28.189331027123121</v>
      </c>
      <c r="O16" s="104">
        <f t="shared" ref="O16" si="23">N16</f>
        <v>28.189331027123121</v>
      </c>
    </row>
    <row r="17" spans="2:15" ht="18" customHeight="1">
      <c r="B17" s="148" t="s">
        <v>342</v>
      </c>
      <c r="C17" s="149"/>
      <c r="D17" s="149"/>
      <c r="E17" s="149"/>
      <c r="F17" s="149"/>
      <c r="G17" s="149"/>
      <c r="H17" s="149"/>
      <c r="I17" s="149"/>
      <c r="J17" s="149"/>
      <c r="K17" s="149"/>
      <c r="L17" s="149"/>
      <c r="M17" s="149"/>
      <c r="N17" s="149"/>
      <c r="O17" s="149"/>
    </row>
    <row r="18" spans="2:15" ht="18" customHeight="1">
      <c r="B18" s="94" t="s">
        <v>330</v>
      </c>
      <c r="D18" s="104">
        <v>0</v>
      </c>
      <c r="E18" s="104">
        <v>0</v>
      </c>
      <c r="F18" s="104">
        <f>'Working Capital Assessment'!F57</f>
        <v>1.5197410123728812</v>
      </c>
      <c r="G18" s="104">
        <f>'Working Capital Assessment'!G57</f>
        <v>2.4373517039012493</v>
      </c>
      <c r="H18" s="104">
        <f>'Working Capital Assessment'!H57</f>
        <v>3.1250921330406243</v>
      </c>
      <c r="I18" s="104">
        <f>'Working Capital Assessment'!I57</f>
        <v>3.846737310482705</v>
      </c>
      <c r="J18" s="104">
        <f>'Working Capital Assessment'!J57</f>
        <v>4.274810203061735</v>
      </c>
      <c r="K18" s="104">
        <f>'Working Capital Assessment'!K57</f>
        <v>4.7225327701601989</v>
      </c>
      <c r="L18" s="104">
        <f>'Working Capital Assessment'!L57</f>
        <v>5.1906642979332647</v>
      </c>
      <c r="M18" s="104">
        <f>'Working Capital Assessment'!M57</f>
        <v>5.6799240912917934</v>
      </c>
      <c r="N18" s="104">
        <f>'Working Capital Assessment'!N57</f>
        <v>6.1912904920654608</v>
      </c>
      <c r="O18" s="104">
        <f>'Working Capital Assessment'!O57</f>
        <v>6.7255175634667808</v>
      </c>
    </row>
    <row r="19" spans="2:15" ht="18" customHeight="1">
      <c r="B19" s="94" t="s">
        <v>369</v>
      </c>
      <c r="D19" s="104">
        <f>'Loan Schedule'!E14</f>
        <v>0</v>
      </c>
      <c r="E19" s="104">
        <f>'Loan Schedule'!F14</f>
        <v>2.7912166666666668E-2</v>
      </c>
      <c r="F19" s="104">
        <f>'Loan Schedule'!G14</f>
        <v>1.335278</v>
      </c>
      <c r="G19" s="104">
        <f>'Loan Schedule'!H14</f>
        <v>1.668722</v>
      </c>
      <c r="H19" s="104">
        <f>'Loan Schedule'!I14</f>
        <v>1.668722</v>
      </c>
      <c r="I19" s="104">
        <f>'Loan Schedule'!J14</f>
        <v>1.668722</v>
      </c>
      <c r="J19" s="104">
        <f>'Loan Schedule'!K14</f>
        <v>1.668722</v>
      </c>
      <c r="K19" s="104">
        <f>'Loan Schedule'!L14</f>
        <v>1.668722</v>
      </c>
      <c r="L19" s="104">
        <f>'Loan Schedule'!M14</f>
        <v>1.668722</v>
      </c>
      <c r="M19" s="104">
        <f>'Loan Schedule'!N14</f>
        <v>1.668722</v>
      </c>
      <c r="N19" s="104">
        <f>'Loan Schedule'!O14</f>
        <v>1.9757558333333312</v>
      </c>
      <c r="O19" s="104">
        <f>'Loan Schedule'!P14</f>
        <v>0</v>
      </c>
    </row>
    <row r="20" spans="2:15" ht="18" customHeight="1">
      <c r="B20" s="94" t="s">
        <v>350</v>
      </c>
      <c r="E20" s="104"/>
      <c r="F20" s="104">
        <f>'TPC and MoF'!D28</f>
        <v>10</v>
      </c>
      <c r="G20" s="104">
        <f t="shared" ref="G20:K20" si="24">F20</f>
        <v>10</v>
      </c>
      <c r="H20" s="104">
        <f t="shared" si="24"/>
        <v>10</v>
      </c>
      <c r="I20" s="104">
        <f t="shared" si="24"/>
        <v>10</v>
      </c>
      <c r="J20" s="104">
        <f t="shared" si="24"/>
        <v>10</v>
      </c>
      <c r="K20" s="104">
        <f t="shared" si="24"/>
        <v>10</v>
      </c>
      <c r="L20" s="104">
        <f t="shared" ref="L20" si="25">K20</f>
        <v>10</v>
      </c>
      <c r="M20" s="104">
        <f t="shared" ref="M20" si="26">L20</f>
        <v>10</v>
      </c>
      <c r="N20" s="104">
        <f t="shared" ref="N20" si="27">M20</f>
        <v>10</v>
      </c>
      <c r="O20" s="104">
        <f t="shared" ref="O20" si="28">N20</f>
        <v>10</v>
      </c>
    </row>
    <row r="21" spans="2:15" ht="18" customHeight="1">
      <c r="B21" s="94" t="s">
        <v>370</v>
      </c>
      <c r="D21" s="104">
        <v>0</v>
      </c>
      <c r="E21" s="104">
        <v>0</v>
      </c>
      <c r="F21" s="104">
        <v>0</v>
      </c>
      <c r="G21" s="104">
        <v>0</v>
      </c>
      <c r="H21" s="104">
        <v>0</v>
      </c>
      <c r="I21" s="104">
        <v>0</v>
      </c>
      <c r="J21" s="104">
        <v>0</v>
      </c>
      <c r="K21" s="104">
        <v>0</v>
      </c>
      <c r="L21" s="104">
        <v>0</v>
      </c>
      <c r="M21" s="104">
        <v>0</v>
      </c>
      <c r="N21" s="104">
        <v>0</v>
      </c>
      <c r="O21" s="104">
        <v>0</v>
      </c>
    </row>
    <row r="22" spans="2:15" ht="18" hidden="1" customHeight="1">
      <c r="B22" s="94" t="s">
        <v>709</v>
      </c>
      <c r="D22" s="104"/>
      <c r="E22" s="104"/>
      <c r="F22" s="104"/>
      <c r="G22" s="104"/>
      <c r="H22" s="104"/>
      <c r="I22" s="104"/>
      <c r="J22" s="104"/>
      <c r="K22" s="104"/>
      <c r="L22" s="104"/>
      <c r="M22" s="104"/>
      <c r="N22" s="104"/>
      <c r="O22" s="104"/>
    </row>
    <row r="23" spans="2:15" ht="18" customHeight="1">
      <c r="B23" s="135" t="s">
        <v>675</v>
      </c>
      <c r="C23" s="135"/>
      <c r="D23" s="147">
        <f>D13+D14+D15+D18+D19+D21+D16+D22</f>
        <v>32.206777713333324</v>
      </c>
      <c r="E23" s="147">
        <f>E13+E14+E15+E18+E19+E20+E21+E16+E22</f>
        <v>41.706777713333324</v>
      </c>
      <c r="F23" s="147">
        <f t="shared" ref="F23:K23" si="29">F13+F14+F15+F18+F19+F20+F21+F16+F22</f>
        <v>57.984115619358612</v>
      </c>
      <c r="G23" s="147">
        <f t="shared" si="29"/>
        <v>62.868538434438506</v>
      </c>
      <c r="H23" s="147">
        <f t="shared" si="29"/>
        <v>68.878806654166922</v>
      </c>
      <c r="I23" s="147">
        <f t="shared" si="29"/>
        <v>76.729693760399144</v>
      </c>
      <c r="J23" s="147">
        <f t="shared" si="29"/>
        <v>85.019254510614829</v>
      </c>
      <c r="K23" s="147">
        <f t="shared" si="29"/>
        <v>94.298720329772664</v>
      </c>
      <c r="L23" s="147">
        <f t="shared" ref="L23:O23" si="30">L13+L14+L15+L18+L19+L20+L21+L16+L22</f>
        <v>104.55937057526938</v>
      </c>
      <c r="M23" s="147">
        <f t="shared" si="30"/>
        <v>115.97643376830707</v>
      </c>
      <c r="N23" s="147">
        <f t="shared" si="30"/>
        <v>128.64857310544099</v>
      </c>
      <c r="O23" s="147">
        <f t="shared" si="30"/>
        <v>142.23386822855301</v>
      </c>
    </row>
    <row r="25" spans="2:15" ht="18" customHeight="1">
      <c r="B25" s="148" t="s">
        <v>397</v>
      </c>
      <c r="C25" s="149"/>
      <c r="D25" s="149"/>
      <c r="E25" s="149"/>
      <c r="F25" s="149"/>
      <c r="G25" s="149"/>
      <c r="H25" s="149"/>
      <c r="I25" s="149"/>
      <c r="J25" s="149"/>
      <c r="K25" s="149"/>
      <c r="L25" s="149"/>
      <c r="M25" s="149"/>
      <c r="N25" s="149"/>
      <c r="O25" s="149"/>
    </row>
    <row r="26" spans="2:15" ht="18" customHeight="1">
      <c r="B26" s="94" t="s">
        <v>201</v>
      </c>
      <c r="D26" s="104">
        <f>'Depreciation Schedule'!D25</f>
        <v>8.01</v>
      </c>
      <c r="E26" s="104">
        <f>'Depreciation Schedule'!E25</f>
        <v>8.01</v>
      </c>
      <c r="F26" s="104">
        <f>'Depreciation Schedule'!F25</f>
        <v>8.01</v>
      </c>
      <c r="G26" s="104">
        <f>'Depreciation Schedule'!G25</f>
        <v>8.01</v>
      </c>
      <c r="H26" s="104">
        <f>'Depreciation Schedule'!H25</f>
        <v>8.01</v>
      </c>
      <c r="I26" s="104">
        <f>'Depreciation Schedule'!I25</f>
        <v>8.01</v>
      </c>
      <c r="J26" s="104">
        <f>'Depreciation Schedule'!J25</f>
        <v>8.01</v>
      </c>
      <c r="K26" s="104">
        <f>'Depreciation Schedule'!K25</f>
        <v>8.01</v>
      </c>
      <c r="L26" s="104">
        <f>'Depreciation Schedule'!L25</f>
        <v>8.01</v>
      </c>
      <c r="M26" s="104">
        <f>'Depreciation Schedule'!M25</f>
        <v>8.01</v>
      </c>
      <c r="N26" s="104">
        <f>'Depreciation Schedule'!N25</f>
        <v>8.01</v>
      </c>
      <c r="O26" s="104">
        <f>'Depreciation Schedule'!O25</f>
        <v>8.01</v>
      </c>
    </row>
    <row r="27" spans="2:15" ht="18" customHeight="1">
      <c r="B27" s="94" t="s">
        <v>380</v>
      </c>
      <c r="D27" s="104">
        <f>'Depreciation Schedule'!D27</f>
        <v>11.495945328479964</v>
      </c>
      <c r="E27" s="104">
        <f>'Depreciation Schedule'!E27</f>
        <v>11.495945328479964</v>
      </c>
      <c r="F27" s="104">
        <f>'Depreciation Schedule'!F27</f>
        <v>11.495945328479964</v>
      </c>
      <c r="G27" s="104">
        <f>'Depreciation Schedule'!G27</f>
        <v>11.495945328479964</v>
      </c>
      <c r="H27" s="104">
        <f>'Depreciation Schedule'!H27</f>
        <v>11.495945328479964</v>
      </c>
      <c r="I27" s="104">
        <f>'Depreciation Schedule'!I27</f>
        <v>11.495945328479964</v>
      </c>
      <c r="J27" s="104">
        <f>'Depreciation Schedule'!J27</f>
        <v>11.495945328479964</v>
      </c>
      <c r="K27" s="104">
        <f>'Depreciation Schedule'!K27</f>
        <v>11.495945328479964</v>
      </c>
      <c r="L27" s="104">
        <f>'Depreciation Schedule'!L27</f>
        <v>11.495945328479964</v>
      </c>
      <c r="M27" s="104">
        <f>'Depreciation Schedule'!M27</f>
        <v>11.495945328479964</v>
      </c>
      <c r="N27" s="104">
        <f>'Depreciation Schedule'!N27</f>
        <v>11.495945328479964</v>
      </c>
      <c r="O27" s="104">
        <f>'Depreciation Schedule'!O27</f>
        <v>11.495945328479964</v>
      </c>
    </row>
    <row r="28" spans="2:15" ht="18" customHeight="1">
      <c r="B28" s="94" t="s">
        <v>64</v>
      </c>
      <c r="D28" s="104">
        <f>D23-D26-D27-D29</f>
        <v>11.645190022274853</v>
      </c>
      <c r="E28" s="104">
        <f>'Depreciation Schedule'!E29</f>
        <v>21.145190022274861</v>
      </c>
      <c r="F28" s="104">
        <f>'Depreciation Schedule'!F29</f>
        <v>21.145190022274861</v>
      </c>
      <c r="G28" s="104">
        <f>'Depreciation Schedule'!G29</f>
        <v>21.145190022274861</v>
      </c>
      <c r="H28" s="104">
        <f>'Depreciation Schedule'!H29</f>
        <v>21.145190022274861</v>
      </c>
      <c r="I28" s="104">
        <f>'Depreciation Schedule'!I29</f>
        <v>21.145190022274861</v>
      </c>
      <c r="J28" s="104">
        <f>'Depreciation Schedule'!J29</f>
        <v>21.145190022274861</v>
      </c>
      <c r="K28" s="104">
        <f>'Depreciation Schedule'!K29</f>
        <v>21.145190022274861</v>
      </c>
      <c r="L28" s="104">
        <f>'Depreciation Schedule'!L29</f>
        <v>21.145190022274861</v>
      </c>
      <c r="M28" s="104">
        <f>'Depreciation Schedule'!M29</f>
        <v>21.145190022274861</v>
      </c>
      <c r="N28" s="104">
        <f>'Depreciation Schedule'!N29</f>
        <v>21.145190022274861</v>
      </c>
      <c r="O28" s="104">
        <f>'Depreciation Schedule'!O29</f>
        <v>21.145190022274861</v>
      </c>
    </row>
    <row r="29" spans="2:15" ht="18" customHeight="1">
      <c r="B29" s="94" t="str">
        <f>'Depreciation Schedule'!B31</f>
        <v>Office Equipment &amp; Accessories</v>
      </c>
      <c r="D29" s="104">
        <f>'Depreciation Schedule'!D31</f>
        <v>1.055642362578509</v>
      </c>
      <c r="E29" s="104">
        <f>'Depreciation Schedule'!E31</f>
        <v>1.055642362578509</v>
      </c>
      <c r="F29" s="104">
        <f>'Depreciation Schedule'!F31</f>
        <v>1.055642362578509</v>
      </c>
      <c r="G29" s="104">
        <f>'Depreciation Schedule'!G31</f>
        <v>1.055642362578509</v>
      </c>
      <c r="H29" s="104">
        <f>'Depreciation Schedule'!H31</f>
        <v>1.055642362578509</v>
      </c>
      <c r="I29" s="104">
        <f>'Depreciation Schedule'!I31</f>
        <v>1.055642362578509</v>
      </c>
      <c r="J29" s="104">
        <f>'Depreciation Schedule'!J31</f>
        <v>1.055642362578509</v>
      </c>
      <c r="K29" s="104">
        <f>'Depreciation Schedule'!K31</f>
        <v>1.055642362578509</v>
      </c>
      <c r="L29" s="104">
        <f>'Depreciation Schedule'!L31</f>
        <v>1.055642362578509</v>
      </c>
      <c r="M29" s="104">
        <f>'Depreciation Schedule'!M31</f>
        <v>1.055642362578509</v>
      </c>
      <c r="N29" s="104">
        <f>'Depreciation Schedule'!N31</f>
        <v>1.055642362578509</v>
      </c>
      <c r="O29" s="104">
        <f>'Depreciation Schedule'!O31</f>
        <v>1.055642362578509</v>
      </c>
    </row>
    <row r="30" spans="2:15" ht="18" customHeight="1">
      <c r="B30" s="95" t="s">
        <v>372</v>
      </c>
      <c r="C30" s="95"/>
      <c r="D30" s="128">
        <f>SUM(D26:D29)</f>
        <v>32.206777713333324</v>
      </c>
      <c r="E30" s="128">
        <f>SUM(E26:E29)</f>
        <v>41.706777713333338</v>
      </c>
      <c r="F30" s="128">
        <f t="shared" ref="F30:L30" si="31">SUM(F26:F29)</f>
        <v>41.706777713333338</v>
      </c>
      <c r="G30" s="128">
        <f t="shared" si="31"/>
        <v>41.706777713333338</v>
      </c>
      <c r="H30" s="128">
        <f t="shared" si="31"/>
        <v>41.706777713333338</v>
      </c>
      <c r="I30" s="128">
        <f t="shared" si="31"/>
        <v>41.706777713333338</v>
      </c>
      <c r="J30" s="128">
        <f t="shared" si="31"/>
        <v>41.706777713333338</v>
      </c>
      <c r="K30" s="128">
        <f t="shared" si="31"/>
        <v>41.706777713333338</v>
      </c>
      <c r="L30" s="128">
        <f t="shared" si="31"/>
        <v>41.706777713333338</v>
      </c>
      <c r="M30" s="128">
        <f t="shared" ref="M30:O30" si="32">SUM(M26:M29)</f>
        <v>41.706777713333338</v>
      </c>
      <c r="N30" s="128">
        <f t="shared" si="32"/>
        <v>41.706777713333338</v>
      </c>
      <c r="O30" s="128">
        <f t="shared" si="32"/>
        <v>41.706777713333338</v>
      </c>
    </row>
    <row r="31" spans="2:15" ht="18" customHeight="1">
      <c r="B31" s="94" t="s">
        <v>255</v>
      </c>
      <c r="D31" s="104">
        <f>IS!D21</f>
        <v>0</v>
      </c>
      <c r="E31" s="104">
        <f>D31+IS!E21</f>
        <v>0</v>
      </c>
      <c r="F31" s="104">
        <f>E31+IS!F21</f>
        <v>0.30058661020959415</v>
      </c>
      <c r="G31" s="104">
        <f>F31+IS!G21</f>
        <v>2.1502854220905179</v>
      </c>
      <c r="H31" s="104">
        <f>G31+IS!H21</f>
        <v>3.9999842339714418</v>
      </c>
      <c r="I31" s="104">
        <f>H31+IS!I21</f>
        <v>5.8496830458523661</v>
      </c>
      <c r="J31" s="104">
        <f>I31+IS!J21</f>
        <v>7.6993818577332895</v>
      </c>
      <c r="K31" s="104">
        <f>J31+IS!K21</f>
        <v>9.549080669614213</v>
      </c>
      <c r="L31" s="104">
        <f>K31+IS!L21</f>
        <v>11.398779481495136</v>
      </c>
      <c r="M31" s="104">
        <f>L31+IS!M21</f>
        <v>13.24847829337606</v>
      </c>
      <c r="N31" s="104">
        <f>M31+IS!N21</f>
        <v>15.098177105256983</v>
      </c>
      <c r="O31" s="104">
        <f>N31+IS!O21</f>
        <v>16.947875917137907</v>
      </c>
    </row>
    <row r="32" spans="2:15" ht="18" customHeight="1">
      <c r="B32" s="95" t="s">
        <v>378</v>
      </c>
      <c r="C32" s="95"/>
      <c r="D32" s="128">
        <f>D30-D31</f>
        <v>32.206777713333324</v>
      </c>
      <c r="E32" s="128">
        <f t="shared" ref="E32:L32" si="33">E30-E31</f>
        <v>41.706777713333338</v>
      </c>
      <c r="F32" s="128">
        <f t="shared" si="33"/>
        <v>41.406191103123746</v>
      </c>
      <c r="G32" s="128">
        <f t="shared" si="33"/>
        <v>39.556492291242819</v>
      </c>
      <c r="H32" s="128">
        <f t="shared" si="33"/>
        <v>37.706793479361899</v>
      </c>
      <c r="I32" s="128">
        <f t="shared" si="33"/>
        <v>35.857094667480972</v>
      </c>
      <c r="J32" s="128">
        <f t="shared" si="33"/>
        <v>34.007395855600052</v>
      </c>
      <c r="K32" s="128">
        <f t="shared" si="33"/>
        <v>32.157697043719125</v>
      </c>
      <c r="L32" s="128">
        <f t="shared" si="33"/>
        <v>30.307998231838202</v>
      </c>
      <c r="M32" s="128">
        <f t="shared" ref="M32:O32" si="34">M30-M31</f>
        <v>28.458299419957278</v>
      </c>
      <c r="N32" s="128">
        <f t="shared" si="34"/>
        <v>26.608600608076355</v>
      </c>
      <c r="O32" s="128">
        <f t="shared" si="34"/>
        <v>24.758901796195431</v>
      </c>
    </row>
    <row r="33" spans="2:15" ht="18" customHeight="1">
      <c r="B33" s="94" t="s">
        <v>377</v>
      </c>
      <c r="D33" s="104">
        <f>CFS!D29</f>
        <v>0</v>
      </c>
      <c r="E33" s="104">
        <f>D33</f>
        <v>0</v>
      </c>
      <c r="F33" s="104">
        <f>E33</f>
        <v>0</v>
      </c>
      <c r="G33" s="104">
        <f t="shared" ref="G33:L33" si="35">F33</f>
        <v>0</v>
      </c>
      <c r="H33" s="104">
        <f t="shared" si="35"/>
        <v>0</v>
      </c>
      <c r="I33" s="104">
        <f t="shared" si="35"/>
        <v>0</v>
      </c>
      <c r="J33" s="104">
        <f t="shared" si="35"/>
        <v>0</v>
      </c>
      <c r="K33" s="104">
        <f t="shared" si="35"/>
        <v>0</v>
      </c>
      <c r="L33" s="104">
        <f t="shared" si="35"/>
        <v>0</v>
      </c>
      <c r="M33" s="104">
        <f t="shared" ref="M33" si="36">L33</f>
        <v>0</v>
      </c>
      <c r="N33" s="104">
        <f t="shared" ref="N33" si="37">M33</f>
        <v>0</v>
      </c>
      <c r="O33" s="104">
        <f t="shared" ref="O33" si="38">N33</f>
        <v>0</v>
      </c>
    </row>
    <row r="34" spans="2:15" ht="18" customHeight="1">
      <c r="B34" s="206" t="s">
        <v>398</v>
      </c>
      <c r="C34" s="206"/>
      <c r="D34" s="207">
        <f t="shared" ref="D34:L34" si="39">D32+D33</f>
        <v>32.206777713333324</v>
      </c>
      <c r="E34" s="207">
        <f t="shared" si="39"/>
        <v>41.706777713333338</v>
      </c>
      <c r="F34" s="207">
        <f t="shared" si="39"/>
        <v>41.406191103123746</v>
      </c>
      <c r="G34" s="207">
        <f t="shared" si="39"/>
        <v>39.556492291242819</v>
      </c>
      <c r="H34" s="207">
        <f t="shared" si="39"/>
        <v>37.706793479361899</v>
      </c>
      <c r="I34" s="207">
        <f t="shared" si="39"/>
        <v>35.857094667480972</v>
      </c>
      <c r="J34" s="207">
        <f t="shared" si="39"/>
        <v>34.007395855600052</v>
      </c>
      <c r="K34" s="207">
        <f t="shared" si="39"/>
        <v>32.157697043719125</v>
      </c>
      <c r="L34" s="207">
        <f t="shared" si="39"/>
        <v>30.307998231838202</v>
      </c>
      <c r="M34" s="207">
        <f t="shared" ref="M34:O34" si="40">M32+M33</f>
        <v>28.458299419957278</v>
      </c>
      <c r="N34" s="207">
        <f t="shared" si="40"/>
        <v>26.608600608076355</v>
      </c>
      <c r="O34" s="207">
        <f t="shared" si="40"/>
        <v>24.758901796195431</v>
      </c>
    </row>
    <row r="35" spans="2:15" ht="20.25" customHeight="1">
      <c r="B35" s="148" t="s">
        <v>373</v>
      </c>
      <c r="C35" s="149"/>
      <c r="D35" s="149"/>
      <c r="E35" s="149"/>
      <c r="F35" s="149"/>
      <c r="G35" s="149"/>
      <c r="H35" s="149"/>
      <c r="I35" s="149"/>
      <c r="J35" s="149"/>
      <c r="K35" s="149"/>
      <c r="L35" s="149"/>
      <c r="M35" s="149"/>
      <c r="N35" s="149"/>
      <c r="O35" s="149"/>
    </row>
    <row r="36" spans="2:15" ht="18" customHeight="1">
      <c r="B36" s="94" t="s">
        <v>374</v>
      </c>
      <c r="D36" s="104">
        <f>'Working Capital Assessment'!D62</f>
        <v>0</v>
      </c>
      <c r="E36" s="104">
        <f>'Working Capital Assessment'!E62</f>
        <v>0</v>
      </c>
      <c r="F36" s="104">
        <f>'Working Capital Assessment'!F62</f>
        <v>7.6741672372881355</v>
      </c>
      <c r="G36" s="104">
        <f>'Working Capital Assessment'!G62</f>
        <v>12.374273697999998</v>
      </c>
      <c r="H36" s="104">
        <f>'Working Capital Assessment'!H62</f>
        <v>15.852538175562497</v>
      </c>
      <c r="I36" s="104">
        <f>'Working Capital Assessment'!I62</f>
        <v>19.49622195594187</v>
      </c>
      <c r="J36" s="104">
        <f>'Working Capital Assessment'!J62</f>
        <v>21.64632979691045</v>
      </c>
      <c r="K36" s="104">
        <f>'Working Capital Assessment'!K62</f>
        <v>23.891417891204995</v>
      </c>
      <c r="L36" s="104">
        <f>'Working Capital Assessment'!L62</f>
        <v>26.234896434091198</v>
      </c>
      <c r="M36" s="104">
        <f>'Working Capital Assessment'!M62</f>
        <v>28.680286767939702</v>
      </c>
      <c r="N36" s="104">
        <f>'Working Capital Assessment'!N62</f>
        <v>31.231224808209326</v>
      </c>
      <c r="O36" s="104">
        <f>'Working Capital Assessment'!O62</f>
        <v>33.891464571262468</v>
      </c>
    </row>
    <row r="37" spans="2:15" ht="18" customHeight="1">
      <c r="B37" s="94" t="s">
        <v>375</v>
      </c>
      <c r="D37" s="104">
        <f>'Working Capital Assessment'!D48</f>
        <v>0</v>
      </c>
      <c r="E37" s="104">
        <f>'Working Capital Assessment'!E48</f>
        <v>0</v>
      </c>
      <c r="F37" s="104">
        <f>'Working Capital Assessment'!F48</f>
        <v>2.5262287777542372</v>
      </c>
      <c r="G37" s="104">
        <f>'Working Capital Assessment'!G48</f>
        <v>4.0732912610604162</v>
      </c>
      <c r="H37" s="104">
        <f>'Working Capital Assessment'!H48</f>
        <v>5.2181161155955724</v>
      </c>
      <c r="I37" s="104">
        <f>'Working Capital Assessment'!I48</f>
        <v>6.4173869752537822</v>
      </c>
      <c r="J37" s="104">
        <f>'Working Capital Assessment'!J48</f>
        <v>7.1250557548559401</v>
      </c>
      <c r="K37" s="104">
        <f>'Working Capital Assessment'!K48</f>
        <v>7.8639888678445597</v>
      </c>
      <c r="L37" s="104">
        <f>'Working Capital Assessment'!L48</f>
        <v>8.6353088368279334</v>
      </c>
      <c r="M37" s="104">
        <f>'Working Capital Assessment'!M48</f>
        <v>9.4400610611134859</v>
      </c>
      <c r="N37" s="104">
        <f>'Working Capital Assessment'!N48</f>
        <v>10.279711499368904</v>
      </c>
      <c r="O37" s="104">
        <f>'Working Capital Assessment'!O48</f>
        <v>11.155340421373895</v>
      </c>
    </row>
    <row r="38" spans="2:15" ht="15" hidden="1" customHeight="1">
      <c r="B38" s="94" t="s">
        <v>625</v>
      </c>
      <c r="D38" s="104">
        <f>CFS!D36</f>
        <v>0</v>
      </c>
      <c r="E38" s="104">
        <f>CFS!E36</f>
        <v>0</v>
      </c>
      <c r="F38" s="104">
        <f>E38</f>
        <v>0</v>
      </c>
      <c r="G38" s="104">
        <f t="shared" ref="G38:L38" si="41">F38</f>
        <v>0</v>
      </c>
      <c r="H38" s="104">
        <f t="shared" si="41"/>
        <v>0</v>
      </c>
      <c r="I38" s="104">
        <f t="shared" si="41"/>
        <v>0</v>
      </c>
      <c r="J38" s="104">
        <f t="shared" si="41"/>
        <v>0</v>
      </c>
      <c r="K38" s="104">
        <f t="shared" si="41"/>
        <v>0</v>
      </c>
      <c r="L38" s="104">
        <f t="shared" si="41"/>
        <v>0</v>
      </c>
      <c r="M38" s="104">
        <f t="shared" ref="M38" si="42">L38</f>
        <v>0</v>
      </c>
      <c r="N38" s="104">
        <f t="shared" ref="N38" si="43">M38</f>
        <v>0</v>
      </c>
      <c r="O38" s="104">
        <f t="shared" ref="O38" si="44">N38</f>
        <v>0</v>
      </c>
    </row>
    <row r="39" spans="2:15" ht="18" customHeight="1">
      <c r="B39" s="94" t="s">
        <v>379</v>
      </c>
      <c r="D39" s="104">
        <f>CFS!D38</f>
        <v>0</v>
      </c>
      <c r="E39" s="104">
        <f>CFS!E38</f>
        <v>-1.4210854715202004E-14</v>
      </c>
      <c r="F39" s="104">
        <f>CFS!F38</f>
        <v>6.3775285011924936</v>
      </c>
      <c r="G39" s="104">
        <f>CFS!G38</f>
        <v>6.8644811841352649</v>
      </c>
      <c r="H39" s="104">
        <f>CFS!H38</f>
        <v>10.101358883646961</v>
      </c>
      <c r="I39" s="104">
        <f>CFS!I38</f>
        <v>14.958990161722522</v>
      </c>
      <c r="J39" s="104">
        <f>CFS!J38</f>
        <v>22.240473103248384</v>
      </c>
      <c r="K39" s="104">
        <f>CFS!K38</f>
        <v>30.385616527003982</v>
      </c>
      <c r="L39" s="104">
        <f>CFS!L38</f>
        <v>39.381167072512042</v>
      </c>
      <c r="M39" s="104">
        <f>CFS!M38</f>
        <v>49.397786519296609</v>
      </c>
      <c r="N39" s="104">
        <f>CFS!N38</f>
        <v>60.529036189786382</v>
      </c>
      <c r="O39" s="104">
        <f>CFS!O38</f>
        <v>72.428161439721208</v>
      </c>
    </row>
    <row r="40" spans="2:15" ht="18" customHeight="1">
      <c r="B40" s="94" t="s">
        <v>376</v>
      </c>
      <c r="D40" s="105">
        <f>CFS!D28</f>
        <v>0</v>
      </c>
      <c r="E40" s="105">
        <f>D40</f>
        <v>0</v>
      </c>
      <c r="F40" s="105">
        <v>0</v>
      </c>
      <c r="G40" s="105">
        <v>0</v>
      </c>
      <c r="H40" s="105">
        <v>0</v>
      </c>
      <c r="I40" s="105">
        <v>0</v>
      </c>
      <c r="J40" s="105">
        <v>0</v>
      </c>
      <c r="K40" s="105">
        <v>0</v>
      </c>
      <c r="L40" s="105">
        <v>0</v>
      </c>
      <c r="M40" s="105">
        <v>0</v>
      </c>
      <c r="N40" s="105">
        <v>0</v>
      </c>
      <c r="O40" s="105">
        <v>0</v>
      </c>
    </row>
    <row r="41" spans="2:15" ht="18" customHeight="1">
      <c r="B41" s="118" t="s">
        <v>396</v>
      </c>
      <c r="C41" s="118"/>
      <c r="D41" s="146">
        <f>SUM(D36:D40)</f>
        <v>0</v>
      </c>
      <c r="E41" s="146">
        <f>SUM(E36:E40)</f>
        <v>-1.4210854715202004E-14</v>
      </c>
      <c r="F41" s="146">
        <f t="shared" ref="F41:L41" si="45">SUM(F36:F40)</f>
        <v>16.577924516234866</v>
      </c>
      <c r="G41" s="146">
        <f t="shared" si="45"/>
        <v>23.31204614319568</v>
      </c>
      <c r="H41" s="146">
        <f t="shared" si="45"/>
        <v>31.172013174805031</v>
      </c>
      <c r="I41" s="146">
        <f t="shared" si="45"/>
        <v>40.872599092918179</v>
      </c>
      <c r="J41" s="146">
        <f t="shared" si="45"/>
        <v>51.011858655014777</v>
      </c>
      <c r="K41" s="146">
        <f t="shared" si="45"/>
        <v>62.141023286053539</v>
      </c>
      <c r="L41" s="146">
        <f t="shared" si="45"/>
        <v>74.251372343431171</v>
      </c>
      <c r="M41" s="146">
        <f t="shared" ref="M41:O41" si="46">SUM(M36:M40)</f>
        <v>87.518134348349804</v>
      </c>
      <c r="N41" s="146">
        <f t="shared" si="46"/>
        <v>102.03997249736462</v>
      </c>
      <c r="O41" s="146">
        <f t="shared" si="46"/>
        <v>117.47496643235758</v>
      </c>
    </row>
    <row r="42" spans="2:15" ht="18" customHeight="1">
      <c r="B42" s="94" t="s">
        <v>619</v>
      </c>
      <c r="D42" s="104">
        <f>'TPC and MoF'!D13</f>
        <v>0</v>
      </c>
      <c r="E42" s="104">
        <f>D42</f>
        <v>0</v>
      </c>
      <c r="F42" s="104">
        <f>E42-IS!F33</f>
        <v>0</v>
      </c>
      <c r="G42" s="104">
        <f>F42-IS!G33</f>
        <v>0</v>
      </c>
      <c r="H42" s="104">
        <f>G42-IS!H33</f>
        <v>0</v>
      </c>
      <c r="I42" s="104">
        <f>H42-IS!I33</f>
        <v>0</v>
      </c>
      <c r="J42" s="104">
        <f>I42-IS!J33</f>
        <v>0</v>
      </c>
      <c r="K42" s="104">
        <f>J42-IS!K33</f>
        <v>0</v>
      </c>
      <c r="L42" s="104">
        <f>K42-IS!L33</f>
        <v>0</v>
      </c>
      <c r="M42" s="104">
        <f>L42-IS!M33</f>
        <v>0</v>
      </c>
      <c r="N42" s="104">
        <f>M42-IS!N33</f>
        <v>0</v>
      </c>
      <c r="O42" s="104">
        <f>N42-IS!O33</f>
        <v>0</v>
      </c>
    </row>
    <row r="43" spans="2:15" ht="18" customHeight="1">
      <c r="B43" s="94" t="s">
        <v>710</v>
      </c>
      <c r="D43" s="104">
        <f>'Tax Calculations'!D41</f>
        <v>0</v>
      </c>
      <c r="E43" s="104">
        <f>'Tax Calculations'!E41</f>
        <v>0</v>
      </c>
      <c r="F43" s="104">
        <f>'Tax Calculations'!F41</f>
        <v>0</v>
      </c>
      <c r="G43" s="104">
        <f>'Tax Calculations'!G41</f>
        <v>0</v>
      </c>
      <c r="H43" s="104">
        <f>'Tax Calculations'!H41</f>
        <v>0</v>
      </c>
      <c r="I43" s="104">
        <f>'Tax Calculations'!I41</f>
        <v>0</v>
      </c>
      <c r="J43" s="104">
        <f>'Tax Calculations'!J41</f>
        <v>0</v>
      </c>
      <c r="K43" s="104">
        <f>'Tax Calculations'!K41</f>
        <v>0</v>
      </c>
      <c r="L43" s="104">
        <f>'Tax Calculations'!L41</f>
        <v>0</v>
      </c>
      <c r="M43" s="104">
        <f>'Tax Calculations'!M41</f>
        <v>0</v>
      </c>
      <c r="N43" s="104">
        <f>'Tax Calculations'!N41</f>
        <v>0</v>
      </c>
      <c r="O43" s="104">
        <f>'Tax Calculations'!O41</f>
        <v>0</v>
      </c>
    </row>
    <row r="44" spans="2:15" ht="18" customHeight="1">
      <c r="B44" s="135" t="s">
        <v>371</v>
      </c>
      <c r="C44" s="135"/>
      <c r="D44" s="147">
        <f>D34+D41+D42+D43</f>
        <v>32.206777713333324</v>
      </c>
      <c r="E44" s="147">
        <f>E34+E41+E42+E43</f>
        <v>41.706777713333324</v>
      </c>
      <c r="F44" s="147">
        <f t="shared" ref="F44:L44" si="47">F34+F41+F42+F43</f>
        <v>57.984115619358612</v>
      </c>
      <c r="G44" s="147">
        <f t="shared" si="47"/>
        <v>62.868538434438499</v>
      </c>
      <c r="H44" s="147">
        <f t="shared" si="47"/>
        <v>68.878806654166937</v>
      </c>
      <c r="I44" s="147">
        <f t="shared" si="47"/>
        <v>76.729693760399158</v>
      </c>
      <c r="J44" s="147">
        <f t="shared" si="47"/>
        <v>85.019254510614829</v>
      </c>
      <c r="K44" s="147">
        <f t="shared" si="47"/>
        <v>94.298720329772664</v>
      </c>
      <c r="L44" s="147">
        <f t="shared" si="47"/>
        <v>104.55937057526937</v>
      </c>
      <c r="M44" s="147">
        <f t="shared" ref="M44:O44" si="48">M34+M41+M42+M43</f>
        <v>115.97643376830709</v>
      </c>
      <c r="N44" s="147">
        <f t="shared" si="48"/>
        <v>128.64857310544096</v>
      </c>
      <c r="O44" s="147">
        <f t="shared" si="48"/>
        <v>142.23386822855301</v>
      </c>
    </row>
    <row r="46" spans="2:15" ht="18" customHeight="1">
      <c r="B46" s="276" t="s">
        <v>399</v>
      </c>
      <c r="C46" s="276"/>
      <c r="D46" s="277">
        <f t="shared" ref="D46:O46" si="49">D23-D44</f>
        <v>0</v>
      </c>
      <c r="E46" s="277">
        <f>E23-E44</f>
        <v>0</v>
      </c>
      <c r="F46" s="277">
        <f t="shared" si="49"/>
        <v>0</v>
      </c>
      <c r="G46" s="277">
        <f t="shared" si="49"/>
        <v>0</v>
      </c>
      <c r="H46" s="277">
        <f t="shared" si="49"/>
        <v>0</v>
      </c>
      <c r="I46" s="277">
        <f t="shared" si="49"/>
        <v>0</v>
      </c>
      <c r="J46" s="277">
        <f t="shared" si="49"/>
        <v>0</v>
      </c>
      <c r="K46" s="277">
        <f t="shared" si="49"/>
        <v>0</v>
      </c>
      <c r="L46" s="277">
        <f t="shared" si="49"/>
        <v>0</v>
      </c>
      <c r="M46" s="277">
        <f t="shared" si="49"/>
        <v>0</v>
      </c>
      <c r="N46" s="277">
        <f t="shared" si="49"/>
        <v>0</v>
      </c>
      <c r="O46" s="277">
        <f t="shared" si="49"/>
        <v>0</v>
      </c>
    </row>
    <row r="48" spans="2:15" ht="18" customHeight="1">
      <c r="G48" s="108"/>
      <c r="H48" s="108"/>
      <c r="I48" s="108"/>
      <c r="J48" s="108"/>
      <c r="K48" s="108"/>
      <c r="L48" s="108"/>
      <c r="M48" s="108"/>
      <c r="N48" s="108"/>
      <c r="O48" s="108"/>
    </row>
    <row r="49" spans="7:15" ht="18" customHeight="1">
      <c r="G49" s="108"/>
      <c r="H49" s="108"/>
      <c r="I49" s="108"/>
      <c r="J49" s="108"/>
      <c r="K49" s="108"/>
      <c r="L49" s="108"/>
      <c r="M49" s="108"/>
      <c r="N49" s="108"/>
      <c r="O49" s="108"/>
    </row>
    <row r="50" spans="7:15" ht="18" customHeight="1">
      <c r="G50" s="108"/>
      <c r="H50" s="108"/>
      <c r="I50" s="108"/>
      <c r="J50" s="108"/>
      <c r="K50" s="108"/>
      <c r="L50" s="108"/>
      <c r="M50" s="108"/>
      <c r="N50" s="108"/>
      <c r="O50" s="108"/>
    </row>
    <row r="51" spans="7:15" ht="18" customHeight="1">
      <c r="G51" s="108"/>
      <c r="H51" s="108"/>
      <c r="I51" s="108"/>
      <c r="J51" s="108"/>
      <c r="K51" s="108"/>
      <c r="L51" s="108"/>
      <c r="M51" s="108"/>
      <c r="N51" s="108"/>
      <c r="O51" s="108"/>
    </row>
    <row r="52" spans="7:15" ht="18" customHeight="1">
      <c r="G52" s="108"/>
      <c r="H52" s="108"/>
      <c r="I52" s="108"/>
      <c r="J52" s="108"/>
      <c r="K52" s="108"/>
      <c r="L52" s="108"/>
      <c r="M52" s="108"/>
      <c r="N52" s="108"/>
      <c r="O52" s="108"/>
    </row>
    <row r="53" spans="7:15" ht="18" customHeight="1">
      <c r="G53" s="108"/>
      <c r="H53" s="108"/>
      <c r="I53" s="108"/>
      <c r="J53" s="108"/>
      <c r="K53" s="108"/>
      <c r="L53" s="108"/>
      <c r="M53" s="108"/>
      <c r="N53" s="108"/>
      <c r="O53" s="108"/>
    </row>
    <row r="54" spans="7:15" ht="18" customHeight="1">
      <c r="G54" s="108"/>
      <c r="H54" s="108"/>
      <c r="I54" s="108"/>
      <c r="J54" s="108"/>
      <c r="K54" s="108"/>
      <c r="L54" s="108"/>
      <c r="M54" s="108"/>
      <c r="N54" s="108"/>
      <c r="O54" s="108"/>
    </row>
  </sheetData>
  <mergeCells count="2">
    <mergeCell ref="D8:E8"/>
    <mergeCell ref="F8:O8"/>
  </mergeCells>
  <pageMargins left="0.7" right="0.7" top="0.75" bottom="0.75" header="0.3" footer="0.3"/>
  <pageSetup paperSize="9" orientation="portrait" r:id="rId1"/>
  <ignoredErrors>
    <ignoredError sqref="F16 E41"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B1:O38"/>
  <sheetViews>
    <sheetView showGridLines="0" topLeftCell="A4" workbookViewId="0">
      <selection activeCell="E14" sqref="E14"/>
    </sheetView>
  </sheetViews>
  <sheetFormatPr defaultColWidth="13.7109375" defaultRowHeight="18" customHeight="1"/>
  <cols>
    <col min="1" max="1" width="4.85546875" style="94" customWidth="1"/>
    <col min="2" max="2" width="50.85546875" style="94" customWidth="1"/>
    <col min="3" max="3" width="7.140625" style="94" customWidth="1"/>
    <col min="4" max="12" width="12.7109375" style="94" customWidth="1"/>
    <col min="13" max="16384" width="13.7109375" style="94"/>
  </cols>
  <sheetData>
    <row r="1" spans="2:15" ht="15.75" customHeight="1"/>
    <row r="2" spans="2:15" ht="18" customHeight="1">
      <c r="B2" s="132" t="str">
        <f>"Financial Model of " &amp; B4</f>
        <v>Financial Model of 20,000 M.T of glass Toughening pa. set up by SSRM Glasses Private Limited</v>
      </c>
      <c r="C2" s="133"/>
      <c r="D2" s="133"/>
      <c r="E2" s="133"/>
      <c r="F2" s="133"/>
      <c r="G2" s="133"/>
      <c r="H2" s="133"/>
      <c r="I2" s="133"/>
      <c r="J2" s="133"/>
      <c r="K2" s="133"/>
      <c r="L2" s="133"/>
      <c r="M2" s="133"/>
      <c r="N2" s="133"/>
      <c r="O2" s="133"/>
    </row>
    <row r="3" spans="2:15" ht="12" customHeight="1">
      <c r="C3" s="100"/>
      <c r="D3" s="100"/>
      <c r="E3" s="100"/>
      <c r="F3" s="100"/>
      <c r="G3" s="100"/>
      <c r="H3" s="100"/>
      <c r="I3" s="100"/>
      <c r="J3" s="100"/>
      <c r="K3" s="100"/>
      <c r="L3" s="100"/>
      <c r="M3" s="100"/>
      <c r="N3" s="100"/>
      <c r="O3" s="100"/>
    </row>
    <row r="4" spans="2:15" ht="18" customHeight="1">
      <c r="B4" s="137" t="str">
        <f>'Common Assumption'!B4</f>
        <v>20,000 M.T of glass Toughening pa. set up by SSRM Glasses Private Limited</v>
      </c>
      <c r="C4" s="137"/>
      <c r="D4" s="138"/>
      <c r="E4" s="138"/>
      <c r="F4" s="138"/>
      <c r="G4" s="138"/>
      <c r="H4" s="138"/>
      <c r="I4" s="138"/>
      <c r="J4" s="138"/>
      <c r="K4" s="138"/>
      <c r="L4" s="138"/>
      <c r="M4" s="138"/>
      <c r="N4" s="138"/>
      <c r="O4" s="138"/>
    </row>
    <row r="5" spans="2:15" ht="13.5" customHeight="1">
      <c r="C5" s="100"/>
      <c r="D5" s="100"/>
      <c r="F5" s="125"/>
    </row>
    <row r="6" spans="2:15" ht="18" customHeight="1">
      <c r="B6" s="137" t="s">
        <v>364</v>
      </c>
      <c r="C6" s="137"/>
      <c r="D6" s="138"/>
      <c r="E6" s="138"/>
      <c r="F6" s="138"/>
      <c r="G6" s="138"/>
      <c r="H6" s="138"/>
      <c r="I6" s="138"/>
      <c r="J6" s="138"/>
      <c r="K6" s="138"/>
      <c r="L6" s="138"/>
      <c r="M6" s="138"/>
      <c r="N6" s="138"/>
      <c r="O6" s="138"/>
    </row>
    <row r="7" spans="2:15" ht="12.75" customHeight="1">
      <c r="C7" s="100"/>
      <c r="D7" s="100"/>
      <c r="F7" s="125"/>
    </row>
    <row r="8" spans="2:15" ht="18" customHeight="1">
      <c r="C8" s="100"/>
      <c r="D8" s="354" t="str">
        <f>BS!D8</f>
        <v>Implementation period</v>
      </c>
      <c r="E8" s="354"/>
      <c r="F8" s="355" t="s">
        <v>43</v>
      </c>
      <c r="G8" s="355"/>
      <c r="H8" s="355"/>
      <c r="I8" s="355"/>
      <c r="J8" s="355"/>
      <c r="K8" s="355"/>
      <c r="L8" s="355"/>
      <c r="M8" s="355"/>
      <c r="N8" s="355"/>
      <c r="O8" s="355"/>
    </row>
    <row r="9" spans="2:15" ht="18" customHeight="1">
      <c r="B9" s="135" t="s">
        <v>44</v>
      </c>
      <c r="C9" s="183" t="s">
        <v>45</v>
      </c>
      <c r="D9" s="184">
        <f>EOMONTH('Common Assumption'!E11,1)</f>
        <v>45747</v>
      </c>
      <c r="E9" s="184">
        <f>'Common Assumption'!E13</f>
        <v>46053</v>
      </c>
      <c r="F9" s="184">
        <f>DATE(YEAR(E9),MONTH(E9)+2,DAY(E9))</f>
        <v>46112</v>
      </c>
      <c r="G9" s="184">
        <f t="shared" ref="G9:L9" si="0">DATE(YEAR(F9)+1,MONTH(F9),DAY(F9))</f>
        <v>46477</v>
      </c>
      <c r="H9" s="184">
        <f t="shared" si="0"/>
        <v>46843</v>
      </c>
      <c r="I9" s="184">
        <f t="shared" si="0"/>
        <v>47208</v>
      </c>
      <c r="J9" s="184">
        <f t="shared" si="0"/>
        <v>47573</v>
      </c>
      <c r="K9" s="184">
        <f t="shared" si="0"/>
        <v>47938</v>
      </c>
      <c r="L9" s="184">
        <f t="shared" si="0"/>
        <v>48304</v>
      </c>
      <c r="M9" s="184">
        <f t="shared" ref="M9" si="1">DATE(YEAR(L9)+1,MONTH(L9),DAY(L9))</f>
        <v>48669</v>
      </c>
      <c r="N9" s="184">
        <f t="shared" ref="N9" si="2">DATE(YEAR(M9)+1,MONTH(M9),DAY(M9))</f>
        <v>49034</v>
      </c>
      <c r="O9" s="184">
        <f t="shared" ref="O9" si="3">DATE(YEAR(N9)+1,MONTH(N9),DAY(N9))</f>
        <v>49399</v>
      </c>
    </row>
    <row r="10" spans="2:15" s="126" customFormat="1" ht="18" customHeight="1">
      <c r="B10" s="185" t="s">
        <v>46</v>
      </c>
      <c r="C10" s="186"/>
      <c r="D10" s="187">
        <v>0</v>
      </c>
      <c r="E10" s="187">
        <v>0</v>
      </c>
      <c r="F10" s="188">
        <v>1</v>
      </c>
      <c r="G10" s="188">
        <f t="shared" ref="G10:L10" si="4">F10+1</f>
        <v>2</v>
      </c>
      <c r="H10" s="188">
        <f t="shared" si="4"/>
        <v>3</v>
      </c>
      <c r="I10" s="188">
        <f t="shared" si="4"/>
        <v>4</v>
      </c>
      <c r="J10" s="188">
        <f t="shared" si="4"/>
        <v>5</v>
      </c>
      <c r="K10" s="188">
        <f t="shared" si="4"/>
        <v>6</v>
      </c>
      <c r="L10" s="188">
        <f t="shared" si="4"/>
        <v>7</v>
      </c>
      <c r="M10" s="188">
        <f t="shared" ref="M10" si="5">L10+1</f>
        <v>8</v>
      </c>
      <c r="N10" s="188">
        <f t="shared" ref="N10" si="6">M10+1</f>
        <v>9</v>
      </c>
      <c r="O10" s="188">
        <f t="shared" ref="O10" si="7">N10+1</f>
        <v>10</v>
      </c>
    </row>
    <row r="11" spans="2:15" s="126" customFormat="1" ht="19.5" customHeight="1">
      <c r="B11" s="185" t="s">
        <v>47</v>
      </c>
      <c r="C11" s="186">
        <f>'Common Assumption'!E12</f>
        <v>11</v>
      </c>
      <c r="D11" s="187">
        <f>MONTH(D9-'Common Assumption'!E11)</f>
        <v>1</v>
      </c>
      <c r="E11" s="187">
        <f>C11-D11</f>
        <v>10</v>
      </c>
      <c r="F11" s="186">
        <f>MONTH(F9-E9)</f>
        <v>2</v>
      </c>
      <c r="G11" s="186">
        <f t="shared" ref="G11:L11" si="8">MONTH(G9-F9)</f>
        <v>12</v>
      </c>
      <c r="H11" s="186">
        <f t="shared" si="8"/>
        <v>12</v>
      </c>
      <c r="I11" s="186">
        <f t="shared" si="8"/>
        <v>12</v>
      </c>
      <c r="J11" s="186">
        <f t="shared" si="8"/>
        <v>12</v>
      </c>
      <c r="K11" s="186">
        <f t="shared" si="8"/>
        <v>12</v>
      </c>
      <c r="L11" s="186">
        <f t="shared" si="8"/>
        <v>12</v>
      </c>
      <c r="M11" s="186">
        <f t="shared" ref="M11" si="9">MONTH(M9-L9)</f>
        <v>12</v>
      </c>
      <c r="N11" s="186">
        <f t="shared" ref="N11" si="10">MONTH(N9-M9)</f>
        <v>12</v>
      </c>
      <c r="O11" s="186">
        <f t="shared" ref="O11" si="11">MONTH(O9-N9)</f>
        <v>12</v>
      </c>
    </row>
    <row r="12" spans="2:15" ht="24" customHeight="1">
      <c r="B12" s="127" t="s">
        <v>381</v>
      </c>
    </row>
    <row r="13" spans="2:15" ht="18" customHeight="1">
      <c r="B13" s="94" t="s">
        <v>382</v>
      </c>
      <c r="D13" s="104">
        <f>IS!D45</f>
        <v>0</v>
      </c>
      <c r="E13" s="104">
        <f>IS!E45</f>
        <v>0</v>
      </c>
      <c r="F13" s="104">
        <f>IS!F45</f>
        <v>1.2829557465292809</v>
      </c>
      <c r="G13" s="104">
        <f>IS!G45</f>
        <v>5.3020901235515199</v>
      </c>
      <c r="H13" s="104">
        <f>IS!H45</f>
        <v>6.9912497905890527</v>
      </c>
      <c r="I13" s="104">
        <f>IS!I45</f>
        <v>8.7979639287901392</v>
      </c>
      <c r="J13" s="104">
        <f>IS!J45</f>
        <v>9.530209857636649</v>
      </c>
      <c r="K13" s="104">
        <f>IS!K45</f>
        <v>10.500465252059373</v>
      </c>
      <c r="L13" s="104">
        <f>IS!L45</f>
        <v>11.461240717723646</v>
      </c>
      <c r="M13" s="104">
        <f>IS!M45</f>
        <v>12.596525399679173</v>
      </c>
      <c r="N13" s="104">
        <f>IS!N45</f>
        <v>13.829494936360224</v>
      </c>
      <c r="O13" s="104">
        <f>IS!O45</f>
        <v>15.026823885044049</v>
      </c>
    </row>
    <row r="14" spans="2:15" ht="18" customHeight="1">
      <c r="B14" s="94" t="s">
        <v>862</v>
      </c>
      <c r="D14" s="104">
        <f>(BS!D13)-(BS!C13)</f>
        <v>0.01</v>
      </c>
      <c r="E14" s="104">
        <f>(BS!E13)-(BS!D13)</f>
        <v>1.99</v>
      </c>
      <c r="F14" s="104">
        <f>(BS!F13)-(BS!E13)</f>
        <v>0</v>
      </c>
      <c r="G14" s="104">
        <f>(BS!G13)-(BS!F13)</f>
        <v>0</v>
      </c>
      <c r="H14" s="104">
        <f>(BS!H13)-(BS!G13)</f>
        <v>0</v>
      </c>
      <c r="I14" s="104">
        <f>(BS!I13)-(BS!H13)</f>
        <v>0</v>
      </c>
      <c r="J14" s="104">
        <f>(BS!J13)-(BS!I13)</f>
        <v>0</v>
      </c>
      <c r="K14" s="104">
        <f>(BS!K13)-(BS!J13)</f>
        <v>0</v>
      </c>
      <c r="L14" s="104">
        <f>(BS!L13)-(BS!K13)</f>
        <v>0</v>
      </c>
      <c r="M14" s="104">
        <f>(BS!M13)-(BS!L13)</f>
        <v>0</v>
      </c>
      <c r="N14" s="104">
        <f>(BS!N13)-(BS!M13)</f>
        <v>0</v>
      </c>
      <c r="O14" s="104">
        <f>(BS!O13)-(BS!N13)</f>
        <v>0</v>
      </c>
    </row>
    <row r="15" spans="2:15" ht="18" customHeight="1">
      <c r="B15" s="94" t="s">
        <v>861</v>
      </c>
      <c r="D15" s="104">
        <f>BS!D16-BS!C16</f>
        <v>24.686777713333328</v>
      </c>
      <c r="E15" s="104">
        <f>BS!E16-BS!D16</f>
        <v>0</v>
      </c>
      <c r="F15" s="104">
        <f>BS!F16-BS!E16</f>
        <v>3.5025533137897931</v>
      </c>
      <c r="G15" s="104">
        <f>BS!G16-BS!F16</f>
        <v>0</v>
      </c>
      <c r="H15" s="104">
        <f>BS!H16-BS!G16</f>
        <v>0</v>
      </c>
      <c r="I15" s="104">
        <f>BS!I16-BS!H16</f>
        <v>0</v>
      </c>
      <c r="J15" s="104">
        <f>BS!J16-BS!I16</f>
        <v>0</v>
      </c>
      <c r="K15" s="104">
        <f>BS!K16-BS!J16</f>
        <v>0</v>
      </c>
      <c r="L15" s="104">
        <f>BS!L16-BS!K16</f>
        <v>0</v>
      </c>
      <c r="M15" s="104">
        <f>BS!M16-BS!L16</f>
        <v>0</v>
      </c>
      <c r="N15" s="104">
        <f>BS!N16-BS!M16</f>
        <v>0</v>
      </c>
      <c r="O15" s="104">
        <f>BS!O16-BS!N16</f>
        <v>0</v>
      </c>
    </row>
    <row r="16" spans="2:15" ht="18" customHeight="1">
      <c r="B16" s="94" t="s">
        <v>383</v>
      </c>
      <c r="D16" s="104">
        <f>'Loan Schedule'!D13</f>
        <v>7.51</v>
      </c>
      <c r="E16" s="104">
        <f>'Loan Schedule'!E13</f>
        <v>7.51</v>
      </c>
      <c r="F16" s="104">
        <f>'Loan Schedule'!F13</f>
        <v>0</v>
      </c>
      <c r="G16" s="104">
        <f>'Loan Schedule'!G13</f>
        <v>0</v>
      </c>
      <c r="H16" s="104">
        <f>'Loan Schedule'!H13</f>
        <v>0</v>
      </c>
      <c r="I16" s="104">
        <f>'Loan Schedule'!I13</f>
        <v>0</v>
      </c>
      <c r="J16" s="104">
        <f>'Loan Schedule'!J13</f>
        <v>0</v>
      </c>
      <c r="K16" s="104">
        <f>'Loan Schedule'!K13</f>
        <v>0</v>
      </c>
      <c r="L16" s="104">
        <f>'Loan Schedule'!L13</f>
        <v>0</v>
      </c>
      <c r="M16" s="104">
        <f>'Loan Schedule'!M13</f>
        <v>0</v>
      </c>
      <c r="N16" s="104">
        <f>'Loan Schedule'!N13</f>
        <v>0</v>
      </c>
      <c r="O16" s="104">
        <f>'Loan Schedule'!O13</f>
        <v>0</v>
      </c>
    </row>
    <row r="17" spans="2:15" ht="18" customHeight="1">
      <c r="B17" s="94" t="s">
        <v>384</v>
      </c>
      <c r="D17" s="104">
        <f>BS!D20-BS!C20</f>
        <v>0</v>
      </c>
      <c r="E17" s="104">
        <f>BS!E20-BS!D20</f>
        <v>0</v>
      </c>
      <c r="F17" s="104">
        <f>BS!F20-BS!E20</f>
        <v>10</v>
      </c>
      <c r="G17" s="104">
        <f>BS!G20-BS!F20</f>
        <v>0</v>
      </c>
      <c r="H17" s="104">
        <f>BS!H20-BS!G20</f>
        <v>0</v>
      </c>
      <c r="I17" s="104">
        <f>BS!I20-BS!H20</f>
        <v>0</v>
      </c>
      <c r="J17" s="104">
        <f>BS!J20-BS!I20</f>
        <v>0</v>
      </c>
      <c r="K17" s="104">
        <f>BS!K20-BS!J20</f>
        <v>0</v>
      </c>
      <c r="L17" s="104">
        <f>BS!L20-BS!K20</f>
        <v>0</v>
      </c>
      <c r="M17" s="104">
        <f>BS!M20-BS!L20</f>
        <v>0</v>
      </c>
      <c r="N17" s="104">
        <f>BS!N20-BS!M20</f>
        <v>0</v>
      </c>
      <c r="O17" s="104">
        <f>BS!O20-BS!N20</f>
        <v>0</v>
      </c>
    </row>
    <row r="18" spans="2:15" ht="18" customHeight="1">
      <c r="B18" s="94" t="s">
        <v>385</v>
      </c>
      <c r="D18" s="104">
        <f>IS!D21</f>
        <v>0</v>
      </c>
      <c r="E18" s="104">
        <f>IS!E21</f>
        <v>0</v>
      </c>
      <c r="F18" s="104">
        <f>IS!F21</f>
        <v>0.30058661020959415</v>
      </c>
      <c r="G18" s="104">
        <f>IS!G21</f>
        <v>1.8496988118809239</v>
      </c>
      <c r="H18" s="104">
        <f>IS!H21</f>
        <v>1.8496988118809239</v>
      </c>
      <c r="I18" s="104">
        <f>IS!I21</f>
        <v>1.8496988118809239</v>
      </c>
      <c r="J18" s="104">
        <f>IS!J21</f>
        <v>1.8496988118809239</v>
      </c>
      <c r="K18" s="104">
        <f>IS!K21</f>
        <v>1.8496988118809239</v>
      </c>
      <c r="L18" s="104">
        <f>IS!L21</f>
        <v>1.8496988118809239</v>
      </c>
      <c r="M18" s="104">
        <f>IS!M21</f>
        <v>1.8496988118809239</v>
      </c>
      <c r="N18" s="104">
        <f>IS!N21</f>
        <v>1.8496988118809239</v>
      </c>
      <c r="O18" s="104">
        <f>IS!O21</f>
        <v>1.8496988118809239</v>
      </c>
    </row>
    <row r="19" spans="2:15" ht="18" hidden="1" customHeight="1">
      <c r="B19" s="94" t="s">
        <v>386</v>
      </c>
      <c r="D19" s="104">
        <f>IS!D33</f>
        <v>0</v>
      </c>
      <c r="E19" s="104">
        <f>IS!E33</f>
        <v>0</v>
      </c>
      <c r="F19" s="104">
        <f>IS!F33</f>
        <v>0</v>
      </c>
      <c r="G19" s="104">
        <f>IS!G33</f>
        <v>0</v>
      </c>
      <c r="H19" s="104">
        <f>IS!H33</f>
        <v>0</v>
      </c>
      <c r="I19" s="104">
        <f>IS!I33</f>
        <v>0</v>
      </c>
      <c r="J19" s="104">
        <f>IS!J33</f>
        <v>0</v>
      </c>
      <c r="K19" s="104">
        <f>IS!K33</f>
        <v>0</v>
      </c>
      <c r="L19" s="104">
        <f>IS!L33</f>
        <v>0</v>
      </c>
      <c r="M19" s="104">
        <f>IS!M33</f>
        <v>0</v>
      </c>
      <c r="N19" s="104">
        <f>IS!N33</f>
        <v>0</v>
      </c>
      <c r="O19" s="104">
        <f>IS!O33</f>
        <v>0</v>
      </c>
    </row>
    <row r="20" spans="2:15" ht="18" customHeight="1">
      <c r="B20" s="94" t="s">
        <v>387</v>
      </c>
      <c r="F20" s="104">
        <f>BS!F18-BS!E18</f>
        <v>1.5197410123728812</v>
      </c>
      <c r="G20" s="104">
        <f>BS!G18-BS!F18</f>
        <v>0.91761069152836816</v>
      </c>
      <c r="H20" s="104">
        <f>BS!H18-BS!G18</f>
        <v>0.68774042913937494</v>
      </c>
      <c r="I20" s="104">
        <f>BS!I18-BS!H18</f>
        <v>0.72164517744208068</v>
      </c>
      <c r="J20" s="104">
        <f>BS!J18-BS!I18</f>
        <v>0.42807289257903003</v>
      </c>
      <c r="K20" s="104">
        <f>BS!K18-BS!J18</f>
        <v>0.44772256709846392</v>
      </c>
      <c r="L20" s="104">
        <f>BS!L18-BS!K18</f>
        <v>0.46813152777306577</v>
      </c>
      <c r="M20" s="104">
        <f>BS!M18-BS!L18</f>
        <v>0.48925979335852876</v>
      </c>
      <c r="N20" s="104">
        <f>BS!N18-BS!M18</f>
        <v>0.51136640077366735</v>
      </c>
      <c r="O20" s="104">
        <f>BS!O18-BS!N18</f>
        <v>0.53422707140131998</v>
      </c>
    </row>
    <row r="21" spans="2:15" ht="18.75" customHeight="1">
      <c r="B21" s="214" t="s">
        <v>225</v>
      </c>
      <c r="C21" s="214"/>
      <c r="D21" s="215">
        <f t="shared" ref="D21:L21" si="12">SUM(D13:D20)</f>
        <v>32.206777713333331</v>
      </c>
      <c r="E21" s="215">
        <f t="shared" si="12"/>
        <v>9.5</v>
      </c>
      <c r="F21" s="215">
        <f>SUM(F13:F20)</f>
        <v>16.605836682901547</v>
      </c>
      <c r="G21" s="215">
        <f t="shared" si="12"/>
        <v>8.0693996269608128</v>
      </c>
      <c r="H21" s="215">
        <f t="shared" si="12"/>
        <v>9.5286890316093515</v>
      </c>
      <c r="I21" s="215">
        <f t="shared" si="12"/>
        <v>11.369307918113144</v>
      </c>
      <c r="J21" s="215">
        <f t="shared" si="12"/>
        <v>11.807981562096602</v>
      </c>
      <c r="K21" s="215">
        <f t="shared" si="12"/>
        <v>12.797886631038761</v>
      </c>
      <c r="L21" s="215">
        <f t="shared" si="12"/>
        <v>13.779071057377635</v>
      </c>
      <c r="M21" s="215">
        <f t="shared" ref="M21:O21" si="13">SUM(M13:M20)</f>
        <v>14.935484004918624</v>
      </c>
      <c r="N21" s="215">
        <f t="shared" si="13"/>
        <v>16.190560149014814</v>
      </c>
      <c r="O21" s="215">
        <f t="shared" si="13"/>
        <v>17.410749768326291</v>
      </c>
    </row>
    <row r="22" spans="2:15" ht="10.5" customHeight="1"/>
    <row r="23" spans="2:15" ht="21.75" customHeight="1">
      <c r="B23" s="127" t="s">
        <v>388</v>
      </c>
    </row>
    <row r="24" spans="2:15" ht="18" customHeight="1">
      <c r="B24" s="94" t="s">
        <v>389</v>
      </c>
      <c r="D24" s="104">
        <f>BS!D30-BS!C30</f>
        <v>32.206777713333324</v>
      </c>
      <c r="E24" s="104">
        <f>BS!E30-BS!D30</f>
        <v>9.5000000000000142</v>
      </c>
      <c r="F24" s="104">
        <f>BS!F30-BS!E30</f>
        <v>0</v>
      </c>
      <c r="G24" s="104">
        <v>0</v>
      </c>
      <c r="H24" s="104">
        <f>BS!H30-BS!G30</f>
        <v>0</v>
      </c>
      <c r="I24" s="104">
        <f>BS!I30-BS!H30</f>
        <v>0</v>
      </c>
      <c r="J24" s="104">
        <f>BS!J30-BS!I30</f>
        <v>0</v>
      </c>
      <c r="K24" s="104">
        <f>BS!K30-BS!J30</f>
        <v>0</v>
      </c>
      <c r="L24" s="104">
        <f>BS!L30-BS!K30</f>
        <v>0</v>
      </c>
      <c r="M24" s="104">
        <f>BS!M30-BS!L30</f>
        <v>0</v>
      </c>
      <c r="N24" s="104">
        <f>BS!N30-BS!M30</f>
        <v>0</v>
      </c>
      <c r="O24" s="104">
        <f>BS!O30-BS!N30</f>
        <v>0</v>
      </c>
    </row>
    <row r="25" spans="2:15" ht="18" customHeight="1">
      <c r="B25" s="94" t="s">
        <v>390</v>
      </c>
      <c r="D25" s="104">
        <f>'Loan Schedule'!D14</f>
        <v>0</v>
      </c>
      <c r="E25" s="104">
        <f>'Loan Schedule'!E14</f>
        <v>0</v>
      </c>
      <c r="F25" s="104">
        <f>'Loan Schedule'!F14</f>
        <v>2.7912166666666668E-2</v>
      </c>
      <c r="G25" s="104">
        <f>'Loan Schedule'!G14</f>
        <v>1.335278</v>
      </c>
      <c r="H25" s="104">
        <f>'Loan Schedule'!H14</f>
        <v>1.668722</v>
      </c>
      <c r="I25" s="104">
        <f>'Loan Schedule'!I14</f>
        <v>1.668722</v>
      </c>
      <c r="J25" s="104">
        <f>'Loan Schedule'!J14</f>
        <v>1.668722</v>
      </c>
      <c r="K25" s="104">
        <f>'Loan Schedule'!K14</f>
        <v>1.668722</v>
      </c>
      <c r="L25" s="104">
        <f>'Loan Schedule'!L14</f>
        <v>1.668722</v>
      </c>
      <c r="M25" s="104">
        <f>'Loan Schedule'!M14</f>
        <v>1.668722</v>
      </c>
      <c r="N25" s="104">
        <f>'Loan Schedule'!N14</f>
        <v>1.668722</v>
      </c>
      <c r="O25" s="104">
        <f>'Loan Schedule'!O14</f>
        <v>1.9757558333333312</v>
      </c>
    </row>
    <row r="26" spans="2:15" ht="18" customHeight="1">
      <c r="B26" s="94" t="s">
        <v>391</v>
      </c>
      <c r="D26" s="104">
        <f>BS!D36-BS!C36</f>
        <v>0</v>
      </c>
      <c r="E26" s="104">
        <f>BS!E36-BS!D36</f>
        <v>0</v>
      </c>
      <c r="F26" s="104">
        <f>BS!F36-BS!E36</f>
        <v>7.6741672372881355</v>
      </c>
      <c r="G26" s="104">
        <f>BS!G36-BS!F36</f>
        <v>4.7001064607118623</v>
      </c>
      <c r="H26" s="104">
        <f>BS!H36-BS!G36</f>
        <v>3.4782644775624991</v>
      </c>
      <c r="I26" s="104">
        <f>BS!I36-BS!H36</f>
        <v>3.6436837803793729</v>
      </c>
      <c r="J26" s="104">
        <f>BS!J36-BS!I36</f>
        <v>2.1501078409685803</v>
      </c>
      <c r="K26" s="104">
        <f>BS!K36-BS!J36</f>
        <v>2.2450880942945446</v>
      </c>
      <c r="L26" s="104">
        <f>BS!L36-BS!K36</f>
        <v>2.3434785428862028</v>
      </c>
      <c r="M26" s="104">
        <f>BS!M36-BS!L36</f>
        <v>2.4453903338485041</v>
      </c>
      <c r="N26" s="104">
        <f>BS!N36-BS!M36</f>
        <v>2.5509380402696245</v>
      </c>
      <c r="O26" s="104">
        <f>BS!O36-BS!N36</f>
        <v>2.6602397630531414</v>
      </c>
    </row>
    <row r="27" spans="2:15" ht="18" customHeight="1">
      <c r="B27" s="94" t="s">
        <v>392</v>
      </c>
      <c r="D27" s="104">
        <f>BS!D37-BS!C37</f>
        <v>0</v>
      </c>
      <c r="E27" s="104">
        <f>BS!E37-BS!D37</f>
        <v>0</v>
      </c>
      <c r="F27" s="104">
        <f>BS!F37-BS!E37</f>
        <v>2.5262287777542372</v>
      </c>
      <c r="G27" s="104">
        <f>BS!G37-BS!F37</f>
        <v>1.547062483306179</v>
      </c>
      <c r="H27" s="104">
        <f>BS!H37-BS!G37</f>
        <v>1.1448248545351563</v>
      </c>
      <c r="I27" s="104">
        <f>BS!I37-BS!H37</f>
        <v>1.1992708596582098</v>
      </c>
      <c r="J27" s="104">
        <f>BS!J37-BS!I37</f>
        <v>0.7076687796021579</v>
      </c>
      <c r="K27" s="104">
        <f>BS!K37-BS!J37</f>
        <v>0.73893311298861963</v>
      </c>
      <c r="L27" s="104">
        <f>BS!L37-BS!K37</f>
        <v>0.77131996898337363</v>
      </c>
      <c r="M27" s="104">
        <f>BS!M37-BS!L37</f>
        <v>0.80475222428555249</v>
      </c>
      <c r="N27" s="104">
        <f>BS!N37-BS!M37</f>
        <v>0.83965043825541841</v>
      </c>
      <c r="O27" s="104">
        <f>BS!O37-BS!N37</f>
        <v>0.87562892200499043</v>
      </c>
    </row>
    <row r="28" spans="2:15" ht="18" customHeight="1">
      <c r="B28" s="94" t="s">
        <v>376</v>
      </c>
      <c r="D28" s="105">
        <f>'Tax Calculations'!D41</f>
        <v>0</v>
      </c>
      <c r="E28" s="105">
        <v>0</v>
      </c>
      <c r="F28" s="105">
        <f>+'Tax Calculations'!F41-'Tax Calculations'!E41</f>
        <v>0</v>
      </c>
      <c r="G28" s="105">
        <f>+'Tax Calculations'!G41-'Tax Calculations'!F41</f>
        <v>0</v>
      </c>
      <c r="H28" s="105">
        <f>+'Tax Calculations'!H41-'Tax Calculations'!G41</f>
        <v>0</v>
      </c>
      <c r="I28" s="105">
        <f>+'Tax Calculations'!I41-'Tax Calculations'!H41</f>
        <v>0</v>
      </c>
      <c r="J28" s="105">
        <f>+'Tax Calculations'!J41-'Tax Calculations'!I41</f>
        <v>0</v>
      </c>
      <c r="K28" s="105">
        <f>+'Tax Calculations'!K41-'Tax Calculations'!J41</f>
        <v>0</v>
      </c>
      <c r="L28" s="105">
        <f>+'Tax Calculations'!L41-'Tax Calculations'!K41</f>
        <v>0</v>
      </c>
      <c r="M28" s="105">
        <f>+'Tax Calculations'!M41-'Tax Calculations'!L41</f>
        <v>0</v>
      </c>
      <c r="N28" s="105">
        <f>+'Tax Calculations'!N41-'Tax Calculations'!M41</f>
        <v>0</v>
      </c>
      <c r="O28" s="105">
        <f>+'Tax Calculations'!O41-'Tax Calculations'!N41</f>
        <v>0</v>
      </c>
    </row>
    <row r="29" spans="2:15" ht="18" customHeight="1">
      <c r="B29" s="94" t="s">
        <v>377</v>
      </c>
      <c r="D29" s="104">
        <v>0</v>
      </c>
      <c r="E29" s="104">
        <f>BS!E33-BS!D33</f>
        <v>0</v>
      </c>
      <c r="F29" s="104">
        <f>BS!F33-BS!E33</f>
        <v>0</v>
      </c>
      <c r="G29" s="104">
        <f>BS!G33-BS!F33</f>
        <v>0</v>
      </c>
      <c r="H29" s="104">
        <f>BS!H33-BS!G33</f>
        <v>0</v>
      </c>
      <c r="I29" s="104">
        <f>BS!I33-BS!H33</f>
        <v>0</v>
      </c>
      <c r="J29" s="104">
        <f>BS!J33-BS!I33</f>
        <v>0</v>
      </c>
      <c r="K29" s="104">
        <f>BS!K33-BS!J33</f>
        <v>0</v>
      </c>
      <c r="L29" s="104">
        <f>BS!L33-BS!K33</f>
        <v>0</v>
      </c>
      <c r="M29" s="104">
        <f>BS!M33-BS!L33</f>
        <v>0</v>
      </c>
      <c r="N29" s="104">
        <f>BS!N33-BS!M33</f>
        <v>0</v>
      </c>
      <c r="O29" s="104">
        <f>BS!O33-BS!N33</f>
        <v>0</v>
      </c>
    </row>
    <row r="30" spans="2:15" ht="18" hidden="1" customHeight="1">
      <c r="B30" s="94" t="s">
        <v>400</v>
      </c>
      <c r="D30" s="104">
        <f>'TPC and MoF'!D13/5</f>
        <v>0</v>
      </c>
      <c r="E30" s="104">
        <f>'TPC and MoF'!E13/5</f>
        <v>0</v>
      </c>
      <c r="F30" s="104">
        <f>'TPC and MoF'!F13/5</f>
        <v>0</v>
      </c>
      <c r="G30" s="104">
        <f>'TPC and MoF'!G13/5</f>
        <v>0</v>
      </c>
      <c r="H30" s="104">
        <f>'TPC and MoF'!H13/5</f>
        <v>0</v>
      </c>
      <c r="I30" s="104"/>
      <c r="J30" s="104"/>
      <c r="K30" s="104"/>
      <c r="L30" s="104"/>
      <c r="M30" s="104"/>
      <c r="N30" s="104"/>
      <c r="O30" s="104"/>
    </row>
    <row r="31" spans="2:15" ht="18.75" customHeight="1">
      <c r="B31" s="214" t="s">
        <v>225</v>
      </c>
      <c r="C31" s="214"/>
      <c r="D31" s="215">
        <f>SUM(D24:D30)</f>
        <v>32.206777713333324</v>
      </c>
      <c r="E31" s="215">
        <f>SUM(E24:E30)</f>
        <v>9.5000000000000142</v>
      </c>
      <c r="F31" s="215">
        <f t="shared" ref="E31:L31" si="14">SUM(F24:F30)</f>
        <v>10.228308181709039</v>
      </c>
      <c r="G31" s="215">
        <f t="shared" si="14"/>
        <v>7.5824469440180415</v>
      </c>
      <c r="H31" s="215">
        <f t="shared" si="14"/>
        <v>6.2918113320976552</v>
      </c>
      <c r="I31" s="215">
        <f t="shared" si="14"/>
        <v>6.5116766400375825</v>
      </c>
      <c r="J31" s="215">
        <f t="shared" si="14"/>
        <v>4.526498620570738</v>
      </c>
      <c r="K31" s="215">
        <f t="shared" si="14"/>
        <v>4.652743207283164</v>
      </c>
      <c r="L31" s="215">
        <f t="shared" si="14"/>
        <v>4.7835205118695763</v>
      </c>
      <c r="M31" s="215">
        <f t="shared" ref="M31:O31" si="15">SUM(M24:M30)</f>
        <v>4.9188645581340564</v>
      </c>
      <c r="N31" s="215">
        <f t="shared" si="15"/>
        <v>5.0593104785250427</v>
      </c>
      <c r="O31" s="215">
        <f t="shared" si="15"/>
        <v>5.5116245183914625</v>
      </c>
    </row>
    <row r="32" spans="2:15" ht="19.5" customHeight="1">
      <c r="B32" s="94" t="s">
        <v>393</v>
      </c>
      <c r="D32" s="104">
        <f t="shared" ref="D32:L32" si="16">C34</f>
        <v>0</v>
      </c>
      <c r="E32" s="104">
        <f t="shared" si="16"/>
        <v>0</v>
      </c>
      <c r="F32" s="104">
        <f t="shared" si="16"/>
        <v>-1.4210854715202004E-14</v>
      </c>
      <c r="G32" s="104">
        <f t="shared" si="16"/>
        <v>6.3775285011924936</v>
      </c>
      <c r="H32" s="104">
        <f t="shared" si="16"/>
        <v>6.8644811841352649</v>
      </c>
      <c r="I32" s="104">
        <f t="shared" si="16"/>
        <v>10.101358883646961</v>
      </c>
      <c r="J32" s="104">
        <f t="shared" si="16"/>
        <v>14.958990161722522</v>
      </c>
      <c r="K32" s="104">
        <f t="shared" si="16"/>
        <v>22.240473103248384</v>
      </c>
      <c r="L32" s="104">
        <f t="shared" si="16"/>
        <v>30.385616527003982</v>
      </c>
      <c r="M32" s="104">
        <f t="shared" ref="M32" si="17">L34</f>
        <v>39.381167072512042</v>
      </c>
      <c r="N32" s="104">
        <f t="shared" ref="N32" si="18">M34</f>
        <v>49.397786519296609</v>
      </c>
      <c r="O32" s="104">
        <f t="shared" ref="O32" si="19">N34</f>
        <v>60.529036189786382</v>
      </c>
    </row>
    <row r="33" spans="2:15" ht="21" customHeight="1">
      <c r="B33" s="94" t="s">
        <v>394</v>
      </c>
      <c r="D33" s="104">
        <f>D21-D31</f>
        <v>0</v>
      </c>
      <c r="E33" s="104">
        <f>E21-E31</f>
        <v>-1.4210854715202004E-14</v>
      </c>
      <c r="F33" s="104">
        <f t="shared" ref="F33:L33" si="20">F21-F31</f>
        <v>6.3775285011925078</v>
      </c>
      <c r="G33" s="104">
        <f>G21-G31</f>
        <v>0.48695268294277128</v>
      </c>
      <c r="H33" s="104">
        <f t="shared" si="20"/>
        <v>3.2368776995116963</v>
      </c>
      <c r="I33" s="104">
        <f t="shared" si="20"/>
        <v>4.8576312780755613</v>
      </c>
      <c r="J33" s="104">
        <f t="shared" si="20"/>
        <v>7.281482941525864</v>
      </c>
      <c r="K33" s="104">
        <f t="shared" si="20"/>
        <v>8.1451434237555969</v>
      </c>
      <c r="L33" s="104">
        <f t="shared" si="20"/>
        <v>8.9955505455080598</v>
      </c>
      <c r="M33" s="104">
        <f t="shared" ref="M33:O33" si="21">M21-M31</f>
        <v>10.016619446784567</v>
      </c>
      <c r="N33" s="104">
        <f t="shared" si="21"/>
        <v>11.131249670489773</v>
      </c>
      <c r="O33" s="104">
        <f t="shared" si="21"/>
        <v>11.899125249934828</v>
      </c>
    </row>
    <row r="34" spans="2:15" ht="22.5" customHeight="1">
      <c r="B34" s="94" t="s">
        <v>395</v>
      </c>
      <c r="D34" s="104">
        <f>D32+D33</f>
        <v>0</v>
      </c>
      <c r="E34" s="104">
        <f>E32+E33</f>
        <v>-1.4210854715202004E-14</v>
      </c>
      <c r="F34" s="104">
        <f t="shared" ref="F34:L34" si="22">F32+F33</f>
        <v>6.3775285011924936</v>
      </c>
      <c r="G34" s="104">
        <f t="shared" si="22"/>
        <v>6.8644811841352649</v>
      </c>
      <c r="H34" s="104">
        <f t="shared" si="22"/>
        <v>10.101358883646961</v>
      </c>
      <c r="I34" s="104">
        <f t="shared" si="22"/>
        <v>14.958990161722522</v>
      </c>
      <c r="J34" s="104">
        <f t="shared" si="22"/>
        <v>22.240473103248384</v>
      </c>
      <c r="K34" s="104">
        <f t="shared" si="22"/>
        <v>30.385616527003982</v>
      </c>
      <c r="L34" s="104">
        <f t="shared" si="22"/>
        <v>39.381167072512042</v>
      </c>
      <c r="M34" s="104">
        <f t="shared" ref="M34:O34" si="23">M32+M33</f>
        <v>49.397786519296609</v>
      </c>
      <c r="N34" s="104">
        <f t="shared" si="23"/>
        <v>60.529036189786382</v>
      </c>
      <c r="O34" s="104">
        <f t="shared" si="23"/>
        <v>72.428161439721208</v>
      </c>
    </row>
    <row r="35" spans="2:15" ht="15" hidden="1"/>
    <row r="36" spans="2:15" ht="18" hidden="1" customHeight="1">
      <c r="B36" s="94" t="s">
        <v>636</v>
      </c>
      <c r="F36" s="104">
        <f>SUM('Loan Schedule'!E42:E44,'Loan Schedule'!H40:H44)</f>
        <v>0.40922240333333332</v>
      </c>
      <c r="G36" s="104">
        <f t="shared" ref="G36:L36" si="24">F36</f>
        <v>0.40922240333333332</v>
      </c>
      <c r="H36" s="104">
        <f t="shared" si="24"/>
        <v>0.40922240333333332</v>
      </c>
      <c r="I36" s="104">
        <f t="shared" si="24"/>
        <v>0.40922240333333332</v>
      </c>
      <c r="J36" s="104">
        <f t="shared" si="24"/>
        <v>0.40922240333333332</v>
      </c>
      <c r="K36" s="104">
        <f t="shared" si="24"/>
        <v>0.40922240333333332</v>
      </c>
      <c r="L36" s="104">
        <f t="shared" si="24"/>
        <v>0.40922240333333332</v>
      </c>
      <c r="M36" s="104">
        <f t="shared" ref="M36" si="25">L36</f>
        <v>0.40922240333333332</v>
      </c>
      <c r="N36" s="104">
        <f t="shared" ref="N36" si="26">M36</f>
        <v>0.40922240333333332</v>
      </c>
      <c r="O36" s="104">
        <f t="shared" ref="O36" si="27">N36</f>
        <v>0.40922240333333332</v>
      </c>
    </row>
    <row r="37" spans="2:15" ht="9.75" hidden="1" customHeight="1"/>
    <row r="38" spans="2:15" ht="18" customHeight="1">
      <c r="B38" s="135" t="s">
        <v>637</v>
      </c>
      <c r="C38" s="135"/>
      <c r="D38" s="147">
        <f t="shared" ref="D38:L38" si="28">D34</f>
        <v>0</v>
      </c>
      <c r="E38" s="147">
        <f t="shared" si="28"/>
        <v>-1.4210854715202004E-14</v>
      </c>
      <c r="F38" s="147">
        <f t="shared" si="28"/>
        <v>6.3775285011924936</v>
      </c>
      <c r="G38" s="147">
        <f t="shared" si="28"/>
        <v>6.8644811841352649</v>
      </c>
      <c r="H38" s="147">
        <f t="shared" si="28"/>
        <v>10.101358883646961</v>
      </c>
      <c r="I38" s="147">
        <f t="shared" si="28"/>
        <v>14.958990161722522</v>
      </c>
      <c r="J38" s="147">
        <f t="shared" si="28"/>
        <v>22.240473103248384</v>
      </c>
      <c r="K38" s="147">
        <f t="shared" si="28"/>
        <v>30.385616527003982</v>
      </c>
      <c r="L38" s="147">
        <f t="shared" si="28"/>
        <v>39.381167072512042</v>
      </c>
      <c r="M38" s="147">
        <f t="shared" ref="M38:O38" si="29">M34</f>
        <v>49.397786519296609</v>
      </c>
      <c r="N38" s="147">
        <f t="shared" si="29"/>
        <v>60.529036189786382</v>
      </c>
      <c r="O38" s="147">
        <f t="shared" si="29"/>
        <v>72.428161439721208</v>
      </c>
    </row>
  </sheetData>
  <mergeCells count="2">
    <mergeCell ref="D8:E8"/>
    <mergeCell ref="F8:O8"/>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2</vt:i4>
      </vt:variant>
    </vt:vector>
  </HeadingPairs>
  <TitlesOfParts>
    <vt:vector size="21" baseType="lpstr">
      <vt:lpstr>6 TPD CBG Cost sheet</vt:lpstr>
      <vt:lpstr>Sheet3</vt:lpstr>
      <vt:lpstr>TPC and MoF</vt:lpstr>
      <vt:lpstr>Sheet2</vt:lpstr>
      <vt:lpstr>Common Assumption</vt:lpstr>
      <vt:lpstr>Revenue &amp; Expense Modelling</vt:lpstr>
      <vt:lpstr>IS</vt:lpstr>
      <vt:lpstr>BS</vt:lpstr>
      <vt:lpstr>CFS</vt:lpstr>
      <vt:lpstr>Loan Schedule</vt:lpstr>
      <vt:lpstr>Depreciation Schedule</vt:lpstr>
      <vt:lpstr>Working Capital Assessment</vt:lpstr>
      <vt:lpstr>Tax Calculations</vt:lpstr>
      <vt:lpstr>DSCR</vt:lpstr>
      <vt:lpstr>NPV &amp; IRR, Payback Period</vt:lpstr>
      <vt:lpstr>Ratio and Break Even Analysis</vt:lpstr>
      <vt:lpstr>Sensitivity Analysis</vt:lpstr>
      <vt:lpstr>Sheet6</vt:lpstr>
      <vt:lpstr>Sheet1</vt:lpstr>
      <vt:lpstr>'6 TPD CBG Cost sheet'!Print_Area</vt:lpstr>
      <vt:lpstr>DSCR!Print_Area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2025-02-28T14:21:28Z</dcterms:modified>
</cp:coreProperties>
</file>