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ntor3\Desktop\ISGEC\399and400\399, Ms. ISGEC Heavy Engineering Limited\"/>
    </mc:Choice>
  </mc:AlternateContent>
  <bookViews>
    <workbookView xWindow="0" yWindow="0" windowWidth="24000" windowHeight="9435"/>
  </bookViews>
  <sheets>
    <sheet name="Sheet4" sheetId="4" r:id="rId1"/>
    <sheet name="Land Valuation" sheetId="1" r:id="rId2"/>
    <sheet name="Building" sheetId="2" r:id="rId3"/>
    <sheet name="unit Summary" sheetId="3"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4" l="1"/>
  <c r="O37" i="4"/>
  <c r="P36" i="4"/>
  <c r="O36" i="4"/>
  <c r="S35" i="4"/>
  <c r="S34" i="4"/>
  <c r="P32" i="4"/>
  <c r="P25" i="4"/>
  <c r="Q25" i="4" s="1"/>
  <c r="R25" i="4" s="1"/>
  <c r="R26" i="4" s="1"/>
  <c r="S26" i="4" s="1"/>
  <c r="S27" i="4" s="1"/>
  <c r="P24" i="4"/>
  <c r="P19" i="4"/>
  <c r="Q19" i="4" s="1"/>
  <c r="R19" i="4" s="1"/>
  <c r="R20" i="4" s="1"/>
  <c r="S20" i="4" s="1"/>
  <c r="P16" i="4"/>
  <c r="Q16" i="4" s="1"/>
  <c r="R16" i="4" s="1"/>
  <c r="R17" i="4" s="1"/>
  <c r="L11" i="2"/>
  <c r="L10" i="2"/>
  <c r="L9" i="2"/>
  <c r="K9" i="2"/>
  <c r="E8" i="2"/>
  <c r="E7" i="2"/>
  <c r="E6" i="2" l="1"/>
  <c r="F6" i="2" s="1"/>
  <c r="J6" i="2" s="1"/>
  <c r="E5" i="2"/>
  <c r="E4" i="2"/>
  <c r="D21" i="3"/>
  <c r="D22" i="3" s="1"/>
  <c r="D10" i="3"/>
  <c r="D11" i="3" s="1"/>
  <c r="G22" i="2"/>
  <c r="F21" i="2"/>
  <c r="F23" i="2" s="1"/>
  <c r="G23" i="2" s="1"/>
  <c r="H23" i="2" s="1"/>
  <c r="G20" i="2"/>
  <c r="J19" i="2"/>
  <c r="M10" i="2"/>
  <c r="F8" i="2"/>
  <c r="J8" i="2" s="1"/>
  <c r="F7" i="2"/>
  <c r="J7" i="2" s="1"/>
  <c r="F5" i="2"/>
  <c r="J5" i="2" s="1"/>
  <c r="F4" i="2"/>
  <c r="G5" i="1"/>
  <c r="H5" i="1" s="1"/>
  <c r="E5" i="1"/>
  <c r="H7" i="1" s="1"/>
  <c r="F9" i="2" l="1"/>
  <c r="J4" i="2"/>
  <c r="J9" i="2" s="1"/>
  <c r="E9" i="2"/>
  <c r="H6" i="1"/>
  <c r="H8" i="1"/>
  <c r="I8" i="1" s="1"/>
  <c r="J8" i="1" s="1"/>
  <c r="F5" i="1"/>
</calcChain>
</file>

<file path=xl/sharedStrings.xml><?xml version="1.0" encoding="utf-8"?>
<sst xmlns="http://schemas.openxmlformats.org/spreadsheetml/2006/main" count="121" uniqueCount="112">
  <si>
    <t>Sr.No.</t>
  </si>
  <si>
    <t>Particulars</t>
  </si>
  <si>
    <t>Original Land Area</t>
  </si>
  <si>
    <t>Land rate (INR/Acre)</t>
  </si>
  <si>
    <t xml:space="preserve">Fair Market Valuation </t>
  </si>
  <si>
    <t>Acres</t>
  </si>
  <si>
    <t>Hectares</t>
  </si>
  <si>
    <t>Subject Land Project Land</t>
  </si>
  <si>
    <t>Add 5% premium for non agriculture land</t>
  </si>
  <si>
    <t>Add: Land Development, Site Levelling charges etc.</t>
  </si>
  <si>
    <t xml:space="preserve">  At Rs.3.5 Lacs per acre</t>
  </si>
  <si>
    <t>GRAND TOTAL</t>
  </si>
  <si>
    <t>Notes:</t>
  </si>
  <si>
    <t>1.  Land area details has been provided to us by the company, which is relied upon in good faith.</t>
  </si>
  <si>
    <t xml:space="preserve">2. As per the our calculations, the market rate for the subject  project is comes out to be Rs.98.00 Lakhs  per Acres, which seems to be reasonable in our view. </t>
  </si>
  <si>
    <t>Unit 2</t>
  </si>
  <si>
    <t>S. No.</t>
  </si>
  <si>
    <t>Description</t>
  </si>
  <si>
    <t>Type of structure</t>
  </si>
  <si>
    <t>Age of the structure</t>
  </si>
  <si>
    <t>Rate Adopted (INR/sq.ft.)</t>
  </si>
  <si>
    <t>Fair Market Value INR)</t>
  </si>
  <si>
    <t>A</t>
  </si>
  <si>
    <t>Shed no 1( Pipe Shop)</t>
  </si>
  <si>
    <t>B</t>
  </si>
  <si>
    <t>Shed no 2 ( Header Shop)</t>
  </si>
  <si>
    <t>C</t>
  </si>
  <si>
    <t>D</t>
  </si>
  <si>
    <t xml:space="preserve">Power House </t>
  </si>
  <si>
    <t>E</t>
  </si>
  <si>
    <t>Fitting Store ,Band saw ,Canteen</t>
  </si>
  <si>
    <t>Total</t>
  </si>
  <si>
    <t>unit 1</t>
  </si>
  <si>
    <t>70Kanal,16 Marla</t>
  </si>
  <si>
    <t>AREA in---&gt;</t>
  </si>
  <si>
    <t>M2</t>
  </si>
  <si>
    <t>Total Land</t>
  </si>
  <si>
    <t>Area  in Rasta ( Gift)</t>
  </si>
  <si>
    <t>Green Belt 45 Mtr</t>
  </si>
  <si>
    <t>Land in CLU</t>
  </si>
  <si>
    <t>113Kanal</t>
  </si>
  <si>
    <t>Proposed Road Widening</t>
  </si>
  <si>
    <t>Area  in Rasta ( HIBBANAMA)</t>
  </si>
  <si>
    <t>Shed no 3( Assembly Shop)</t>
  </si>
  <si>
    <t xml:space="preserve">GI Shed mounted on Prefebricated Iron Truss </t>
  </si>
  <si>
    <t>RCC load bearing structure on pillar beam column and 9" brick walls</t>
  </si>
  <si>
    <r>
      <t xml:space="preserve">Covered Area 
</t>
    </r>
    <r>
      <rPr>
        <i/>
        <sz val="10"/>
        <rFont val="Calibri"/>
        <family val="2"/>
        <scheme val="minor"/>
      </rPr>
      <t>(sq.mtr.)</t>
    </r>
  </si>
  <si>
    <r>
      <t xml:space="preserve">Covered Area 
</t>
    </r>
    <r>
      <rPr>
        <i/>
        <sz val="10"/>
        <rFont val="Calibri"/>
        <family val="2"/>
        <scheme val="minor"/>
      </rPr>
      <t>(sq.ft.)</t>
    </r>
  </si>
  <si>
    <r>
      <t xml:space="preserve">Height of the structure </t>
    </r>
    <r>
      <rPr>
        <i/>
        <sz val="10"/>
        <rFont val="Calibri"/>
        <family val="2"/>
        <scheme val="minor"/>
      </rPr>
      <t>(ft.)</t>
    </r>
  </si>
  <si>
    <t>FAIR MARKET VALUATION OF LAND | M/S. ISGEC HEAVY ENGINEERING LIMITED| RATTANGARH VILLAGE, DISTRICT- YAMUNANAGAR, HARYANA</t>
  </si>
  <si>
    <t>Remarks:</t>
  </si>
  <si>
    <t xml:space="preserve">1. The area of the civil structures has been taken on the basis of site measurement done by our engineer at the site. </t>
  </si>
  <si>
    <t xml:space="preserve">2. There were some temporary structures has been constructed by the company for the temporary use. Therefore, for the Valuation assessment we have not taken area of the same. </t>
  </si>
  <si>
    <t>3. The condition of the all the civil structure is good and newly builty by the company.</t>
  </si>
  <si>
    <t xml:space="preserve">4. The Valuation of the structure has been done on the basis of ''Depreciated Replacement Cost approach'. </t>
  </si>
  <si>
    <t xml:space="preserve">LAND AREA STATEMENT </t>
  </si>
  <si>
    <t>S.No.</t>
  </si>
  <si>
    <r>
      <t>Khasra No. (</t>
    </r>
    <r>
      <rPr>
        <i/>
        <sz val="11"/>
        <color theme="1"/>
        <rFont val="Calibri"/>
        <family val="2"/>
        <scheme val="minor"/>
      </rPr>
      <t>as per Sale Deed/ TIR</t>
    </r>
    <r>
      <rPr>
        <sz val="11"/>
        <color theme="1"/>
        <rFont val="Calibri"/>
        <family val="2"/>
        <scheme val="minor"/>
      </rPr>
      <t>)</t>
    </r>
  </si>
  <si>
    <t>Land Area As per Deed/ TIR</t>
  </si>
  <si>
    <r>
      <t>Killa No.</t>
    </r>
    <r>
      <rPr>
        <i/>
        <sz val="11"/>
        <color theme="1"/>
        <rFont val="Calibri"/>
        <family val="2"/>
        <scheme val="minor"/>
      </rPr>
      <t>(As per Map/ CLU)</t>
    </r>
  </si>
  <si>
    <t>Land Area as per approved map / CLU)</t>
  </si>
  <si>
    <t>29 // 23 /2 (3-9)</t>
  </si>
  <si>
    <t>93 Kanal 19 Marla
(56839.75 sq.yds./ 11.74 Acres)</t>
  </si>
  <si>
    <t>29 // 24 / 1 min</t>
  </si>
  <si>
    <t>49309.41 sq.mtr. 
(excluding 688.52 sq.mtr. Area falls under road widing and 6075.85 sq.mtr. Area falls under 45 mtr wide Green Belt)</t>
  </si>
  <si>
    <t>24 /1 (3-6)</t>
  </si>
  <si>
    <t>37 // 3 min</t>
  </si>
  <si>
    <t>37 // 2 / 3(2-4)</t>
  </si>
  <si>
    <t>4 / 1 min</t>
  </si>
  <si>
    <t>3 (8-0)</t>
  </si>
  <si>
    <t>5 / 1'</t>
  </si>
  <si>
    <t>4 / 1 (7-18)</t>
  </si>
  <si>
    <t>8 / 1' min</t>
  </si>
  <si>
    <t>5 / 1 (1-19)</t>
  </si>
  <si>
    <t>6 / 2 (7-5)</t>
  </si>
  <si>
    <t>6 / 2'</t>
  </si>
  <si>
    <t>7 (8-0)</t>
  </si>
  <si>
    <t>13 / 2 / 2'</t>
  </si>
  <si>
    <t>8 / 1 (5-8)</t>
  </si>
  <si>
    <t>14 / 1 / 2'</t>
  </si>
  <si>
    <t>13 / 2 (0-7)</t>
  </si>
  <si>
    <t>14 / (6-11)</t>
  </si>
  <si>
    <t>16 / 1'</t>
  </si>
  <si>
    <t>15 (8-0)</t>
  </si>
  <si>
    <t>17 / 1 / 1'</t>
  </si>
  <si>
    <t>16 (7-11)</t>
  </si>
  <si>
    <t>25 / 2 /2'</t>
  </si>
  <si>
    <t>17 / 1 (1-1)</t>
  </si>
  <si>
    <t>38 // 10 / 2</t>
  </si>
  <si>
    <t>25 / 2 (2-4)</t>
  </si>
  <si>
    <t>11 / 1'</t>
  </si>
  <si>
    <t>38 // 10 / 2 (0-17)</t>
  </si>
  <si>
    <t>12 / 2'</t>
  </si>
  <si>
    <t>11 / 1 (6-8)</t>
  </si>
  <si>
    <t>19 / 2'</t>
  </si>
  <si>
    <t>20 (8-0)</t>
  </si>
  <si>
    <t>21 (7-18)</t>
  </si>
  <si>
    <t>21 / 2'</t>
  </si>
  <si>
    <t>38//12/1 (0-6)</t>
  </si>
  <si>
    <t>16 Kanal 14 Marla
(10103.5 sq.yds./ 2.09 Acres)</t>
  </si>
  <si>
    <t>23 / 1'</t>
  </si>
  <si>
    <t>38//19/2 (5-0)</t>
  </si>
  <si>
    <t>22 (8-0)</t>
  </si>
  <si>
    <t>23/1 (3-8)</t>
  </si>
  <si>
    <t xml:space="preserve">Total </t>
  </si>
  <si>
    <t>110 Kanal 14 Marla
(66973.5 sq.yds/ 13.84 Acres/ 55998.56 sq.mtr.)</t>
  </si>
  <si>
    <t>Remarks</t>
  </si>
  <si>
    <t>1. The above mentioned Khasra/ killa Nos. has taken on the basis of copy of TIR and Change of land use cerificate provided by the company/ Bank, which is relied upon in good faith.</t>
  </si>
  <si>
    <t>2.  The above mentioned khasra nos mentioned in the copy of TIR does not matches with the Killa noss mentioned in the copy of CLU certificate and approved layout plan. However, the land area is same.</t>
  </si>
  <si>
    <t>3. As per the copy of CLU certificate all these land parcel has been converted for Industry use and some of the land area falls under road widing and green belt i.e. 6764.37 sq.mtr. Therefore,  for the Valuation assessment we have taken land area as per copy of CLU/ Approved layout plan provided by the company.</t>
  </si>
  <si>
    <t xml:space="preserve">(49309.41 sq.mtr./ </t>
  </si>
  <si>
    <t>AREA STATEMENT OF BUILDING/ CIVIL STRUCTURE OF UNIT#2 | M/S. ISGEC HEAVY ENGINEERING LIMITED| RATTANGARH VILLAGE, DISTRICT- YAMUNANAGAR, HARYANA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</si>
</sst>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quot;₹&quot;\ * #,##0_ ;_ &quot;₹&quot;\ * \-#,##0_ ;_ &quot;₹&quot;\ * &quot;-&quot;??_ ;_ @_ "/>
    <numFmt numFmtId="165" formatCode="_(* #,##0_);_(* \(#,##0\);_(* &quot;-&quot;??_);_(@_)"/>
    <numFmt numFmtId="166" formatCode="0.000"/>
    <numFmt numFmtId="167" formatCode="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1"/>
      <color theme="1"/>
      <name val="Calibri"/>
      <family val="2"/>
      <scheme val="minor"/>
    </font>
    <font>
      <i/>
      <sz val="11"/>
      <color theme="1"/>
      <name val="Calibri"/>
      <family val="2"/>
      <scheme val="minor"/>
    </font>
    <font>
      <i/>
      <sz val="1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5" fillId="3" borderId="1" xfId="0" applyFont="1" applyFill="1" applyBorder="1" applyAlignment="1">
      <alignment horizontal="center" vertical="center" wrapText="1"/>
    </xf>
    <xf numFmtId="0" fontId="0" fillId="0" borderId="6" xfId="0" applyBorder="1" applyAlignment="1">
      <alignment horizontal="center" vertical="center"/>
    </xf>
    <xf numFmtId="2" fontId="0" fillId="0" borderId="1" xfId="0" applyNumberFormat="1" applyBorder="1" applyAlignment="1">
      <alignment horizontal="center"/>
    </xf>
    <xf numFmtId="2" fontId="0" fillId="0" borderId="1" xfId="0" applyNumberFormat="1" applyBorder="1" applyAlignment="1">
      <alignment horizontal="center" vertical="center"/>
    </xf>
    <xf numFmtId="44" fontId="0" fillId="0" borderId="1" xfId="1" applyFont="1" applyBorder="1" applyAlignment="1">
      <alignment horizontal="center" vertical="center"/>
    </xf>
    <xf numFmtId="164" fontId="3" fillId="0" borderId="1" xfId="2" applyNumberFormat="1" applyFont="1" applyBorder="1" applyAlignment="1">
      <alignment vertical="center"/>
    </xf>
    <xf numFmtId="0" fontId="0" fillId="0" borderId="1" xfId="0" applyBorder="1" applyAlignment="1">
      <alignment horizontal="center" vertical="center"/>
    </xf>
    <xf numFmtId="164" fontId="0" fillId="0" borderId="1" xfId="2" applyNumberFormat="1" applyFont="1" applyBorder="1" applyAlignment="1">
      <alignment vertical="center"/>
    </xf>
    <xf numFmtId="164" fontId="3" fillId="3" borderId="1" xfId="2" applyNumberFormat="1" applyFont="1" applyFill="1" applyBorder="1" applyAlignment="1">
      <alignment vertical="center"/>
    </xf>
    <xf numFmtId="165" fontId="0" fillId="0" borderId="0" xfId="0" applyNumberFormat="1"/>
    <xf numFmtId="43" fontId="0" fillId="0" borderId="0" xfId="0" applyNumberFormat="1"/>
    <xf numFmtId="0" fontId="0" fillId="0" borderId="1" xfId="0" applyBorder="1" applyAlignment="1">
      <alignment horizontal="center"/>
    </xf>
    <xf numFmtId="0" fontId="0" fillId="0" borderId="1" xfId="0" applyBorder="1"/>
    <xf numFmtId="1" fontId="0" fillId="0" borderId="0" xfId="0" applyNumberFormat="1"/>
    <xf numFmtId="0" fontId="3" fillId="5" borderId="13" xfId="0" applyFont="1" applyFill="1" applyBorder="1"/>
    <xf numFmtId="0" fontId="3" fillId="5" borderId="14" xfId="0" applyFont="1" applyFill="1" applyBorder="1"/>
    <xf numFmtId="0" fontId="3" fillId="5" borderId="15" xfId="0" applyFont="1" applyFill="1" applyBorder="1"/>
    <xf numFmtId="0" fontId="3" fillId="5" borderId="16" xfId="0" applyFont="1" applyFill="1" applyBorder="1"/>
    <xf numFmtId="0" fontId="3" fillId="5" borderId="13" xfId="0" applyFont="1" applyFill="1" applyBorder="1" applyAlignment="1">
      <alignment horizontal="right"/>
    </xf>
    <xf numFmtId="0" fontId="3" fillId="5" borderId="17" xfId="0" applyFont="1" applyFill="1" applyBorder="1"/>
    <xf numFmtId="2" fontId="3" fillId="5" borderId="18" xfId="0" applyNumberFormat="1" applyFont="1" applyFill="1" applyBorder="1"/>
    <xf numFmtId="2" fontId="3" fillId="5" borderId="19" xfId="0" applyNumberFormat="1" applyFont="1" applyFill="1" applyBorder="1"/>
    <xf numFmtId="0" fontId="0" fillId="0" borderId="9" xfId="0" applyBorder="1"/>
    <xf numFmtId="2" fontId="0" fillId="0" borderId="9" xfId="0" applyNumberFormat="1" applyBorder="1"/>
    <xf numFmtId="2" fontId="0" fillId="0" borderId="0" xfId="0" applyNumberFormat="1"/>
    <xf numFmtId="0" fontId="3" fillId="6" borderId="13" xfId="0" applyFont="1" applyFill="1" applyBorder="1"/>
    <xf numFmtId="2" fontId="0" fillId="6" borderId="20" xfId="0" applyNumberFormat="1" applyFont="1" applyFill="1" applyBorder="1"/>
    <xf numFmtId="0" fontId="3" fillId="6" borderId="13" xfId="0" applyFont="1" applyFill="1" applyBorder="1" applyAlignment="1">
      <alignment horizontal="left"/>
    </xf>
    <xf numFmtId="2" fontId="0" fillId="6" borderId="21" xfId="0" applyNumberFormat="1" applyFont="1" applyFill="1" applyBorder="1"/>
    <xf numFmtId="0" fontId="3" fillId="6" borderId="16" xfId="0" applyFont="1" applyFill="1" applyBorder="1"/>
    <xf numFmtId="2" fontId="3" fillId="6" borderId="19" xfId="0" applyNumberFormat="1" applyFont="1" applyFill="1" applyBorder="1"/>
    <xf numFmtId="2" fontId="3" fillId="6" borderId="13" xfId="0" applyNumberFormat="1" applyFont="1" applyFill="1" applyBorder="1"/>
    <xf numFmtId="0" fontId="3" fillId="6" borderId="22" xfId="0" applyFont="1" applyFill="1" applyBorder="1"/>
    <xf numFmtId="2" fontId="3" fillId="6" borderId="22" xfId="0" applyNumberFormat="1" applyFont="1" applyFill="1" applyBorder="1"/>
    <xf numFmtId="0" fontId="0" fillId="0" borderId="1" xfId="0" applyBorder="1" applyAlignment="1">
      <alignment horizontal="center" wrapText="1"/>
    </xf>
    <xf numFmtId="0" fontId="0" fillId="0" borderId="1" xfId="0" applyBorder="1" applyAlignment="1">
      <alignment horizontal="left" vertical="center"/>
    </xf>
    <xf numFmtId="167" fontId="0" fillId="0" borderId="1" xfId="0" applyNumberFormat="1" applyBorder="1" applyAlignment="1">
      <alignment horizontal="center" vertical="center"/>
    </xf>
    <xf numFmtId="1" fontId="0" fillId="0" borderId="1" xfId="0" applyNumberFormat="1" applyBorder="1" applyAlignment="1">
      <alignment horizontal="center" vertical="center"/>
    </xf>
    <xf numFmtId="44" fontId="0" fillId="0" borderId="1" xfId="1" applyFont="1" applyBorder="1" applyAlignment="1">
      <alignment vertical="center"/>
    </xf>
    <xf numFmtId="0" fontId="5" fillId="3" borderId="1" xfId="0" applyFont="1" applyFill="1" applyBorder="1" applyAlignment="1">
      <alignment horizontal="center" vertical="center"/>
    </xf>
    <xf numFmtId="166" fontId="5" fillId="3" borderId="1" xfId="0" applyNumberFormat="1" applyFont="1" applyFill="1" applyBorder="1" applyAlignment="1">
      <alignment horizontal="center" vertical="center" wrapText="1"/>
    </xf>
    <xf numFmtId="0" fontId="5" fillId="0" borderId="1" xfId="0" applyFont="1" applyFill="1" applyBorder="1" applyAlignment="1">
      <alignment horizontal="center"/>
    </xf>
    <xf numFmtId="44" fontId="5" fillId="0" borderId="1" xfId="1" applyFont="1" applyFill="1" applyBorder="1" applyAlignment="1">
      <alignment horizontal="center"/>
    </xf>
    <xf numFmtId="167" fontId="5" fillId="0" borderId="1" xfId="0" applyNumberFormat="1" applyFont="1" applyFill="1" applyBorder="1" applyAlignment="1">
      <alignment horizontal="center"/>
    </xf>
    <xf numFmtId="166" fontId="0" fillId="0" borderId="1" xfId="0" applyNumberFormat="1" applyFont="1" applyBorder="1" applyAlignment="1">
      <alignment horizontal="center" wrapText="1"/>
    </xf>
    <xf numFmtId="44" fontId="0" fillId="0" borderId="0" xfId="0" applyNumberFormat="1"/>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6"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center" vertical="center"/>
    </xf>
    <xf numFmtId="0" fontId="6" fillId="0" borderId="1" xfId="0" applyFont="1" applyBorder="1" applyAlignment="1">
      <alignment horizontal="left"/>
    </xf>
    <xf numFmtId="0" fontId="6" fillId="0" borderId="1" xfId="0" applyFont="1" applyBorder="1" applyAlignment="1">
      <alignment horizontal="left" wrapText="1"/>
    </xf>
    <xf numFmtId="0" fontId="2" fillId="2" borderId="4" xfId="0" applyFont="1" applyFill="1" applyBorder="1" applyAlignment="1">
      <alignment horizontal="center"/>
    </xf>
    <xf numFmtId="0" fontId="2" fillId="2" borderId="10" xfId="0" applyFont="1" applyFill="1" applyBorder="1" applyAlignment="1">
      <alignment horizontal="center"/>
    </xf>
    <xf numFmtId="0" fontId="2" fillId="2" borderId="5" xfId="0" applyFont="1" applyFill="1" applyBorder="1" applyAlignment="1">
      <alignment horizontal="center"/>
    </xf>
    <xf numFmtId="0" fontId="0" fillId="0" borderId="6" xfId="0" applyBorder="1" applyAlignment="1">
      <alignment horizontal="center" vertical="center" wrapText="1"/>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44" fontId="5" fillId="3" borderId="1" xfId="2" applyFont="1" applyFill="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9" fontId="0" fillId="0" borderId="1" xfId="0" applyNumberFormat="1" applyFont="1" applyBorder="1" applyAlignment="1">
      <alignment horizontal="center" vertical="center"/>
    </xf>
    <xf numFmtId="0" fontId="0" fillId="4" borderId="4" xfId="0" applyFill="1" applyBorder="1" applyAlignment="1">
      <alignment vertical="center" wrapText="1"/>
    </xf>
    <xf numFmtId="0" fontId="0" fillId="4" borderId="5" xfId="0" applyFill="1" applyBorder="1" applyAlignment="1">
      <alignment vertical="center" wrapText="1"/>
    </xf>
    <xf numFmtId="0" fontId="0" fillId="4" borderId="4"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xf>
    <xf numFmtId="0" fontId="3" fillId="3" borderId="4" xfId="0" applyFont="1" applyFill="1" applyBorder="1" applyAlignment="1">
      <alignment horizontal="left" vertical="center"/>
    </xf>
    <xf numFmtId="0" fontId="3" fillId="3" borderId="10" xfId="0" applyFont="1" applyFill="1" applyBorder="1" applyAlignment="1">
      <alignment horizontal="left" vertical="center"/>
    </xf>
    <xf numFmtId="0" fontId="3" fillId="3" borderId="5" xfId="0" applyFont="1" applyFill="1" applyBorder="1" applyAlignment="1">
      <alignment horizontal="left" vertical="center"/>
    </xf>
    <xf numFmtId="0" fontId="6" fillId="0" borderId="7" xfId="0" applyFont="1" applyBorder="1" applyAlignment="1">
      <alignment horizontal="left"/>
    </xf>
    <xf numFmtId="0" fontId="6" fillId="0" borderId="11" xfId="0" applyFont="1" applyBorder="1" applyAlignment="1">
      <alignment horizontal="left"/>
    </xf>
    <xf numFmtId="0" fontId="6" fillId="0" borderId="8" xfId="0" applyFont="1" applyBorder="1" applyAlignment="1">
      <alignment horizontal="left"/>
    </xf>
    <xf numFmtId="0" fontId="0" fillId="0" borderId="0" xfId="0" applyBorder="1" applyAlignment="1">
      <alignment horizontal="center"/>
    </xf>
    <xf numFmtId="0" fontId="5" fillId="0" borderId="1" xfId="0" applyFont="1" applyFill="1" applyBorder="1" applyAlignment="1">
      <alignment horizontal="center"/>
    </xf>
    <xf numFmtId="0" fontId="2" fillId="2" borderId="1" xfId="0" applyFont="1" applyFill="1" applyBorder="1" applyAlignment="1">
      <alignment horizontal="center" wrapText="1"/>
    </xf>
  </cellXfs>
  <cellStyles count="3">
    <cellStyle name="Currency" xfId="1" builtinId="4"/>
    <cellStyle name="Currency 6"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S37"/>
  <sheetViews>
    <sheetView tabSelected="1" topLeftCell="A16" workbookViewId="0">
      <selection activeCell="M31" sqref="M31"/>
    </sheetView>
  </sheetViews>
  <sheetFormatPr defaultRowHeight="15" x14ac:dyDescent="0.25"/>
  <cols>
    <col min="6" max="7" width="21.28515625" customWidth="1"/>
    <col min="8" max="8" width="15.7109375" customWidth="1"/>
    <col min="9" max="9" width="17.5703125" bestFit="1" customWidth="1"/>
  </cols>
  <sheetData>
    <row r="4" spans="5:18" x14ac:dyDescent="0.25">
      <c r="E4" s="57" t="s">
        <v>55</v>
      </c>
      <c r="F4" s="58"/>
      <c r="G4" s="58"/>
      <c r="H4" s="58"/>
      <c r="I4" s="59"/>
    </row>
    <row r="5" spans="5:18" ht="45" x14ac:dyDescent="0.25">
      <c r="E5" s="47" t="s">
        <v>56</v>
      </c>
      <c r="F5" s="48" t="s">
        <v>57</v>
      </c>
      <c r="G5" s="48" t="s">
        <v>58</v>
      </c>
      <c r="H5" s="48" t="s">
        <v>59</v>
      </c>
      <c r="I5" s="48" t="s">
        <v>60</v>
      </c>
    </row>
    <row r="6" spans="5:18" x14ac:dyDescent="0.25">
      <c r="E6" s="7">
        <v>1</v>
      </c>
      <c r="F6" s="7" t="s">
        <v>61</v>
      </c>
      <c r="G6" s="60" t="s">
        <v>62</v>
      </c>
      <c r="H6" s="7" t="s">
        <v>63</v>
      </c>
      <c r="I6" s="60" t="s">
        <v>64</v>
      </c>
    </row>
    <row r="7" spans="5:18" x14ac:dyDescent="0.25">
      <c r="E7" s="7">
        <v>2</v>
      </c>
      <c r="F7" s="7" t="s">
        <v>65</v>
      </c>
      <c r="G7" s="61"/>
      <c r="H7" s="7" t="s">
        <v>66</v>
      </c>
      <c r="I7" s="61"/>
    </row>
    <row r="8" spans="5:18" x14ac:dyDescent="0.25">
      <c r="E8" s="7">
        <v>3</v>
      </c>
      <c r="F8" s="7" t="s">
        <v>67</v>
      </c>
      <c r="G8" s="61"/>
      <c r="H8" s="7" t="s">
        <v>68</v>
      </c>
      <c r="I8" s="61"/>
    </row>
    <row r="9" spans="5:18" x14ac:dyDescent="0.25">
      <c r="E9" s="7">
        <v>4</v>
      </c>
      <c r="F9" s="7" t="s">
        <v>69</v>
      </c>
      <c r="G9" s="61"/>
      <c r="H9" s="49" t="s">
        <v>70</v>
      </c>
      <c r="I9" s="61"/>
    </row>
    <row r="10" spans="5:18" x14ac:dyDescent="0.25">
      <c r="E10" s="7">
        <v>5</v>
      </c>
      <c r="F10" s="7" t="s">
        <v>71</v>
      </c>
      <c r="G10" s="61"/>
      <c r="H10" s="7" t="s">
        <v>72</v>
      </c>
      <c r="I10" s="61"/>
    </row>
    <row r="11" spans="5:18" x14ac:dyDescent="0.25">
      <c r="E11" s="7">
        <v>6</v>
      </c>
      <c r="F11" s="7" t="s">
        <v>73</v>
      </c>
      <c r="G11" s="61"/>
      <c r="H11" s="7">
        <v>7</v>
      </c>
      <c r="I11" s="61"/>
    </row>
    <row r="12" spans="5:18" x14ac:dyDescent="0.25">
      <c r="E12" s="7">
        <v>7</v>
      </c>
      <c r="F12" s="7" t="s">
        <v>74</v>
      </c>
      <c r="G12" s="61"/>
      <c r="H12" s="49" t="s">
        <v>75</v>
      </c>
      <c r="I12" s="61"/>
    </row>
    <row r="13" spans="5:18" x14ac:dyDescent="0.25">
      <c r="E13" s="7">
        <v>8</v>
      </c>
      <c r="F13" s="7" t="s">
        <v>76</v>
      </c>
      <c r="G13" s="61"/>
      <c r="H13" s="50" t="s">
        <v>77</v>
      </c>
      <c r="I13" s="61"/>
    </row>
    <row r="14" spans="5:18" x14ac:dyDescent="0.25">
      <c r="E14" s="7">
        <v>9</v>
      </c>
      <c r="F14" s="7" t="s">
        <v>78</v>
      </c>
      <c r="G14" s="61"/>
      <c r="H14" s="7" t="s">
        <v>79</v>
      </c>
      <c r="I14" s="61"/>
    </row>
    <row r="15" spans="5:18" x14ac:dyDescent="0.25">
      <c r="E15" s="7">
        <v>10</v>
      </c>
      <c r="F15" s="7" t="s">
        <v>80</v>
      </c>
      <c r="G15" s="61"/>
      <c r="H15" s="7">
        <v>15</v>
      </c>
      <c r="I15" s="61"/>
      <c r="P15">
        <v>16</v>
      </c>
      <c r="Q15">
        <v>14</v>
      </c>
    </row>
    <row r="16" spans="5:18" x14ac:dyDescent="0.25">
      <c r="E16" s="7">
        <v>11</v>
      </c>
      <c r="F16" s="7" t="s">
        <v>81</v>
      </c>
      <c r="G16" s="61"/>
      <c r="H16" s="7" t="s">
        <v>82</v>
      </c>
      <c r="I16" s="61"/>
      <c r="P16">
        <f>P15*20</f>
        <v>320</v>
      </c>
      <c r="Q16">
        <f>P16+Q15</f>
        <v>334</v>
      </c>
      <c r="R16">
        <f>Q16*30.25</f>
        <v>10103.5</v>
      </c>
    </row>
    <row r="17" spans="5:19" x14ac:dyDescent="0.25">
      <c r="E17" s="7">
        <v>12</v>
      </c>
      <c r="F17" s="7" t="s">
        <v>83</v>
      </c>
      <c r="G17" s="61"/>
      <c r="H17" s="50" t="s">
        <v>84</v>
      </c>
      <c r="I17" s="61"/>
      <c r="R17">
        <f>R16/4840</f>
        <v>2.0874999999999999</v>
      </c>
    </row>
    <row r="18" spans="5:19" x14ac:dyDescent="0.25">
      <c r="E18" s="7">
        <v>13</v>
      </c>
      <c r="F18" s="7" t="s">
        <v>85</v>
      </c>
      <c r="G18" s="61"/>
      <c r="H18" s="50" t="s">
        <v>86</v>
      </c>
      <c r="I18" s="61"/>
      <c r="P18">
        <v>93</v>
      </c>
      <c r="Q18">
        <v>19</v>
      </c>
    </row>
    <row r="19" spans="5:19" x14ac:dyDescent="0.25">
      <c r="E19" s="7">
        <v>14</v>
      </c>
      <c r="F19" s="7" t="s">
        <v>87</v>
      </c>
      <c r="G19" s="61"/>
      <c r="H19" s="7" t="s">
        <v>88</v>
      </c>
      <c r="I19" s="61"/>
      <c r="P19">
        <f>P18*20</f>
        <v>1860</v>
      </c>
      <c r="Q19">
        <f>P19+Q18</f>
        <v>1879</v>
      </c>
      <c r="R19">
        <f>Q19*30.25</f>
        <v>56839.75</v>
      </c>
    </row>
    <row r="20" spans="5:19" x14ac:dyDescent="0.25">
      <c r="E20" s="7">
        <v>15</v>
      </c>
      <c r="F20" s="7" t="s">
        <v>89</v>
      </c>
      <c r="G20" s="61"/>
      <c r="H20" s="7" t="s">
        <v>90</v>
      </c>
      <c r="I20" s="61"/>
      <c r="R20">
        <f>R19/4840</f>
        <v>11.74375</v>
      </c>
      <c r="S20">
        <f>R20+R17</f>
        <v>13.831250000000001</v>
      </c>
    </row>
    <row r="21" spans="5:19" x14ac:dyDescent="0.25">
      <c r="E21" s="7">
        <v>16</v>
      </c>
      <c r="F21" s="7" t="s">
        <v>91</v>
      </c>
      <c r="G21" s="61"/>
      <c r="H21" s="7" t="s">
        <v>92</v>
      </c>
      <c r="I21" s="61"/>
    </row>
    <row r="22" spans="5:19" x14ac:dyDescent="0.25">
      <c r="E22" s="7">
        <v>17</v>
      </c>
      <c r="F22" s="7" t="s">
        <v>93</v>
      </c>
      <c r="G22" s="61"/>
      <c r="H22" s="49" t="s">
        <v>94</v>
      </c>
      <c r="I22" s="61"/>
    </row>
    <row r="23" spans="5:19" x14ac:dyDescent="0.25">
      <c r="E23" s="7">
        <v>18</v>
      </c>
      <c r="F23" s="7" t="s">
        <v>95</v>
      </c>
      <c r="G23" s="61"/>
      <c r="H23" s="7">
        <v>20</v>
      </c>
      <c r="I23" s="61"/>
    </row>
    <row r="24" spans="5:19" x14ac:dyDescent="0.25">
      <c r="E24" s="7">
        <v>19</v>
      </c>
      <c r="F24" s="7" t="s">
        <v>96</v>
      </c>
      <c r="G24" s="62"/>
      <c r="H24" s="7" t="s">
        <v>97</v>
      </c>
      <c r="I24" s="61"/>
      <c r="P24">
        <f>P18+P15+1</f>
        <v>110</v>
      </c>
      <c r="Q24">
        <v>14</v>
      </c>
    </row>
    <row r="25" spans="5:19" x14ac:dyDescent="0.25">
      <c r="E25" s="7"/>
      <c r="F25" s="7"/>
      <c r="G25" s="7"/>
      <c r="H25" s="7">
        <v>22</v>
      </c>
      <c r="I25" s="61"/>
      <c r="P25">
        <f>P24*20</f>
        <v>2200</v>
      </c>
      <c r="Q25">
        <f>P25+Q24</f>
        <v>2214</v>
      </c>
      <c r="R25">
        <f>Q25*30.25</f>
        <v>66973.5</v>
      </c>
    </row>
    <row r="26" spans="5:19" x14ac:dyDescent="0.25">
      <c r="E26" s="7">
        <v>20</v>
      </c>
      <c r="F26" s="7" t="s">
        <v>98</v>
      </c>
      <c r="G26" s="60" t="s">
        <v>99</v>
      </c>
      <c r="H26" s="49" t="s">
        <v>100</v>
      </c>
      <c r="I26" s="62"/>
      <c r="R26">
        <f>R25/4840</f>
        <v>13.8375</v>
      </c>
      <c r="S26">
        <f>R26+R23</f>
        <v>13.8375</v>
      </c>
    </row>
    <row r="27" spans="5:19" x14ac:dyDescent="0.25">
      <c r="E27" s="7">
        <v>21</v>
      </c>
      <c r="F27" s="7" t="s">
        <v>101</v>
      </c>
      <c r="G27" s="61"/>
      <c r="H27" s="49"/>
      <c r="I27" s="49"/>
      <c r="S27">
        <f>S26*4046.87</f>
        <v>55998.563625000003</v>
      </c>
    </row>
    <row r="28" spans="5:19" x14ac:dyDescent="0.25">
      <c r="E28" s="7">
        <v>22</v>
      </c>
      <c r="F28" s="51" t="s">
        <v>102</v>
      </c>
      <c r="G28" s="61"/>
      <c r="H28" s="13"/>
      <c r="I28" s="13"/>
    </row>
    <row r="29" spans="5:19" x14ac:dyDescent="0.25">
      <c r="E29" s="7">
        <v>23</v>
      </c>
      <c r="F29" s="51" t="s">
        <v>103</v>
      </c>
      <c r="G29" s="62"/>
      <c r="H29" s="13"/>
      <c r="I29" s="13"/>
    </row>
    <row r="30" spans="5:19" x14ac:dyDescent="0.25">
      <c r="E30" s="63"/>
      <c r="F30" s="63"/>
      <c r="G30" s="63"/>
      <c r="H30" s="63"/>
      <c r="I30" s="63"/>
      <c r="P30">
        <v>688.52</v>
      </c>
    </row>
    <row r="31" spans="5:19" ht="60" x14ac:dyDescent="0.25">
      <c r="E31" s="64" t="s">
        <v>104</v>
      </c>
      <c r="F31" s="65"/>
      <c r="G31" s="52" t="s">
        <v>105</v>
      </c>
      <c r="H31" s="53"/>
      <c r="I31" s="54" t="s">
        <v>110</v>
      </c>
      <c r="K31">
        <f>49309.41/4046.87</f>
        <v>12.184579687511585</v>
      </c>
      <c r="P31">
        <v>6075.85</v>
      </c>
    </row>
    <row r="32" spans="5:19" x14ac:dyDescent="0.25">
      <c r="E32" s="55" t="s">
        <v>106</v>
      </c>
      <c r="F32" s="55"/>
      <c r="G32" s="55"/>
      <c r="H32" s="55"/>
      <c r="I32" s="55"/>
      <c r="P32">
        <f>SUM(P30:P31)</f>
        <v>6764.3700000000008</v>
      </c>
    </row>
    <row r="33" spans="5:19" ht="31.5" customHeight="1" x14ac:dyDescent="0.25">
      <c r="E33" s="56" t="s">
        <v>107</v>
      </c>
      <c r="F33" s="56"/>
      <c r="G33" s="56"/>
      <c r="H33" s="56"/>
      <c r="I33" s="56"/>
    </row>
    <row r="34" spans="5:19" ht="44.25" customHeight="1" x14ac:dyDescent="0.25">
      <c r="E34" s="56" t="s">
        <v>108</v>
      </c>
      <c r="F34" s="56"/>
      <c r="G34" s="56"/>
      <c r="H34" s="56"/>
      <c r="I34" s="56"/>
      <c r="O34">
        <v>96</v>
      </c>
      <c r="P34">
        <v>6</v>
      </c>
      <c r="S34">
        <f>2*20+7</f>
        <v>47</v>
      </c>
    </row>
    <row r="35" spans="5:19" ht="60.75" customHeight="1" x14ac:dyDescent="0.25">
      <c r="E35" s="56" t="s">
        <v>109</v>
      </c>
      <c r="F35" s="56"/>
      <c r="G35" s="56"/>
      <c r="H35" s="56"/>
      <c r="I35" s="56"/>
      <c r="O35">
        <v>16</v>
      </c>
      <c r="P35">
        <v>14</v>
      </c>
      <c r="S35">
        <f>S34*30.25</f>
        <v>1421.75</v>
      </c>
    </row>
    <row r="36" spans="5:19" x14ac:dyDescent="0.25">
      <c r="O36">
        <f>SUM(O34:O35)</f>
        <v>112</v>
      </c>
      <c r="P36">
        <f>SUM(P34:P35)</f>
        <v>20</v>
      </c>
    </row>
    <row r="37" spans="5:19" x14ac:dyDescent="0.25">
      <c r="O37">
        <f>113/8</f>
        <v>14.125</v>
      </c>
    </row>
  </sheetData>
  <mergeCells count="10">
    <mergeCell ref="E32:I32"/>
    <mergeCell ref="E33:I33"/>
    <mergeCell ref="E34:I34"/>
    <mergeCell ref="E35:I35"/>
    <mergeCell ref="E4:I4"/>
    <mergeCell ref="G6:G24"/>
    <mergeCell ref="I6:I26"/>
    <mergeCell ref="G26:G29"/>
    <mergeCell ref="E30:I30"/>
    <mergeCell ref="E31:F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O11" sqref="O11"/>
    </sheetView>
  </sheetViews>
  <sheetFormatPr defaultRowHeight="15" x14ac:dyDescent="0.25"/>
  <cols>
    <col min="4" max="4" width="28" customWidth="1"/>
    <col min="6" max="6" width="14" customWidth="1"/>
    <col min="7" max="7" width="16.5703125" customWidth="1"/>
    <col min="8" max="8" width="21.85546875" bestFit="1" customWidth="1"/>
    <col min="9" max="9" width="13.28515625" bestFit="1" customWidth="1"/>
    <col min="10" max="10" width="12.5703125" bestFit="1" customWidth="1"/>
  </cols>
  <sheetData>
    <row r="2" spans="2:10" ht="31.5" customHeight="1" x14ac:dyDescent="0.25">
      <c r="B2" s="66" t="s">
        <v>49</v>
      </c>
      <c r="C2" s="66"/>
      <c r="D2" s="66"/>
      <c r="E2" s="66"/>
      <c r="F2" s="66"/>
      <c r="G2" s="66"/>
      <c r="H2" s="66"/>
    </row>
    <row r="3" spans="2:10" x14ac:dyDescent="0.25">
      <c r="B3" s="67" t="s">
        <v>0</v>
      </c>
      <c r="C3" s="68" t="s">
        <v>1</v>
      </c>
      <c r="D3" s="69"/>
      <c r="E3" s="72" t="s">
        <v>2</v>
      </c>
      <c r="F3" s="73"/>
      <c r="G3" s="74" t="s">
        <v>3</v>
      </c>
      <c r="H3" s="76" t="s">
        <v>4</v>
      </c>
    </row>
    <row r="4" spans="2:10" x14ac:dyDescent="0.25">
      <c r="B4" s="67"/>
      <c r="C4" s="70"/>
      <c r="D4" s="71"/>
      <c r="E4" s="1" t="s">
        <v>5</v>
      </c>
      <c r="F4" s="1" t="s">
        <v>6</v>
      </c>
      <c r="G4" s="75"/>
      <c r="H4" s="76"/>
    </row>
    <row r="5" spans="2:10" x14ac:dyDescent="0.25">
      <c r="B5" s="2">
        <v>1</v>
      </c>
      <c r="C5" s="80" t="s">
        <v>7</v>
      </c>
      <c r="D5" s="81"/>
      <c r="E5" s="3">
        <f>49309.41 /4046.87</f>
        <v>12.184579687511585</v>
      </c>
      <c r="F5" s="4">
        <f>E5/2.47</f>
        <v>4.933028213567443</v>
      </c>
      <c r="G5" s="5">
        <f>90*10^5</f>
        <v>9000000</v>
      </c>
      <c r="H5" s="6">
        <f>G5*E5</f>
        <v>109661217.18760426</v>
      </c>
    </row>
    <row r="6" spans="2:10" x14ac:dyDescent="0.25">
      <c r="B6" s="7">
        <v>2</v>
      </c>
      <c r="C6" s="82" t="s">
        <v>8</v>
      </c>
      <c r="D6" s="83"/>
      <c r="E6" s="84">
        <v>0.05</v>
      </c>
      <c r="F6" s="84"/>
      <c r="G6" s="84"/>
      <c r="H6" s="8">
        <f>$H$5*E6</f>
        <v>5483060.8593802135</v>
      </c>
    </row>
    <row r="7" spans="2:10" ht="34.5" customHeight="1" x14ac:dyDescent="0.25">
      <c r="B7" s="7">
        <v>3</v>
      </c>
      <c r="C7" s="85" t="s">
        <v>9</v>
      </c>
      <c r="D7" s="86"/>
      <c r="E7" s="87" t="s">
        <v>10</v>
      </c>
      <c r="F7" s="88"/>
      <c r="G7" s="89"/>
      <c r="H7" s="8">
        <f>E5*350000</f>
        <v>4264602.890629055</v>
      </c>
    </row>
    <row r="8" spans="2:10" x14ac:dyDescent="0.25">
      <c r="B8" s="90" t="s">
        <v>11</v>
      </c>
      <c r="C8" s="91"/>
      <c r="D8" s="91"/>
      <c r="E8" s="91"/>
      <c r="F8" s="91"/>
      <c r="G8" s="92"/>
      <c r="H8" s="9">
        <f>SUM(H5:H7)</f>
        <v>119408880.93761353</v>
      </c>
      <c r="I8" s="10">
        <f>H8/SUM(E5)</f>
        <v>9800000</v>
      </c>
      <c r="J8" s="11">
        <f>I8/5.93</f>
        <v>1652613.8279932546</v>
      </c>
    </row>
    <row r="9" spans="2:10" x14ac:dyDescent="0.25">
      <c r="B9" s="77" t="s">
        <v>12</v>
      </c>
      <c r="C9" s="77"/>
      <c r="D9" s="77"/>
      <c r="E9" s="77"/>
      <c r="F9" s="77"/>
      <c r="G9" s="77"/>
      <c r="H9" s="77"/>
    </row>
    <row r="10" spans="2:10" x14ac:dyDescent="0.25">
      <c r="B10" s="78" t="s">
        <v>13</v>
      </c>
      <c r="C10" s="78"/>
      <c r="D10" s="78"/>
      <c r="E10" s="78"/>
      <c r="F10" s="78"/>
      <c r="G10" s="78"/>
      <c r="H10" s="78"/>
    </row>
    <row r="11" spans="2:10" ht="30.75" customHeight="1" x14ac:dyDescent="0.25">
      <c r="B11" s="79" t="s">
        <v>14</v>
      </c>
      <c r="C11" s="79"/>
      <c r="D11" s="79"/>
      <c r="E11" s="79"/>
      <c r="F11" s="79"/>
      <c r="G11" s="79"/>
      <c r="H11" s="79"/>
    </row>
  </sheetData>
  <mergeCells count="15">
    <mergeCell ref="B9:H9"/>
    <mergeCell ref="B10:H10"/>
    <mergeCell ref="B11:H11"/>
    <mergeCell ref="C5:D5"/>
    <mergeCell ref="C6:D6"/>
    <mergeCell ref="E6:G6"/>
    <mergeCell ref="C7:D7"/>
    <mergeCell ref="E7:G7"/>
    <mergeCell ref="B8:G8"/>
    <mergeCell ref="B2:H2"/>
    <mergeCell ref="B3:B4"/>
    <mergeCell ref="C3:D4"/>
    <mergeCell ref="E3:F3"/>
    <mergeCell ref="G3:G4"/>
    <mergeCell ref="H3: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workbookViewId="0">
      <selection activeCell="B14" sqref="B14:J14"/>
    </sheetView>
  </sheetViews>
  <sheetFormatPr defaultRowHeight="15" x14ac:dyDescent="0.25"/>
  <cols>
    <col min="3" max="3" width="30.28515625" bestFit="1" customWidth="1"/>
    <col min="4" max="4" width="29.42578125" customWidth="1"/>
    <col min="5" max="5" width="12.42578125" customWidth="1"/>
    <col min="6" max="6" width="11.5703125" customWidth="1"/>
    <col min="7" max="7" width="9.42578125" customWidth="1"/>
    <col min="8" max="8" width="11.28515625" customWidth="1"/>
    <col min="9" max="9" width="13.5703125" customWidth="1"/>
    <col min="10" max="10" width="15.85546875" customWidth="1"/>
    <col min="11" max="11" width="12" bestFit="1" customWidth="1"/>
    <col min="12" max="12" width="16.85546875" bestFit="1" customWidth="1"/>
    <col min="13" max="13" width="15.7109375" bestFit="1" customWidth="1"/>
  </cols>
  <sheetData>
    <row r="1" spans="2:13" x14ac:dyDescent="0.25">
      <c r="B1" s="96" t="s">
        <v>15</v>
      </c>
      <c r="C1" s="96"/>
      <c r="D1" s="96"/>
      <c r="E1" s="96"/>
      <c r="F1" s="96"/>
      <c r="G1" s="96"/>
      <c r="H1" s="96"/>
    </row>
    <row r="2" spans="2:13" ht="30" customHeight="1" x14ac:dyDescent="0.25">
      <c r="B2" s="98" t="s">
        <v>111</v>
      </c>
      <c r="C2" s="98"/>
      <c r="D2" s="98"/>
      <c r="E2" s="98"/>
      <c r="F2" s="98"/>
      <c r="G2" s="98"/>
      <c r="H2" s="98"/>
      <c r="I2" s="98"/>
      <c r="J2" s="98"/>
      <c r="K2" s="13"/>
    </row>
    <row r="3" spans="2:13" ht="57.75" x14ac:dyDescent="0.25">
      <c r="B3" s="40" t="s">
        <v>16</v>
      </c>
      <c r="C3" s="40" t="s">
        <v>17</v>
      </c>
      <c r="D3" s="40" t="s">
        <v>18</v>
      </c>
      <c r="E3" s="1" t="s">
        <v>46</v>
      </c>
      <c r="F3" s="1" t="s">
        <v>47</v>
      </c>
      <c r="G3" s="41" t="s">
        <v>48</v>
      </c>
      <c r="H3" s="41" t="s">
        <v>19</v>
      </c>
      <c r="I3" s="41" t="s">
        <v>20</v>
      </c>
      <c r="J3" s="41" t="s">
        <v>21</v>
      </c>
      <c r="K3" s="13"/>
    </row>
    <row r="4" spans="2:13" ht="27.75" customHeight="1" x14ac:dyDescent="0.25">
      <c r="B4" s="12" t="s">
        <v>22</v>
      </c>
      <c r="C4" s="36" t="s">
        <v>23</v>
      </c>
      <c r="D4" s="35" t="s">
        <v>44</v>
      </c>
      <c r="E4" s="7">
        <f>30*100</f>
        <v>3000</v>
      </c>
      <c r="F4" s="37">
        <f>E4*10.764</f>
        <v>32291.999999999996</v>
      </c>
      <c r="G4" s="38">
        <v>25</v>
      </c>
      <c r="H4" s="38">
        <v>2017</v>
      </c>
      <c r="I4" s="5">
        <v>800</v>
      </c>
      <c r="J4" s="39">
        <f>I4*F4</f>
        <v>25833599.999999996</v>
      </c>
      <c r="K4" s="13"/>
    </row>
    <row r="5" spans="2:13" ht="30" x14ac:dyDescent="0.25">
      <c r="B5" s="12" t="s">
        <v>24</v>
      </c>
      <c r="C5" s="36" t="s">
        <v>25</v>
      </c>
      <c r="D5" s="35" t="s">
        <v>44</v>
      </c>
      <c r="E5" s="7">
        <f>100*30</f>
        <v>3000</v>
      </c>
      <c r="F5" s="37">
        <f t="shared" ref="F5:F8" si="0">E5*10.764</f>
        <v>32291.999999999996</v>
      </c>
      <c r="G5" s="38">
        <v>25</v>
      </c>
      <c r="H5" s="38">
        <v>2017</v>
      </c>
      <c r="I5" s="5">
        <v>800</v>
      </c>
      <c r="J5" s="39">
        <f>I5*F5</f>
        <v>25833599.999999996</v>
      </c>
      <c r="K5" s="13"/>
    </row>
    <row r="6" spans="2:13" ht="30" x14ac:dyDescent="0.25">
      <c r="B6" s="12" t="s">
        <v>26</v>
      </c>
      <c r="C6" s="36" t="s">
        <v>43</v>
      </c>
      <c r="D6" s="35" t="s">
        <v>44</v>
      </c>
      <c r="E6" s="7">
        <f>120*30</f>
        <v>3600</v>
      </c>
      <c r="F6" s="37">
        <f t="shared" si="0"/>
        <v>38750.399999999994</v>
      </c>
      <c r="G6" s="38">
        <v>25</v>
      </c>
      <c r="H6" s="38">
        <v>2019</v>
      </c>
      <c r="I6" s="5">
        <v>800</v>
      </c>
      <c r="J6" s="39">
        <f>I6*F6</f>
        <v>31000319.999999996</v>
      </c>
      <c r="K6" s="13"/>
    </row>
    <row r="7" spans="2:13" ht="48" customHeight="1" x14ac:dyDescent="0.25">
      <c r="B7" s="7" t="s">
        <v>27</v>
      </c>
      <c r="C7" s="36" t="s">
        <v>28</v>
      </c>
      <c r="D7" s="45" t="s">
        <v>45</v>
      </c>
      <c r="E7" s="7">
        <f>20*18.98</f>
        <v>379.6</v>
      </c>
      <c r="F7" s="37">
        <f t="shared" si="0"/>
        <v>4086.0144</v>
      </c>
      <c r="G7" s="38">
        <v>15</v>
      </c>
      <c r="H7" s="38">
        <v>2019</v>
      </c>
      <c r="I7" s="5">
        <v>1300</v>
      </c>
      <c r="J7" s="39">
        <f>I7*F7</f>
        <v>5311818.72</v>
      </c>
      <c r="K7" s="13"/>
    </row>
    <row r="8" spans="2:13" ht="30" x14ac:dyDescent="0.25">
      <c r="B8" s="12" t="s">
        <v>29</v>
      </c>
      <c r="C8" s="36" t="s">
        <v>30</v>
      </c>
      <c r="D8" s="35" t="s">
        <v>44</v>
      </c>
      <c r="E8" s="7">
        <f>30*35</f>
        <v>1050</v>
      </c>
      <c r="F8" s="37">
        <f t="shared" si="0"/>
        <v>11302.199999999999</v>
      </c>
      <c r="G8" s="38">
        <v>15</v>
      </c>
      <c r="H8" s="38">
        <v>2019</v>
      </c>
      <c r="I8" s="5">
        <v>700</v>
      </c>
      <c r="J8" s="39">
        <f>I8*F8</f>
        <v>7911539.9999999991</v>
      </c>
      <c r="K8" s="13"/>
    </row>
    <row r="9" spans="2:13" x14ac:dyDescent="0.25">
      <c r="B9" s="97" t="s">
        <v>31</v>
      </c>
      <c r="C9" s="97"/>
      <c r="D9" s="97"/>
      <c r="E9" s="42">
        <f>SUM(E4:E8)</f>
        <v>11029.6</v>
      </c>
      <c r="F9" s="44">
        <f>SUM(F4:F8)</f>
        <v>118722.61439999999</v>
      </c>
      <c r="G9" s="97"/>
      <c r="H9" s="97"/>
      <c r="I9" s="97"/>
      <c r="J9" s="43">
        <f>SUM(J4:J8)</f>
        <v>95890878.719999984</v>
      </c>
      <c r="K9" s="13">
        <f>'Land Valuation'!H8</f>
        <v>119408880.93761353</v>
      </c>
      <c r="L9" s="46">
        <f>SUM(J9:K9)</f>
        <v>215299759.65761352</v>
      </c>
      <c r="M9">
        <v>13500000</v>
      </c>
    </row>
    <row r="10" spans="2:13" x14ac:dyDescent="0.25">
      <c r="B10" s="55" t="s">
        <v>50</v>
      </c>
      <c r="C10" s="55"/>
      <c r="D10" s="55"/>
      <c r="E10" s="55"/>
      <c r="F10" s="55"/>
      <c r="G10" s="55"/>
      <c r="H10" s="55"/>
      <c r="I10" s="55"/>
      <c r="J10" s="55"/>
      <c r="K10" s="13"/>
      <c r="L10" s="46">
        <f>14000000</f>
        <v>14000000</v>
      </c>
      <c r="M10" s="14">
        <f>M9*11.74</f>
        <v>158490000</v>
      </c>
    </row>
    <row r="11" spans="2:13" x14ac:dyDescent="0.25">
      <c r="B11" s="55" t="s">
        <v>51</v>
      </c>
      <c r="C11" s="55"/>
      <c r="D11" s="55"/>
      <c r="E11" s="55"/>
      <c r="F11" s="55"/>
      <c r="G11" s="55"/>
      <c r="H11" s="55"/>
      <c r="I11" s="55"/>
      <c r="J11" s="55"/>
      <c r="K11" s="13"/>
      <c r="L11" s="46">
        <f>SUM(L9:L10)</f>
        <v>229299759.65761352</v>
      </c>
    </row>
    <row r="12" spans="2:13" ht="30" customHeight="1" x14ac:dyDescent="0.25">
      <c r="B12" s="56" t="s">
        <v>52</v>
      </c>
      <c r="C12" s="56"/>
      <c r="D12" s="56"/>
      <c r="E12" s="56"/>
      <c r="F12" s="56"/>
      <c r="G12" s="56"/>
      <c r="H12" s="56"/>
      <c r="I12" s="56"/>
      <c r="J12" s="56"/>
      <c r="K12" s="13"/>
    </row>
    <row r="13" spans="2:13" x14ac:dyDescent="0.25">
      <c r="B13" s="55" t="s">
        <v>53</v>
      </c>
      <c r="C13" s="55"/>
      <c r="D13" s="55"/>
      <c r="E13" s="55"/>
      <c r="F13" s="55"/>
      <c r="G13" s="55"/>
      <c r="H13" s="55"/>
      <c r="I13" s="55"/>
      <c r="J13" s="55"/>
      <c r="K13" s="13"/>
    </row>
    <row r="14" spans="2:13" x14ac:dyDescent="0.25">
      <c r="B14" s="93" t="s">
        <v>54</v>
      </c>
      <c r="C14" s="94"/>
      <c r="D14" s="94"/>
      <c r="E14" s="94"/>
      <c r="F14" s="94"/>
      <c r="G14" s="94"/>
      <c r="H14" s="94"/>
      <c r="I14" s="94"/>
      <c r="J14" s="95"/>
    </row>
    <row r="19" spans="6:10" x14ac:dyDescent="0.25">
      <c r="I19">
        <v>49309.41</v>
      </c>
      <c r="J19">
        <f>I19/4046.87</f>
        <v>12.184579687511585</v>
      </c>
    </row>
    <row r="20" spans="6:10" x14ac:dyDescent="0.25">
      <c r="F20">
        <v>93</v>
      </c>
      <c r="G20">
        <f>F20/8</f>
        <v>11.625</v>
      </c>
    </row>
    <row r="21" spans="6:10" x14ac:dyDescent="0.25">
      <c r="F21">
        <f>F20*20</f>
        <v>1860</v>
      </c>
    </row>
    <row r="22" spans="6:10" x14ac:dyDescent="0.25">
      <c r="F22">
        <v>19</v>
      </c>
      <c r="G22">
        <f>F22/(8*20)</f>
        <v>0.11874999999999999</v>
      </c>
    </row>
    <row r="23" spans="6:10" x14ac:dyDescent="0.25">
      <c r="F23">
        <f>SUM(F21:F22)</f>
        <v>1879</v>
      </c>
      <c r="G23">
        <f>F23*30.25</f>
        <v>56839.75</v>
      </c>
      <c r="H23">
        <f>G23-6075.85-688.52</f>
        <v>50075.380000000005</v>
      </c>
    </row>
  </sheetData>
  <mergeCells count="9">
    <mergeCell ref="B12:J12"/>
    <mergeCell ref="B13:J13"/>
    <mergeCell ref="B14:J14"/>
    <mergeCell ref="B1:H1"/>
    <mergeCell ref="B9:D9"/>
    <mergeCell ref="G9:I9"/>
    <mergeCell ref="B2:J2"/>
    <mergeCell ref="B10:J10"/>
    <mergeCell ref="B11:J1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D22"/>
  <sheetViews>
    <sheetView workbookViewId="0">
      <selection activeCell="D22" sqref="D22"/>
    </sheetView>
  </sheetViews>
  <sheetFormatPr defaultRowHeight="15" x14ac:dyDescent="0.25"/>
  <cols>
    <col min="3" max="3" width="27" bestFit="1" customWidth="1"/>
    <col min="4" max="4" width="8.5703125" bestFit="1" customWidth="1"/>
  </cols>
  <sheetData>
    <row r="3" spans="3:4" ht="15.75" thickBot="1" x14ac:dyDescent="0.3"/>
    <row r="4" spans="3:4" ht="15.75" thickBot="1" x14ac:dyDescent="0.3">
      <c r="C4" s="15" t="s">
        <v>32</v>
      </c>
      <c r="D4" s="16"/>
    </row>
    <row r="5" spans="3:4" ht="15.75" thickBot="1" x14ac:dyDescent="0.3">
      <c r="C5" s="15" t="s">
        <v>33</v>
      </c>
      <c r="D5" s="17"/>
    </row>
    <row r="6" spans="3:4" ht="15.75" thickBot="1" x14ac:dyDescent="0.3">
      <c r="C6" s="18" t="s">
        <v>34</v>
      </c>
      <c r="D6" s="19" t="s">
        <v>35</v>
      </c>
    </row>
    <row r="7" spans="3:4" ht="15.75" thickBot="1" x14ac:dyDescent="0.3">
      <c r="C7" s="20" t="s">
        <v>36</v>
      </c>
      <c r="D7" s="21">
        <v>35814.379999999997</v>
      </c>
    </row>
    <row r="8" spans="3:4" ht="15.75" thickBot="1" x14ac:dyDescent="0.3">
      <c r="C8" s="20" t="s">
        <v>37</v>
      </c>
      <c r="D8" s="21">
        <v>495.18</v>
      </c>
    </row>
    <row r="9" spans="3:4" ht="15.75" thickBot="1" x14ac:dyDescent="0.3">
      <c r="C9" s="20" t="s">
        <v>38</v>
      </c>
      <c r="D9" s="21">
        <v>4608</v>
      </c>
    </row>
    <row r="10" spans="3:4" ht="15.75" thickBot="1" x14ac:dyDescent="0.3">
      <c r="C10" s="18"/>
      <c r="D10" s="22">
        <f>SUM(D8:D9)</f>
        <v>5103.18</v>
      </c>
    </row>
    <row r="11" spans="3:4" ht="15.75" thickBot="1" x14ac:dyDescent="0.3">
      <c r="C11" s="20" t="s">
        <v>39</v>
      </c>
      <c r="D11" s="21">
        <f>D7-D10</f>
        <v>30711.199999999997</v>
      </c>
    </row>
    <row r="12" spans="3:4" x14ac:dyDescent="0.25">
      <c r="C12" s="23"/>
      <c r="D12" s="24"/>
    </row>
    <row r="13" spans="3:4" ht="15.75" thickBot="1" x14ac:dyDescent="0.3">
      <c r="D13" s="25"/>
    </row>
    <row r="14" spans="3:4" ht="15.75" thickBot="1" x14ac:dyDescent="0.3">
      <c r="C14" s="26" t="s">
        <v>15</v>
      </c>
      <c r="D14" s="27"/>
    </row>
    <row r="15" spans="3:4" ht="15.75" thickBot="1" x14ac:dyDescent="0.3">
      <c r="C15" s="28" t="s">
        <v>40</v>
      </c>
      <c r="D15" s="29"/>
    </row>
    <row r="16" spans="3:4" ht="15.75" thickBot="1" x14ac:dyDescent="0.3">
      <c r="C16" s="30" t="s">
        <v>34</v>
      </c>
      <c r="D16" s="31" t="s">
        <v>35</v>
      </c>
    </row>
    <row r="17" spans="3:4" ht="15.75" thickBot="1" x14ac:dyDescent="0.3">
      <c r="C17" s="26" t="s">
        <v>36</v>
      </c>
      <c r="D17" s="32">
        <v>57161.37124</v>
      </c>
    </row>
    <row r="18" spans="3:4" ht="15.75" thickBot="1" x14ac:dyDescent="0.3">
      <c r="C18" s="26" t="s">
        <v>41</v>
      </c>
      <c r="D18" s="32">
        <v>688.52</v>
      </c>
    </row>
    <row r="19" spans="3:4" ht="15.75" thickBot="1" x14ac:dyDescent="0.3">
      <c r="C19" s="26" t="s">
        <v>38</v>
      </c>
      <c r="D19" s="32">
        <v>6075.85</v>
      </c>
    </row>
    <row r="20" spans="3:4" ht="15.75" thickBot="1" x14ac:dyDescent="0.3">
      <c r="C20" s="33" t="s">
        <v>42</v>
      </c>
      <c r="D20" s="32">
        <v>1087.5899999999999</v>
      </c>
    </row>
    <row r="21" spans="3:4" ht="15.75" thickBot="1" x14ac:dyDescent="0.3">
      <c r="C21" s="30"/>
      <c r="D21" s="32">
        <f>SUM(D18:D20)</f>
        <v>7851.9600000000009</v>
      </c>
    </row>
    <row r="22" spans="3:4" ht="15.75" thickBot="1" x14ac:dyDescent="0.3">
      <c r="C22" s="26" t="s">
        <v>39</v>
      </c>
      <c r="D22" s="34">
        <f>D17-D21</f>
        <v>49309.411240000001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Sheet4</vt:lpstr>
      <vt:lpstr>Land Valuation</vt:lpstr>
      <vt:lpstr>Building</vt:lpstr>
      <vt:lpstr>unit 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agrahari</dc:creator>
  <cp:lastModifiedBy>sachin agrahari</cp:lastModifiedBy>
  <dcterms:created xsi:type="dcterms:W3CDTF">2021-02-06T06:47:08Z</dcterms:created>
  <dcterms:modified xsi:type="dcterms:W3CDTF">2021-02-07T19:18:23Z</dcterms:modified>
</cp:coreProperties>
</file>