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In Progress Files\Mohd. Umair\TEV reports\New folder\working\bank changes\"/>
    </mc:Choice>
  </mc:AlternateContent>
  <xr:revisionPtr revIDLastSave="0" documentId="13_ncr:1_{3DAD0369-AD9F-4DAC-A81A-094A549816DF}" xr6:coauthVersionLast="47" xr6:coauthVersionMax="47" xr10:uidLastSave="{00000000-0000-0000-0000-000000000000}"/>
  <bookViews>
    <workbookView xWindow="-120" yWindow="-120" windowWidth="24240" windowHeight="13020" tabRatio="795" firstSheet="1" activeTab="6" xr2:uid="{00000000-000D-0000-FFFF-FFFF00000000}"/>
  </bookViews>
  <sheets>
    <sheet name="PC &amp; MoF" sheetId="1" r:id="rId1"/>
    <sheet name="Assumptions" sheetId="2" r:id="rId2"/>
    <sheet name="Revenue &amp; Expenses Modeling" sheetId="4" r:id="rId3"/>
    <sheet name="IS" sheetId="5" r:id="rId4"/>
    <sheet name="BS" sheetId="6" r:id="rId5"/>
    <sheet name="CFS" sheetId="7" r:id="rId6"/>
    <sheet name="Loan Schedule" sheetId="8" r:id="rId7"/>
    <sheet name="Dep Schedule" sheetId="9" r:id="rId8"/>
    <sheet name="Tax Schedule" sheetId="10" r:id="rId9"/>
    <sheet name="Ratio" sheetId="11" r:id="rId10"/>
    <sheet name="PO wise details" sheetId="13" r:id="rId11"/>
    <sheet name="Sheet1" sheetId="14" r:id="rId12"/>
    <sheet name="Sheet2" sheetId="15" r:id="rId13"/>
  </sheets>
  <externalReferences>
    <externalReference r:id="rId14"/>
  </externalReferences>
  <definedNames>
    <definedName name="Company">'PC &amp; MoF'!$B$1</definedName>
    <definedName name="Full_Print">#REF!</definedName>
    <definedName name="_xlnm.Print_Area" localSheetId="10">'PO wise details'!$A$2:$I$45</definedName>
    <definedName name="Project">'PC &amp; MoF'!$B$3</definedName>
    <definedName name="Total_Cost">#REF!</definedName>
    <definedName name="Total_Interest">#REF!</definedName>
  </definedName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9" l="1"/>
  <c r="U15" i="8"/>
  <c r="E12" i="8"/>
  <c r="U14" i="5"/>
  <c r="V14" i="5"/>
  <c r="W14" i="5"/>
  <c r="X14" i="5"/>
  <c r="Y14" i="5"/>
  <c r="Z14" i="5"/>
  <c r="AA14" i="5"/>
  <c r="AB14" i="5"/>
  <c r="AC14" i="5"/>
  <c r="U16" i="5"/>
  <c r="V16" i="5"/>
  <c r="W16" i="5"/>
  <c r="X16" i="5"/>
  <c r="Y16" i="5"/>
  <c r="Z16" i="5"/>
  <c r="AA16" i="5"/>
  <c r="AB16" i="5"/>
  <c r="AC16" i="5"/>
  <c r="C38" i="8"/>
  <c r="F8" i="11"/>
  <c r="F8" i="10"/>
  <c r="F8" i="9"/>
  <c r="T13" i="8"/>
  <c r="F13" i="8"/>
  <c r="D228" i="8"/>
  <c r="D227" i="8"/>
  <c r="D226" i="8"/>
  <c r="K8" i="1" l="1"/>
  <c r="F8" i="4"/>
  <c r="K9" i="1"/>
  <c r="E10" i="2"/>
  <c r="I31" i="1"/>
  <c r="J33" i="1"/>
  <c r="I39" i="14" l="1"/>
  <c r="D42" i="14"/>
  <c r="D27" i="14"/>
  <c r="D15" i="14"/>
  <c r="G28" i="4"/>
  <c r="AC16" i="6"/>
  <c r="D43" i="14" l="1"/>
  <c r="AC21" i="5" l="1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C13" i="6"/>
  <c r="D10" i="5"/>
  <c r="C10" i="6" s="1"/>
  <c r="D10" i="7" s="1"/>
  <c r="D36" i="2"/>
  <c r="F42" i="4" s="1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G23" i="4"/>
  <c r="F22" i="4"/>
  <c r="E42" i="13"/>
  <c r="D42" i="13"/>
  <c r="G41" i="13"/>
  <c r="F41" i="13"/>
  <c r="G40" i="13"/>
  <c r="F40" i="13"/>
  <c r="G39" i="13"/>
  <c r="F39" i="13"/>
  <c r="G38" i="13"/>
  <c r="F38" i="13"/>
  <c r="G37" i="13"/>
  <c r="F37" i="13"/>
  <c r="G36" i="13"/>
  <c r="F36" i="13"/>
  <c r="G35" i="13"/>
  <c r="F35" i="13"/>
  <c r="G34" i="13"/>
  <c r="F34" i="13"/>
  <c r="G33" i="13"/>
  <c r="F33" i="13"/>
  <c r="G32" i="13"/>
  <c r="F32" i="13"/>
  <c r="G31" i="13"/>
  <c r="F31" i="13"/>
  <c r="G30" i="13"/>
  <c r="F30" i="13"/>
  <c r="G29" i="13"/>
  <c r="F29" i="13"/>
  <c r="H27" i="13"/>
  <c r="E27" i="13"/>
  <c r="D27" i="13"/>
  <c r="G26" i="13"/>
  <c r="F26" i="13"/>
  <c r="G25" i="13"/>
  <c r="F25" i="13"/>
  <c r="G24" i="13"/>
  <c r="F24" i="13"/>
  <c r="G23" i="13"/>
  <c r="F23" i="13"/>
  <c r="G22" i="13"/>
  <c r="F22" i="13"/>
  <c r="G21" i="13"/>
  <c r="F21" i="13"/>
  <c r="G20" i="13"/>
  <c r="F20" i="13"/>
  <c r="G19" i="13"/>
  <c r="F19" i="13"/>
  <c r="G18" i="13"/>
  <c r="F18" i="13"/>
  <c r="F27" i="13" s="1"/>
  <c r="G17" i="13"/>
  <c r="F17" i="13"/>
  <c r="H15" i="13"/>
  <c r="E15" i="13"/>
  <c r="D15" i="13"/>
  <c r="G14" i="13"/>
  <c r="F14" i="13"/>
  <c r="G13" i="13"/>
  <c r="F13" i="13"/>
  <c r="G12" i="13"/>
  <c r="F12" i="13"/>
  <c r="G11" i="13"/>
  <c r="F11" i="13"/>
  <c r="G10" i="13"/>
  <c r="F10" i="13"/>
  <c r="G9" i="13"/>
  <c r="F9" i="13"/>
  <c r="G8" i="13"/>
  <c r="F8" i="13"/>
  <c r="G7" i="13"/>
  <c r="F7" i="13"/>
  <c r="G6" i="13"/>
  <c r="F6" i="13"/>
  <c r="G5" i="13"/>
  <c r="F5" i="13"/>
  <c r="G4" i="13"/>
  <c r="F4" i="13"/>
  <c r="G3" i="13"/>
  <c r="F3" i="13"/>
  <c r="E43" i="13" l="1"/>
  <c r="F15" i="13"/>
  <c r="F42" i="13"/>
  <c r="F43" i="13" s="1"/>
  <c r="G15" i="13"/>
  <c r="G42" i="13"/>
  <c r="G27" i="13"/>
  <c r="D43" i="13"/>
  <c r="D25" i="2" s="1"/>
  <c r="D24" i="2" s="1"/>
  <c r="G42" i="4"/>
  <c r="H42" i="4" s="1"/>
  <c r="G22" i="4"/>
  <c r="G43" i="13" l="1"/>
  <c r="I42" i="4"/>
  <c r="G44" i="13"/>
  <c r="G45" i="13" s="1"/>
  <c r="J42" i="4" l="1"/>
  <c r="K42" i="4" l="1"/>
  <c r="L42" i="4" l="1"/>
  <c r="M42" i="4" l="1"/>
  <c r="N42" i="4" l="1"/>
  <c r="O42" i="4" l="1"/>
  <c r="P42" i="4" l="1"/>
  <c r="Q42" i="4" l="1"/>
  <c r="R42" i="4" l="1"/>
  <c r="S42" i="4" l="1"/>
  <c r="T42" i="4" l="1"/>
  <c r="U42" i="4" l="1"/>
  <c r="V42" i="4" l="1"/>
  <c r="W42" i="4" l="1"/>
  <c r="X42" i="4" l="1"/>
  <c r="Y42" i="4" l="1"/>
  <c r="Z42" i="4" l="1"/>
  <c r="AA42" i="4" l="1"/>
  <c r="AB42" i="4" l="1"/>
  <c r="AC42" i="4" l="1"/>
  <c r="AD42" i="4" l="1"/>
  <c r="K10" i="1" l="1"/>
  <c r="K11" i="1"/>
  <c r="K12" i="1"/>
  <c r="D33" i="2"/>
  <c r="E15" i="2"/>
  <c r="H8" i="2"/>
  <c r="AA109" i="11" l="1"/>
  <c r="AB109" i="11"/>
  <c r="AC109" i="11"/>
  <c r="AD109" i="11"/>
  <c r="B59" i="11" l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3" i="5" l="1"/>
  <c r="B1" i="5"/>
  <c r="F48" i="11" l="1"/>
  <c r="C38" i="11"/>
  <c r="C37" i="11"/>
  <c r="C36" i="11"/>
  <c r="E24" i="11" l="1"/>
  <c r="E23" i="11"/>
  <c r="E22" i="11"/>
  <c r="C39" i="11"/>
  <c r="A76" i="8"/>
  <c r="A89" i="8" s="1"/>
  <c r="A102" i="8" s="1"/>
  <c r="A115" i="8" s="1"/>
  <c r="A128" i="8" s="1"/>
  <c r="A141" i="8" s="1"/>
  <c r="A154" i="8" s="1"/>
  <c r="A167" i="8" s="1"/>
  <c r="A180" i="8" s="1"/>
  <c r="A193" i="8" s="1"/>
  <c r="A206" i="8" s="1"/>
  <c r="A219" i="8" s="1"/>
  <c r="A232" i="8" s="1"/>
  <c r="A245" i="8" s="1"/>
  <c r="A258" i="8" s="1"/>
  <c r="A271" i="8" s="1"/>
  <c r="A284" i="8" s="1"/>
  <c r="A297" i="8" s="1"/>
  <c r="A310" i="8" s="1"/>
  <c r="H323" i="8"/>
  <c r="B3" i="11"/>
  <c r="B1" i="11"/>
  <c r="G9" i="11"/>
  <c r="AC30" i="5"/>
  <c r="AB30" i="5"/>
  <c r="AA30" i="5"/>
  <c r="Z30" i="5"/>
  <c r="H9" i="11" l="1"/>
  <c r="G48" i="11"/>
  <c r="E25" i="11"/>
  <c r="I9" i="11" l="1"/>
  <c r="H48" i="11"/>
  <c r="C17" i="10"/>
  <c r="C16" i="10"/>
  <c r="B3" i="10"/>
  <c r="B1" i="10"/>
  <c r="F42" i="10"/>
  <c r="F26" i="10"/>
  <c r="F25" i="10"/>
  <c r="F14" i="10"/>
  <c r="G14" i="10" s="1"/>
  <c r="H14" i="10" s="1"/>
  <c r="I14" i="10" s="1"/>
  <c r="J14" i="10" s="1"/>
  <c r="K14" i="10" s="1"/>
  <c r="L14" i="10" s="1"/>
  <c r="M14" i="10" s="1"/>
  <c r="N14" i="10" s="1"/>
  <c r="O14" i="10" s="1"/>
  <c r="P14" i="10" s="1"/>
  <c r="Q14" i="10" s="1"/>
  <c r="R14" i="10" s="1"/>
  <c r="S14" i="10" s="1"/>
  <c r="T14" i="10" s="1"/>
  <c r="U14" i="10" s="1"/>
  <c r="V14" i="10" s="1"/>
  <c r="W14" i="10" s="1"/>
  <c r="X14" i="10" s="1"/>
  <c r="Y14" i="10" s="1"/>
  <c r="Z14" i="10" s="1"/>
  <c r="AA14" i="10" s="1"/>
  <c r="AB14" i="10" s="1"/>
  <c r="AC14" i="10" s="1"/>
  <c r="AD14" i="10" s="1"/>
  <c r="AE14" i="10" s="1"/>
  <c r="G9" i="10"/>
  <c r="H9" i="10" s="1"/>
  <c r="I9" i="10" s="1"/>
  <c r="J9" i="10" s="1"/>
  <c r="K9" i="10" s="1"/>
  <c r="L9" i="10" s="1"/>
  <c r="M9" i="10" s="1"/>
  <c r="N9" i="10" s="1"/>
  <c r="O9" i="10" s="1"/>
  <c r="P9" i="10" s="1"/>
  <c r="Q9" i="10" s="1"/>
  <c r="R9" i="10" s="1"/>
  <c r="S9" i="10" s="1"/>
  <c r="T9" i="10" s="1"/>
  <c r="U9" i="10" s="1"/>
  <c r="V9" i="10" s="1"/>
  <c r="W9" i="10" s="1"/>
  <c r="X9" i="10" s="1"/>
  <c r="Y9" i="10" s="1"/>
  <c r="Z9" i="10" s="1"/>
  <c r="AA9" i="10" s="1"/>
  <c r="AB9" i="10" s="1"/>
  <c r="AC9" i="10" s="1"/>
  <c r="AD9" i="10" s="1"/>
  <c r="AE9" i="10" s="1"/>
  <c r="F29" i="1" l="1"/>
  <c r="J9" i="11"/>
  <c r="I48" i="11"/>
  <c r="D65" i="2"/>
  <c r="D64" i="2"/>
  <c r="D63" i="2"/>
  <c r="D62" i="2"/>
  <c r="D61" i="2"/>
  <c r="K9" i="11" l="1"/>
  <c r="J48" i="11"/>
  <c r="B3" i="9"/>
  <c r="B1" i="9"/>
  <c r="B52" i="9"/>
  <c r="B51" i="9"/>
  <c r="B49" i="9"/>
  <c r="B48" i="9"/>
  <c r="B46" i="9"/>
  <c r="B45" i="9"/>
  <c r="B43" i="9"/>
  <c r="B42" i="9"/>
  <c r="B40" i="9"/>
  <c r="B39" i="9"/>
  <c r="B37" i="9"/>
  <c r="B36" i="9"/>
  <c r="B29" i="9"/>
  <c r="B27" i="9"/>
  <c r="B25" i="9"/>
  <c r="B23" i="9"/>
  <c r="B21" i="9"/>
  <c r="F14" i="9"/>
  <c r="G14" i="9" s="1"/>
  <c r="H14" i="9" s="1"/>
  <c r="I14" i="9" s="1"/>
  <c r="J14" i="9" s="1"/>
  <c r="K14" i="9" s="1"/>
  <c r="L14" i="9" s="1"/>
  <c r="M14" i="9" s="1"/>
  <c r="N14" i="9" s="1"/>
  <c r="O14" i="9" s="1"/>
  <c r="P14" i="9" s="1"/>
  <c r="Q14" i="9" s="1"/>
  <c r="R14" i="9" s="1"/>
  <c r="S14" i="9" s="1"/>
  <c r="T14" i="9" s="1"/>
  <c r="U14" i="9" s="1"/>
  <c r="V14" i="9" s="1"/>
  <c r="W14" i="9" s="1"/>
  <c r="X14" i="9" s="1"/>
  <c r="Y14" i="9" s="1"/>
  <c r="Z14" i="9" s="1"/>
  <c r="AA14" i="9" s="1"/>
  <c r="AB14" i="9" s="1"/>
  <c r="AC14" i="9" s="1"/>
  <c r="AD14" i="9" s="1"/>
  <c r="G9" i="9"/>
  <c r="H9" i="9" s="1"/>
  <c r="I9" i="9" s="1"/>
  <c r="J9" i="9" s="1"/>
  <c r="K9" i="9" s="1"/>
  <c r="L9" i="9" s="1"/>
  <c r="M9" i="9" s="1"/>
  <c r="N9" i="9" s="1"/>
  <c r="O9" i="9" s="1"/>
  <c r="P9" i="9" s="1"/>
  <c r="Q9" i="9" s="1"/>
  <c r="R9" i="9" s="1"/>
  <c r="S9" i="9" s="1"/>
  <c r="T9" i="9" s="1"/>
  <c r="U9" i="9" s="1"/>
  <c r="V9" i="9" s="1"/>
  <c r="W9" i="9" s="1"/>
  <c r="X9" i="9" s="1"/>
  <c r="Y9" i="9" s="1"/>
  <c r="Z9" i="9" s="1"/>
  <c r="AA9" i="9" s="1"/>
  <c r="AB9" i="9" s="1"/>
  <c r="AC9" i="9" s="1"/>
  <c r="AD9" i="9" s="1"/>
  <c r="L9" i="11" l="1"/>
  <c r="K48" i="11"/>
  <c r="AA17" i="6"/>
  <c r="Z17" i="6"/>
  <c r="Y17" i="6"/>
  <c r="X17" i="6"/>
  <c r="AC22" i="7"/>
  <c r="AB22" i="7"/>
  <c r="AA22" i="7"/>
  <c r="Z22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AD17" i="8"/>
  <c r="AC20" i="5" s="1"/>
  <c r="AC17" i="8"/>
  <c r="AB20" i="5" s="1"/>
  <c r="AB17" i="8"/>
  <c r="AA20" i="5" s="1"/>
  <c r="AA17" i="8"/>
  <c r="Z20" i="5" s="1"/>
  <c r="Z17" i="8"/>
  <c r="Y20" i="5" s="1"/>
  <c r="C22" i="8"/>
  <c r="B3" i="8"/>
  <c r="B1" i="8"/>
  <c r="C29" i="8"/>
  <c r="E29" i="8" s="1"/>
  <c r="F29" i="8" s="1"/>
  <c r="D13" i="8"/>
  <c r="D11" i="8"/>
  <c r="G9" i="8"/>
  <c r="H9" i="8" s="1"/>
  <c r="I9" i="8" s="1"/>
  <c r="J9" i="8" s="1"/>
  <c r="K9" i="8" s="1"/>
  <c r="L9" i="8" s="1"/>
  <c r="M9" i="8" s="1"/>
  <c r="N9" i="8" s="1"/>
  <c r="O9" i="8" s="1"/>
  <c r="P9" i="8" s="1"/>
  <c r="Q9" i="8" s="1"/>
  <c r="R9" i="8" s="1"/>
  <c r="S9" i="8" s="1"/>
  <c r="T9" i="8" s="1"/>
  <c r="U9" i="8" s="1"/>
  <c r="V9" i="8" s="1"/>
  <c r="W9" i="8" s="1"/>
  <c r="X9" i="8" s="1"/>
  <c r="Y9" i="8" s="1"/>
  <c r="Z9" i="8" s="1"/>
  <c r="AA9" i="8" s="1"/>
  <c r="AB9" i="8" s="1"/>
  <c r="AC9" i="8" s="1"/>
  <c r="AD9" i="8" s="1"/>
  <c r="D15" i="7"/>
  <c r="D12" i="7"/>
  <c r="B3" i="7"/>
  <c r="B1" i="7"/>
  <c r="B3" i="6"/>
  <c r="B1" i="6"/>
  <c r="B1" i="4"/>
  <c r="B3" i="4"/>
  <c r="H28" i="4"/>
  <c r="I28" i="4" s="1"/>
  <c r="J28" i="4" s="1"/>
  <c r="K28" i="4" s="1"/>
  <c r="L28" i="4" s="1"/>
  <c r="M28" i="4" s="1"/>
  <c r="N28" i="4" s="1"/>
  <c r="O28" i="4" s="1"/>
  <c r="P28" i="4" s="1"/>
  <c r="Q28" i="4" s="1"/>
  <c r="R28" i="4" s="1"/>
  <c r="S28" i="4" s="1"/>
  <c r="T28" i="4" s="1"/>
  <c r="U28" i="4" s="1"/>
  <c r="V28" i="4" s="1"/>
  <c r="W28" i="4" s="1"/>
  <c r="X28" i="4" s="1"/>
  <c r="Y28" i="4" s="1"/>
  <c r="Z28" i="4" s="1"/>
  <c r="AA28" i="4" s="1"/>
  <c r="AB28" i="4" s="1"/>
  <c r="AC28" i="4" s="1"/>
  <c r="AD28" i="4" s="1"/>
  <c r="F27" i="4"/>
  <c r="G27" i="4" s="1"/>
  <c r="C25" i="4"/>
  <c r="F23" i="4"/>
  <c r="H23" i="4"/>
  <c r="I23" i="4" l="1"/>
  <c r="J23" i="4" s="1"/>
  <c r="K23" i="4" s="1"/>
  <c r="L23" i="4" s="1"/>
  <c r="M23" i="4" s="1"/>
  <c r="N23" i="4" s="1"/>
  <c r="O23" i="4" s="1"/>
  <c r="P23" i="4" s="1"/>
  <c r="Q23" i="4" s="1"/>
  <c r="R23" i="4" s="1"/>
  <c r="S23" i="4" s="1"/>
  <c r="T23" i="4" s="1"/>
  <c r="U23" i="4" s="1"/>
  <c r="V23" i="4" s="1"/>
  <c r="W23" i="4" s="1"/>
  <c r="X23" i="4" s="1"/>
  <c r="Y23" i="4" s="1"/>
  <c r="Z23" i="4" s="1"/>
  <c r="AA23" i="4" s="1"/>
  <c r="AB23" i="4" s="1"/>
  <c r="AC23" i="4" s="1"/>
  <c r="AD23" i="4" s="1"/>
  <c r="H22" i="4"/>
  <c r="M9" i="11"/>
  <c r="L48" i="11"/>
  <c r="H27" i="4"/>
  <c r="I27" i="4" s="1"/>
  <c r="J27" i="4" s="1"/>
  <c r="K27" i="4" s="1"/>
  <c r="L27" i="4" s="1"/>
  <c r="M27" i="4" s="1"/>
  <c r="N27" i="4" s="1"/>
  <c r="O27" i="4" s="1"/>
  <c r="P27" i="4" s="1"/>
  <c r="Q27" i="4" s="1"/>
  <c r="R27" i="4" s="1"/>
  <c r="S27" i="4" s="1"/>
  <c r="T27" i="4" s="1"/>
  <c r="U27" i="4" s="1"/>
  <c r="V27" i="4" s="1"/>
  <c r="W27" i="4" s="1"/>
  <c r="X27" i="4" s="1"/>
  <c r="Y27" i="4" s="1"/>
  <c r="Z27" i="4" s="1"/>
  <c r="AA27" i="4" s="1"/>
  <c r="AB27" i="4" s="1"/>
  <c r="AC27" i="4" s="1"/>
  <c r="AD27" i="4" s="1"/>
  <c r="B3" i="2"/>
  <c r="B1" i="2"/>
  <c r="C24" i="1"/>
  <c r="I22" i="4" l="1"/>
  <c r="J22" i="4" s="1"/>
  <c r="K22" i="4" s="1"/>
  <c r="L22" i="4" s="1"/>
  <c r="M22" i="4" s="1"/>
  <c r="N22" i="4" s="1"/>
  <c r="O22" i="4" s="1"/>
  <c r="P22" i="4" s="1"/>
  <c r="Q22" i="4" s="1"/>
  <c r="R22" i="4" s="1"/>
  <c r="S22" i="4" s="1"/>
  <c r="T22" i="4" s="1"/>
  <c r="U22" i="4" s="1"/>
  <c r="V22" i="4" s="1"/>
  <c r="W22" i="4" s="1"/>
  <c r="X22" i="4" s="1"/>
  <c r="Y22" i="4" s="1"/>
  <c r="Z22" i="4" s="1"/>
  <c r="AA22" i="4" s="1"/>
  <c r="AB22" i="4" s="1"/>
  <c r="AC22" i="4" s="1"/>
  <c r="AD22" i="4" s="1"/>
  <c r="N9" i="11"/>
  <c r="M48" i="11"/>
  <c r="K13" i="1"/>
  <c r="F19" i="4"/>
  <c r="F44" i="4" s="1"/>
  <c r="E12" i="2"/>
  <c r="F20" i="4" l="1"/>
  <c r="G20" i="4" s="1"/>
  <c r="F45" i="4"/>
  <c r="F47" i="4" s="1"/>
  <c r="E14" i="5" s="1"/>
  <c r="K17" i="1"/>
  <c r="L20" i="1" s="1"/>
  <c r="O9" i="11"/>
  <c r="N48" i="11"/>
  <c r="D8" i="10"/>
  <c r="D10" i="10" s="1"/>
  <c r="E28" i="1"/>
  <c r="E8" i="4"/>
  <c r="E8" i="8" s="1"/>
  <c r="F21" i="4"/>
  <c r="G19" i="4"/>
  <c r="G44" i="4" s="1"/>
  <c r="G45" i="4" s="1"/>
  <c r="E13" i="2"/>
  <c r="E20" i="1"/>
  <c r="D20" i="1"/>
  <c r="L21" i="1" l="1"/>
  <c r="L23" i="1"/>
  <c r="K18" i="1"/>
  <c r="O18" i="1" s="1"/>
  <c r="H20" i="4"/>
  <c r="L22" i="1"/>
  <c r="P9" i="11"/>
  <c r="O48" i="11"/>
  <c r="E8" i="11"/>
  <c r="E8" i="10"/>
  <c r="E8" i="9"/>
  <c r="D8" i="5"/>
  <c r="D8" i="7"/>
  <c r="C8" i="6"/>
  <c r="G21" i="4"/>
  <c r="H19" i="4"/>
  <c r="H44" i="4" s="1"/>
  <c r="H45" i="4" s="1"/>
  <c r="H47" i="4" s="1"/>
  <c r="G14" i="5" s="1"/>
  <c r="G47" i="4"/>
  <c r="F14" i="5" s="1"/>
  <c r="L24" i="1" l="1"/>
  <c r="O22" i="1" s="1"/>
  <c r="F14" i="1" s="1"/>
  <c r="F13" i="1"/>
  <c r="F49" i="4"/>
  <c r="E21" i="5" s="1"/>
  <c r="I20" i="4"/>
  <c r="Q9" i="11"/>
  <c r="P48" i="11"/>
  <c r="F10" i="10"/>
  <c r="F12" i="10"/>
  <c r="G8" i="10"/>
  <c r="E34" i="9"/>
  <c r="E17" i="9"/>
  <c r="E8" i="5"/>
  <c r="E10" i="5" s="1"/>
  <c r="F8" i="8"/>
  <c r="F10" i="8" s="1"/>
  <c r="D8" i="6"/>
  <c r="D10" i="6" s="1"/>
  <c r="E8" i="7"/>
  <c r="E10" i="7" s="1"/>
  <c r="I19" i="4"/>
  <c r="I44" i="4" s="1"/>
  <c r="I45" i="4" s="1"/>
  <c r="H21" i="4"/>
  <c r="F12" i="4"/>
  <c r="G8" i="4"/>
  <c r="G9" i="1" l="1"/>
  <c r="G7" i="1"/>
  <c r="L25" i="1"/>
  <c r="M26" i="1" s="1"/>
  <c r="D26" i="7"/>
  <c r="J20" i="4"/>
  <c r="F24" i="4"/>
  <c r="F31" i="4" s="1"/>
  <c r="R9" i="11"/>
  <c r="Q48" i="11"/>
  <c r="G10" i="10"/>
  <c r="H8" i="10"/>
  <c r="G12" i="10"/>
  <c r="F10" i="11"/>
  <c r="G8" i="11"/>
  <c r="G8" i="9"/>
  <c r="F34" i="9"/>
  <c r="F12" i="9"/>
  <c r="F17" i="9"/>
  <c r="F10" i="9"/>
  <c r="F8" i="5"/>
  <c r="F10" i="5" s="1"/>
  <c r="E8" i="6"/>
  <c r="E10" i="6" s="1"/>
  <c r="F8" i="7"/>
  <c r="F10" i="7" s="1"/>
  <c r="G8" i="8"/>
  <c r="G10" i="8" s="1"/>
  <c r="G12" i="4"/>
  <c r="H8" i="4"/>
  <c r="H12" i="4" s="1"/>
  <c r="G10" i="4"/>
  <c r="J19" i="4"/>
  <c r="J44" i="4" s="1"/>
  <c r="J45" i="4" s="1"/>
  <c r="I21" i="4"/>
  <c r="I47" i="4"/>
  <c r="H14" i="5" s="1"/>
  <c r="Z36" i="6" l="1"/>
  <c r="AC36" i="4" s="1"/>
  <c r="D36" i="6"/>
  <c r="G36" i="4" s="1"/>
  <c r="Y36" i="6"/>
  <c r="AB36" i="4" s="1"/>
  <c r="U36" i="6"/>
  <c r="X36" i="4" s="1"/>
  <c r="Q36" i="6"/>
  <c r="T36" i="4" s="1"/>
  <c r="H36" i="6"/>
  <c r="K36" i="4" s="1"/>
  <c r="R36" i="6"/>
  <c r="U36" i="4" s="1"/>
  <c r="O36" i="6"/>
  <c r="R36" i="4" s="1"/>
  <c r="K36" i="6"/>
  <c r="N36" i="4" s="1"/>
  <c r="G36" i="6"/>
  <c r="J36" i="4" s="1"/>
  <c r="AB36" i="6"/>
  <c r="S36" i="6"/>
  <c r="V36" i="4" s="1"/>
  <c r="J36" i="6"/>
  <c r="M36" i="4" s="1"/>
  <c r="T36" i="6"/>
  <c r="W36" i="4" s="1"/>
  <c r="P36" i="6"/>
  <c r="S36" i="4" s="1"/>
  <c r="C36" i="6"/>
  <c r="F36" i="4" s="1"/>
  <c r="X36" i="6"/>
  <c r="AA36" i="4" s="1"/>
  <c r="N36" i="6"/>
  <c r="Q36" i="4" s="1"/>
  <c r="I36" i="6"/>
  <c r="L36" i="4" s="1"/>
  <c r="E36" i="6"/>
  <c r="H36" i="4" s="1"/>
  <c r="AA36" i="6"/>
  <c r="AD36" i="4" s="1"/>
  <c r="W36" i="6"/>
  <c r="Z36" i="4" s="1"/>
  <c r="M36" i="6"/>
  <c r="P36" i="4" s="1"/>
  <c r="F36" i="6"/>
  <c r="I36" i="4" s="1"/>
  <c r="V36" i="6"/>
  <c r="Y36" i="4" s="1"/>
  <c r="L36" i="6"/>
  <c r="O36" i="4" s="1"/>
  <c r="K20" i="4"/>
  <c r="H24" i="4"/>
  <c r="H31" i="4" s="1"/>
  <c r="G24" i="4"/>
  <c r="G31" i="4" s="1"/>
  <c r="S9" i="11"/>
  <c r="R48" i="11"/>
  <c r="F25" i="4"/>
  <c r="F32" i="4" s="1"/>
  <c r="I8" i="10"/>
  <c r="H12" i="10"/>
  <c r="H10" i="10"/>
  <c r="G10" i="11"/>
  <c r="H8" i="11"/>
  <c r="G34" i="9"/>
  <c r="G12" i="9"/>
  <c r="H8" i="9"/>
  <c r="G17" i="9"/>
  <c r="G10" i="9"/>
  <c r="G8" i="5"/>
  <c r="G10" i="5" s="1"/>
  <c r="G8" i="7"/>
  <c r="G10" i="7" s="1"/>
  <c r="F8" i="6"/>
  <c r="F10" i="6" s="1"/>
  <c r="H8" i="8"/>
  <c r="H10" i="8" s="1"/>
  <c r="K19" i="4"/>
  <c r="K44" i="4" s="1"/>
  <c r="K45" i="4" s="1"/>
  <c r="J47" i="4"/>
  <c r="I14" i="5" s="1"/>
  <c r="J21" i="4"/>
  <c r="H10" i="4"/>
  <c r="I8" i="4"/>
  <c r="L20" i="4" l="1"/>
  <c r="T9" i="11"/>
  <c r="S48" i="11"/>
  <c r="G25" i="4"/>
  <c r="G32" i="4" s="1"/>
  <c r="F26" i="4"/>
  <c r="H10" i="11"/>
  <c r="I8" i="11"/>
  <c r="J8" i="10"/>
  <c r="I10" i="10"/>
  <c r="I12" i="10"/>
  <c r="H34" i="9"/>
  <c r="I8" i="9"/>
  <c r="H17" i="9"/>
  <c r="H12" i="9"/>
  <c r="H10" i="9"/>
  <c r="H8" i="5"/>
  <c r="H10" i="5" s="1"/>
  <c r="H8" i="7"/>
  <c r="H10" i="7" s="1"/>
  <c r="I8" i="8"/>
  <c r="I10" i="8" s="1"/>
  <c r="G8" i="6"/>
  <c r="I12" i="4"/>
  <c r="I10" i="4"/>
  <c r="J8" i="4"/>
  <c r="K21" i="4"/>
  <c r="L19" i="4"/>
  <c r="L44" i="4" s="1"/>
  <c r="L45" i="4" s="1"/>
  <c r="K47" i="4"/>
  <c r="J14" i="5" s="1"/>
  <c r="F33" i="4" l="1"/>
  <c r="M20" i="4"/>
  <c r="U9" i="11"/>
  <c r="T48" i="11"/>
  <c r="H25" i="4"/>
  <c r="H32" i="4" s="1"/>
  <c r="G26" i="4"/>
  <c r="F29" i="4"/>
  <c r="F37" i="4" s="1"/>
  <c r="J10" i="10"/>
  <c r="K8" i="10"/>
  <c r="J12" i="10"/>
  <c r="I10" i="11"/>
  <c r="J8" i="11"/>
  <c r="I10" i="9"/>
  <c r="I17" i="9"/>
  <c r="I34" i="9"/>
  <c r="I12" i="9"/>
  <c r="J8" i="9"/>
  <c r="I8" i="5"/>
  <c r="I10" i="5" s="1"/>
  <c r="J8" i="8"/>
  <c r="J10" i="8" s="1"/>
  <c r="H8" i="6"/>
  <c r="H10" i="6" s="1"/>
  <c r="I8" i="7"/>
  <c r="I10" i="7" s="1"/>
  <c r="G10" i="6"/>
  <c r="L21" i="4"/>
  <c r="M19" i="4"/>
  <c r="M44" i="4" s="1"/>
  <c r="M45" i="4" s="1"/>
  <c r="L47" i="4"/>
  <c r="K14" i="5" s="1"/>
  <c r="J12" i="4"/>
  <c r="J10" i="4"/>
  <c r="K8" i="4"/>
  <c r="I24" i="4"/>
  <c r="I31" i="4" s="1"/>
  <c r="G33" i="4" l="1"/>
  <c r="E12" i="5"/>
  <c r="F91" i="11" s="1"/>
  <c r="F93" i="11" s="1"/>
  <c r="D33" i="6"/>
  <c r="E23" i="7" s="1"/>
  <c r="N20" i="4"/>
  <c r="V9" i="11"/>
  <c r="U48" i="11"/>
  <c r="I25" i="4"/>
  <c r="I32" i="4" s="1"/>
  <c r="G29" i="4"/>
  <c r="G37" i="4" s="1"/>
  <c r="H26" i="4"/>
  <c r="K10" i="10"/>
  <c r="L8" i="10"/>
  <c r="K12" i="10"/>
  <c r="J10" i="11"/>
  <c r="K8" i="11"/>
  <c r="J12" i="9"/>
  <c r="J17" i="9"/>
  <c r="J10" i="9"/>
  <c r="J34" i="9"/>
  <c r="K8" i="9"/>
  <c r="J8" i="5"/>
  <c r="J10" i="5" s="1"/>
  <c r="I8" i="6"/>
  <c r="I10" i="6" s="1"/>
  <c r="J8" i="7"/>
  <c r="J10" i="7" s="1"/>
  <c r="K8" i="8"/>
  <c r="K10" i="8" s="1"/>
  <c r="J24" i="4"/>
  <c r="J31" i="4" s="1"/>
  <c r="K12" i="4"/>
  <c r="K10" i="4"/>
  <c r="L8" i="4"/>
  <c r="M47" i="4"/>
  <c r="L14" i="5" s="1"/>
  <c r="M21" i="4"/>
  <c r="N19" i="4"/>
  <c r="N44" i="4" s="1"/>
  <c r="N45" i="4" s="1"/>
  <c r="F96" i="11" l="1"/>
  <c r="H33" i="4"/>
  <c r="E36" i="5"/>
  <c r="F12" i="5"/>
  <c r="G91" i="11" s="1"/>
  <c r="G93" i="11" s="1"/>
  <c r="G96" i="11" s="1"/>
  <c r="E33" i="6"/>
  <c r="F23" i="7" s="1"/>
  <c r="O20" i="4"/>
  <c r="W9" i="11"/>
  <c r="V48" i="11"/>
  <c r="H29" i="4"/>
  <c r="H37" i="4" s="1"/>
  <c r="J25" i="4"/>
  <c r="J32" i="4" s="1"/>
  <c r="I26" i="4"/>
  <c r="L10" i="10"/>
  <c r="M8" i="10"/>
  <c r="L12" i="10"/>
  <c r="K10" i="11"/>
  <c r="L8" i="11"/>
  <c r="L8" i="9"/>
  <c r="K34" i="9"/>
  <c r="K12" i="9"/>
  <c r="K17" i="9"/>
  <c r="K10" i="9"/>
  <c r="K8" i="5"/>
  <c r="K10" i="5" s="1"/>
  <c r="K8" i="7"/>
  <c r="K10" i="7" s="1"/>
  <c r="L8" i="8"/>
  <c r="L10" i="8" s="1"/>
  <c r="J8" i="6"/>
  <c r="J10" i="6" s="1"/>
  <c r="L12" i="4"/>
  <c r="M8" i="4"/>
  <c r="L10" i="4"/>
  <c r="N47" i="4"/>
  <c r="M14" i="5" s="1"/>
  <c r="N21" i="4"/>
  <c r="O19" i="4"/>
  <c r="O44" i="4" s="1"/>
  <c r="O45" i="4" s="1"/>
  <c r="K24" i="4"/>
  <c r="K31" i="4" s="1"/>
  <c r="I33" i="4" l="1"/>
  <c r="F36" i="5"/>
  <c r="G12" i="5"/>
  <c r="H91" i="11" s="1"/>
  <c r="H93" i="11" s="1"/>
  <c r="H96" i="11" s="1"/>
  <c r="F33" i="6"/>
  <c r="G23" i="7" s="1"/>
  <c r="P20" i="4"/>
  <c r="X9" i="11"/>
  <c r="W48" i="11"/>
  <c r="I29" i="4"/>
  <c r="I37" i="4" s="1"/>
  <c r="J26" i="4"/>
  <c r="K25" i="4"/>
  <c r="K32" i="4" s="1"/>
  <c r="M12" i="10"/>
  <c r="N8" i="10"/>
  <c r="M10" i="10"/>
  <c r="L10" i="11"/>
  <c r="M8" i="11"/>
  <c r="L10" i="9"/>
  <c r="L17" i="9"/>
  <c r="M8" i="9"/>
  <c r="L12" i="9"/>
  <c r="L34" i="9"/>
  <c r="L8" i="5"/>
  <c r="L10" i="5" s="1"/>
  <c r="L8" i="7"/>
  <c r="L10" i="7" s="1"/>
  <c r="M8" i="8"/>
  <c r="M10" i="8" s="1"/>
  <c r="K8" i="6"/>
  <c r="M12" i="4"/>
  <c r="N8" i="4"/>
  <c r="M10" i="4"/>
  <c r="L24" i="4"/>
  <c r="L31" i="4" s="1"/>
  <c r="O47" i="4"/>
  <c r="N14" i="5" s="1"/>
  <c r="O21" i="4"/>
  <c r="P19" i="4"/>
  <c r="P44" i="4" s="1"/>
  <c r="P45" i="4" s="1"/>
  <c r="J33" i="4" l="1"/>
  <c r="G36" i="5"/>
  <c r="H12" i="5"/>
  <c r="I91" i="11" s="1"/>
  <c r="I93" i="11" s="1"/>
  <c r="I96" i="11" s="1"/>
  <c r="G33" i="6"/>
  <c r="H23" i="7" s="1"/>
  <c r="Q20" i="4"/>
  <c r="Y9" i="11"/>
  <c r="X48" i="11"/>
  <c r="J29" i="4"/>
  <c r="J37" i="4" s="1"/>
  <c r="L25" i="4"/>
  <c r="L32" i="4" s="1"/>
  <c r="K26" i="4"/>
  <c r="K33" i="4" s="1"/>
  <c r="N12" i="10"/>
  <c r="O8" i="10"/>
  <c r="N10" i="10"/>
  <c r="M10" i="11"/>
  <c r="N8" i="11"/>
  <c r="M34" i="9"/>
  <c r="M10" i="9"/>
  <c r="M12" i="9"/>
  <c r="M17" i="9"/>
  <c r="N8" i="9"/>
  <c r="K10" i="6"/>
  <c r="M8" i="5"/>
  <c r="M10" i="5" s="1"/>
  <c r="N8" i="8"/>
  <c r="N10" i="8" s="1"/>
  <c r="L8" i="6"/>
  <c r="L10" i="6" s="1"/>
  <c r="M8" i="7"/>
  <c r="M10" i="7" s="1"/>
  <c r="N12" i="4"/>
  <c r="N10" i="4"/>
  <c r="O8" i="4"/>
  <c r="Q19" i="4"/>
  <c r="Q44" i="4" s="1"/>
  <c r="Q45" i="4" s="1"/>
  <c r="P47" i="4"/>
  <c r="O14" i="5" s="1"/>
  <c r="P21" i="4"/>
  <c r="M24" i="4"/>
  <c r="M31" i="4" s="1"/>
  <c r="H36" i="5" l="1"/>
  <c r="I12" i="5"/>
  <c r="J91" i="11" s="1"/>
  <c r="J93" i="11" s="1"/>
  <c r="J96" i="11" s="1"/>
  <c r="H33" i="6"/>
  <c r="I23" i="7" s="1"/>
  <c r="R20" i="4"/>
  <c r="K29" i="4"/>
  <c r="K37" i="4" s="1"/>
  <c r="Z9" i="11"/>
  <c r="Y48" i="11"/>
  <c r="M25" i="4"/>
  <c r="M32" i="4" s="1"/>
  <c r="L26" i="4"/>
  <c r="L33" i="4" s="1"/>
  <c r="O10" i="10"/>
  <c r="P8" i="10"/>
  <c r="O12" i="10"/>
  <c r="N10" i="11"/>
  <c r="O8" i="11"/>
  <c r="N34" i="9"/>
  <c r="O8" i="9"/>
  <c r="N17" i="9"/>
  <c r="N12" i="9"/>
  <c r="N10" i="9"/>
  <c r="N8" i="5"/>
  <c r="N10" i="5" s="1"/>
  <c r="M8" i="6"/>
  <c r="M10" i="6" s="1"/>
  <c r="N8" i="7"/>
  <c r="N10" i="7" s="1"/>
  <c r="O8" i="8"/>
  <c r="O10" i="8" s="1"/>
  <c r="O12" i="4"/>
  <c r="O10" i="4"/>
  <c r="P8" i="4"/>
  <c r="R19" i="4"/>
  <c r="R44" i="4" s="1"/>
  <c r="R45" i="4" s="1"/>
  <c r="Q47" i="4"/>
  <c r="P14" i="5" s="1"/>
  <c r="Q21" i="4"/>
  <c r="N24" i="4"/>
  <c r="N31" i="4" s="1"/>
  <c r="I36" i="5" l="1"/>
  <c r="J12" i="5"/>
  <c r="K91" i="11" s="1"/>
  <c r="K93" i="11" s="1"/>
  <c r="K96" i="11" s="1"/>
  <c r="I33" i="6"/>
  <c r="J23" i="7" s="1"/>
  <c r="L29" i="4"/>
  <c r="L37" i="4" s="1"/>
  <c r="S20" i="4"/>
  <c r="AA9" i="11"/>
  <c r="Z48" i="11"/>
  <c r="N25" i="4"/>
  <c r="N32" i="4" s="1"/>
  <c r="M26" i="4"/>
  <c r="P10" i="10"/>
  <c r="Q8" i="10"/>
  <c r="P12" i="10"/>
  <c r="O10" i="11"/>
  <c r="P8" i="11"/>
  <c r="O34" i="9"/>
  <c r="P8" i="9"/>
  <c r="O17" i="9"/>
  <c r="O12" i="9"/>
  <c r="O10" i="9"/>
  <c r="O8" i="5"/>
  <c r="O10" i="5" s="1"/>
  <c r="O8" i="7"/>
  <c r="O10" i="7" s="1"/>
  <c r="N8" i="6"/>
  <c r="N10" i="6" s="1"/>
  <c r="P8" i="8"/>
  <c r="P10" i="8" s="1"/>
  <c r="P12" i="4"/>
  <c r="P10" i="4"/>
  <c r="Q8" i="4"/>
  <c r="O24" i="4"/>
  <c r="O31" i="4" s="1"/>
  <c r="S19" i="4"/>
  <c r="S44" i="4" s="1"/>
  <c r="S45" i="4" s="1"/>
  <c r="R47" i="4"/>
  <c r="Q14" i="5" s="1"/>
  <c r="R21" i="4"/>
  <c r="M33" i="4" l="1"/>
  <c r="J36" i="5"/>
  <c r="K12" i="5"/>
  <c r="L91" i="11" s="1"/>
  <c r="L93" i="11" s="1"/>
  <c r="L96" i="11" s="1"/>
  <c r="J33" i="6"/>
  <c r="K23" i="7" s="1"/>
  <c r="T20" i="4"/>
  <c r="AB9" i="11"/>
  <c r="AA48" i="11"/>
  <c r="O25" i="4"/>
  <c r="O32" i="4" s="1"/>
  <c r="M29" i="4"/>
  <c r="M37" i="4" s="1"/>
  <c r="N26" i="4"/>
  <c r="Q12" i="10"/>
  <c r="R8" i="10"/>
  <c r="Q10" i="10"/>
  <c r="P10" i="11"/>
  <c r="Q8" i="11"/>
  <c r="P10" i="9"/>
  <c r="P17" i="9"/>
  <c r="Q8" i="9"/>
  <c r="P12" i="9"/>
  <c r="P34" i="9"/>
  <c r="P8" i="5"/>
  <c r="P10" i="5" s="1"/>
  <c r="P8" i="7"/>
  <c r="P10" i="7" s="1"/>
  <c r="Q8" i="8"/>
  <c r="Q10" i="8" s="1"/>
  <c r="O8" i="6"/>
  <c r="Q12" i="4"/>
  <c r="R8" i="4"/>
  <c r="Q10" i="4"/>
  <c r="S21" i="4"/>
  <c r="T19" i="4"/>
  <c r="T44" i="4" s="1"/>
  <c r="T45" i="4" s="1"/>
  <c r="S47" i="4"/>
  <c r="R14" i="5" s="1"/>
  <c r="P24" i="4"/>
  <c r="P31" i="4" s="1"/>
  <c r="N33" i="4" l="1"/>
  <c r="L12" i="5"/>
  <c r="M91" i="11" s="1"/>
  <c r="M93" i="11" s="1"/>
  <c r="M96" i="11" s="1"/>
  <c r="K33" i="6"/>
  <c r="L23" i="7" s="1"/>
  <c r="K36" i="5"/>
  <c r="U20" i="4"/>
  <c r="AC9" i="11"/>
  <c r="AB48" i="11"/>
  <c r="P25" i="4"/>
  <c r="P32" i="4" s="1"/>
  <c r="N29" i="4"/>
  <c r="N37" i="4" s="1"/>
  <c r="O26" i="4"/>
  <c r="R10" i="10"/>
  <c r="S8" i="10"/>
  <c r="R12" i="10"/>
  <c r="Q10" i="11"/>
  <c r="R8" i="11"/>
  <c r="R8" i="9"/>
  <c r="Q34" i="9"/>
  <c r="Q10" i="9"/>
  <c r="Q17" i="9"/>
  <c r="Q12" i="9"/>
  <c r="O10" i="6"/>
  <c r="Q8" i="5"/>
  <c r="Q10" i="5" s="1"/>
  <c r="R8" i="8"/>
  <c r="R10" i="8" s="1"/>
  <c r="P8" i="6"/>
  <c r="P10" i="6" s="1"/>
  <c r="Q8" i="7"/>
  <c r="Q10" i="7" s="1"/>
  <c r="R12" i="4"/>
  <c r="R10" i="4"/>
  <c r="S8" i="4"/>
  <c r="U19" i="4"/>
  <c r="U44" i="4" s="1"/>
  <c r="U45" i="4" s="1"/>
  <c r="T21" i="4"/>
  <c r="T47" i="4"/>
  <c r="S14" i="5" s="1"/>
  <c r="Q24" i="4"/>
  <c r="Q31" i="4" s="1"/>
  <c r="L36" i="5" l="1"/>
  <c r="O33" i="4"/>
  <c r="M12" i="5"/>
  <c r="N91" i="11" s="1"/>
  <c r="N93" i="11" s="1"/>
  <c r="N96" i="11" s="1"/>
  <c r="L33" i="6"/>
  <c r="M23" i="7" s="1"/>
  <c r="V20" i="4"/>
  <c r="AD9" i="11"/>
  <c r="AC48" i="11"/>
  <c r="Q25" i="4"/>
  <c r="Q32" i="4" s="1"/>
  <c r="O29" i="4"/>
  <c r="O37" i="4" s="1"/>
  <c r="P26" i="4"/>
  <c r="T8" i="10"/>
  <c r="S12" i="10"/>
  <c r="S10" i="10"/>
  <c r="R10" i="11"/>
  <c r="S8" i="11"/>
  <c r="R17" i="9"/>
  <c r="R34" i="9"/>
  <c r="R12" i="9"/>
  <c r="R10" i="9"/>
  <c r="S8" i="9"/>
  <c r="R8" i="5"/>
  <c r="R10" i="5" s="1"/>
  <c r="Q8" i="6"/>
  <c r="Q10" i="6" s="1"/>
  <c r="R8" i="7"/>
  <c r="R10" i="7" s="1"/>
  <c r="S8" i="8"/>
  <c r="S10" i="8" s="1"/>
  <c r="V19" i="4"/>
  <c r="V44" i="4" s="1"/>
  <c r="V45" i="4" s="1"/>
  <c r="U47" i="4"/>
  <c r="T14" i="5" s="1"/>
  <c r="U21" i="4"/>
  <c r="R24" i="4"/>
  <c r="R31" i="4" s="1"/>
  <c r="S12" i="4"/>
  <c r="T8" i="4"/>
  <c r="S10" i="4"/>
  <c r="P33" i="4" l="1"/>
  <c r="M36" i="5"/>
  <c r="N12" i="5"/>
  <c r="O91" i="11" s="1"/>
  <c r="O93" i="11" s="1"/>
  <c r="O96" i="11" s="1"/>
  <c r="M33" i="6"/>
  <c r="N23" i="7" s="1"/>
  <c r="W20" i="4"/>
  <c r="AD48" i="11"/>
  <c r="R25" i="4"/>
  <c r="R32" i="4" s="1"/>
  <c r="P29" i="4"/>
  <c r="P37" i="4" s="1"/>
  <c r="Q26" i="4"/>
  <c r="S10" i="11"/>
  <c r="T8" i="11"/>
  <c r="T10" i="10"/>
  <c r="U8" i="10"/>
  <c r="T12" i="10"/>
  <c r="T8" i="9"/>
  <c r="S34" i="9"/>
  <c r="S12" i="9"/>
  <c r="S17" i="9"/>
  <c r="S10" i="9"/>
  <c r="S8" i="5"/>
  <c r="S10" i="5" s="1"/>
  <c r="S8" i="7"/>
  <c r="S10" i="7" s="1"/>
  <c r="R8" i="6"/>
  <c r="R10" i="6" s="1"/>
  <c r="T8" i="8"/>
  <c r="T10" i="8" s="1"/>
  <c r="W19" i="4"/>
  <c r="W44" i="4" s="1"/>
  <c r="W45" i="4" s="1"/>
  <c r="V47" i="4"/>
  <c r="V21" i="4"/>
  <c r="T12" i="4"/>
  <c r="U8" i="4"/>
  <c r="T10" i="4"/>
  <c r="S24" i="4"/>
  <c r="S31" i="4" s="1"/>
  <c r="Q33" i="4" l="1"/>
  <c r="N36" i="5"/>
  <c r="O12" i="5"/>
  <c r="P91" i="11" s="1"/>
  <c r="P93" i="11" s="1"/>
  <c r="P96" i="11" s="1"/>
  <c r="N33" i="6"/>
  <c r="O23" i="7" s="1"/>
  <c r="X20" i="4"/>
  <c r="R26" i="4"/>
  <c r="Q29" i="4"/>
  <c r="Q37" i="4" s="1"/>
  <c r="S25" i="4"/>
  <c r="S32" i="4" s="1"/>
  <c r="U12" i="10"/>
  <c r="V8" i="10"/>
  <c r="U10" i="10"/>
  <c r="T10" i="11"/>
  <c r="U8" i="11"/>
  <c r="U8" i="9"/>
  <c r="T17" i="9"/>
  <c r="T10" i="9"/>
  <c r="T12" i="9"/>
  <c r="T34" i="9"/>
  <c r="T8" i="5"/>
  <c r="T10" i="5" s="1"/>
  <c r="T8" i="7"/>
  <c r="T10" i="7" s="1"/>
  <c r="U8" i="8"/>
  <c r="U10" i="8" s="1"/>
  <c r="S8" i="6"/>
  <c r="U12" i="4"/>
  <c r="V8" i="4"/>
  <c r="U10" i="4"/>
  <c r="W47" i="4"/>
  <c r="W21" i="4"/>
  <c r="X19" i="4"/>
  <c r="X44" i="4" s="1"/>
  <c r="X45" i="4" s="1"/>
  <c r="T24" i="4"/>
  <c r="T31" i="4" s="1"/>
  <c r="R33" i="4" l="1"/>
  <c r="O36" i="5"/>
  <c r="P12" i="5"/>
  <c r="Q91" i="11" s="1"/>
  <c r="Q93" i="11" s="1"/>
  <c r="Q96" i="11" s="1"/>
  <c r="O33" i="6"/>
  <c r="P23" i="7" s="1"/>
  <c r="Y20" i="4"/>
  <c r="T25" i="4"/>
  <c r="T32" i="4" s="1"/>
  <c r="R29" i="4"/>
  <c r="R37" i="4" s="1"/>
  <c r="S26" i="4"/>
  <c r="V12" i="10"/>
  <c r="W8" i="10"/>
  <c r="V10" i="10"/>
  <c r="U10" i="11"/>
  <c r="V8" i="11"/>
  <c r="U10" i="9"/>
  <c r="U12" i="9"/>
  <c r="U17" i="9"/>
  <c r="U34" i="9"/>
  <c r="V8" i="9"/>
  <c r="S10" i="6"/>
  <c r="U8" i="5"/>
  <c r="U10" i="5" s="1"/>
  <c r="V8" i="8"/>
  <c r="V10" i="8" s="1"/>
  <c r="T8" i="6"/>
  <c r="T10" i="6" s="1"/>
  <c r="U8" i="7"/>
  <c r="U10" i="7" s="1"/>
  <c r="V12" i="4"/>
  <c r="W8" i="4"/>
  <c r="V10" i="4"/>
  <c r="Y19" i="4"/>
  <c r="Y44" i="4" s="1"/>
  <c r="Y45" i="4" s="1"/>
  <c r="X21" i="4"/>
  <c r="X47" i="4"/>
  <c r="U24" i="4"/>
  <c r="U31" i="4" s="1"/>
  <c r="S33" i="4" l="1"/>
  <c r="P36" i="5"/>
  <c r="Q12" i="5"/>
  <c r="R91" i="11" s="1"/>
  <c r="R93" i="11" s="1"/>
  <c r="R96" i="11" s="1"/>
  <c r="P33" i="6"/>
  <c r="Q23" i="7" s="1"/>
  <c r="Z20" i="4"/>
  <c r="U25" i="4"/>
  <c r="U32" i="4" s="1"/>
  <c r="S29" i="4"/>
  <c r="S37" i="4" s="1"/>
  <c r="T26" i="4"/>
  <c r="W10" i="10"/>
  <c r="X8" i="10"/>
  <c r="W12" i="10"/>
  <c r="V10" i="11"/>
  <c r="W8" i="11"/>
  <c r="W8" i="9"/>
  <c r="V34" i="9"/>
  <c r="V12" i="9"/>
  <c r="V17" i="9"/>
  <c r="V10" i="9"/>
  <c r="V8" i="5"/>
  <c r="V10" i="5" s="1"/>
  <c r="U8" i="6"/>
  <c r="U10" i="6" s="1"/>
  <c r="V8" i="7"/>
  <c r="V10" i="7" s="1"/>
  <c r="W8" i="8"/>
  <c r="W10" i="8" s="1"/>
  <c r="W12" i="4"/>
  <c r="X8" i="4"/>
  <c r="W10" i="4"/>
  <c r="V24" i="4"/>
  <c r="V31" i="4" s="1"/>
  <c r="Y21" i="4"/>
  <c r="Y47" i="4"/>
  <c r="Z19" i="4"/>
  <c r="Z44" i="4" s="1"/>
  <c r="Z45" i="4" s="1"/>
  <c r="T33" i="4" l="1"/>
  <c r="Q36" i="5"/>
  <c r="R12" i="5"/>
  <c r="S91" i="11" s="1"/>
  <c r="S93" i="11" s="1"/>
  <c r="S96" i="11" s="1"/>
  <c r="Q33" i="6"/>
  <c r="R23" i="7" s="1"/>
  <c r="AA20" i="4"/>
  <c r="T29" i="4"/>
  <c r="T37" i="4" s="1"/>
  <c r="V25" i="4"/>
  <c r="V32" i="4" s="1"/>
  <c r="U26" i="4"/>
  <c r="Y8" i="10"/>
  <c r="X12" i="10"/>
  <c r="X10" i="10"/>
  <c r="W10" i="11"/>
  <c r="X8" i="11"/>
  <c r="W34" i="9"/>
  <c r="W12" i="9"/>
  <c r="W17" i="9"/>
  <c r="W10" i="9"/>
  <c r="X8" i="9"/>
  <c r="W8" i="5"/>
  <c r="W10" i="5" s="1"/>
  <c r="V8" i="6"/>
  <c r="V10" i="6" s="1"/>
  <c r="W8" i="7"/>
  <c r="W10" i="7" s="1"/>
  <c r="X8" i="8"/>
  <c r="X10" i="8" s="1"/>
  <c r="X12" i="4"/>
  <c r="X10" i="4"/>
  <c r="Y8" i="4"/>
  <c r="W24" i="4"/>
  <c r="W31" i="4" s="1"/>
  <c r="Z47" i="4"/>
  <c r="Z21" i="4"/>
  <c r="AA19" i="4"/>
  <c r="AA44" i="4" s="1"/>
  <c r="AA45" i="4" s="1"/>
  <c r="U33" i="4" l="1"/>
  <c r="R36" i="5"/>
  <c r="S12" i="5"/>
  <c r="T91" i="11" s="1"/>
  <c r="T93" i="11" s="1"/>
  <c r="T96" i="11" s="1"/>
  <c r="R33" i="6"/>
  <c r="S23" i="7" s="1"/>
  <c r="AB20" i="4"/>
  <c r="V26" i="4"/>
  <c r="U29" i="4"/>
  <c r="U37" i="4" s="1"/>
  <c r="W25" i="4"/>
  <c r="W32" i="4" s="1"/>
  <c r="X10" i="11"/>
  <c r="Y8" i="11"/>
  <c r="Y12" i="10"/>
  <c r="Z8" i="10"/>
  <c r="Y10" i="10"/>
  <c r="X10" i="9"/>
  <c r="X34" i="9"/>
  <c r="Y8" i="9"/>
  <c r="X17" i="9"/>
  <c r="X12" i="9"/>
  <c r="X8" i="5"/>
  <c r="X10" i="5" s="1"/>
  <c r="X8" i="7"/>
  <c r="X10" i="7" s="1"/>
  <c r="Y8" i="8"/>
  <c r="Y10" i="8" s="1"/>
  <c r="W8" i="6"/>
  <c r="Y12" i="4"/>
  <c r="Z8" i="4"/>
  <c r="Y10" i="4"/>
  <c r="AA47" i="4"/>
  <c r="AB19" i="4"/>
  <c r="AB44" i="4" s="1"/>
  <c r="AB45" i="4" s="1"/>
  <c r="AA21" i="4"/>
  <c r="X24" i="4"/>
  <c r="X31" i="4" s="1"/>
  <c r="S36" i="5" l="1"/>
  <c r="V33" i="4"/>
  <c r="T12" i="5"/>
  <c r="U91" i="11" s="1"/>
  <c r="U93" i="11" s="1"/>
  <c r="U96" i="11" s="1"/>
  <c r="S33" i="6"/>
  <c r="T23" i="7" s="1"/>
  <c r="AC20" i="4"/>
  <c r="W26" i="4"/>
  <c r="X25" i="4"/>
  <c r="X32" i="4" s="1"/>
  <c r="V29" i="4"/>
  <c r="V37" i="4" s="1"/>
  <c r="Z12" i="10"/>
  <c r="Z10" i="10"/>
  <c r="AA8" i="10"/>
  <c r="Y10" i="11"/>
  <c r="Z8" i="11"/>
  <c r="Z8" i="9"/>
  <c r="Y17" i="9"/>
  <c r="Y10" i="9"/>
  <c r="Y34" i="9"/>
  <c r="Y12" i="9"/>
  <c r="W10" i="6"/>
  <c r="Y8" i="5"/>
  <c r="Y10" i="5" s="1"/>
  <c r="Z8" i="8"/>
  <c r="Z10" i="8" s="1"/>
  <c r="X8" i="6"/>
  <c r="X10" i="6" s="1"/>
  <c r="Y8" i="7"/>
  <c r="Y10" i="7" s="1"/>
  <c r="AB47" i="4"/>
  <c r="AB21" i="4"/>
  <c r="AC19" i="4"/>
  <c r="AC44" i="4" s="1"/>
  <c r="AC45" i="4" s="1"/>
  <c r="Y24" i="4"/>
  <c r="Y31" i="4" s="1"/>
  <c r="Z12" i="4"/>
  <c r="AA8" i="4"/>
  <c r="Z10" i="4"/>
  <c r="T36" i="5" l="1"/>
  <c r="W33" i="4"/>
  <c r="U12" i="5"/>
  <c r="V91" i="11" s="1"/>
  <c r="V93" i="11" s="1"/>
  <c r="V96" i="11" s="1"/>
  <c r="T33" i="6"/>
  <c r="U23" i="7" s="1"/>
  <c r="AD20" i="4"/>
  <c r="X26" i="4"/>
  <c r="Y25" i="4"/>
  <c r="Y32" i="4" s="1"/>
  <c r="W29" i="4"/>
  <c r="W37" i="4" s="1"/>
  <c r="AA10" i="10"/>
  <c r="AB8" i="10"/>
  <c r="AA12" i="10"/>
  <c r="AA8" i="11"/>
  <c r="Z10" i="11"/>
  <c r="Z34" i="9"/>
  <c r="Z17" i="9"/>
  <c r="Z12" i="9"/>
  <c r="Z10" i="9"/>
  <c r="AA8" i="9"/>
  <c r="Z8" i="5"/>
  <c r="Z10" i="5" s="1"/>
  <c r="Y8" i="6"/>
  <c r="Y10" i="6" s="1"/>
  <c r="Z8" i="7"/>
  <c r="Z10" i="7" s="1"/>
  <c r="AA8" i="8"/>
  <c r="AA10" i="8" s="1"/>
  <c r="AA12" i="4"/>
  <c r="AA10" i="4"/>
  <c r="AB8" i="4"/>
  <c r="AC21" i="4"/>
  <c r="AC47" i="4"/>
  <c r="AD19" i="4"/>
  <c r="AD44" i="4" s="1"/>
  <c r="AD45" i="4" s="1"/>
  <c r="Z24" i="4"/>
  <c r="Z31" i="4" s="1"/>
  <c r="X33" i="4" l="1"/>
  <c r="U36" i="5"/>
  <c r="V12" i="5"/>
  <c r="W91" i="11" s="1"/>
  <c r="W93" i="11" s="1"/>
  <c r="W96" i="11" s="1"/>
  <c r="U33" i="6"/>
  <c r="V23" i="7" s="1"/>
  <c r="Y26" i="4"/>
  <c r="Z25" i="4"/>
  <c r="Z32" i="4" s="1"/>
  <c r="X29" i="4"/>
  <c r="X37" i="4" s="1"/>
  <c r="AB8" i="11"/>
  <c r="AA10" i="11"/>
  <c r="AB10" i="10"/>
  <c r="AC8" i="10"/>
  <c r="AB12" i="10"/>
  <c r="AA34" i="9"/>
  <c r="AA12" i="9"/>
  <c r="AA17" i="9"/>
  <c r="AA10" i="9"/>
  <c r="AB8" i="9"/>
  <c r="AA8" i="5"/>
  <c r="AA10" i="5" s="1"/>
  <c r="AA8" i="7"/>
  <c r="AA10" i="7" s="1"/>
  <c r="Z8" i="6"/>
  <c r="Z10" i="6" s="1"/>
  <c r="AB8" i="8"/>
  <c r="AB10" i="8" s="1"/>
  <c r="AB12" i="4"/>
  <c r="AC8" i="4"/>
  <c r="AB10" i="4"/>
  <c r="AD21" i="4"/>
  <c r="AD47" i="4"/>
  <c r="AA24" i="4"/>
  <c r="AA31" i="4" s="1"/>
  <c r="Y33" i="4" l="1"/>
  <c r="V36" i="5"/>
  <c r="W12" i="5"/>
  <c r="X91" i="11" s="1"/>
  <c r="X93" i="11" s="1"/>
  <c r="X96" i="11" s="1"/>
  <c r="V33" i="6"/>
  <c r="W23" i="7" s="1"/>
  <c r="Z26" i="4"/>
  <c r="AA25" i="4"/>
  <c r="AA32" i="4" s="1"/>
  <c r="Y29" i="4"/>
  <c r="Y37" i="4" s="1"/>
  <c r="AC12" i="10"/>
  <c r="AD8" i="10"/>
  <c r="AC10" i="10"/>
  <c r="AC8" i="11"/>
  <c r="AB10" i="11"/>
  <c r="AB17" i="9"/>
  <c r="AC8" i="9"/>
  <c r="AB12" i="9"/>
  <c r="AB34" i="9"/>
  <c r="AB10" i="9"/>
  <c r="AB8" i="5"/>
  <c r="AB10" i="5" s="1"/>
  <c r="AB8" i="7"/>
  <c r="AB10" i="7" s="1"/>
  <c r="AC8" i="8"/>
  <c r="AC10" i="8" s="1"/>
  <c r="AA8" i="6"/>
  <c r="AC12" i="4"/>
  <c r="AC10" i="4"/>
  <c r="AD8" i="4"/>
  <c r="AB24" i="4"/>
  <c r="AB31" i="4" s="1"/>
  <c r="Z33" i="4" l="1"/>
  <c r="W36" i="5"/>
  <c r="X12" i="5"/>
  <c r="Y91" i="11" s="1"/>
  <c r="Y93" i="11" s="1"/>
  <c r="Y96" i="11" s="1"/>
  <c r="W33" i="6"/>
  <c r="X23" i="7" s="1"/>
  <c r="AA26" i="4"/>
  <c r="AB25" i="4"/>
  <c r="AB32" i="4" s="1"/>
  <c r="Z29" i="4"/>
  <c r="Z37" i="4" s="1"/>
  <c r="AD8" i="11"/>
  <c r="AC10" i="11"/>
  <c r="AD12" i="10"/>
  <c r="AE8" i="10"/>
  <c r="AD10" i="10"/>
  <c r="AC34" i="9"/>
  <c r="AC10" i="9"/>
  <c r="AC17" i="9"/>
  <c r="AD8" i="9"/>
  <c r="AC12" i="9"/>
  <c r="AC8" i="5"/>
  <c r="AC10" i="5" s="1"/>
  <c r="AD8" i="8"/>
  <c r="AD10" i="8" s="1"/>
  <c r="AB8" i="6"/>
  <c r="AB10" i="6" s="1"/>
  <c r="AC8" i="7"/>
  <c r="AC10" i="7" s="1"/>
  <c r="AA10" i="6"/>
  <c r="AD12" i="4"/>
  <c r="AD10" i="4"/>
  <c r="AC24" i="4"/>
  <c r="AC31" i="4" s="1"/>
  <c r="AA33" i="4" l="1"/>
  <c r="Y12" i="5"/>
  <c r="Z91" i="11" s="1"/>
  <c r="Z93" i="11" s="1"/>
  <c r="Z96" i="11" s="1"/>
  <c r="X33" i="6"/>
  <c r="Y23" i="7" s="1"/>
  <c r="X36" i="5"/>
  <c r="AB26" i="4"/>
  <c r="AC25" i="4"/>
  <c r="AC32" i="4" s="1"/>
  <c r="AA29" i="4"/>
  <c r="AA37" i="4" s="1"/>
  <c r="AE10" i="10"/>
  <c r="AE12" i="10"/>
  <c r="AD10" i="11"/>
  <c r="AD17" i="9"/>
  <c r="AD34" i="9"/>
  <c r="AD12" i="9"/>
  <c r="AD10" i="9"/>
  <c r="AD24" i="4"/>
  <c r="AD31" i="4" s="1"/>
  <c r="AB33" i="4" l="1"/>
  <c r="Y36" i="5"/>
  <c r="Z12" i="5"/>
  <c r="AA91" i="11" s="1"/>
  <c r="AA93" i="11" s="1"/>
  <c r="AA96" i="11" s="1"/>
  <c r="Y33" i="6"/>
  <c r="Z23" i="7" s="1"/>
  <c r="D58" i="11" a="1"/>
  <c r="AB29" i="4"/>
  <c r="AB37" i="4" s="1"/>
  <c r="AD25" i="4"/>
  <c r="AD32" i="4" s="1"/>
  <c r="AC26" i="4"/>
  <c r="AC33" i="4" l="1"/>
  <c r="Z36" i="5"/>
  <c r="AA12" i="5"/>
  <c r="AB91" i="11" s="1"/>
  <c r="AB93" i="11" s="1"/>
  <c r="AB96" i="11" s="1"/>
  <c r="Z33" i="6"/>
  <c r="AA23" i="7" s="1"/>
  <c r="D58" i="11"/>
  <c r="D81" i="11"/>
  <c r="D65" i="11"/>
  <c r="D72" i="11"/>
  <c r="D83" i="11"/>
  <c r="D67" i="11"/>
  <c r="D78" i="11"/>
  <c r="D62" i="11"/>
  <c r="D77" i="11"/>
  <c r="D61" i="11"/>
  <c r="D68" i="11"/>
  <c r="D79" i="11"/>
  <c r="D63" i="11"/>
  <c r="D74" i="11"/>
  <c r="D73" i="11"/>
  <c r="D80" i="11"/>
  <c r="D64" i="11"/>
  <c r="D75" i="11"/>
  <c r="D59" i="11"/>
  <c r="D70" i="11"/>
  <c r="D69" i="11"/>
  <c r="D76" i="11"/>
  <c r="D60" i="11"/>
  <c r="D71" i="11"/>
  <c r="D82" i="11"/>
  <c r="D66" i="11"/>
  <c r="AD26" i="4"/>
  <c r="AC29" i="4"/>
  <c r="AC37" i="4" s="1"/>
  <c r="AD33" i="4" l="1"/>
  <c r="AA36" i="5"/>
  <c r="AB12" i="5"/>
  <c r="AC91" i="11" s="1"/>
  <c r="AC93" i="11" s="1"/>
  <c r="AC96" i="11" s="1"/>
  <c r="AA33" i="6"/>
  <c r="AB23" i="7" s="1"/>
  <c r="AD29" i="4"/>
  <c r="AD37" i="4" s="1"/>
  <c r="AB36" i="5" l="1"/>
  <c r="AC12" i="5"/>
  <c r="AD91" i="11" s="1"/>
  <c r="AD93" i="11" s="1"/>
  <c r="AD96" i="11" s="1"/>
  <c r="AB33" i="6"/>
  <c r="AC23" i="7" l="1"/>
  <c r="AC36" i="5"/>
  <c r="C40" i="11" l="1"/>
  <c r="C42" i="11" l="1"/>
  <c r="C44" i="11" s="1"/>
  <c r="D29" i="11" s="1"/>
  <c r="H8" i="1" l="1"/>
  <c r="F20" i="9" s="1"/>
  <c r="G20" i="9" s="1"/>
  <c r="G21" i="9" l="1"/>
  <c r="H20" i="9"/>
  <c r="F21" i="9"/>
  <c r="F38" i="9"/>
  <c r="F39" i="9" l="1"/>
  <c r="F40" i="9" s="1"/>
  <c r="G38" i="9" s="1"/>
  <c r="H21" i="9"/>
  <c r="I20" i="9"/>
  <c r="G39" i="9" l="1"/>
  <c r="G40" i="9" s="1"/>
  <c r="H38" i="9" s="1"/>
  <c r="I21" i="9"/>
  <c r="J20" i="9"/>
  <c r="K20" i="9" l="1"/>
  <c r="J21" i="9"/>
  <c r="H39" i="9"/>
  <c r="H40" i="9" s="1"/>
  <c r="I38" i="9" s="1"/>
  <c r="I39" i="9" l="1"/>
  <c r="I40" i="9" s="1"/>
  <c r="J38" i="9" s="1"/>
  <c r="K21" i="9"/>
  <c r="L20" i="9"/>
  <c r="J39" i="9" l="1"/>
  <c r="J40" i="9" s="1"/>
  <c r="K38" i="9" s="1"/>
  <c r="M20" i="9"/>
  <c r="L21" i="9"/>
  <c r="K39" i="9" l="1"/>
  <c r="K40" i="9" s="1"/>
  <c r="L38" i="9" s="1"/>
  <c r="M21" i="9"/>
  <c r="N20" i="9"/>
  <c r="L39" i="9" l="1"/>
  <c r="L40" i="9" s="1"/>
  <c r="M38" i="9" s="1"/>
  <c r="O20" i="9"/>
  <c r="N21" i="9"/>
  <c r="M39" i="9" l="1"/>
  <c r="M40" i="9" s="1"/>
  <c r="N38" i="9" s="1"/>
  <c r="O21" i="9"/>
  <c r="P20" i="9"/>
  <c r="N39" i="9" l="1"/>
  <c r="N40" i="9" s="1"/>
  <c r="O38" i="9" s="1"/>
  <c r="Q20" i="9"/>
  <c r="P21" i="9"/>
  <c r="Q21" i="9" l="1"/>
  <c r="R20" i="9"/>
  <c r="O39" i="9"/>
  <c r="O40" i="9" s="1"/>
  <c r="P38" i="9" s="1"/>
  <c r="P39" i="9" l="1"/>
  <c r="P40" i="9" s="1"/>
  <c r="Q38" i="9" s="1"/>
  <c r="S20" i="9"/>
  <c r="R21" i="9"/>
  <c r="Q39" i="9" l="1"/>
  <c r="Q40" i="9" s="1"/>
  <c r="R38" i="9" s="1"/>
  <c r="T20" i="9"/>
  <c r="S21" i="9"/>
  <c r="U20" i="9" l="1"/>
  <c r="T21" i="9"/>
  <c r="R39" i="9"/>
  <c r="R40" i="9" s="1"/>
  <c r="S38" i="9" s="1"/>
  <c r="S39" i="9" l="1"/>
  <c r="S40" i="9" s="1"/>
  <c r="T38" i="9" s="1"/>
  <c r="U21" i="9"/>
  <c r="V20" i="9"/>
  <c r="T39" i="9" l="1"/>
  <c r="T40" i="9" s="1"/>
  <c r="U38" i="9" s="1"/>
  <c r="W20" i="9"/>
  <c r="V21" i="9"/>
  <c r="U39" i="9" l="1"/>
  <c r="U40" i="9" s="1"/>
  <c r="V38" i="9" s="1"/>
  <c r="X20" i="9"/>
  <c r="W21" i="9"/>
  <c r="X21" i="9" l="1"/>
  <c r="Y20" i="9"/>
  <c r="V39" i="9"/>
  <c r="V40" i="9" s="1"/>
  <c r="W38" i="9" s="1"/>
  <c r="W39" i="9" l="1"/>
  <c r="W40" i="9" s="1"/>
  <c r="X38" i="9" s="1"/>
  <c r="Y21" i="9"/>
  <c r="Z20" i="9"/>
  <c r="X39" i="9" l="1"/>
  <c r="X40" i="9" s="1"/>
  <c r="Y38" i="9" s="1"/>
  <c r="Z21" i="9"/>
  <c r="AA20" i="9"/>
  <c r="Y39" i="9" l="1"/>
  <c r="Y40" i="9" s="1"/>
  <c r="Z38" i="9" s="1"/>
  <c r="AA21" i="9"/>
  <c r="AB20" i="9"/>
  <c r="AB21" i="9" l="1"/>
  <c r="AC20" i="9"/>
  <c r="Z39" i="9"/>
  <c r="Z40" i="9" s="1"/>
  <c r="AA38" i="9" s="1"/>
  <c r="AA39" i="9" l="1"/>
  <c r="AA40" i="9" s="1"/>
  <c r="AB38" i="9" s="1"/>
  <c r="AD20" i="9"/>
  <c r="AC21" i="9"/>
  <c r="AB39" i="9" l="1"/>
  <c r="AB40" i="9" s="1"/>
  <c r="AC38" i="9" s="1"/>
  <c r="AD21" i="9"/>
  <c r="AC39" i="9" l="1"/>
  <c r="AC40" i="9" s="1"/>
  <c r="AD38" i="9" s="1"/>
  <c r="AD39" i="9" l="1"/>
  <c r="AD40" i="9" s="1"/>
  <c r="G12" i="1" l="1"/>
  <c r="H12" i="1" s="1"/>
  <c r="F28" i="9" s="1"/>
  <c r="G10" i="1"/>
  <c r="H10" i="1" s="1"/>
  <c r="F24" i="9" s="1"/>
  <c r="F44" i="9" s="1"/>
  <c r="G11" i="1"/>
  <c r="H11" i="1" s="1"/>
  <c r="F26" i="9" s="1"/>
  <c r="H9" i="1"/>
  <c r="F22" i="9" s="1"/>
  <c r="F18" i="1"/>
  <c r="H7" i="1"/>
  <c r="F20" i="1" l="1"/>
  <c r="F25" i="1" s="1"/>
  <c r="O19" i="1"/>
  <c r="O20" i="1" s="1"/>
  <c r="H18" i="1"/>
  <c r="G18" i="1"/>
  <c r="F29" i="9"/>
  <c r="F50" i="9"/>
  <c r="G28" i="9"/>
  <c r="F18" i="9"/>
  <c r="F27" i="9"/>
  <c r="F47" i="9"/>
  <c r="F41" i="9"/>
  <c r="F45" i="9"/>
  <c r="F46" i="9" s="1"/>
  <c r="G44" i="9" s="1"/>
  <c r="F25" i="9"/>
  <c r="G24" i="9"/>
  <c r="G22" i="9"/>
  <c r="G26" i="9"/>
  <c r="C21" i="8" l="1"/>
  <c r="F22" i="8" s="1"/>
  <c r="D211" i="8" s="1"/>
  <c r="D14" i="7"/>
  <c r="D220" i="8"/>
  <c r="D215" i="8"/>
  <c r="D202" i="8"/>
  <c r="D185" i="8"/>
  <c r="D181" i="8"/>
  <c r="D168" i="8"/>
  <c r="D163" i="8"/>
  <c r="D150" i="8"/>
  <c r="D146" i="8"/>
  <c r="D133" i="8"/>
  <c r="D129" i="8"/>
  <c r="D116" i="8"/>
  <c r="D111" i="8"/>
  <c r="D98" i="8"/>
  <c r="D94" i="8"/>
  <c r="D81" i="8"/>
  <c r="D77" i="8"/>
  <c r="D64" i="8"/>
  <c r="D59" i="8"/>
  <c r="D46" i="8"/>
  <c r="D42" i="8"/>
  <c r="D218" i="8"/>
  <c r="D214" i="8"/>
  <c r="D201" i="8"/>
  <c r="D197" i="8"/>
  <c r="D184" i="8"/>
  <c r="D179" i="8"/>
  <c r="D166" i="8"/>
  <c r="D162" i="8"/>
  <c r="D149" i="8"/>
  <c r="D145" i="8"/>
  <c r="D132" i="8"/>
  <c r="D127" i="8"/>
  <c r="D114" i="8"/>
  <c r="D110" i="8"/>
  <c r="D97" i="8"/>
  <c r="D93" i="8"/>
  <c r="D80" i="8"/>
  <c r="D75" i="8"/>
  <c r="D62" i="8"/>
  <c r="D66" i="8"/>
  <c r="D53" i="8"/>
  <c r="D48" i="8"/>
  <c r="D225" i="8"/>
  <c r="D221" i="8"/>
  <c r="D208" i="8"/>
  <c r="D203" i="8"/>
  <c r="D190" i="8"/>
  <c r="D186" i="8"/>
  <c r="D173" i="8"/>
  <c r="D169" i="8"/>
  <c r="D156" i="8"/>
  <c r="D151" i="8"/>
  <c r="D138" i="8"/>
  <c r="D134" i="8"/>
  <c r="D121" i="8"/>
  <c r="D117" i="8"/>
  <c r="D104" i="8"/>
  <c r="D99" i="8"/>
  <c r="D86" i="8"/>
  <c r="D82" i="8"/>
  <c r="D69" i="8"/>
  <c r="D65" i="8"/>
  <c r="D52" i="8"/>
  <c r="D47" i="8"/>
  <c r="D54" i="8"/>
  <c r="D49" i="8"/>
  <c r="D222" i="8"/>
  <c r="D217" i="8"/>
  <c r="D204" i="8"/>
  <c r="D200" i="8"/>
  <c r="D187" i="8"/>
  <c r="D183" i="8"/>
  <c r="D170" i="8"/>
  <c r="D165" i="8"/>
  <c r="D152" i="8"/>
  <c r="D148" i="8"/>
  <c r="D139" i="8"/>
  <c r="D135" i="8"/>
  <c r="D131" i="8"/>
  <c r="D118" i="8"/>
  <c r="D113" i="8"/>
  <c r="D100" i="8"/>
  <c r="D96" i="8"/>
  <c r="D83" i="8"/>
  <c r="D79" i="8"/>
  <c r="D70" i="8"/>
  <c r="F24" i="1"/>
  <c r="G45" i="9"/>
  <c r="G46" i="9" s="1"/>
  <c r="H44" i="9" s="1"/>
  <c r="H22" i="9"/>
  <c r="G23" i="9"/>
  <c r="F51" i="9"/>
  <c r="F52" i="9" s="1"/>
  <c r="G50" i="9" s="1"/>
  <c r="F42" i="9"/>
  <c r="F43" i="9" s="1"/>
  <c r="G41" i="9" s="1"/>
  <c r="H24" i="9"/>
  <c r="G25" i="9"/>
  <c r="G18" i="9"/>
  <c r="F35" i="9"/>
  <c r="F30" i="9"/>
  <c r="G27" i="9"/>
  <c r="H26" i="9"/>
  <c r="F48" i="9"/>
  <c r="F49" i="9" s="1"/>
  <c r="G47" i="9" s="1"/>
  <c r="G29" i="9"/>
  <c r="H28" i="9"/>
  <c r="D198" i="8" l="1"/>
  <c r="I29" i="1"/>
  <c r="D58" i="8"/>
  <c r="D87" i="8"/>
  <c r="D105" i="8"/>
  <c r="D122" i="8"/>
  <c r="D157" i="8"/>
  <c r="D174" i="8"/>
  <c r="D191" i="8"/>
  <c r="D209" i="8"/>
  <c r="D41" i="8"/>
  <c r="D56" i="8"/>
  <c r="D73" i="8"/>
  <c r="D91" i="8"/>
  <c r="D108" i="8"/>
  <c r="D125" i="8"/>
  <c r="D143" i="8"/>
  <c r="D160" i="8"/>
  <c r="D177" i="8"/>
  <c r="D195" i="8"/>
  <c r="D212" i="8"/>
  <c r="D57" i="8"/>
  <c r="D67" i="8"/>
  <c r="D84" i="8"/>
  <c r="D101" i="8"/>
  <c r="D119" i="8"/>
  <c r="D136" i="8"/>
  <c r="D153" i="8"/>
  <c r="D171" i="8"/>
  <c r="D188" i="8"/>
  <c r="D205" i="8"/>
  <c r="D223" i="8"/>
  <c r="S22" i="7" s="1"/>
  <c r="T16" i="11" s="1"/>
  <c r="D51" i="8"/>
  <c r="D68" i="8"/>
  <c r="D85" i="8"/>
  <c r="D103" i="8"/>
  <c r="D120" i="8"/>
  <c r="D137" i="8"/>
  <c r="D155" i="8"/>
  <c r="D172" i="8"/>
  <c r="D189" i="8"/>
  <c r="D207" i="8"/>
  <c r="D224" i="8"/>
  <c r="E33" i="1"/>
  <c r="C30" i="8"/>
  <c r="E30" i="8" s="1"/>
  <c r="C31" i="8" s="1"/>
  <c r="E31" i="8" s="1"/>
  <c r="C32" i="8" s="1"/>
  <c r="D74" i="8"/>
  <c r="D92" i="8"/>
  <c r="D109" i="8"/>
  <c r="D126" i="8"/>
  <c r="D144" i="8"/>
  <c r="D161" i="8"/>
  <c r="D178" i="8"/>
  <c r="D196" i="8"/>
  <c r="D213" i="8"/>
  <c r="D45" i="8"/>
  <c r="D43" i="8"/>
  <c r="D60" i="8"/>
  <c r="D78" i="8"/>
  <c r="D95" i="8"/>
  <c r="D112" i="8"/>
  <c r="D130" i="8"/>
  <c r="D147" i="8"/>
  <c r="D164" i="8"/>
  <c r="D182" i="8"/>
  <c r="D199" i="8"/>
  <c r="D216" i="8"/>
  <c r="D44" i="8"/>
  <c r="D61" i="8"/>
  <c r="D71" i="8"/>
  <c r="D88" i="8"/>
  <c r="D106" i="8"/>
  <c r="D123" i="8"/>
  <c r="D140" i="8"/>
  <c r="D158" i="8"/>
  <c r="D175" i="8"/>
  <c r="D192" i="8"/>
  <c r="D210" i="8"/>
  <c r="D55" i="8"/>
  <c r="D72" i="8"/>
  <c r="D90" i="8"/>
  <c r="D107" i="8"/>
  <c r="D124" i="8"/>
  <c r="D142" i="8"/>
  <c r="D159" i="8"/>
  <c r="D176" i="8"/>
  <c r="D194" i="8"/>
  <c r="G31" i="1"/>
  <c r="F26" i="1"/>
  <c r="G32" i="1" s="1"/>
  <c r="D13" i="7"/>
  <c r="C12" i="6" s="1"/>
  <c r="W13" i="8"/>
  <c r="T17" i="6" s="1"/>
  <c r="Z13" i="8"/>
  <c r="Y30" i="5" s="1"/>
  <c r="X13" i="8"/>
  <c r="U13" i="8"/>
  <c r="T22" i="7" s="1"/>
  <c r="Y13" i="8"/>
  <c r="X30" i="5" s="1"/>
  <c r="V13" i="8"/>
  <c r="S17" i="6" s="1"/>
  <c r="V30" i="5"/>
  <c r="V22" i="7"/>
  <c r="G42" i="9"/>
  <c r="G43" i="9" s="1"/>
  <c r="H41" i="9" s="1"/>
  <c r="G51" i="9"/>
  <c r="G52" i="9" s="1"/>
  <c r="H50" i="9" s="1"/>
  <c r="G48" i="9"/>
  <c r="G49" i="9" s="1"/>
  <c r="H47" i="9" s="1"/>
  <c r="F22" i="10"/>
  <c r="E16" i="5"/>
  <c r="W22" i="7"/>
  <c r="U17" i="6"/>
  <c r="W30" i="5"/>
  <c r="G30" i="9"/>
  <c r="G31" i="9" s="1"/>
  <c r="I26" i="9"/>
  <c r="H27" i="9"/>
  <c r="F36" i="9"/>
  <c r="F54" i="9" s="1"/>
  <c r="F23" i="10" s="1"/>
  <c r="H25" i="9"/>
  <c r="I24" i="9"/>
  <c r="H23" i="9"/>
  <c r="I22" i="9"/>
  <c r="H29" i="9"/>
  <c r="I28" i="9"/>
  <c r="H18" i="9"/>
  <c r="Y22" i="7"/>
  <c r="F31" i="9"/>
  <c r="H45" i="9"/>
  <c r="H46" i="9" s="1"/>
  <c r="I44" i="9" s="1"/>
  <c r="F30" i="8" l="1"/>
  <c r="G13" i="8"/>
  <c r="D17" i="6" s="1"/>
  <c r="K13" i="8"/>
  <c r="J22" i="7" s="1"/>
  <c r="K16" i="11" s="1"/>
  <c r="C17" i="6"/>
  <c r="C14" i="6" s="1"/>
  <c r="Q13" i="8"/>
  <c r="P22" i="7" s="1"/>
  <c r="Q16" i="11" s="1"/>
  <c r="S30" i="5"/>
  <c r="J13" i="8"/>
  <c r="G17" i="6" s="1"/>
  <c r="H13" i="8"/>
  <c r="G22" i="7" s="1"/>
  <c r="H16" i="11" s="1"/>
  <c r="R13" i="8"/>
  <c r="Q30" i="5" s="1"/>
  <c r="I13" i="8"/>
  <c r="N13" i="8"/>
  <c r="M30" i="5" s="1"/>
  <c r="S13" i="8"/>
  <c r="R22" i="7" s="1"/>
  <c r="S16" i="11" s="1"/>
  <c r="L13" i="8"/>
  <c r="K30" i="5" s="1"/>
  <c r="M13" i="8"/>
  <c r="J17" i="6" s="1"/>
  <c r="P13" i="8"/>
  <c r="O22" i="7" s="1"/>
  <c r="P16" i="11" s="1"/>
  <c r="O13" i="8"/>
  <c r="L17" i="6" s="1"/>
  <c r="F30" i="5"/>
  <c r="H22" i="7"/>
  <c r="I16" i="11" s="1"/>
  <c r="H30" i="5"/>
  <c r="P17" i="6"/>
  <c r="D323" i="8"/>
  <c r="D324" i="8" s="1"/>
  <c r="Q17" i="6"/>
  <c r="E35" i="1"/>
  <c r="F22" i="7"/>
  <c r="G16" i="11" s="1"/>
  <c r="L22" i="7"/>
  <c r="M16" i="11" s="1"/>
  <c r="F17" i="6"/>
  <c r="V17" i="6"/>
  <c r="X22" i="7"/>
  <c r="L30" i="5"/>
  <c r="U22" i="7"/>
  <c r="I22" i="7"/>
  <c r="J16" i="11" s="1"/>
  <c r="R17" i="6"/>
  <c r="P30" i="5"/>
  <c r="W17" i="6"/>
  <c r="T30" i="5"/>
  <c r="U30" i="5"/>
  <c r="F37" i="9"/>
  <c r="F53" i="9" s="1"/>
  <c r="I45" i="9"/>
  <c r="I46" i="9" s="1"/>
  <c r="J44" i="9" s="1"/>
  <c r="H42" i="9"/>
  <c r="H43" i="9" s="1"/>
  <c r="I41" i="9" s="1"/>
  <c r="I29" i="9"/>
  <c r="J28" i="9"/>
  <c r="I23" i="9"/>
  <c r="J22" i="9"/>
  <c r="F31" i="8"/>
  <c r="H30" i="9"/>
  <c r="H31" i="9" s="1"/>
  <c r="H48" i="9"/>
  <c r="H49" i="9" s="1"/>
  <c r="I47" i="9" s="1"/>
  <c r="I27" i="9"/>
  <c r="J26" i="9"/>
  <c r="G22" i="10"/>
  <c r="F16" i="5"/>
  <c r="E15" i="7"/>
  <c r="D28" i="6"/>
  <c r="E28" i="5"/>
  <c r="F24" i="11"/>
  <c r="E32" i="8"/>
  <c r="H51" i="9"/>
  <c r="H52" i="9" s="1"/>
  <c r="I50" i="9" s="1"/>
  <c r="I18" i="9"/>
  <c r="I25" i="9"/>
  <c r="J24" i="9"/>
  <c r="H17" i="6" l="1"/>
  <c r="I30" i="5"/>
  <c r="J30" i="5"/>
  <c r="N30" i="5"/>
  <c r="G30" i="5"/>
  <c r="O17" i="6"/>
  <c r="E17" i="6"/>
  <c r="E22" i="7"/>
  <c r="F16" i="11" s="1"/>
  <c r="E30" i="5"/>
  <c r="M22" i="7"/>
  <c r="N16" i="11" s="1"/>
  <c r="M17" i="6"/>
  <c r="Q22" i="7"/>
  <c r="R16" i="11" s="1"/>
  <c r="N17" i="6"/>
  <c r="O30" i="5"/>
  <c r="K17" i="6"/>
  <c r="I17" i="6"/>
  <c r="K22" i="7"/>
  <c r="L16" i="11" s="1"/>
  <c r="R30" i="5"/>
  <c r="N22" i="7"/>
  <c r="O16" i="11" s="1"/>
  <c r="G35" i="9"/>
  <c r="G36" i="9" s="1"/>
  <c r="G54" i="9" s="1"/>
  <c r="G23" i="10" s="1"/>
  <c r="F32" i="8"/>
  <c r="J45" i="9"/>
  <c r="J46" i="9" s="1"/>
  <c r="K44" i="9" s="1"/>
  <c r="J23" i="9"/>
  <c r="K22" i="9"/>
  <c r="I51" i="9"/>
  <c r="I52" i="9" s="1"/>
  <c r="J50" i="9" s="1"/>
  <c r="F15" i="7"/>
  <c r="E28" i="6"/>
  <c r="F28" i="5"/>
  <c r="G24" i="11"/>
  <c r="I48" i="9"/>
  <c r="I49" i="9" s="1"/>
  <c r="J47" i="9" s="1"/>
  <c r="I42" i="9"/>
  <c r="I43" i="9" s="1"/>
  <c r="J41" i="9" s="1"/>
  <c r="J18" i="9"/>
  <c r="I30" i="9"/>
  <c r="I31" i="9" s="1"/>
  <c r="H22" i="10"/>
  <c r="G16" i="5"/>
  <c r="J29" i="9"/>
  <c r="K28" i="9"/>
  <c r="J25" i="9"/>
  <c r="K24" i="9"/>
  <c r="D12" i="6"/>
  <c r="E33" i="8"/>
  <c r="J27" i="9"/>
  <c r="K26" i="9"/>
  <c r="C34" i="8" l="1"/>
  <c r="E34" i="8" s="1"/>
  <c r="C35" i="8" s="1"/>
  <c r="J51" i="9"/>
  <c r="J52" i="9" s="1"/>
  <c r="K50" i="9" s="1"/>
  <c r="J48" i="9"/>
  <c r="J49" i="9" s="1"/>
  <c r="K47" i="9" s="1"/>
  <c r="L22" i="9"/>
  <c r="K23" i="9"/>
  <c r="K27" i="9"/>
  <c r="L26" i="9"/>
  <c r="E13" i="7"/>
  <c r="E12" i="6"/>
  <c r="G28" i="5"/>
  <c r="G15" i="7"/>
  <c r="H24" i="11"/>
  <c r="F28" i="6"/>
  <c r="K18" i="9"/>
  <c r="J42" i="9"/>
  <c r="J43" i="9" s="1"/>
  <c r="K41" i="9" s="1"/>
  <c r="K45" i="9"/>
  <c r="K46" i="9" s="1"/>
  <c r="L44" i="9" s="1"/>
  <c r="J30" i="9"/>
  <c r="J31" i="9" s="1"/>
  <c r="G37" i="9"/>
  <c r="F33" i="8"/>
  <c r="K25" i="9"/>
  <c r="L24" i="9"/>
  <c r="L28" i="9"/>
  <c r="K29" i="9"/>
  <c r="H16" i="5"/>
  <c r="I22" i="10"/>
  <c r="L45" i="9" l="1"/>
  <c r="L46" i="9" s="1"/>
  <c r="M44" i="9" s="1"/>
  <c r="K51" i="9"/>
  <c r="K52" i="9" s="1"/>
  <c r="L50" i="9" s="1"/>
  <c r="K42" i="9"/>
  <c r="K43" i="9" s="1"/>
  <c r="L41" i="9" s="1"/>
  <c r="I24" i="11"/>
  <c r="H28" i="5"/>
  <c r="H15" i="7"/>
  <c r="G28" i="6"/>
  <c r="L27" i="9"/>
  <c r="M26" i="9"/>
  <c r="G53" i="9"/>
  <c r="H35" i="9"/>
  <c r="I16" i="5"/>
  <c r="J22" i="10"/>
  <c r="K48" i="9"/>
  <c r="K49" i="9" s="1"/>
  <c r="L47" i="9" s="1"/>
  <c r="E35" i="8"/>
  <c r="F34" i="8"/>
  <c r="K30" i="9"/>
  <c r="K31" i="9" s="1"/>
  <c r="F13" i="7"/>
  <c r="F12" i="6"/>
  <c r="L29" i="9"/>
  <c r="M28" i="9"/>
  <c r="L25" i="9"/>
  <c r="M24" i="9"/>
  <c r="L18" i="9"/>
  <c r="L23" i="9"/>
  <c r="M22" i="9"/>
  <c r="L30" i="9" l="1"/>
  <c r="L31" i="9" s="1"/>
  <c r="L48" i="9"/>
  <c r="L49" i="9" s="1"/>
  <c r="M47" i="9" s="1"/>
  <c r="L42" i="9"/>
  <c r="L43" i="9" s="1"/>
  <c r="M41" i="9" s="1"/>
  <c r="M45" i="9"/>
  <c r="M46" i="9" s="1"/>
  <c r="N44" i="9" s="1"/>
  <c r="M23" i="9"/>
  <c r="N22" i="9"/>
  <c r="M18" i="9"/>
  <c r="M25" i="9"/>
  <c r="N24" i="9"/>
  <c r="G13" i="7"/>
  <c r="G12" i="6"/>
  <c r="L51" i="9"/>
  <c r="L52" i="9" s="1"/>
  <c r="M50" i="9" s="1"/>
  <c r="J16" i="5"/>
  <c r="K22" i="10"/>
  <c r="E36" i="8"/>
  <c r="E14" i="8" s="1"/>
  <c r="M27" i="9"/>
  <c r="N26" i="9"/>
  <c r="M29" i="9"/>
  <c r="N28" i="9"/>
  <c r="F35" i="8"/>
  <c r="J24" i="11"/>
  <c r="I28" i="5"/>
  <c r="I15" i="7"/>
  <c r="H28" i="6"/>
  <c r="H36" i="9"/>
  <c r="H54" i="9" s="1"/>
  <c r="H23" i="10" s="1"/>
  <c r="K16" i="5" l="1"/>
  <c r="K15" i="7" s="1"/>
  <c r="L22" i="10"/>
  <c r="H37" i="9"/>
  <c r="H53" i="9" s="1"/>
  <c r="N18" i="9"/>
  <c r="N23" i="9"/>
  <c r="O22" i="9"/>
  <c r="M30" i="9"/>
  <c r="M42" i="9"/>
  <c r="M43" i="9" s="1"/>
  <c r="N41" i="9" s="1"/>
  <c r="K24" i="11"/>
  <c r="I28" i="6"/>
  <c r="J28" i="6" s="1"/>
  <c r="J15" i="7"/>
  <c r="J28" i="5"/>
  <c r="D14" i="8"/>
  <c r="E11" i="8" s="1"/>
  <c r="M51" i="9"/>
  <c r="M52" i="9" s="1"/>
  <c r="N50" i="9" s="1"/>
  <c r="N25" i="9"/>
  <c r="O24" i="9"/>
  <c r="L24" i="11"/>
  <c r="N45" i="9"/>
  <c r="N46" i="9" s="1"/>
  <c r="O44" i="9" s="1"/>
  <c r="M48" i="9"/>
  <c r="M49" i="9" s="1"/>
  <c r="N47" i="9" s="1"/>
  <c r="N29" i="9"/>
  <c r="O28" i="9"/>
  <c r="N27" i="9"/>
  <c r="O26" i="9"/>
  <c r="H13" i="7"/>
  <c r="H12" i="6"/>
  <c r="E38" i="8" l="1"/>
  <c r="F38" i="8" s="1"/>
  <c r="K28" i="5"/>
  <c r="F11" i="8"/>
  <c r="D22" i="7"/>
  <c r="I35" i="9"/>
  <c r="I36" i="9" s="1"/>
  <c r="I54" i="9" s="1"/>
  <c r="I23" i="10" s="1"/>
  <c r="D16" i="8"/>
  <c r="D17" i="8" s="1"/>
  <c r="N48" i="9"/>
  <c r="N49" i="9" s="1"/>
  <c r="O47" i="9" s="1"/>
  <c r="P24" i="9"/>
  <c r="O25" i="9"/>
  <c r="O29" i="9"/>
  <c r="P28" i="9"/>
  <c r="N30" i="9"/>
  <c r="N42" i="9"/>
  <c r="N43" i="9" s="1"/>
  <c r="O41" i="9" s="1"/>
  <c r="O18" i="9"/>
  <c r="O23" i="9"/>
  <c r="P22" i="9"/>
  <c r="O45" i="9"/>
  <c r="O46" i="9" s="1"/>
  <c r="P44" i="9" s="1"/>
  <c r="N51" i="9"/>
  <c r="N52" i="9" s="1"/>
  <c r="O50" i="9" s="1"/>
  <c r="I13" i="7"/>
  <c r="I12" i="6"/>
  <c r="O27" i="9"/>
  <c r="P26" i="9"/>
  <c r="L16" i="5"/>
  <c r="M22" i="10"/>
  <c r="M31" i="9"/>
  <c r="C39" i="8" l="1"/>
  <c r="E39" i="8" s="1"/>
  <c r="C40" i="8" s="1"/>
  <c r="E40" i="8" s="1"/>
  <c r="C41" i="8" s="1"/>
  <c r="I37" i="9"/>
  <c r="I53" i="9" s="1"/>
  <c r="P45" i="9"/>
  <c r="P46" i="9" s="1"/>
  <c r="Q44" i="9" s="1"/>
  <c r="O42" i="9"/>
  <c r="O43" i="9" s="1"/>
  <c r="P41" i="9" s="1"/>
  <c r="M16" i="5"/>
  <c r="N22" i="10"/>
  <c r="J13" i="7"/>
  <c r="J12" i="6"/>
  <c r="P23" i="9"/>
  <c r="Q22" i="9"/>
  <c r="P18" i="9"/>
  <c r="P25" i="9"/>
  <c r="Q24" i="9"/>
  <c r="O51" i="9"/>
  <c r="O52" i="9" s="1"/>
  <c r="P50" i="9" s="1"/>
  <c r="O48" i="9"/>
  <c r="O49" i="9" s="1"/>
  <c r="P47" i="9" s="1"/>
  <c r="L28" i="5"/>
  <c r="K28" i="6"/>
  <c r="L15" i="7"/>
  <c r="M24" i="11"/>
  <c r="P27" i="9"/>
  <c r="Q26" i="9"/>
  <c r="O30" i="9"/>
  <c r="N31" i="9"/>
  <c r="F39" i="8"/>
  <c r="Q28" i="9"/>
  <c r="P29" i="9"/>
  <c r="J35" i="9" l="1"/>
  <c r="J36" i="9" s="1"/>
  <c r="J54" i="9" s="1"/>
  <c r="J23" i="10" s="1"/>
  <c r="P42" i="9"/>
  <c r="P43" i="9" s="1"/>
  <c r="Q41" i="9" s="1"/>
  <c r="Q27" i="9"/>
  <c r="R26" i="9"/>
  <c r="E41" i="8"/>
  <c r="C42" i="8" s="1"/>
  <c r="R22" i="9"/>
  <c r="Q23" i="9"/>
  <c r="M15" i="7"/>
  <c r="L28" i="6"/>
  <c r="M28" i="5"/>
  <c r="N24" i="11"/>
  <c r="O22" i="10"/>
  <c r="N16" i="5"/>
  <c r="P30" i="9"/>
  <c r="P31" i="9" s="1"/>
  <c r="Q45" i="9"/>
  <c r="Q46" i="9" s="1"/>
  <c r="R44" i="9" s="1"/>
  <c r="P48" i="9"/>
  <c r="P49" i="9" s="1"/>
  <c r="Q47" i="9" s="1"/>
  <c r="O31" i="9"/>
  <c r="P51" i="9"/>
  <c r="P52" i="9" s="1"/>
  <c r="Q50" i="9" s="1"/>
  <c r="F40" i="8"/>
  <c r="E15" i="8" s="1"/>
  <c r="K13" i="7"/>
  <c r="K12" i="6"/>
  <c r="Q29" i="9"/>
  <c r="R28" i="9"/>
  <c r="Q25" i="9"/>
  <c r="R24" i="9"/>
  <c r="Q18" i="9"/>
  <c r="E16" i="8" l="1"/>
  <c r="E17" i="8"/>
  <c r="J37" i="9"/>
  <c r="J53" i="9" s="1"/>
  <c r="Q48" i="9"/>
  <c r="Q49" i="9" s="1"/>
  <c r="R47" i="9" s="1"/>
  <c r="S28" i="9"/>
  <c r="R29" i="9"/>
  <c r="O24" i="11"/>
  <c r="N15" i="7"/>
  <c r="N28" i="5"/>
  <c r="M28" i="6"/>
  <c r="E42" i="8"/>
  <c r="C43" i="8" s="1"/>
  <c r="R18" i="9"/>
  <c r="P22" i="10"/>
  <c r="O16" i="5"/>
  <c r="Q42" i="9"/>
  <c r="Q43" i="9" s="1"/>
  <c r="R41" i="9" s="1"/>
  <c r="S24" i="9"/>
  <c r="R25" i="9"/>
  <c r="L13" i="7"/>
  <c r="L12" i="6"/>
  <c r="Q51" i="9"/>
  <c r="Q52" i="9" s="1"/>
  <c r="R50" i="9" s="1"/>
  <c r="R45" i="9"/>
  <c r="R46" i="9" s="1"/>
  <c r="S44" i="9" s="1"/>
  <c r="F41" i="8"/>
  <c r="R27" i="9"/>
  <c r="S26" i="9"/>
  <c r="S22" i="9"/>
  <c r="R23" i="9"/>
  <c r="Q30" i="9"/>
  <c r="Q31" i="9" s="1"/>
  <c r="K35" i="9" l="1"/>
  <c r="R42" i="9"/>
  <c r="R43" i="9" s="1"/>
  <c r="S41" i="9" s="1"/>
  <c r="S45" i="9"/>
  <c r="S46" i="9" s="1"/>
  <c r="T44" i="9" s="1"/>
  <c r="R48" i="9"/>
  <c r="R49" i="9" s="1"/>
  <c r="S47" i="9" s="1"/>
  <c r="S29" i="9"/>
  <c r="T28" i="9"/>
  <c r="S23" i="9"/>
  <c r="T22" i="9"/>
  <c r="R51" i="9"/>
  <c r="R52" i="9" s="1"/>
  <c r="S50" i="9" s="1"/>
  <c r="S18" i="9"/>
  <c r="K36" i="9"/>
  <c r="K54" i="9" s="1"/>
  <c r="K23" i="10" s="1"/>
  <c r="O28" i="5"/>
  <c r="O15" i="7"/>
  <c r="P24" i="11"/>
  <c r="N28" i="6"/>
  <c r="E43" i="8"/>
  <c r="C44" i="8" s="1"/>
  <c r="Q22" i="10"/>
  <c r="P16" i="5"/>
  <c r="R30" i="9"/>
  <c r="R31" i="9" s="1"/>
  <c r="T26" i="9"/>
  <c r="S27" i="9"/>
  <c r="M12" i="6"/>
  <c r="M13" i="7"/>
  <c r="S25" i="9"/>
  <c r="T24" i="9"/>
  <c r="F42" i="8"/>
  <c r="K37" i="9" l="1"/>
  <c r="K53" i="9" s="1"/>
  <c r="T45" i="9"/>
  <c r="T46" i="9" s="1"/>
  <c r="U44" i="9" s="1"/>
  <c r="U22" i="9"/>
  <c r="T23" i="9"/>
  <c r="T27" i="9"/>
  <c r="U26" i="9"/>
  <c r="S30" i="9"/>
  <c r="T29" i="9"/>
  <c r="U28" i="9"/>
  <c r="R22" i="10"/>
  <c r="Q16" i="5"/>
  <c r="P15" i="7"/>
  <c r="P28" i="5"/>
  <c r="O28" i="6"/>
  <c r="Q24" i="11"/>
  <c r="S51" i="9"/>
  <c r="S52" i="9" s="1"/>
  <c r="T50" i="9" s="1"/>
  <c r="S48" i="9"/>
  <c r="S49" i="9" s="1"/>
  <c r="T47" i="9" s="1"/>
  <c r="S42" i="9"/>
  <c r="S43" i="9" s="1"/>
  <c r="T41" i="9" s="1"/>
  <c r="E44" i="8"/>
  <c r="C45" i="8" s="1"/>
  <c r="S31" i="9"/>
  <c r="T18" i="9"/>
  <c r="F43" i="8"/>
  <c r="T25" i="9"/>
  <c r="U24" i="9"/>
  <c r="N13" i="7"/>
  <c r="N12" i="6"/>
  <c r="L35" i="9" l="1"/>
  <c r="L36" i="9" s="1"/>
  <c r="L54" i="9" s="1"/>
  <c r="L23" i="10" s="1"/>
  <c r="V28" i="9"/>
  <c r="U29" i="9"/>
  <c r="U18" i="9"/>
  <c r="T42" i="9"/>
  <c r="T43" i="9" s="1"/>
  <c r="U41" i="9" s="1"/>
  <c r="T30" i="9"/>
  <c r="T48" i="9"/>
  <c r="T49" i="9" s="1"/>
  <c r="U47" i="9" s="1"/>
  <c r="U25" i="9"/>
  <c r="V24" i="9"/>
  <c r="Q28" i="5"/>
  <c r="Q15" i="7"/>
  <c r="R24" i="11"/>
  <c r="P28" i="6"/>
  <c r="S22" i="10"/>
  <c r="R16" i="5"/>
  <c r="V22" i="9"/>
  <c r="U23" i="9"/>
  <c r="U45" i="9"/>
  <c r="U46" i="9" s="1"/>
  <c r="V44" i="9" s="1"/>
  <c r="O13" i="7"/>
  <c r="O12" i="6"/>
  <c r="E45" i="8"/>
  <c r="C46" i="8" s="1"/>
  <c r="T51" i="9"/>
  <c r="T52" i="9" s="1"/>
  <c r="U50" i="9" s="1"/>
  <c r="F44" i="8"/>
  <c r="U27" i="9"/>
  <c r="V26" i="9"/>
  <c r="L37" i="9" l="1"/>
  <c r="M35" i="9" s="1"/>
  <c r="U30" i="9"/>
  <c r="T16" i="5" s="1"/>
  <c r="U48" i="9"/>
  <c r="U49" i="9" s="1"/>
  <c r="V47" i="9" s="1"/>
  <c r="V27" i="9"/>
  <c r="W26" i="9"/>
  <c r="V25" i="9"/>
  <c r="W24" i="9"/>
  <c r="U42" i="9"/>
  <c r="U43" i="9" s="1"/>
  <c r="V41" i="9" s="1"/>
  <c r="V23" i="9"/>
  <c r="W22" i="9"/>
  <c r="V29" i="9"/>
  <c r="W28" i="9"/>
  <c r="U51" i="9"/>
  <c r="U52" i="9" s="1"/>
  <c r="V50" i="9" s="1"/>
  <c r="V45" i="9"/>
  <c r="V46" i="9" s="1"/>
  <c r="W44" i="9" s="1"/>
  <c r="U31" i="9"/>
  <c r="V18" i="9"/>
  <c r="P13" i="7"/>
  <c r="P12" i="6"/>
  <c r="E46" i="8"/>
  <c r="C47" i="8" s="1"/>
  <c r="S24" i="11"/>
  <c r="R15" i="7"/>
  <c r="R28" i="5"/>
  <c r="Q28" i="6"/>
  <c r="F45" i="8"/>
  <c r="T22" i="10"/>
  <c r="S16" i="5"/>
  <c r="T31" i="9"/>
  <c r="L53" i="9" l="1"/>
  <c r="U22" i="10"/>
  <c r="V30" i="9"/>
  <c r="V31" i="9" s="1"/>
  <c r="F46" i="8"/>
  <c r="V51" i="9"/>
  <c r="V52" i="9" s="1"/>
  <c r="W50" i="9" s="1"/>
  <c r="W18" i="9"/>
  <c r="W27" i="9"/>
  <c r="X26" i="9"/>
  <c r="Q13" i="7"/>
  <c r="Q12" i="6"/>
  <c r="U24" i="11"/>
  <c r="T15" i="7"/>
  <c r="T28" i="5"/>
  <c r="T24" i="11"/>
  <c r="R28" i="6"/>
  <c r="S28" i="6" s="1"/>
  <c r="S29" i="6" s="1"/>
  <c r="U111" i="11" s="1"/>
  <c r="S15" i="7"/>
  <c r="S28" i="5"/>
  <c r="X24" i="9"/>
  <c r="W25" i="9"/>
  <c r="V48" i="9"/>
  <c r="V49" i="9" s="1"/>
  <c r="W47" i="9" s="1"/>
  <c r="V42" i="9"/>
  <c r="V43" i="9" s="1"/>
  <c r="W41" i="9" s="1"/>
  <c r="W45" i="9"/>
  <c r="W46" i="9" s="1"/>
  <c r="X44" i="9" s="1"/>
  <c r="E47" i="8"/>
  <c r="C48" i="8" s="1"/>
  <c r="M36" i="9"/>
  <c r="M54" i="9" s="1"/>
  <c r="M23" i="10" s="1"/>
  <c r="W29" i="9"/>
  <c r="X28" i="9"/>
  <c r="W23" i="9"/>
  <c r="X22" i="9"/>
  <c r="T28" i="6" l="1"/>
  <c r="M37" i="9"/>
  <c r="N35" i="9" s="1"/>
  <c r="V22" i="10"/>
  <c r="X45" i="9"/>
  <c r="X46" i="9" s="1"/>
  <c r="Y44" i="9" s="1"/>
  <c r="W48" i="9"/>
  <c r="W49" i="9" s="1"/>
  <c r="X47" i="9" s="1"/>
  <c r="E48" i="8"/>
  <c r="C49" i="8" s="1"/>
  <c r="Y28" i="9"/>
  <c r="X29" i="9"/>
  <c r="W42" i="9"/>
  <c r="W43" i="9" s="1"/>
  <c r="X41" i="9" s="1"/>
  <c r="X27" i="9"/>
  <c r="Y26" i="9"/>
  <c r="X18" i="9"/>
  <c r="Y22" i="9"/>
  <c r="X23" i="9"/>
  <c r="W51" i="9"/>
  <c r="W52" i="9" s="1"/>
  <c r="X50" i="9" s="1"/>
  <c r="W30" i="9"/>
  <c r="W31" i="9" s="1"/>
  <c r="F47" i="8"/>
  <c r="Y24" i="9"/>
  <c r="X25" i="9"/>
  <c r="R13" i="7"/>
  <c r="R12" i="6"/>
  <c r="M53" i="9" l="1"/>
  <c r="U28" i="5"/>
  <c r="V24" i="11"/>
  <c r="U15" i="7"/>
  <c r="X51" i="9"/>
  <c r="X52" i="9" s="1"/>
  <c r="Y50" i="9" s="1"/>
  <c r="N36" i="9"/>
  <c r="N54" i="9" s="1"/>
  <c r="N23" i="10" s="1"/>
  <c r="X42" i="9"/>
  <c r="X43" i="9" s="1"/>
  <c r="Y41" i="9" s="1"/>
  <c r="X48" i="9"/>
  <c r="X49" i="9" s="1"/>
  <c r="Y47" i="9" s="1"/>
  <c r="Y18" i="9"/>
  <c r="X30" i="9"/>
  <c r="Y27" i="9"/>
  <c r="Z26" i="9"/>
  <c r="E49" i="8"/>
  <c r="C51" i="8" s="1"/>
  <c r="Y45" i="9"/>
  <c r="Y46" i="9" s="1"/>
  <c r="Z44" i="9" s="1"/>
  <c r="S13" i="7"/>
  <c r="S12" i="6"/>
  <c r="Y25" i="9"/>
  <c r="Z24" i="9"/>
  <c r="W22" i="10"/>
  <c r="Y23" i="9"/>
  <c r="Z22" i="9"/>
  <c r="Z28" i="9"/>
  <c r="Y29" i="9"/>
  <c r="F48" i="8"/>
  <c r="Y30" i="9" l="1"/>
  <c r="Y51" i="9"/>
  <c r="Y52" i="9" s="1"/>
  <c r="Z50" i="9" s="1"/>
  <c r="F14" i="8"/>
  <c r="G11" i="8" s="1"/>
  <c r="G14" i="8" s="1"/>
  <c r="H11" i="8" s="1"/>
  <c r="H14" i="8" s="1"/>
  <c r="I11" i="8" s="1"/>
  <c r="I14" i="8" s="1"/>
  <c r="J11" i="8" s="1"/>
  <c r="J14" i="8" s="1"/>
  <c r="K11" i="8" s="1"/>
  <c r="K14" i="8" s="1"/>
  <c r="L11" i="8" s="1"/>
  <c r="L14" i="8" s="1"/>
  <c r="M11" i="8" s="1"/>
  <c r="M14" i="8" s="1"/>
  <c r="N11" i="8" s="1"/>
  <c r="N14" i="8" s="1"/>
  <c r="O11" i="8" s="1"/>
  <c r="O14" i="8" s="1"/>
  <c r="P11" i="8" s="1"/>
  <c r="P14" i="8" s="1"/>
  <c r="Q11" i="8" s="1"/>
  <c r="Q14" i="8" s="1"/>
  <c r="R11" i="8" s="1"/>
  <c r="R14" i="8" s="1"/>
  <c r="S11" i="8" s="1"/>
  <c r="S14" i="8" s="1"/>
  <c r="T11" i="8" s="1"/>
  <c r="T14" i="8" s="1"/>
  <c r="U11" i="8" s="1"/>
  <c r="U14" i="8" s="1"/>
  <c r="V11" i="8" s="1"/>
  <c r="V14" i="8" s="1"/>
  <c r="W11" i="8" s="1"/>
  <c r="W14" i="8" s="1"/>
  <c r="X11" i="8" s="1"/>
  <c r="X14" i="8" s="1"/>
  <c r="Y11" i="8" s="1"/>
  <c r="Y14" i="8" s="1"/>
  <c r="Z11" i="8" s="1"/>
  <c r="Z14" i="8" s="1"/>
  <c r="AA11" i="8" s="1"/>
  <c r="AA14" i="8" s="1"/>
  <c r="AB11" i="8" s="1"/>
  <c r="AB14" i="8" s="1"/>
  <c r="AC11" i="8" s="1"/>
  <c r="AC14" i="8" s="1"/>
  <c r="AD11" i="8" s="1"/>
  <c r="AD14" i="8" s="1"/>
  <c r="U28" i="6"/>
  <c r="V15" i="7"/>
  <c r="V28" i="5"/>
  <c r="W24" i="11"/>
  <c r="AA24" i="9"/>
  <c r="Z25" i="9"/>
  <c r="E51" i="8"/>
  <c r="C52" i="8" s="1"/>
  <c r="X22" i="10"/>
  <c r="N37" i="9"/>
  <c r="Y42" i="9"/>
  <c r="Y43" i="9" s="1"/>
  <c r="Z41" i="9" s="1"/>
  <c r="Z45" i="9"/>
  <c r="Z46" i="9" s="1"/>
  <c r="AA44" i="9" s="1"/>
  <c r="F49" i="8"/>
  <c r="G49" i="8" s="1"/>
  <c r="F15" i="8" s="1"/>
  <c r="X31" i="9"/>
  <c r="Y48" i="9"/>
  <c r="Y49" i="9" s="1"/>
  <c r="Z47" i="9" s="1"/>
  <c r="Z29" i="9"/>
  <c r="AA28" i="9"/>
  <c r="Z23" i="9"/>
  <c r="AA22" i="9"/>
  <c r="T13" i="7"/>
  <c r="T12" i="6"/>
  <c r="Z27" i="9"/>
  <c r="AA26" i="9"/>
  <c r="Z18" i="9"/>
  <c r="Y22" i="10" l="1"/>
  <c r="Y31" i="9"/>
  <c r="F51" i="8"/>
  <c r="AA27" i="9"/>
  <c r="AB26" i="9"/>
  <c r="AA45" i="9"/>
  <c r="AA46" i="9" s="1"/>
  <c r="AB44" i="9" s="1"/>
  <c r="AA29" i="9"/>
  <c r="AB28" i="9"/>
  <c r="Z51" i="9"/>
  <c r="Z52" i="9" s="1"/>
  <c r="AA50" i="9" s="1"/>
  <c r="Z48" i="9"/>
  <c r="Z49" i="9" s="1"/>
  <c r="AA47" i="9" s="1"/>
  <c r="Y24" i="11"/>
  <c r="X15" i="7"/>
  <c r="X28" i="5"/>
  <c r="AB22" i="9"/>
  <c r="AA23" i="9"/>
  <c r="Z42" i="9"/>
  <c r="Z43" i="9" s="1"/>
  <c r="AA41" i="9" s="1"/>
  <c r="N53" i="9"/>
  <c r="O35" i="9"/>
  <c r="W15" i="7"/>
  <c r="W28" i="5"/>
  <c r="X24" i="11"/>
  <c r="V28" i="6"/>
  <c r="W28" i="6" s="1"/>
  <c r="AA25" i="9"/>
  <c r="AB24" i="9"/>
  <c r="AA18" i="9"/>
  <c r="U13" i="7"/>
  <c r="U12" i="6"/>
  <c r="Z30" i="9"/>
  <c r="Z31" i="9" s="1"/>
  <c r="E52" i="8"/>
  <c r="C53" i="8" s="1"/>
  <c r="AA51" i="9" l="1"/>
  <c r="AA52" i="9" s="1"/>
  <c r="AB50" i="9" s="1"/>
  <c r="AA42" i="9"/>
  <c r="AA43" i="9" s="1"/>
  <c r="AB41" i="9" s="1"/>
  <c r="AA48" i="9"/>
  <c r="AA49" i="9" s="1"/>
  <c r="AB47" i="9" s="1"/>
  <c r="Z22" i="10"/>
  <c r="AB23" i="9"/>
  <c r="AC22" i="9"/>
  <c r="V13" i="7"/>
  <c r="V12" i="6"/>
  <c r="AC28" i="9"/>
  <c r="AB29" i="9"/>
  <c r="AB45" i="9"/>
  <c r="AB46" i="9" s="1"/>
  <c r="AC44" i="9" s="1"/>
  <c r="F52" i="8"/>
  <c r="AB18" i="9"/>
  <c r="O36" i="9"/>
  <c r="O54" i="9" s="1"/>
  <c r="O23" i="10" s="1"/>
  <c r="D14" i="6"/>
  <c r="AC26" i="9"/>
  <c r="AB27" i="9"/>
  <c r="E53" i="8"/>
  <c r="C54" i="8" s="1"/>
  <c r="AC24" i="9"/>
  <c r="AB25" i="9"/>
  <c r="AA30" i="9"/>
  <c r="AB48" i="9" l="1"/>
  <c r="AB49" i="9" s="1"/>
  <c r="AC47" i="9" s="1"/>
  <c r="AB51" i="9"/>
  <c r="AB52" i="9" s="1"/>
  <c r="AC50" i="9" s="1"/>
  <c r="F113" i="11"/>
  <c r="E14" i="6"/>
  <c r="AB42" i="9"/>
  <c r="AB43" i="9" s="1"/>
  <c r="AC41" i="9" s="1"/>
  <c r="AA22" i="10"/>
  <c r="F53" i="8"/>
  <c r="O37" i="9"/>
  <c r="AC45" i="9"/>
  <c r="AC46" i="9" s="1"/>
  <c r="AD44" i="9" s="1"/>
  <c r="AA31" i="9"/>
  <c r="AD28" i="9"/>
  <c r="AC29" i="9"/>
  <c r="AC23" i="9"/>
  <c r="AD22" i="9"/>
  <c r="E54" i="8"/>
  <c r="C55" i="8" s="1"/>
  <c r="Y15" i="7"/>
  <c r="Y28" i="5"/>
  <c r="Z24" i="11"/>
  <c r="X28" i="6"/>
  <c r="AC25" i="9"/>
  <c r="AD24" i="9"/>
  <c r="AD26" i="9"/>
  <c r="AC27" i="9"/>
  <c r="AC18" i="9"/>
  <c r="W13" i="7"/>
  <c r="W12" i="6"/>
  <c r="AB30" i="9"/>
  <c r="AB31" i="9" s="1"/>
  <c r="AD45" i="9" l="1"/>
  <c r="AD46" i="9" s="1"/>
  <c r="AD25" i="9"/>
  <c r="AD23" i="9"/>
  <c r="AC42" i="9"/>
  <c r="AC43" i="9" s="1"/>
  <c r="AD41" i="9" s="1"/>
  <c r="AC51" i="9"/>
  <c r="AC52" i="9" s="1"/>
  <c r="AD50" i="9" s="1"/>
  <c r="X13" i="7"/>
  <c r="X12" i="6"/>
  <c r="AC30" i="9"/>
  <c r="AC31" i="9" s="1"/>
  <c r="O53" i="9"/>
  <c r="P35" i="9"/>
  <c r="E55" i="8"/>
  <c r="C56" i="8" s="1"/>
  <c r="AA24" i="11"/>
  <c r="Z28" i="5"/>
  <c r="Y28" i="6"/>
  <c r="Z15" i="7"/>
  <c r="AC48" i="9"/>
  <c r="AC49" i="9" s="1"/>
  <c r="AD47" i="9" s="1"/>
  <c r="AB22" i="10"/>
  <c r="AD18" i="9"/>
  <c r="AD27" i="9"/>
  <c r="F54" i="8"/>
  <c r="AD29" i="9"/>
  <c r="G113" i="11"/>
  <c r="F14" i="6"/>
  <c r="F55" i="8" l="1"/>
  <c r="AE22" i="10"/>
  <c r="AD48" i="9"/>
  <c r="AD49" i="9" s="1"/>
  <c r="AD51" i="9"/>
  <c r="AD52" i="9" s="1"/>
  <c r="P36" i="9"/>
  <c r="P54" i="9" s="1"/>
  <c r="P23" i="10" s="1"/>
  <c r="AD42" i="9"/>
  <c r="AD43" i="9" s="1"/>
  <c r="AC22" i="10"/>
  <c r="Y13" i="7"/>
  <c r="Y12" i="6"/>
  <c r="H113" i="11"/>
  <c r="G14" i="6"/>
  <c r="Z28" i="6"/>
  <c r="AA15" i="7"/>
  <c r="AA28" i="5"/>
  <c r="AB24" i="11"/>
  <c r="E56" i="8"/>
  <c r="C57" i="8" s="1"/>
  <c r="AD30" i="9"/>
  <c r="AD31" i="9" s="1"/>
  <c r="P37" i="9" l="1"/>
  <c r="Q35" i="9" s="1"/>
  <c r="Z12" i="6"/>
  <c r="Z13" i="7"/>
  <c r="E57" i="8"/>
  <c r="C58" i="8" s="1"/>
  <c r="I113" i="11"/>
  <c r="H14" i="6"/>
  <c r="P53" i="9"/>
  <c r="AD22" i="10"/>
  <c r="F56" i="8"/>
  <c r="AB15" i="7"/>
  <c r="AC24" i="11"/>
  <c r="AB28" i="5"/>
  <c r="AA28" i="6"/>
  <c r="F57" i="8" l="1"/>
  <c r="AC15" i="7"/>
  <c r="AB28" i="6"/>
  <c r="AC28" i="5"/>
  <c r="AD24" i="11"/>
  <c r="J113" i="11"/>
  <c r="I14" i="6"/>
  <c r="AA13" i="7"/>
  <c r="AA12" i="6"/>
  <c r="Q36" i="9"/>
  <c r="Q54" i="9" s="1"/>
  <c r="Q23" i="10" s="1"/>
  <c r="E58" i="8"/>
  <c r="C59" i="8" s="1"/>
  <c r="F58" i="8" l="1"/>
  <c r="Q37" i="9"/>
  <c r="Q53" i="9" s="1"/>
  <c r="E59" i="8"/>
  <c r="C60" i="8" s="1"/>
  <c r="AB13" i="7"/>
  <c r="AB12" i="6"/>
  <c r="J14" i="6"/>
  <c r="K113" i="11"/>
  <c r="R35" i="9" l="1"/>
  <c r="F59" i="8"/>
  <c r="AC13" i="7"/>
  <c r="K14" i="6"/>
  <c r="L113" i="11"/>
  <c r="E60" i="8"/>
  <c r="C61" i="8" s="1"/>
  <c r="R36" i="9"/>
  <c r="R54" i="9" s="1"/>
  <c r="R23" i="10" s="1"/>
  <c r="E61" i="8" l="1"/>
  <c r="C62" i="8" s="1"/>
  <c r="F60" i="8"/>
  <c r="R37" i="9"/>
  <c r="M113" i="11"/>
  <c r="L14" i="6"/>
  <c r="F61" i="8" l="1"/>
  <c r="N113" i="11"/>
  <c r="M14" i="6"/>
  <c r="R53" i="9"/>
  <c r="S35" i="9"/>
  <c r="E62" i="8"/>
  <c r="C64" i="8" s="1"/>
  <c r="F62" i="8" l="1"/>
  <c r="S36" i="9"/>
  <c r="S54" i="9" s="1"/>
  <c r="S23" i="10" s="1"/>
  <c r="N14" i="6"/>
  <c r="O113" i="11"/>
  <c r="E64" i="8"/>
  <c r="C65" i="8" s="1"/>
  <c r="F17" i="8" l="1"/>
  <c r="E20" i="5" s="1"/>
  <c r="F13" i="11" s="1"/>
  <c r="F15" i="11" s="1"/>
  <c r="F17" i="11" s="1"/>
  <c r="G62" i="8"/>
  <c r="G15" i="8" s="1"/>
  <c r="S37" i="9"/>
  <c r="S53" i="9" s="1"/>
  <c r="E65" i="8"/>
  <c r="C66" i="8" s="1"/>
  <c r="P113" i="11"/>
  <c r="O14" i="6"/>
  <c r="F64" i="8"/>
  <c r="T35" i="9" l="1"/>
  <c r="T36" i="9" s="1"/>
  <c r="T54" i="9" s="1"/>
  <c r="T23" i="10" s="1"/>
  <c r="E66" i="8"/>
  <c r="C67" i="8" s="1"/>
  <c r="P14" i="6"/>
  <c r="Q113" i="11"/>
  <c r="F65" i="8"/>
  <c r="T37" i="9" l="1"/>
  <c r="U35" i="9" s="1"/>
  <c r="E67" i="8"/>
  <c r="C68" i="8" s="1"/>
  <c r="Q14" i="6"/>
  <c r="R113" i="11"/>
  <c r="F66" i="8"/>
  <c r="F67" i="8" l="1"/>
  <c r="T53" i="9"/>
  <c r="S113" i="11"/>
  <c r="R14" i="6"/>
  <c r="E68" i="8"/>
  <c r="C69" i="8" s="1"/>
  <c r="U36" i="9"/>
  <c r="U54" i="9" s="1"/>
  <c r="U23" i="10" s="1"/>
  <c r="F68" i="8" l="1"/>
  <c r="U37" i="9"/>
  <c r="U53" i="9" s="1"/>
  <c r="E69" i="8"/>
  <c r="C70" i="8" s="1"/>
  <c r="T113" i="11"/>
  <c r="S14" i="6"/>
  <c r="F69" i="8" l="1"/>
  <c r="V35" i="9"/>
  <c r="V36" i="9" s="1"/>
  <c r="V54" i="9" s="1"/>
  <c r="V23" i="10" s="1"/>
  <c r="U113" i="11"/>
  <c r="T14" i="6"/>
  <c r="E70" i="8"/>
  <c r="C71" i="8" s="1"/>
  <c r="V37" i="9" l="1"/>
  <c r="V53" i="9" s="1"/>
  <c r="E71" i="8"/>
  <c r="C72" i="8" s="1"/>
  <c r="V113" i="11"/>
  <c r="U14" i="6"/>
  <c r="F70" i="8"/>
  <c r="W35" i="9" l="1"/>
  <c r="W36" i="9" s="1"/>
  <c r="W54" i="9" s="1"/>
  <c r="W23" i="10" s="1"/>
  <c r="F71" i="8"/>
  <c r="E72" i="8"/>
  <c r="C73" i="8" s="1"/>
  <c r="W113" i="11"/>
  <c r="V14" i="6"/>
  <c r="E73" i="8" l="1"/>
  <c r="C74" i="8" s="1"/>
  <c r="F72" i="8"/>
  <c r="W14" i="6"/>
  <c r="X113" i="11"/>
  <c r="W37" i="9"/>
  <c r="X14" i="6" l="1"/>
  <c r="Y113" i="11"/>
  <c r="W53" i="9"/>
  <c r="X35" i="9"/>
  <c r="E74" i="8"/>
  <c r="C75" i="8" s="1"/>
  <c r="F73" i="8"/>
  <c r="F74" i="8" l="1"/>
  <c r="E75" i="8"/>
  <c r="C77" i="8" s="1"/>
  <c r="X36" i="9"/>
  <c r="X54" i="9" s="1"/>
  <c r="X23" i="10" s="1"/>
  <c r="Y14" i="6"/>
  <c r="Z113" i="11"/>
  <c r="E77" i="8" l="1"/>
  <c r="C78" i="8" s="1"/>
  <c r="X37" i="9"/>
  <c r="AA113" i="11"/>
  <c r="Z14" i="6"/>
  <c r="AA14" i="6" s="1"/>
  <c r="AB14" i="6" s="1"/>
  <c r="F75" i="8"/>
  <c r="G17" i="8" l="1"/>
  <c r="F20" i="5" s="1"/>
  <c r="G75" i="8"/>
  <c r="H15" i="8" s="1"/>
  <c r="G13" i="11"/>
  <c r="G15" i="11" s="1"/>
  <c r="G17" i="11" s="1"/>
  <c r="Y35" i="9"/>
  <c r="X53" i="9"/>
  <c r="E78" i="8"/>
  <c r="C79" i="8" s="1"/>
  <c r="AB113" i="11"/>
  <c r="F77" i="8"/>
  <c r="Y36" i="9" l="1"/>
  <c r="Y54" i="9" s="1"/>
  <c r="Y23" i="10" s="1"/>
  <c r="F78" i="8"/>
  <c r="E79" i="8"/>
  <c r="C80" i="8" s="1"/>
  <c r="AC113" i="11"/>
  <c r="Y37" i="9" l="1"/>
  <c r="Z35" i="9" s="1"/>
  <c r="F79" i="8"/>
  <c r="AD113" i="11"/>
  <c r="E80" i="8"/>
  <c r="C81" i="8" s="1"/>
  <c r="Y53" i="9" l="1"/>
  <c r="E81" i="8"/>
  <c r="C82" i="8" s="1"/>
  <c r="F80" i="8"/>
  <c r="Z36" i="9"/>
  <c r="Z54" i="9" s="1"/>
  <c r="Z23" i="10" s="1"/>
  <c r="F81" i="8" l="1"/>
  <c r="Z37" i="9"/>
  <c r="E82" i="8"/>
  <c r="C83" i="8" s="1"/>
  <c r="E83" i="8" l="1"/>
  <c r="C84" i="8" s="1"/>
  <c r="F82" i="8"/>
  <c r="Z53" i="9"/>
  <c r="AA35" i="9"/>
  <c r="E84" i="8" l="1"/>
  <c r="C85" i="8" s="1"/>
  <c r="F83" i="8"/>
  <c r="AA36" i="9"/>
  <c r="AA54" i="9" s="1"/>
  <c r="AA23" i="10" s="1"/>
  <c r="AA37" i="9" l="1"/>
  <c r="AA53" i="9" s="1"/>
  <c r="E85" i="8"/>
  <c r="C86" i="8" s="1"/>
  <c r="F84" i="8"/>
  <c r="AB35" i="9" l="1"/>
  <c r="AB36" i="9" s="1"/>
  <c r="AB54" i="9" s="1"/>
  <c r="AB23" i="10" s="1"/>
  <c r="E86" i="8"/>
  <c r="C87" i="8" s="1"/>
  <c r="F85" i="8"/>
  <c r="F86" i="8" l="1"/>
  <c r="E87" i="8"/>
  <c r="C88" i="8" s="1"/>
  <c r="AB37" i="9"/>
  <c r="AB53" i="9" l="1"/>
  <c r="AC35" i="9"/>
  <c r="E88" i="8"/>
  <c r="C90" i="8" s="1"/>
  <c r="F87" i="8"/>
  <c r="E90" i="8" l="1"/>
  <c r="C91" i="8" s="1"/>
  <c r="F88" i="8"/>
  <c r="AC36" i="9"/>
  <c r="AC54" i="9" s="1"/>
  <c r="AC23" i="10" s="1"/>
  <c r="H17" i="8" l="1"/>
  <c r="G20" i="5" s="1"/>
  <c r="G88" i="8"/>
  <c r="I15" i="8" s="1"/>
  <c r="H13" i="11"/>
  <c r="H15" i="11" s="1"/>
  <c r="H17" i="11" s="1"/>
  <c r="E91" i="8"/>
  <c r="C92" i="8" s="1"/>
  <c r="AC37" i="9"/>
  <c r="F90" i="8"/>
  <c r="F91" i="8" l="1"/>
  <c r="AC53" i="9"/>
  <c r="AD35" i="9"/>
  <c r="E92" i="8"/>
  <c r="C93" i="8" s="1"/>
  <c r="E93" i="8" l="1"/>
  <c r="C94" i="8" s="1"/>
  <c r="F92" i="8"/>
  <c r="AD36" i="9"/>
  <c r="AD54" i="9" s="1"/>
  <c r="AD23" i="10" s="1"/>
  <c r="F93" i="8" l="1"/>
  <c r="AD37" i="9"/>
  <c r="AD53" i="9" s="1"/>
  <c r="E94" i="8"/>
  <c r="C95" i="8" s="1"/>
  <c r="F94" i="8" l="1"/>
  <c r="AE23" i="10"/>
  <c r="E95" i="8"/>
  <c r="C96" i="8" s="1"/>
  <c r="F95" i="8" l="1"/>
  <c r="E96" i="8"/>
  <c r="C97" i="8" s="1"/>
  <c r="E97" i="8" l="1"/>
  <c r="C98" i="8" s="1"/>
  <c r="F96" i="8"/>
  <c r="E98" i="8" l="1"/>
  <c r="C99" i="8" s="1"/>
  <c r="F97" i="8"/>
  <c r="F98" i="8" l="1"/>
  <c r="E99" i="8"/>
  <c r="C100" i="8" s="1"/>
  <c r="E100" i="8" l="1"/>
  <c r="C101" i="8" s="1"/>
  <c r="F99" i="8"/>
  <c r="E101" i="8" l="1"/>
  <c r="C103" i="8" s="1"/>
  <c r="F100" i="8"/>
  <c r="E103" i="8" l="1"/>
  <c r="C104" i="8" s="1"/>
  <c r="F101" i="8"/>
  <c r="I17" i="8" l="1"/>
  <c r="H20" i="5" s="1"/>
  <c r="G101" i="8"/>
  <c r="J15" i="8" s="1"/>
  <c r="I13" i="11"/>
  <c r="I15" i="11" s="1"/>
  <c r="I17" i="11" s="1"/>
  <c r="E104" i="8"/>
  <c r="C105" i="8" s="1"/>
  <c r="F103" i="8"/>
  <c r="F104" i="8" l="1"/>
  <c r="E105" i="8"/>
  <c r="C106" i="8" s="1"/>
  <c r="F105" i="8" l="1"/>
  <c r="E106" i="8"/>
  <c r="C107" i="8" s="1"/>
  <c r="F106" i="8" l="1"/>
  <c r="E107" i="8"/>
  <c r="C108" i="8" s="1"/>
  <c r="F107" i="8" l="1"/>
  <c r="E108" i="8"/>
  <c r="C109" i="8" s="1"/>
  <c r="E109" i="8" l="1"/>
  <c r="C110" i="8" s="1"/>
  <c r="F108" i="8"/>
  <c r="E110" i="8" l="1"/>
  <c r="C111" i="8" s="1"/>
  <c r="F109" i="8"/>
  <c r="F110" i="8" l="1"/>
  <c r="E111" i="8"/>
  <c r="C112" i="8" s="1"/>
  <c r="F111" i="8" l="1"/>
  <c r="E112" i="8"/>
  <c r="C113" i="8" s="1"/>
  <c r="E113" i="8" l="1"/>
  <c r="C114" i="8" s="1"/>
  <c r="F112" i="8"/>
  <c r="E114" i="8" l="1"/>
  <c r="C116" i="8" s="1"/>
  <c r="F113" i="8"/>
  <c r="E116" i="8" l="1"/>
  <c r="C117" i="8" s="1"/>
  <c r="F114" i="8"/>
  <c r="J17" i="8" l="1"/>
  <c r="I20" i="5" s="1"/>
  <c r="G114" i="8"/>
  <c r="K15" i="8" s="1"/>
  <c r="E117" i="8"/>
  <c r="C118" i="8" s="1"/>
  <c r="J13" i="11"/>
  <c r="J15" i="11" s="1"/>
  <c r="J17" i="11" s="1"/>
  <c r="F116" i="8"/>
  <c r="E118" i="8" l="1"/>
  <c r="C119" i="8" s="1"/>
  <c r="F117" i="8"/>
  <c r="E119" i="8" l="1"/>
  <c r="C120" i="8" s="1"/>
  <c r="F118" i="8"/>
  <c r="E120" i="8" l="1"/>
  <c r="C121" i="8" s="1"/>
  <c r="F119" i="8"/>
  <c r="E121" i="8" l="1"/>
  <c r="C122" i="8" s="1"/>
  <c r="F120" i="8"/>
  <c r="E122" i="8" l="1"/>
  <c r="C123" i="8" s="1"/>
  <c r="F121" i="8"/>
  <c r="E123" i="8" l="1"/>
  <c r="C124" i="8" s="1"/>
  <c r="F122" i="8"/>
  <c r="F123" i="8" l="1"/>
  <c r="E124" i="8"/>
  <c r="C125" i="8" s="1"/>
  <c r="E125" i="8" l="1"/>
  <c r="C126" i="8" s="1"/>
  <c r="F124" i="8"/>
  <c r="E126" i="8" l="1"/>
  <c r="C127" i="8" s="1"/>
  <c r="F125" i="8"/>
  <c r="E127" i="8" l="1"/>
  <c r="C129" i="8" s="1"/>
  <c r="F126" i="8"/>
  <c r="E129" i="8" l="1"/>
  <c r="C130" i="8" s="1"/>
  <c r="F127" i="8"/>
  <c r="K17" i="8" l="1"/>
  <c r="J20" i="5" s="1"/>
  <c r="G127" i="8"/>
  <c r="L15" i="8" s="1"/>
  <c r="F129" i="8"/>
  <c r="K13" i="11"/>
  <c r="K15" i="11" s="1"/>
  <c r="K17" i="11" s="1"/>
  <c r="E130" i="8"/>
  <c r="C131" i="8" s="1"/>
  <c r="E131" i="8" l="1"/>
  <c r="C132" i="8" s="1"/>
  <c r="F130" i="8"/>
  <c r="F131" i="8" l="1"/>
  <c r="E132" i="8"/>
  <c r="C133" i="8" s="1"/>
  <c r="F132" i="8" l="1"/>
  <c r="E133" i="8"/>
  <c r="C134" i="8" s="1"/>
  <c r="F133" i="8" l="1"/>
  <c r="E134" i="8"/>
  <c r="C135" i="8" s="1"/>
  <c r="F134" i="8" l="1"/>
  <c r="E135" i="8"/>
  <c r="C136" i="8" s="1"/>
  <c r="F135" i="8" l="1"/>
  <c r="E136" i="8"/>
  <c r="C137" i="8" s="1"/>
  <c r="E137" i="8" l="1"/>
  <c r="C138" i="8" s="1"/>
  <c r="F136" i="8"/>
  <c r="E138" i="8" l="1"/>
  <c r="C139" i="8" s="1"/>
  <c r="F137" i="8"/>
  <c r="F138" i="8" l="1"/>
  <c r="E139" i="8"/>
  <c r="C140" i="8" s="1"/>
  <c r="E140" i="8" l="1"/>
  <c r="C142" i="8" s="1"/>
  <c r="F139" i="8"/>
  <c r="E142" i="8" l="1"/>
  <c r="C143" i="8" s="1"/>
  <c r="F140" i="8"/>
  <c r="L17" i="8" l="1"/>
  <c r="K20" i="5" s="1"/>
  <c r="G140" i="8"/>
  <c r="M15" i="8" s="1"/>
  <c r="L13" i="11"/>
  <c r="L15" i="11" s="1"/>
  <c r="L17" i="11" s="1"/>
  <c r="E143" i="8"/>
  <c r="C144" i="8" s="1"/>
  <c r="F142" i="8"/>
  <c r="E144" i="8" l="1"/>
  <c r="C145" i="8" s="1"/>
  <c r="F143" i="8"/>
  <c r="E145" i="8" l="1"/>
  <c r="C146" i="8" s="1"/>
  <c r="F144" i="8"/>
  <c r="F145" i="8" l="1"/>
  <c r="E146" i="8"/>
  <c r="C147" i="8" s="1"/>
  <c r="E147" i="8" l="1"/>
  <c r="C148" i="8" s="1"/>
  <c r="F146" i="8"/>
  <c r="F147" i="8" l="1"/>
  <c r="E148" i="8"/>
  <c r="C149" i="8" s="1"/>
  <c r="E149" i="8" l="1"/>
  <c r="C150" i="8" s="1"/>
  <c r="F148" i="8"/>
  <c r="F149" i="8" l="1"/>
  <c r="E150" i="8"/>
  <c r="C151" i="8" s="1"/>
  <c r="F150" i="8" l="1"/>
  <c r="E151" i="8"/>
  <c r="C152" i="8" s="1"/>
  <c r="F151" i="8" l="1"/>
  <c r="E152" i="8"/>
  <c r="C153" i="8" s="1"/>
  <c r="E153" i="8" l="1"/>
  <c r="C155" i="8" s="1"/>
  <c r="F152" i="8"/>
  <c r="E155" i="8" l="1"/>
  <c r="C156" i="8" s="1"/>
  <c r="F153" i="8"/>
  <c r="M17" i="8" l="1"/>
  <c r="L20" i="5" s="1"/>
  <c r="G153" i="8"/>
  <c r="N15" i="8" s="1"/>
  <c r="M13" i="11"/>
  <c r="M15" i="11" s="1"/>
  <c r="M17" i="11" s="1"/>
  <c r="E156" i="8"/>
  <c r="C157" i="8" s="1"/>
  <c r="F155" i="8"/>
  <c r="F156" i="8" l="1"/>
  <c r="E157" i="8"/>
  <c r="C158" i="8" s="1"/>
  <c r="E158" i="8" l="1"/>
  <c r="C159" i="8" s="1"/>
  <c r="F157" i="8"/>
  <c r="F158" i="8" l="1"/>
  <c r="E159" i="8"/>
  <c r="C160" i="8" s="1"/>
  <c r="F159" i="8" l="1"/>
  <c r="E160" i="8"/>
  <c r="C161" i="8" s="1"/>
  <c r="E161" i="8" l="1"/>
  <c r="C162" i="8" s="1"/>
  <c r="F160" i="8"/>
  <c r="E162" i="8" l="1"/>
  <c r="C163" i="8" s="1"/>
  <c r="F161" i="8"/>
  <c r="E163" i="8" l="1"/>
  <c r="C164" i="8" s="1"/>
  <c r="F162" i="8"/>
  <c r="F163" i="8" l="1"/>
  <c r="E164" i="8"/>
  <c r="C165" i="8" s="1"/>
  <c r="E165" i="8" l="1"/>
  <c r="C166" i="8" s="1"/>
  <c r="F164" i="8"/>
  <c r="E166" i="8" l="1"/>
  <c r="C168" i="8" s="1"/>
  <c r="F165" i="8"/>
  <c r="E168" i="8" l="1"/>
  <c r="C169" i="8" s="1"/>
  <c r="F166" i="8"/>
  <c r="N17" i="8" l="1"/>
  <c r="M20" i="5" s="1"/>
  <c r="G166" i="8"/>
  <c r="O15" i="8" s="1"/>
  <c r="N13" i="11"/>
  <c r="N15" i="11" s="1"/>
  <c r="N17" i="11" s="1"/>
  <c r="E169" i="8"/>
  <c r="C170" i="8" s="1"/>
  <c r="F168" i="8"/>
  <c r="F169" i="8" l="1"/>
  <c r="E170" i="8"/>
  <c r="C171" i="8" s="1"/>
  <c r="F170" i="8" l="1"/>
  <c r="E171" i="8"/>
  <c r="C172" i="8" s="1"/>
  <c r="F171" i="8" l="1"/>
  <c r="E172" i="8"/>
  <c r="C173" i="8" s="1"/>
  <c r="F172" i="8" l="1"/>
  <c r="E173" i="8"/>
  <c r="C174" i="8" s="1"/>
  <c r="E174" i="8" l="1"/>
  <c r="C175" i="8" s="1"/>
  <c r="F173" i="8"/>
  <c r="F174" i="8" l="1"/>
  <c r="E175" i="8"/>
  <c r="C176" i="8" s="1"/>
  <c r="E176" i="8" l="1"/>
  <c r="C177" i="8" s="1"/>
  <c r="F175" i="8"/>
  <c r="E177" i="8" l="1"/>
  <c r="C178" i="8" s="1"/>
  <c r="F176" i="8"/>
  <c r="E178" i="8" l="1"/>
  <c r="C179" i="8" s="1"/>
  <c r="F177" i="8"/>
  <c r="E179" i="8" l="1"/>
  <c r="C181" i="8" s="1"/>
  <c r="F178" i="8"/>
  <c r="E181" i="8" l="1"/>
  <c r="C182" i="8" s="1"/>
  <c r="F179" i="8"/>
  <c r="O17" i="8" l="1"/>
  <c r="N20" i="5" s="1"/>
  <c r="G179" i="8"/>
  <c r="P15" i="8" s="1"/>
  <c r="F181" i="8"/>
  <c r="O13" i="11"/>
  <c r="O15" i="11" s="1"/>
  <c r="O17" i="11" s="1"/>
  <c r="E182" i="8"/>
  <c r="C183" i="8" s="1"/>
  <c r="E183" i="8" l="1"/>
  <c r="C184" i="8" s="1"/>
  <c r="F182" i="8"/>
  <c r="E184" i="8" l="1"/>
  <c r="C185" i="8" s="1"/>
  <c r="F183" i="8"/>
  <c r="E185" i="8" l="1"/>
  <c r="C186" i="8" s="1"/>
  <c r="F184" i="8"/>
  <c r="E186" i="8" l="1"/>
  <c r="C187" i="8" s="1"/>
  <c r="F185" i="8"/>
  <c r="E187" i="8" l="1"/>
  <c r="C188" i="8" s="1"/>
  <c r="F186" i="8"/>
  <c r="F187" i="8" l="1"/>
  <c r="E188" i="8"/>
  <c r="C189" i="8" s="1"/>
  <c r="E189" i="8" l="1"/>
  <c r="C190" i="8" s="1"/>
  <c r="F188" i="8"/>
  <c r="F189" i="8" l="1"/>
  <c r="E190" i="8"/>
  <c r="C191" i="8" s="1"/>
  <c r="E191" i="8" l="1"/>
  <c r="C192" i="8" s="1"/>
  <c r="F190" i="8"/>
  <c r="E192" i="8" l="1"/>
  <c r="C194" i="8" s="1"/>
  <c r="F191" i="8"/>
  <c r="E194" i="8" l="1"/>
  <c r="C195" i="8" s="1"/>
  <c r="F192" i="8"/>
  <c r="P17" i="8" l="1"/>
  <c r="O20" i="5" s="1"/>
  <c r="G192" i="8"/>
  <c r="Q15" i="8" s="1"/>
  <c r="F194" i="8"/>
  <c r="P13" i="11"/>
  <c r="P15" i="11" s="1"/>
  <c r="P17" i="11" s="1"/>
  <c r="E195" i="8"/>
  <c r="C196" i="8" s="1"/>
  <c r="E196" i="8" l="1"/>
  <c r="C197" i="8" s="1"/>
  <c r="F195" i="8"/>
  <c r="E197" i="8" l="1"/>
  <c r="C198" i="8" s="1"/>
  <c r="F196" i="8"/>
  <c r="E198" i="8" l="1"/>
  <c r="C199" i="8" s="1"/>
  <c r="F197" i="8"/>
  <c r="E199" i="8" l="1"/>
  <c r="C200" i="8" s="1"/>
  <c r="F198" i="8"/>
  <c r="E200" i="8" l="1"/>
  <c r="C201" i="8" s="1"/>
  <c r="F199" i="8"/>
  <c r="E201" i="8" l="1"/>
  <c r="C202" i="8" s="1"/>
  <c r="F200" i="8"/>
  <c r="E202" i="8" l="1"/>
  <c r="C203" i="8" s="1"/>
  <c r="F201" i="8"/>
  <c r="E203" i="8" l="1"/>
  <c r="C204" i="8" s="1"/>
  <c r="F202" i="8"/>
  <c r="E204" i="8" l="1"/>
  <c r="C205" i="8" s="1"/>
  <c r="F203" i="8"/>
  <c r="F204" i="8" l="1"/>
  <c r="E205" i="8"/>
  <c r="C207" i="8" s="1"/>
  <c r="F205" i="8" l="1"/>
  <c r="E207" i="8"/>
  <c r="C208" i="8" s="1"/>
  <c r="Q17" i="8" l="1"/>
  <c r="P20" i="5" s="1"/>
  <c r="Q13" i="11" s="1"/>
  <c r="Q15" i="11" s="1"/>
  <c r="Q17" i="11" s="1"/>
  <c r="G205" i="8"/>
  <c r="R15" i="8" s="1"/>
  <c r="F207" i="8"/>
  <c r="E208" i="8"/>
  <c r="C209" i="8" s="1"/>
  <c r="F208" i="8" l="1"/>
  <c r="E209" i="8"/>
  <c r="C210" i="8" s="1"/>
  <c r="F209" i="8" l="1"/>
  <c r="E210" i="8"/>
  <c r="C211" i="8" s="1"/>
  <c r="F210" i="8" l="1"/>
  <c r="E211" i="8"/>
  <c r="C212" i="8" s="1"/>
  <c r="F211" i="8" l="1"/>
  <c r="E212" i="8"/>
  <c r="C213" i="8" s="1"/>
  <c r="E213" i="8" l="1"/>
  <c r="C214" i="8" s="1"/>
  <c r="F212" i="8"/>
  <c r="E214" i="8" l="1"/>
  <c r="C215" i="8" s="1"/>
  <c r="F213" i="8"/>
  <c r="E215" i="8" l="1"/>
  <c r="C216" i="8" s="1"/>
  <c r="F214" i="8"/>
  <c r="E216" i="8" l="1"/>
  <c r="C217" i="8" s="1"/>
  <c r="F215" i="8"/>
  <c r="E217" i="8" l="1"/>
  <c r="C218" i="8" s="1"/>
  <c r="F216" i="8"/>
  <c r="E218" i="8" l="1"/>
  <c r="C220" i="8" s="1"/>
  <c r="F217" i="8"/>
  <c r="E220" i="8" l="1"/>
  <c r="C221" i="8" s="1"/>
  <c r="F218" i="8"/>
  <c r="R17" i="8" l="1"/>
  <c r="Q20" i="5" s="1"/>
  <c r="G218" i="8"/>
  <c r="S15" i="8" s="1"/>
  <c r="E221" i="8"/>
  <c r="C222" i="8" s="1"/>
  <c r="R13" i="11"/>
  <c r="R15" i="11" s="1"/>
  <c r="R17" i="11" s="1"/>
  <c r="F220" i="8"/>
  <c r="E222" i="8" l="1"/>
  <c r="C223" i="8" s="1"/>
  <c r="F221" i="8"/>
  <c r="F222" i="8" l="1"/>
  <c r="E223" i="8"/>
  <c r="C224" i="8" s="1"/>
  <c r="F223" i="8" l="1"/>
  <c r="E224" i="8"/>
  <c r="C225" i="8" s="1"/>
  <c r="E225" i="8" l="1"/>
  <c r="C226" i="8" s="1"/>
  <c r="F224" i="8"/>
  <c r="E226" i="8" l="1"/>
  <c r="C227" i="8" s="1"/>
  <c r="F225" i="8"/>
  <c r="F226" i="8" l="1"/>
  <c r="E227" i="8"/>
  <c r="C228" i="8" s="1"/>
  <c r="E228" i="8" l="1"/>
  <c r="C229" i="8" s="1"/>
  <c r="F227" i="8"/>
  <c r="F228" i="8" l="1"/>
  <c r="E229" i="8"/>
  <c r="C230" i="8" s="1"/>
  <c r="E230" i="8" l="1"/>
  <c r="C231" i="8" s="1"/>
  <c r="F229" i="8"/>
  <c r="F230" i="8" l="1"/>
  <c r="E231" i="8"/>
  <c r="C233" i="8" s="1"/>
  <c r="E233" i="8" l="1"/>
  <c r="C234" i="8" s="1"/>
  <c r="F231" i="8"/>
  <c r="S17" i="8" l="1"/>
  <c r="R20" i="5" s="1"/>
  <c r="G231" i="8"/>
  <c r="T15" i="8" s="1"/>
  <c r="S13" i="11"/>
  <c r="S15" i="11" s="1"/>
  <c r="S17" i="11" s="1"/>
  <c r="E234" i="8"/>
  <c r="C235" i="8" s="1"/>
  <c r="F233" i="8"/>
  <c r="F234" i="8" l="1"/>
  <c r="E235" i="8"/>
  <c r="C236" i="8" s="1"/>
  <c r="F235" i="8" l="1"/>
  <c r="E236" i="8"/>
  <c r="C237" i="8" s="1"/>
  <c r="F236" i="8" l="1"/>
  <c r="E237" i="8"/>
  <c r="C238" i="8" s="1"/>
  <c r="F237" i="8" l="1"/>
  <c r="E238" i="8"/>
  <c r="C239" i="8" s="1"/>
  <c r="E239" i="8" l="1"/>
  <c r="C240" i="8" s="1"/>
  <c r="F238" i="8"/>
  <c r="F239" i="8" l="1"/>
  <c r="E240" i="8"/>
  <c r="C241" i="8" s="1"/>
  <c r="F240" i="8" l="1"/>
  <c r="E241" i="8"/>
  <c r="C242" i="8" s="1"/>
  <c r="F241" i="8" l="1"/>
  <c r="E242" i="8"/>
  <c r="C243" i="8" s="1"/>
  <c r="E243" i="8" l="1"/>
  <c r="C244" i="8" s="1"/>
  <c r="F242" i="8"/>
  <c r="E244" i="8" l="1"/>
  <c r="C246" i="8" s="1"/>
  <c r="F243" i="8"/>
  <c r="E246" i="8" l="1"/>
  <c r="C247" i="8" s="1"/>
  <c r="F244" i="8"/>
  <c r="T17" i="8" s="1"/>
  <c r="S20" i="5" s="1"/>
  <c r="E247" i="8" l="1"/>
  <c r="C248" i="8" s="1"/>
  <c r="T13" i="11"/>
  <c r="T15" i="11" s="1"/>
  <c r="T17" i="11" s="1"/>
  <c r="F246" i="8"/>
  <c r="E248" i="8" l="1"/>
  <c r="C249" i="8" s="1"/>
  <c r="F247" i="8"/>
  <c r="F248" i="8" l="1"/>
  <c r="E249" i="8"/>
  <c r="C250" i="8" s="1"/>
  <c r="F249" i="8" l="1"/>
  <c r="E250" i="8"/>
  <c r="C251" i="8" s="1"/>
  <c r="E251" i="8" l="1"/>
  <c r="C252" i="8" s="1"/>
  <c r="F250" i="8"/>
  <c r="E252" i="8" l="1"/>
  <c r="C253" i="8" s="1"/>
  <c r="F251" i="8"/>
  <c r="E253" i="8" l="1"/>
  <c r="C254" i="8" s="1"/>
  <c r="F252" i="8"/>
  <c r="E254" i="8" l="1"/>
  <c r="C255" i="8" s="1"/>
  <c r="F253" i="8"/>
  <c r="E255" i="8" l="1"/>
  <c r="C256" i="8" s="1"/>
  <c r="F254" i="8"/>
  <c r="E256" i="8" l="1"/>
  <c r="C257" i="8" s="1"/>
  <c r="F255" i="8"/>
  <c r="E257" i="8" l="1"/>
  <c r="C259" i="8" s="1"/>
  <c r="F256" i="8"/>
  <c r="F257" i="8" l="1"/>
  <c r="U17" i="8" s="1"/>
  <c r="T20" i="5" s="1"/>
  <c r="E259" i="8"/>
  <c r="C260" i="8" s="1"/>
  <c r="F259" i="8" l="1"/>
  <c r="E260" i="8"/>
  <c r="C261" i="8" s="1"/>
  <c r="E261" i="8" l="1"/>
  <c r="C262" i="8" s="1"/>
  <c r="F260" i="8"/>
  <c r="E262" i="8" l="1"/>
  <c r="C263" i="8" s="1"/>
  <c r="F261" i="8"/>
  <c r="F262" i="8" l="1"/>
  <c r="E263" i="8"/>
  <c r="C264" i="8" s="1"/>
  <c r="E264" i="8" l="1"/>
  <c r="C265" i="8" s="1"/>
  <c r="F263" i="8"/>
  <c r="E265" i="8" l="1"/>
  <c r="C266" i="8" s="1"/>
  <c r="F264" i="8"/>
  <c r="E266" i="8" l="1"/>
  <c r="C267" i="8" s="1"/>
  <c r="F265" i="8"/>
  <c r="E267" i="8" l="1"/>
  <c r="C268" i="8" s="1"/>
  <c r="F266" i="8"/>
  <c r="F267" i="8" l="1"/>
  <c r="E268" i="8"/>
  <c r="C269" i="8" s="1"/>
  <c r="F268" i="8" l="1"/>
  <c r="E269" i="8"/>
  <c r="C270" i="8" s="1"/>
  <c r="F269" i="8" l="1"/>
  <c r="E270" i="8"/>
  <c r="C272" i="8" s="1"/>
  <c r="F270" i="8" l="1"/>
  <c r="V15" i="8" s="1"/>
  <c r="V17" i="8" s="1"/>
  <c r="U20" i="5" s="1"/>
  <c r="E272" i="8"/>
  <c r="C273" i="8" s="1"/>
  <c r="F272" i="8" l="1"/>
  <c r="E273" i="8"/>
  <c r="C274" i="8" s="1"/>
  <c r="F273" i="8" l="1"/>
  <c r="E274" i="8"/>
  <c r="C275" i="8" s="1"/>
  <c r="F274" i="8" l="1"/>
  <c r="E275" i="8"/>
  <c r="C276" i="8" s="1"/>
  <c r="E276" i="8" l="1"/>
  <c r="C277" i="8" s="1"/>
  <c r="F275" i="8"/>
  <c r="E277" i="8" l="1"/>
  <c r="C278" i="8" s="1"/>
  <c r="F276" i="8"/>
  <c r="E278" i="8" l="1"/>
  <c r="C279" i="8" s="1"/>
  <c r="F277" i="8"/>
  <c r="F278" i="8" l="1"/>
  <c r="E279" i="8"/>
  <c r="C280" i="8" s="1"/>
  <c r="E280" i="8" l="1"/>
  <c r="C281" i="8" s="1"/>
  <c r="F279" i="8"/>
  <c r="E281" i="8" l="1"/>
  <c r="C282" i="8" s="1"/>
  <c r="F280" i="8"/>
  <c r="E282" i="8" l="1"/>
  <c r="C283" i="8" s="1"/>
  <c r="F281" i="8"/>
  <c r="F282" i="8" l="1"/>
  <c r="E283" i="8"/>
  <c r="C285" i="8" s="1"/>
  <c r="E285" i="8" l="1"/>
  <c r="C286" i="8" s="1"/>
  <c r="F283" i="8"/>
  <c r="W15" i="8" s="1"/>
  <c r="W17" i="8" s="1"/>
  <c r="V20" i="5" s="1"/>
  <c r="E286" i="8" l="1"/>
  <c r="C287" i="8" s="1"/>
  <c r="F285" i="8"/>
  <c r="E287" i="8" l="1"/>
  <c r="C288" i="8" s="1"/>
  <c r="F286" i="8"/>
  <c r="F287" i="8" l="1"/>
  <c r="E288" i="8"/>
  <c r="C289" i="8" s="1"/>
  <c r="F288" i="8" l="1"/>
  <c r="E289" i="8"/>
  <c r="C290" i="8" s="1"/>
  <c r="F289" i="8" l="1"/>
  <c r="E290" i="8"/>
  <c r="C291" i="8" s="1"/>
  <c r="F290" i="8" l="1"/>
  <c r="E291" i="8"/>
  <c r="C292" i="8" s="1"/>
  <c r="F291" i="8" l="1"/>
  <c r="E292" i="8"/>
  <c r="C293" i="8" s="1"/>
  <c r="E293" i="8" l="1"/>
  <c r="C294" i="8" s="1"/>
  <c r="F292" i="8"/>
  <c r="F293" i="8" l="1"/>
  <c r="E294" i="8"/>
  <c r="C295" i="8" s="1"/>
  <c r="F294" i="8" l="1"/>
  <c r="E295" i="8"/>
  <c r="C296" i="8" s="1"/>
  <c r="F295" i="8" l="1"/>
  <c r="E296" i="8"/>
  <c r="C298" i="8" s="1"/>
  <c r="E298" i="8" l="1"/>
  <c r="C299" i="8" s="1"/>
  <c r="F296" i="8"/>
  <c r="X15" i="8" s="1"/>
  <c r="X17" i="8" s="1"/>
  <c r="W20" i="5" s="1"/>
  <c r="F298" i="8" l="1"/>
  <c r="E299" i="8"/>
  <c r="C300" i="8" s="1"/>
  <c r="E300" i="8" l="1"/>
  <c r="C301" i="8" s="1"/>
  <c r="F299" i="8"/>
  <c r="F300" i="8" l="1"/>
  <c r="E301" i="8"/>
  <c r="C302" i="8" s="1"/>
  <c r="F301" i="8" l="1"/>
  <c r="E302" i="8"/>
  <c r="C303" i="8" s="1"/>
  <c r="F302" i="8" l="1"/>
  <c r="E303" i="8"/>
  <c r="C304" i="8" s="1"/>
  <c r="E304" i="8" l="1"/>
  <c r="C305" i="8" s="1"/>
  <c r="F303" i="8"/>
  <c r="F304" i="8" l="1"/>
  <c r="E305" i="8"/>
  <c r="C306" i="8" s="1"/>
  <c r="E306" i="8" l="1"/>
  <c r="C307" i="8" s="1"/>
  <c r="F305" i="8"/>
  <c r="F306" i="8" l="1"/>
  <c r="E307" i="8"/>
  <c r="C308" i="8" s="1"/>
  <c r="E308" i="8" l="1"/>
  <c r="C309" i="8" s="1"/>
  <c r="F307" i="8"/>
  <c r="F308" i="8" l="1"/>
  <c r="E309" i="8"/>
  <c r="C311" i="8" s="1"/>
  <c r="E311" i="8" l="1"/>
  <c r="C312" i="8" s="1"/>
  <c r="F309" i="8"/>
  <c r="Y15" i="8" s="1"/>
  <c r="Y17" i="8" s="1"/>
  <c r="X20" i="5" s="1"/>
  <c r="E312" i="8" l="1"/>
  <c r="C313" i="8" s="1"/>
  <c r="F311" i="8"/>
  <c r="E313" i="8" l="1"/>
  <c r="C314" i="8" s="1"/>
  <c r="F312" i="8"/>
  <c r="E314" i="8" l="1"/>
  <c r="C315" i="8" s="1"/>
  <c r="F313" i="8"/>
  <c r="F314" i="8" l="1"/>
  <c r="E315" i="8"/>
  <c r="C316" i="8" s="1"/>
  <c r="F315" i="8" l="1"/>
  <c r="E316" i="8"/>
  <c r="C317" i="8" s="1"/>
  <c r="F316" i="8" l="1"/>
  <c r="E317" i="8"/>
  <c r="C318" i="8" s="1"/>
  <c r="E318" i="8" l="1"/>
  <c r="C319" i="8" s="1"/>
  <c r="F317" i="8"/>
  <c r="F318" i="8" l="1"/>
  <c r="E319" i="8"/>
  <c r="C320" i="8" s="1"/>
  <c r="E320" i="8" l="1"/>
  <c r="C321" i="8" s="1"/>
  <c r="F320" i="8"/>
  <c r="F319" i="8"/>
  <c r="E321" i="8" l="1"/>
  <c r="C322" i="8" s="1"/>
  <c r="F321" i="8" l="1"/>
  <c r="E322" i="8"/>
  <c r="F322" i="8" s="1"/>
  <c r="F323" i="8" l="1"/>
  <c r="I18" i="1"/>
  <c r="C23" i="6" l="1"/>
  <c r="D21" i="7" s="1"/>
  <c r="F36" i="2"/>
  <c r="H20" i="1"/>
  <c r="F51" i="11" s="1"/>
  <c r="F37" i="2" l="1"/>
  <c r="F38" i="2" s="1"/>
  <c r="G39" i="2"/>
  <c r="E85" i="11"/>
  <c r="D23" i="6" l="1"/>
  <c r="D27" i="6" s="1"/>
  <c r="D29" i="6" s="1"/>
  <c r="F111" i="11" s="1"/>
  <c r="C27" i="6"/>
  <c r="C29" i="6" s="1"/>
  <c r="C31" i="6" s="1"/>
  <c r="E26" i="11" l="1"/>
  <c r="E27" i="11" s="1"/>
  <c r="D27" i="7"/>
  <c r="F52" i="4"/>
  <c r="E21" i="7"/>
  <c r="E23" i="6"/>
  <c r="E27" i="7" l="1"/>
  <c r="F26" i="11"/>
  <c r="F53" i="4"/>
  <c r="F54" i="4" s="1"/>
  <c r="D31" i="6"/>
  <c r="F23" i="6"/>
  <c r="F21" i="7"/>
  <c r="E27" i="6"/>
  <c r="E29" i="6" s="1"/>
  <c r="E15" i="5" l="1"/>
  <c r="E17" i="5" s="1"/>
  <c r="E18" i="5" s="1"/>
  <c r="E37" i="5" s="1"/>
  <c r="F56" i="4"/>
  <c r="C19" i="6"/>
  <c r="D18" i="7"/>
  <c r="D29" i="7" s="1"/>
  <c r="D30" i="7" s="1"/>
  <c r="E28" i="7" s="1"/>
  <c r="G52" i="4"/>
  <c r="G53" i="4" s="1"/>
  <c r="G54" i="4" s="1"/>
  <c r="G111" i="11"/>
  <c r="E31" i="6"/>
  <c r="G23" i="6"/>
  <c r="G21" i="7"/>
  <c r="F27" i="6"/>
  <c r="F29" i="6" s="1"/>
  <c r="G26" i="11"/>
  <c r="F27" i="7"/>
  <c r="D16" i="6" l="1"/>
  <c r="E16" i="7" s="1"/>
  <c r="F94" i="11"/>
  <c r="F15" i="5"/>
  <c r="F17" i="5" s="1"/>
  <c r="E16" i="6" s="1"/>
  <c r="G56" i="4"/>
  <c r="C35" i="6"/>
  <c r="C37" i="6" s="1"/>
  <c r="C38" i="6" s="1"/>
  <c r="C40" i="6" s="1"/>
  <c r="H26" i="11"/>
  <c r="G27" i="7"/>
  <c r="E22" i="5"/>
  <c r="F22" i="11"/>
  <c r="E38" i="5"/>
  <c r="E43" i="5" s="1"/>
  <c r="H21" i="7"/>
  <c r="H23" i="6"/>
  <c r="G27" i="6"/>
  <c r="G29" i="6" s="1"/>
  <c r="H111" i="11"/>
  <c r="F31" i="6"/>
  <c r="H52" i="4"/>
  <c r="H53" i="4" s="1"/>
  <c r="H54" i="4" s="1"/>
  <c r="H56" i="4" s="1"/>
  <c r="G94" i="11" l="1"/>
  <c r="F97" i="11"/>
  <c r="F98" i="11" s="1"/>
  <c r="F95" i="11"/>
  <c r="F18" i="5"/>
  <c r="G22" i="11" s="1"/>
  <c r="F16" i="7"/>
  <c r="H27" i="7"/>
  <c r="I26" i="11"/>
  <c r="I23" i="6"/>
  <c r="H27" i="6"/>
  <c r="H29" i="6" s="1"/>
  <c r="I21" i="7"/>
  <c r="F19" i="10"/>
  <c r="G97" i="11"/>
  <c r="G98" i="11" s="1"/>
  <c r="G95" i="11"/>
  <c r="G15" i="5"/>
  <c r="G17" i="5" s="1"/>
  <c r="F16" i="6" s="1"/>
  <c r="G16" i="7" s="1"/>
  <c r="I52" i="4"/>
  <c r="I53" i="4" s="1"/>
  <c r="I54" i="4" s="1"/>
  <c r="I111" i="11"/>
  <c r="G31" i="6"/>
  <c r="F110" i="11"/>
  <c r="E41" i="5"/>
  <c r="F22" i="5" l="1"/>
  <c r="G19" i="10" s="1"/>
  <c r="F38" i="5"/>
  <c r="F24" i="10"/>
  <c r="F35" i="10"/>
  <c r="F37" i="5"/>
  <c r="G110" i="11" s="1"/>
  <c r="H15" i="5"/>
  <c r="H17" i="5" s="1"/>
  <c r="G16" i="6" s="1"/>
  <c r="H16" i="7" s="1"/>
  <c r="I56" i="4"/>
  <c r="F103" i="11"/>
  <c r="J111" i="11"/>
  <c r="J52" i="4"/>
  <c r="J53" i="4" s="1"/>
  <c r="J54" i="4" s="1"/>
  <c r="H31" i="6"/>
  <c r="F43" i="5"/>
  <c r="G104" i="11" s="1"/>
  <c r="J23" i="6"/>
  <c r="J21" i="7"/>
  <c r="I27" i="6"/>
  <c r="I29" i="6" s="1"/>
  <c r="I94" i="11"/>
  <c r="G18" i="5"/>
  <c r="H94" i="11"/>
  <c r="F104" i="11"/>
  <c r="I27" i="7"/>
  <c r="J26" i="11"/>
  <c r="H18" i="5" l="1"/>
  <c r="H37" i="5" s="1"/>
  <c r="F41" i="5"/>
  <c r="G103" i="11" s="1"/>
  <c r="I15" i="5"/>
  <c r="I17" i="5" s="1"/>
  <c r="H16" i="6" s="1"/>
  <c r="I16" i="7" s="1"/>
  <c r="J56" i="4"/>
  <c r="K111" i="11"/>
  <c r="I31" i="6"/>
  <c r="K52" i="4"/>
  <c r="K53" i="4" s="1"/>
  <c r="K54" i="4" s="1"/>
  <c r="I95" i="11"/>
  <c r="I97" i="11"/>
  <c r="I98" i="11" s="1"/>
  <c r="G35" i="10"/>
  <c r="G24" i="10"/>
  <c r="F29" i="10"/>
  <c r="G26" i="10" s="1"/>
  <c r="F27" i="10"/>
  <c r="F31" i="10" s="1"/>
  <c r="F36" i="10" s="1"/>
  <c r="F39" i="10" s="1"/>
  <c r="F44" i="10" s="1"/>
  <c r="F28" i="10"/>
  <c r="G25" i="10" s="1"/>
  <c r="J27" i="7"/>
  <c r="K26" i="11"/>
  <c r="H95" i="11"/>
  <c r="H97" i="11"/>
  <c r="H98" i="11" s="1"/>
  <c r="H22" i="11"/>
  <c r="G22" i="5"/>
  <c r="G38" i="5"/>
  <c r="G37" i="5"/>
  <c r="J27" i="6"/>
  <c r="J29" i="6" s="1"/>
  <c r="K23" i="6"/>
  <c r="K21" i="7"/>
  <c r="H38" i="5" l="1"/>
  <c r="H43" i="5" s="1"/>
  <c r="I104" i="11" s="1"/>
  <c r="H22" i="5"/>
  <c r="I22" i="11"/>
  <c r="J94" i="11"/>
  <c r="J95" i="11" s="1"/>
  <c r="I18" i="5"/>
  <c r="I22" i="5" s="1"/>
  <c r="J15" i="5"/>
  <c r="J17" i="5" s="1"/>
  <c r="I16" i="6" s="1"/>
  <c r="J16" i="7" s="1"/>
  <c r="K56" i="4"/>
  <c r="L23" i="6"/>
  <c r="L21" i="7"/>
  <c r="K27" i="6"/>
  <c r="K29" i="6" s="1"/>
  <c r="G41" i="5"/>
  <c r="H110" i="11"/>
  <c r="G43" i="5"/>
  <c r="I19" i="10"/>
  <c r="L52" i="4"/>
  <c r="L53" i="4" s="1"/>
  <c r="L54" i="4" s="1"/>
  <c r="J31" i="6"/>
  <c r="L111" i="11"/>
  <c r="I110" i="11"/>
  <c r="H41" i="5"/>
  <c r="I103" i="11" s="1"/>
  <c r="H19" i="10"/>
  <c r="G27" i="10"/>
  <c r="G31" i="10" s="1"/>
  <c r="G36" i="10" s="1"/>
  <c r="G38" i="10" s="1"/>
  <c r="G29" i="10"/>
  <c r="H26" i="10" s="1"/>
  <c r="G28" i="10"/>
  <c r="H25" i="10" s="1"/>
  <c r="J97" i="11"/>
  <c r="J98" i="11" s="1"/>
  <c r="F38" i="10"/>
  <c r="F40" i="10" s="1"/>
  <c r="E23" i="5" s="1"/>
  <c r="L26" i="11"/>
  <c r="K27" i="7"/>
  <c r="F43" i="10"/>
  <c r="F45" i="10" s="1"/>
  <c r="G42" i="10" s="1"/>
  <c r="J22" i="11" l="1"/>
  <c r="I38" i="5"/>
  <c r="I43" i="5" s="1"/>
  <c r="J104" i="11" s="1"/>
  <c r="I37" i="5"/>
  <c r="J110" i="11" s="1"/>
  <c r="K94" i="11"/>
  <c r="K95" i="11" s="1"/>
  <c r="J18" i="5"/>
  <c r="J38" i="5" s="1"/>
  <c r="K15" i="5"/>
  <c r="K17" i="5" s="1"/>
  <c r="J16" i="6" s="1"/>
  <c r="K16" i="7" s="1"/>
  <c r="L56" i="4"/>
  <c r="G43" i="10"/>
  <c r="J22" i="5"/>
  <c r="H35" i="10"/>
  <c r="H24" i="10"/>
  <c r="H103" i="11"/>
  <c r="H104" i="11"/>
  <c r="M111" i="11"/>
  <c r="K31" i="6"/>
  <c r="M52" i="4"/>
  <c r="M53" i="4" s="1"/>
  <c r="M54" i="4" s="1"/>
  <c r="J19" i="10"/>
  <c r="L27" i="7"/>
  <c r="M26" i="11"/>
  <c r="F23" i="11"/>
  <c r="F25" i="11" s="1"/>
  <c r="F27" i="11" s="1"/>
  <c r="E24" i="5"/>
  <c r="D13" i="6" s="1"/>
  <c r="F112" i="11" s="1"/>
  <c r="G39" i="10"/>
  <c r="G44" i="10" s="1"/>
  <c r="I35" i="10"/>
  <c r="I24" i="10"/>
  <c r="L27" i="6"/>
  <c r="L29" i="6" s="1"/>
  <c r="M21" i="7"/>
  <c r="M23" i="6"/>
  <c r="K97" i="11" l="1"/>
  <c r="K98" i="11" s="1"/>
  <c r="I41" i="5"/>
  <c r="J103" i="11" s="1"/>
  <c r="G45" i="10"/>
  <c r="H42" i="10" s="1"/>
  <c r="K22" i="11"/>
  <c r="K18" i="5"/>
  <c r="K38" i="5" s="1"/>
  <c r="J37" i="5"/>
  <c r="K110" i="11" s="1"/>
  <c r="L94" i="11"/>
  <c r="L97" i="11" s="1"/>
  <c r="L98" i="11" s="1"/>
  <c r="L15" i="5"/>
  <c r="L17" i="5" s="1"/>
  <c r="K16" i="6" s="1"/>
  <c r="L16" i="7" s="1"/>
  <c r="M56" i="4"/>
  <c r="H29" i="10"/>
  <c r="I26" i="10" s="1"/>
  <c r="H27" i="10"/>
  <c r="H31" i="10" s="1"/>
  <c r="H36" i="10" s="1"/>
  <c r="H39" i="10" s="1"/>
  <c r="H44" i="10" s="1"/>
  <c r="H28" i="10"/>
  <c r="I25" i="10" s="1"/>
  <c r="I28" i="10" s="1"/>
  <c r="J25" i="10" s="1"/>
  <c r="L31" i="6"/>
  <c r="N52" i="4"/>
  <c r="N53" i="4" s="1"/>
  <c r="N54" i="4" s="1"/>
  <c r="N111" i="11"/>
  <c r="K19" i="10"/>
  <c r="M27" i="7"/>
  <c r="N26" i="11"/>
  <c r="F107" i="11"/>
  <c r="E27" i="5"/>
  <c r="E29" i="5" s="1"/>
  <c r="F12" i="11" s="1"/>
  <c r="E39" i="5"/>
  <c r="E45" i="5" s="1"/>
  <c r="E12" i="7"/>
  <c r="E18" i="7" s="1"/>
  <c r="E29" i="7" s="1"/>
  <c r="E30" i="7" s="1"/>
  <c r="N23" i="6"/>
  <c r="N21" i="7"/>
  <c r="M27" i="6"/>
  <c r="M29" i="6" s="1"/>
  <c r="J35" i="10"/>
  <c r="J24" i="10"/>
  <c r="J43" i="5"/>
  <c r="K104" i="11" s="1"/>
  <c r="G40" i="10"/>
  <c r="F23" i="5" s="1"/>
  <c r="K37" i="5" l="1"/>
  <c r="K22" i="5"/>
  <c r="L19" i="10" s="1"/>
  <c r="J41" i="5"/>
  <c r="K103" i="11" s="1"/>
  <c r="L22" i="11"/>
  <c r="L95" i="11"/>
  <c r="L18" i="5"/>
  <c r="L22" i="5" s="1"/>
  <c r="M94" i="11"/>
  <c r="M95" i="11" s="1"/>
  <c r="M15" i="5"/>
  <c r="M17" i="5" s="1"/>
  <c r="L16" i="6" s="1"/>
  <c r="M16" i="7" s="1"/>
  <c r="N56" i="4"/>
  <c r="F14" i="11"/>
  <c r="F18" i="11" s="1"/>
  <c r="E31" i="5"/>
  <c r="F49" i="11" s="1"/>
  <c r="I27" i="10"/>
  <c r="I31" i="10" s="1"/>
  <c r="I36" i="10" s="1"/>
  <c r="I43" i="10" s="1"/>
  <c r="H43" i="10"/>
  <c r="H45" i="10" s="1"/>
  <c r="I42" i="10" s="1"/>
  <c r="H38" i="10"/>
  <c r="H40" i="10" s="1"/>
  <c r="G23" i="5" s="1"/>
  <c r="I29" i="10"/>
  <c r="J26" i="10" s="1"/>
  <c r="J27" i="10" s="1"/>
  <c r="J31" i="10" s="1"/>
  <c r="J36" i="10" s="1"/>
  <c r="J43" i="10" s="1"/>
  <c r="O111" i="11"/>
  <c r="M31" i="6"/>
  <c r="O52" i="4"/>
  <c r="O53" i="4" s="1"/>
  <c r="O54" i="4" s="1"/>
  <c r="J28" i="10"/>
  <c r="K25" i="10" s="1"/>
  <c r="O26" i="11"/>
  <c r="N27" i="7"/>
  <c r="L110" i="11"/>
  <c r="K41" i="5"/>
  <c r="D19" i="6"/>
  <c r="F106" i="11"/>
  <c r="G23" i="11"/>
  <c r="G25" i="11" s="1"/>
  <c r="G27" i="11" s="1"/>
  <c r="F24" i="5"/>
  <c r="O23" i="6"/>
  <c r="N27" i="6"/>
  <c r="N29" i="6" s="1"/>
  <c r="O21" i="7"/>
  <c r="K43" i="5"/>
  <c r="F28" i="7"/>
  <c r="D35" i="6"/>
  <c r="D37" i="6" s="1"/>
  <c r="D38" i="6" s="1"/>
  <c r="F108" i="11"/>
  <c r="K35" i="10"/>
  <c r="K24" i="10"/>
  <c r="F105" i="11"/>
  <c r="M22" i="11" l="1"/>
  <c r="L37" i="5"/>
  <c r="L38" i="5"/>
  <c r="L43" i="5" s="1"/>
  <c r="M104" i="11" s="1"/>
  <c r="M97" i="11"/>
  <c r="M98" i="11" s="1"/>
  <c r="M18" i="5"/>
  <c r="M38" i="5" s="1"/>
  <c r="N94" i="11"/>
  <c r="N95" i="11" s="1"/>
  <c r="N15" i="5"/>
  <c r="N17" i="5" s="1"/>
  <c r="M16" i="6" s="1"/>
  <c r="N16" i="7" s="1"/>
  <c r="O56" i="4"/>
  <c r="J29" i="10"/>
  <c r="K26" i="10" s="1"/>
  <c r="K27" i="10" s="1"/>
  <c r="K31" i="10" s="1"/>
  <c r="K36" i="10" s="1"/>
  <c r="K38" i="10" s="1"/>
  <c r="I38" i="10"/>
  <c r="E32" i="5"/>
  <c r="H23" i="11"/>
  <c r="H25" i="11" s="1"/>
  <c r="H27" i="11" s="1"/>
  <c r="I39" i="10"/>
  <c r="I44" i="10" s="1"/>
  <c r="I45" i="10" s="1"/>
  <c r="J42" i="10" s="1"/>
  <c r="G24" i="5"/>
  <c r="H107" i="11" s="1"/>
  <c r="J38" i="10"/>
  <c r="D40" i="6"/>
  <c r="F50" i="11"/>
  <c r="M19" i="10"/>
  <c r="L35" i="10"/>
  <c r="L24" i="10"/>
  <c r="K29" i="10"/>
  <c r="L26" i="10" s="1"/>
  <c r="K28" i="10"/>
  <c r="L25" i="10" s="1"/>
  <c r="P52" i="4"/>
  <c r="P53" i="4" s="1"/>
  <c r="P54" i="4" s="1"/>
  <c r="P111" i="11"/>
  <c r="N31" i="6"/>
  <c r="F39" i="5"/>
  <c r="F45" i="5" s="1"/>
  <c r="G107" i="11"/>
  <c r="F27" i="5"/>
  <c r="F29" i="5" s="1"/>
  <c r="F12" i="7"/>
  <c r="F18" i="7" s="1"/>
  <c r="F29" i="7" s="1"/>
  <c r="F30" i="7" s="1"/>
  <c r="E13" i="6"/>
  <c r="P23" i="6"/>
  <c r="O27" i="6"/>
  <c r="O29" i="6" s="1"/>
  <c r="P21" i="7"/>
  <c r="F109" i="11"/>
  <c r="M110" i="11"/>
  <c r="L41" i="5"/>
  <c r="M103" i="11" s="1"/>
  <c r="M22" i="5"/>
  <c r="L104" i="11"/>
  <c r="P26" i="11"/>
  <c r="O27" i="7"/>
  <c r="L103" i="11"/>
  <c r="J39" i="10"/>
  <c r="J44" i="10" s="1"/>
  <c r="N22" i="11" l="1"/>
  <c r="N97" i="11"/>
  <c r="N98" i="11" s="1"/>
  <c r="M37" i="5"/>
  <c r="N110" i="11" s="1"/>
  <c r="O94" i="11"/>
  <c r="O97" i="11" s="1"/>
  <c r="O98" i="11" s="1"/>
  <c r="N18" i="5"/>
  <c r="N38" i="5" s="1"/>
  <c r="O15" i="5"/>
  <c r="O17" i="5" s="1"/>
  <c r="N16" i="6" s="1"/>
  <c r="O16" i="7" s="1"/>
  <c r="P56" i="4"/>
  <c r="F31" i="5"/>
  <c r="F32" i="5" s="1"/>
  <c r="G12" i="11"/>
  <c r="G14" i="11" s="1"/>
  <c r="G18" i="11" s="1"/>
  <c r="G12" i="7"/>
  <c r="G18" i="7" s="1"/>
  <c r="G29" i="7" s="1"/>
  <c r="G39" i="5"/>
  <c r="G45" i="5" s="1"/>
  <c r="H105" i="11" s="1"/>
  <c r="G27" i="5"/>
  <c r="G29" i="5" s="1"/>
  <c r="J45" i="10"/>
  <c r="K42" i="10" s="1"/>
  <c r="I40" i="10"/>
  <c r="H23" i="5" s="1"/>
  <c r="K43" i="10"/>
  <c r="G28" i="7"/>
  <c r="E35" i="6"/>
  <c r="E37" i="6" s="1"/>
  <c r="E38" i="6" s="1"/>
  <c r="G105" i="11"/>
  <c r="L29" i="10"/>
  <c r="M26" i="10" s="1"/>
  <c r="L27" i="10"/>
  <c r="L31" i="10" s="1"/>
  <c r="L36" i="10" s="1"/>
  <c r="L43" i="10" s="1"/>
  <c r="L28" i="10"/>
  <c r="M25" i="10" s="1"/>
  <c r="J40" i="10"/>
  <c r="I23" i="5" s="1"/>
  <c r="M43" i="5"/>
  <c r="Q111" i="11"/>
  <c r="Q52" i="4"/>
  <c r="Q53" i="4" s="1"/>
  <c r="Q54" i="4" s="1"/>
  <c r="O31" i="6"/>
  <c r="K39" i="10"/>
  <c r="K44" i="10" s="1"/>
  <c r="O95" i="11"/>
  <c r="P27" i="6"/>
  <c r="P29" i="6" s="1"/>
  <c r="Q21" i="7"/>
  <c r="Q23" i="6"/>
  <c r="M35" i="10"/>
  <c r="M24" i="10"/>
  <c r="M41" i="5"/>
  <c r="N103" i="11" s="1"/>
  <c r="P27" i="7"/>
  <c r="Q26" i="11"/>
  <c r="N19" i="10"/>
  <c r="G112" i="11"/>
  <c r="F13" i="6"/>
  <c r="E19" i="6"/>
  <c r="G106" i="11"/>
  <c r="G108" i="11"/>
  <c r="O18" i="5"/>
  <c r="P94" i="11" l="1"/>
  <c r="N37" i="5"/>
  <c r="O110" i="11" s="1"/>
  <c r="N22" i="5"/>
  <c r="O19" i="10" s="1"/>
  <c r="O22" i="11"/>
  <c r="P15" i="5"/>
  <c r="P17" i="5" s="1"/>
  <c r="O16" i="6" s="1"/>
  <c r="P16" i="7" s="1"/>
  <c r="Q56" i="4"/>
  <c r="G49" i="11"/>
  <c r="G50" i="11" s="1"/>
  <c r="K45" i="10"/>
  <c r="L42" i="10" s="1"/>
  <c r="G31" i="5"/>
  <c r="G32" i="5" s="1"/>
  <c r="H12" i="11"/>
  <c r="H14" i="11" s="1"/>
  <c r="H18" i="11" s="1"/>
  <c r="H109" i="11" s="1"/>
  <c r="I23" i="11"/>
  <c r="I25" i="11" s="1"/>
  <c r="I27" i="11" s="1"/>
  <c r="G30" i="7"/>
  <c r="F35" i="6" s="1"/>
  <c r="F37" i="6" s="1"/>
  <c r="F38" i="6" s="1"/>
  <c r="E40" i="6"/>
  <c r="L38" i="10"/>
  <c r="F19" i="6"/>
  <c r="H112" i="11"/>
  <c r="H106" i="11"/>
  <c r="H108" i="11"/>
  <c r="R23" i="6"/>
  <c r="Q27" i="6"/>
  <c r="Q29" i="6" s="1"/>
  <c r="S111" i="11" s="1"/>
  <c r="R21" i="7"/>
  <c r="G109" i="11"/>
  <c r="N104" i="11"/>
  <c r="J23" i="11"/>
  <c r="J25" i="11" s="1"/>
  <c r="J27" i="11" s="1"/>
  <c r="I24" i="5"/>
  <c r="P22" i="11"/>
  <c r="O22" i="5"/>
  <c r="O38" i="5"/>
  <c r="O37" i="5"/>
  <c r="N24" i="10"/>
  <c r="N35" i="10"/>
  <c r="M28" i="10"/>
  <c r="N25" i="10" s="1"/>
  <c r="M27" i="10"/>
  <c r="M31" i="10" s="1"/>
  <c r="M36" i="10" s="1"/>
  <c r="M43" i="10" s="1"/>
  <c r="M29" i="10"/>
  <c r="N26" i="10" s="1"/>
  <c r="R26" i="11"/>
  <c r="Q27" i="7"/>
  <c r="P97" i="11"/>
  <c r="P98" i="11" s="1"/>
  <c r="P95" i="11"/>
  <c r="N43" i="5"/>
  <c r="O104" i="11" s="1"/>
  <c r="R52" i="4"/>
  <c r="R53" i="4" s="1"/>
  <c r="R54" i="4" s="1"/>
  <c r="P31" i="6"/>
  <c r="R111" i="11"/>
  <c r="L39" i="10"/>
  <c r="L44" i="10" s="1"/>
  <c r="K40" i="10"/>
  <c r="J23" i="5" s="1"/>
  <c r="L45" i="10" l="1"/>
  <c r="M42" i="10" s="1"/>
  <c r="N41" i="5"/>
  <c r="O103" i="11" s="1"/>
  <c r="Q94" i="11"/>
  <c r="Q97" i="11" s="1"/>
  <c r="Q98" i="11" s="1"/>
  <c r="P18" i="5"/>
  <c r="P37" i="5" s="1"/>
  <c r="Q15" i="5"/>
  <c r="Q17" i="5" s="1"/>
  <c r="P16" i="6" s="1"/>
  <c r="Q16" i="7" s="1"/>
  <c r="R56" i="4"/>
  <c r="H49" i="11"/>
  <c r="H50" i="11" s="1"/>
  <c r="H28" i="7"/>
  <c r="H24" i="5"/>
  <c r="H12" i="7" s="1"/>
  <c r="H18" i="7" s="1"/>
  <c r="H29" i="7" s="1"/>
  <c r="F40" i="6"/>
  <c r="M38" i="10"/>
  <c r="Q22" i="11"/>
  <c r="P110" i="11"/>
  <c r="O41" i="5"/>
  <c r="P103" i="11" s="1"/>
  <c r="Q95" i="11"/>
  <c r="M39" i="10"/>
  <c r="M44" i="10" s="1"/>
  <c r="M45" i="10" s="1"/>
  <c r="N42" i="10" s="1"/>
  <c r="N27" i="10"/>
  <c r="N31" i="10" s="1"/>
  <c r="N36" i="10" s="1"/>
  <c r="N43" i="10" s="1"/>
  <c r="N28" i="10"/>
  <c r="O25" i="10" s="1"/>
  <c r="N29" i="10"/>
  <c r="O26" i="10" s="1"/>
  <c r="L40" i="10"/>
  <c r="K23" i="5" s="1"/>
  <c r="O35" i="10"/>
  <c r="O24" i="10"/>
  <c r="R27" i="7"/>
  <c r="S26" i="11"/>
  <c r="Q31" i="6"/>
  <c r="S52" i="4"/>
  <c r="S53" i="4" s="1"/>
  <c r="S54" i="4" s="1"/>
  <c r="I27" i="5"/>
  <c r="I29" i="5" s="1"/>
  <c r="I39" i="5"/>
  <c r="I45" i="5" s="1"/>
  <c r="J107" i="11"/>
  <c r="I12" i="7"/>
  <c r="I18" i="7" s="1"/>
  <c r="I29" i="7" s="1"/>
  <c r="K23" i="11"/>
  <c r="K25" i="11" s="1"/>
  <c r="K27" i="11" s="1"/>
  <c r="J24" i="5"/>
  <c r="O43" i="5"/>
  <c r="P104" i="11" s="1"/>
  <c r="P19" i="10"/>
  <c r="S21" i="7"/>
  <c r="S23" i="6"/>
  <c r="R27" i="6"/>
  <c r="R29" i="6" s="1"/>
  <c r="T111" i="11" s="1"/>
  <c r="P22" i="5" l="1"/>
  <c r="P38" i="5"/>
  <c r="Q18" i="5"/>
  <c r="Q37" i="5" s="1"/>
  <c r="R94" i="11"/>
  <c r="R95" i="11" s="1"/>
  <c r="R15" i="5"/>
  <c r="R17" i="5" s="1"/>
  <c r="Q16" i="6" s="1"/>
  <c r="R16" i="7" s="1"/>
  <c r="S56" i="4"/>
  <c r="H39" i="5"/>
  <c r="H45" i="5" s="1"/>
  <c r="I105" i="11" s="1"/>
  <c r="G13" i="6"/>
  <c r="I106" i="11" s="1"/>
  <c r="I31" i="5"/>
  <c r="J49" i="11" s="1"/>
  <c r="J12" i="11"/>
  <c r="J14" i="11" s="1"/>
  <c r="J18" i="11" s="1"/>
  <c r="I107" i="11"/>
  <c r="H30" i="7"/>
  <c r="G35" i="6" s="1"/>
  <c r="G37" i="6" s="1"/>
  <c r="G38" i="6" s="1"/>
  <c r="H27" i="5"/>
  <c r="H29" i="5" s="1"/>
  <c r="N38" i="10"/>
  <c r="M40" i="10"/>
  <c r="L23" i="5" s="1"/>
  <c r="O28" i="10"/>
  <c r="P25" i="10" s="1"/>
  <c r="O27" i="10"/>
  <c r="O31" i="10" s="1"/>
  <c r="O36" i="10" s="1"/>
  <c r="O38" i="10" s="1"/>
  <c r="O29" i="10"/>
  <c r="P26" i="10" s="1"/>
  <c r="R22" i="11"/>
  <c r="Q19" i="10"/>
  <c r="P35" i="10"/>
  <c r="P24" i="10"/>
  <c r="J12" i="7"/>
  <c r="J18" i="7" s="1"/>
  <c r="J29" i="7" s="1"/>
  <c r="J39" i="5"/>
  <c r="J45" i="5" s="1"/>
  <c r="K105" i="11" s="1"/>
  <c r="J27" i="5"/>
  <c r="J29" i="5" s="1"/>
  <c r="K107" i="11"/>
  <c r="J105" i="11"/>
  <c r="T52" i="4"/>
  <c r="T53" i="4" s="1"/>
  <c r="T54" i="4" s="1"/>
  <c r="R31" i="6"/>
  <c r="T21" i="7"/>
  <c r="S27" i="6"/>
  <c r="T23" i="6"/>
  <c r="S27" i="7"/>
  <c r="T26" i="11"/>
  <c r="L23" i="11"/>
  <c r="L25" i="11" s="1"/>
  <c r="L27" i="11" s="1"/>
  <c r="K24" i="5"/>
  <c r="N39" i="10"/>
  <c r="N44" i="10" s="1"/>
  <c r="N45" i="10" s="1"/>
  <c r="O42" i="10" s="1"/>
  <c r="Q110" i="11"/>
  <c r="P41" i="5"/>
  <c r="Q103" i="11" s="1"/>
  <c r="P43" i="5"/>
  <c r="Q104" i="11" s="1"/>
  <c r="Q22" i="5" l="1"/>
  <c r="R97" i="11"/>
  <c r="R98" i="11" s="1"/>
  <c r="Q38" i="5"/>
  <c r="Q43" i="5" s="1"/>
  <c r="R104" i="11" s="1"/>
  <c r="R18" i="5"/>
  <c r="R37" i="5" s="1"/>
  <c r="S94" i="11"/>
  <c r="S95" i="11" s="1"/>
  <c r="S15" i="5"/>
  <c r="S17" i="5" s="1"/>
  <c r="R16" i="6" s="1"/>
  <c r="S16" i="7" s="1"/>
  <c r="T56" i="4"/>
  <c r="G19" i="6"/>
  <c r="G40" i="6" s="1"/>
  <c r="I108" i="11"/>
  <c r="H13" i="6"/>
  <c r="J108" i="11" s="1"/>
  <c r="I112" i="11"/>
  <c r="J31" i="5"/>
  <c r="K49" i="11" s="1"/>
  <c r="K12" i="11"/>
  <c r="K14" i="11" s="1"/>
  <c r="K18" i="11" s="1"/>
  <c r="K109" i="11" s="1"/>
  <c r="H31" i="5"/>
  <c r="H32" i="5" s="1"/>
  <c r="I32" i="5" s="1"/>
  <c r="I12" i="11"/>
  <c r="I14" i="11" s="1"/>
  <c r="I18" i="11" s="1"/>
  <c r="I109" i="11" s="1"/>
  <c r="I28" i="7"/>
  <c r="I30" i="7" s="1"/>
  <c r="J28" i="7" s="1"/>
  <c r="J30" i="7" s="1"/>
  <c r="I35" i="6" s="1"/>
  <c r="I37" i="6" s="1"/>
  <c r="I38" i="6" s="1"/>
  <c r="M23" i="11"/>
  <c r="M25" i="11" s="1"/>
  <c r="M27" i="11" s="1"/>
  <c r="O43" i="10"/>
  <c r="N40" i="10"/>
  <c r="M23" i="5" s="1"/>
  <c r="S18" i="5"/>
  <c r="P27" i="10"/>
  <c r="P31" i="10" s="1"/>
  <c r="P36" i="10" s="1"/>
  <c r="P43" i="10" s="1"/>
  <c r="P29" i="10"/>
  <c r="Q26" i="10" s="1"/>
  <c r="P28" i="10"/>
  <c r="Q25" i="10" s="1"/>
  <c r="R110" i="11"/>
  <c r="Q41" i="5"/>
  <c r="R103" i="11" s="1"/>
  <c r="O39" i="10"/>
  <c r="O44" i="10" s="1"/>
  <c r="U23" i="6"/>
  <c r="U21" i="7"/>
  <c r="T27" i="6"/>
  <c r="T29" i="6" s="1"/>
  <c r="V111" i="11" s="1"/>
  <c r="Q35" i="10"/>
  <c r="Q24" i="10"/>
  <c r="U26" i="11"/>
  <c r="T27" i="7"/>
  <c r="K27" i="5"/>
  <c r="K29" i="5" s="1"/>
  <c r="K39" i="5"/>
  <c r="K45" i="5" s="1"/>
  <c r="K12" i="7"/>
  <c r="K18" i="7" s="1"/>
  <c r="K29" i="7" s="1"/>
  <c r="L107" i="11"/>
  <c r="J109" i="11"/>
  <c r="U52" i="4"/>
  <c r="U53" i="4" s="1"/>
  <c r="U54" i="4" s="1"/>
  <c r="S31" i="6"/>
  <c r="R19" i="10"/>
  <c r="S22" i="11" l="1"/>
  <c r="R22" i="5"/>
  <c r="S97" i="11"/>
  <c r="S98" i="11" s="1"/>
  <c r="R38" i="5"/>
  <c r="J112" i="11"/>
  <c r="T94" i="11"/>
  <c r="T95" i="11" s="1"/>
  <c r="I13" i="6"/>
  <c r="K108" i="11" s="1"/>
  <c r="T15" i="5"/>
  <c r="T17" i="5" s="1"/>
  <c r="S16" i="6" s="1"/>
  <c r="T16" i="7" s="1"/>
  <c r="U56" i="4"/>
  <c r="H19" i="6"/>
  <c r="J106" i="11"/>
  <c r="J32" i="5"/>
  <c r="O45" i="10"/>
  <c r="P42" i="10" s="1"/>
  <c r="K31" i="5"/>
  <c r="L12" i="11"/>
  <c r="I49" i="11"/>
  <c r="I50" i="11" s="1"/>
  <c r="J50" i="11" s="1"/>
  <c r="K50" i="11" s="1"/>
  <c r="L24" i="5"/>
  <c r="L27" i="5" s="1"/>
  <c r="L29" i="5" s="1"/>
  <c r="H35" i="6"/>
  <c r="H37" i="6" s="1"/>
  <c r="H38" i="6" s="1"/>
  <c r="M24" i="5"/>
  <c r="N23" i="11"/>
  <c r="N25" i="11" s="1"/>
  <c r="N27" i="11" s="1"/>
  <c r="K28" i="7"/>
  <c r="K30" i="7" s="1"/>
  <c r="O40" i="10"/>
  <c r="N23" i="5" s="1"/>
  <c r="L105" i="11"/>
  <c r="R43" i="5"/>
  <c r="S104" i="11" s="1"/>
  <c r="V26" i="11"/>
  <c r="U27" i="7"/>
  <c r="S110" i="11"/>
  <c r="R41" i="5"/>
  <c r="S103" i="11" s="1"/>
  <c r="Q29" i="10"/>
  <c r="R26" i="10" s="1"/>
  <c r="Q28" i="10"/>
  <c r="R25" i="10" s="1"/>
  <c r="Q27" i="10"/>
  <c r="Q31" i="10" s="1"/>
  <c r="Q36" i="10" s="1"/>
  <c r="Q38" i="10" s="1"/>
  <c r="L14" i="11"/>
  <c r="L18" i="11" s="1"/>
  <c r="S19" i="10"/>
  <c r="V23" i="6"/>
  <c r="U27" i="6"/>
  <c r="U29" i="6" s="1"/>
  <c r="W111" i="11" s="1"/>
  <c r="V21" i="7"/>
  <c r="S22" i="5"/>
  <c r="T22" i="11"/>
  <c r="S38" i="5"/>
  <c r="S37" i="5"/>
  <c r="R35" i="10"/>
  <c r="R24" i="10"/>
  <c r="V52" i="4"/>
  <c r="V53" i="4" s="1"/>
  <c r="V54" i="4" s="1"/>
  <c r="U15" i="5" s="1"/>
  <c r="U17" i="5" s="1"/>
  <c r="U18" i="5" s="1"/>
  <c r="T31" i="6"/>
  <c r="P38" i="10"/>
  <c r="T97" i="11" l="1"/>
  <c r="T98" i="11" s="1"/>
  <c r="T18" i="5"/>
  <c r="U94" i="11"/>
  <c r="K112" i="11"/>
  <c r="I19" i="6"/>
  <c r="I40" i="6" s="1"/>
  <c r="J13" i="6"/>
  <c r="L108" i="11" s="1"/>
  <c r="K106" i="11"/>
  <c r="H40" i="6"/>
  <c r="T16" i="6"/>
  <c r="U16" i="7" s="1"/>
  <c r="V56" i="4"/>
  <c r="P39" i="10"/>
  <c r="P44" i="10" s="1"/>
  <c r="P45" i="10" s="1"/>
  <c r="Q42" i="10" s="1"/>
  <c r="K32" i="5"/>
  <c r="L12" i="7"/>
  <c r="L18" i="7" s="1"/>
  <c r="L29" i="7" s="1"/>
  <c r="L49" i="11"/>
  <c r="L50" i="11" s="1"/>
  <c r="M107" i="11"/>
  <c r="L31" i="5"/>
  <c r="M49" i="11" s="1"/>
  <c r="M12" i="11"/>
  <c r="M14" i="11" s="1"/>
  <c r="M18" i="11" s="1"/>
  <c r="M109" i="11" s="1"/>
  <c r="L39" i="5"/>
  <c r="L45" i="5" s="1"/>
  <c r="M105" i="11" s="1"/>
  <c r="M27" i="5"/>
  <c r="M29" i="5" s="1"/>
  <c r="N107" i="11"/>
  <c r="M12" i="7"/>
  <c r="M18" i="7" s="1"/>
  <c r="M29" i="7" s="1"/>
  <c r="M39" i="5"/>
  <c r="M45" i="5" s="1"/>
  <c r="N105" i="11" s="1"/>
  <c r="T19" i="10"/>
  <c r="V27" i="7"/>
  <c r="W26" i="11"/>
  <c r="L109" i="11"/>
  <c r="O23" i="11"/>
  <c r="O25" i="11" s="1"/>
  <c r="O27" i="11" s="1"/>
  <c r="N24" i="5"/>
  <c r="S35" i="10"/>
  <c r="S24" i="10"/>
  <c r="T110" i="11"/>
  <c r="S41" i="5"/>
  <c r="T103" i="11" s="1"/>
  <c r="S43" i="5"/>
  <c r="T104" i="11" s="1"/>
  <c r="W52" i="4"/>
  <c r="W53" i="4" s="1"/>
  <c r="W54" i="4" s="1"/>
  <c r="V15" i="5" s="1"/>
  <c r="V17" i="5" s="1"/>
  <c r="V18" i="5" s="1"/>
  <c r="U31" i="6"/>
  <c r="Q43" i="10"/>
  <c r="U22" i="11"/>
  <c r="T22" i="5"/>
  <c r="T38" i="5"/>
  <c r="T37" i="5"/>
  <c r="J35" i="6"/>
  <c r="J37" i="6" s="1"/>
  <c r="J38" i="6" s="1"/>
  <c r="L28" i="7"/>
  <c r="R27" i="10"/>
  <c r="R31" i="10" s="1"/>
  <c r="R36" i="10" s="1"/>
  <c r="R43" i="10" s="1"/>
  <c r="R29" i="10"/>
  <c r="S26" i="10" s="1"/>
  <c r="R28" i="10"/>
  <c r="S25" i="10" s="1"/>
  <c r="V27" i="6"/>
  <c r="V29" i="6" s="1"/>
  <c r="X111" i="11" s="1"/>
  <c r="W21" i="7"/>
  <c r="W23" i="6"/>
  <c r="U95" i="11"/>
  <c r="U97" i="11"/>
  <c r="U98" i="11" s="1"/>
  <c r="V94" i="11" l="1"/>
  <c r="J19" i="6"/>
  <c r="J40" i="6" s="1"/>
  <c r="L106" i="11"/>
  <c r="L112" i="11"/>
  <c r="K13" i="6"/>
  <c r="L13" i="6" s="1"/>
  <c r="L19" i="6" s="1"/>
  <c r="U16" i="6"/>
  <c r="V16" i="7" s="1"/>
  <c r="W56" i="4"/>
  <c r="P40" i="10"/>
  <c r="O23" i="5" s="1"/>
  <c r="P23" i="11" s="1"/>
  <c r="P25" i="11" s="1"/>
  <c r="P27" i="11" s="1"/>
  <c r="L30" i="7"/>
  <c r="M28" i="7" s="1"/>
  <c r="M30" i="7" s="1"/>
  <c r="Q39" i="10"/>
  <c r="Q44" i="10" s="1"/>
  <c r="Q45" i="10" s="1"/>
  <c r="R42" i="10" s="1"/>
  <c r="M50" i="11"/>
  <c r="M31" i="5"/>
  <c r="N12" i="11"/>
  <c r="N14" i="11" s="1"/>
  <c r="N18" i="11" s="1"/>
  <c r="N109" i="11" s="1"/>
  <c r="L32" i="5"/>
  <c r="M108" i="11"/>
  <c r="M106" i="11"/>
  <c r="M112" i="11"/>
  <c r="U22" i="5"/>
  <c r="V22" i="11"/>
  <c r="U38" i="5"/>
  <c r="U37" i="5"/>
  <c r="S28" i="10"/>
  <c r="T25" i="10" s="1"/>
  <c r="S27" i="10"/>
  <c r="S31" i="10" s="1"/>
  <c r="S36" i="10" s="1"/>
  <c r="S43" i="10" s="1"/>
  <c r="S29" i="10"/>
  <c r="T26" i="10" s="1"/>
  <c r="T24" i="10"/>
  <c r="T35" i="10"/>
  <c r="W27" i="6"/>
  <c r="W29" i="6" s="1"/>
  <c r="X21" i="7"/>
  <c r="X23" i="6"/>
  <c r="U110" i="11"/>
  <c r="T41" i="5"/>
  <c r="U103" i="11" s="1"/>
  <c r="N27" i="5"/>
  <c r="N29" i="5" s="1"/>
  <c r="N39" i="5"/>
  <c r="N45" i="5" s="1"/>
  <c r="O105" i="11" s="1"/>
  <c r="N12" i="7"/>
  <c r="N18" i="7" s="1"/>
  <c r="N29" i="7" s="1"/>
  <c r="O107" i="11"/>
  <c r="T43" i="5"/>
  <c r="U104" i="11" s="1"/>
  <c r="X26" i="11"/>
  <c r="W27" i="7"/>
  <c r="X52" i="4"/>
  <c r="X53" i="4" s="1"/>
  <c r="X54" i="4" s="1"/>
  <c r="W15" i="5" s="1"/>
  <c r="W17" i="5" s="1"/>
  <c r="W18" i="5" s="1"/>
  <c r="V31" i="6"/>
  <c r="U19" i="10"/>
  <c r="V95" i="11"/>
  <c r="V97" i="11"/>
  <c r="V98" i="11" s="1"/>
  <c r="R38" i="10"/>
  <c r="N112" i="11"/>
  <c r="M13" i="6"/>
  <c r="O108" i="11" s="1"/>
  <c r="N106" i="11"/>
  <c r="N108" i="11"/>
  <c r="K19" i="6" l="1"/>
  <c r="W94" i="11"/>
  <c r="W97" i="11" s="1"/>
  <c r="W98" i="11" s="1"/>
  <c r="V16" i="6"/>
  <c r="W16" i="7" s="1"/>
  <c r="X56" i="4"/>
  <c r="K35" i="6"/>
  <c r="K37" i="6" s="1"/>
  <c r="K38" i="6" s="1"/>
  <c r="K40" i="6" s="1"/>
  <c r="Q40" i="10"/>
  <c r="P23" i="5" s="1"/>
  <c r="Q23" i="11" s="1"/>
  <c r="Q25" i="11" s="1"/>
  <c r="Q27" i="11" s="1"/>
  <c r="N31" i="5"/>
  <c r="O12" i="11"/>
  <c r="O14" i="11" s="1"/>
  <c r="O18" i="11" s="1"/>
  <c r="M32" i="5"/>
  <c r="N49" i="11"/>
  <c r="N50" i="11" s="1"/>
  <c r="O24" i="5"/>
  <c r="N13" i="6" s="1"/>
  <c r="R39" i="10"/>
  <c r="R44" i="10" s="1"/>
  <c r="R45" i="10" s="1"/>
  <c r="S38" i="10"/>
  <c r="V110" i="11"/>
  <c r="U41" i="5"/>
  <c r="V103" i="11" s="1"/>
  <c r="W95" i="11"/>
  <c r="X27" i="6"/>
  <c r="X29" i="6" s="1"/>
  <c r="Y21" i="7"/>
  <c r="Y23" i="6"/>
  <c r="U43" i="5"/>
  <c r="V104" i="11" s="1"/>
  <c r="W22" i="11"/>
  <c r="V22" i="5"/>
  <c r="V37" i="5"/>
  <c r="V38" i="5"/>
  <c r="O112" i="11"/>
  <c r="M19" i="6"/>
  <c r="O106" i="11"/>
  <c r="X27" i="7"/>
  <c r="Y26" i="11"/>
  <c r="N28" i="7"/>
  <c r="N30" i="7" s="1"/>
  <c r="L35" i="6"/>
  <c r="L37" i="6" s="1"/>
  <c r="L38" i="6" s="1"/>
  <c r="L40" i="6" s="1"/>
  <c r="U35" i="10"/>
  <c r="U24" i="10"/>
  <c r="O49" i="11"/>
  <c r="Y52" i="4"/>
  <c r="Y53" i="4" s="1"/>
  <c r="Y54" i="4" s="1"/>
  <c r="X15" i="5" s="1"/>
  <c r="X17" i="5" s="1"/>
  <c r="X18" i="5" s="1"/>
  <c r="W31" i="6"/>
  <c r="T27" i="10"/>
  <c r="T31" i="10" s="1"/>
  <c r="T36" i="10" s="1"/>
  <c r="T43" i="10" s="1"/>
  <c r="T29" i="10"/>
  <c r="U26" i="10" s="1"/>
  <c r="T28" i="10"/>
  <c r="U25" i="10" s="1"/>
  <c r="V19" i="10"/>
  <c r="X94" i="11" l="1"/>
  <c r="X95" i="11" s="1"/>
  <c r="X22" i="11"/>
  <c r="W16" i="6"/>
  <c r="X16" i="7" s="1"/>
  <c r="Y56" i="4"/>
  <c r="N32" i="5"/>
  <c r="O50" i="11"/>
  <c r="F52" i="11" s="1"/>
  <c r="E86" i="11" s="1"/>
  <c r="R40" i="10"/>
  <c r="Q23" i="5" s="1"/>
  <c r="Q24" i="5" s="1"/>
  <c r="O27" i="5"/>
  <c r="O29" i="5" s="1"/>
  <c r="P107" i="11"/>
  <c r="O39" i="5"/>
  <c r="O45" i="5" s="1"/>
  <c r="P105" i="11" s="1"/>
  <c r="O12" i="7"/>
  <c r="O18" i="7" s="1"/>
  <c r="O29" i="7" s="1"/>
  <c r="P24" i="5"/>
  <c r="O13" i="6" s="1"/>
  <c r="S42" i="10"/>
  <c r="S39" i="10"/>
  <c r="S44" i="10" s="1"/>
  <c r="Y94" i="11"/>
  <c r="M35" i="6"/>
  <c r="M37" i="6" s="1"/>
  <c r="M38" i="6" s="1"/>
  <c r="M40" i="6" s="1"/>
  <c r="O28" i="7"/>
  <c r="W110" i="11"/>
  <c r="V41" i="5"/>
  <c r="W103" i="11" s="1"/>
  <c r="X97" i="11"/>
  <c r="X98" i="11" s="1"/>
  <c r="U29" i="10"/>
  <c r="V26" i="10" s="1"/>
  <c r="U28" i="10"/>
  <c r="V25" i="10" s="1"/>
  <c r="U27" i="10"/>
  <c r="U31" i="10" s="1"/>
  <c r="U36" i="10" s="1"/>
  <c r="U38" i="10" s="1"/>
  <c r="W19" i="10"/>
  <c r="Y27" i="6"/>
  <c r="Y29" i="6" s="1"/>
  <c r="Z21" i="7"/>
  <c r="Z23" i="6"/>
  <c r="W38" i="5"/>
  <c r="W37" i="5"/>
  <c r="N19" i="6"/>
  <c r="P112" i="11"/>
  <c r="P106" i="11"/>
  <c r="P108" i="11"/>
  <c r="Y27" i="7"/>
  <c r="Z26" i="11"/>
  <c r="V35" i="10"/>
  <c r="V24" i="10"/>
  <c r="O109" i="11"/>
  <c r="T38" i="10"/>
  <c r="V43" i="5"/>
  <c r="W104" i="11" s="1"/>
  <c r="Z52" i="4"/>
  <c r="Z53" i="4" s="1"/>
  <c r="Z54" i="4" s="1"/>
  <c r="Y15" i="5" s="1"/>
  <c r="Y17" i="5" s="1"/>
  <c r="Y18" i="5" s="1"/>
  <c r="X31" i="6"/>
  <c r="W22" i="5" l="1"/>
  <c r="X22" i="5"/>
  <c r="X16" i="6"/>
  <c r="Y16" i="7" s="1"/>
  <c r="Z56" i="4"/>
  <c r="R23" i="11"/>
  <c r="R25" i="11" s="1"/>
  <c r="R27" i="11" s="1"/>
  <c r="O31" i="5"/>
  <c r="P49" i="11" s="1"/>
  <c r="P50" i="11" s="1"/>
  <c r="P12" i="11"/>
  <c r="P14" i="11" s="1"/>
  <c r="P18" i="11" s="1"/>
  <c r="P109" i="11" s="1"/>
  <c r="O30" i="7"/>
  <c r="P28" i="7" s="1"/>
  <c r="Q107" i="11"/>
  <c r="P12" i="7"/>
  <c r="P18" i="7" s="1"/>
  <c r="P29" i="7" s="1"/>
  <c r="P39" i="5"/>
  <c r="P45" i="5" s="1"/>
  <c r="Q105" i="11" s="1"/>
  <c r="P27" i="5"/>
  <c r="P29" i="5" s="1"/>
  <c r="S40" i="10"/>
  <c r="S45" i="10"/>
  <c r="W43" i="5"/>
  <c r="X104" i="11" s="1"/>
  <c r="AA26" i="11"/>
  <c r="Z27" i="7"/>
  <c r="Y31" i="6"/>
  <c r="AA52" i="4"/>
  <c r="AA53" i="4" s="1"/>
  <c r="AA54" i="4" s="1"/>
  <c r="Z15" i="5" s="1"/>
  <c r="Z17" i="5" s="1"/>
  <c r="Z18" i="5" s="1"/>
  <c r="Y22" i="11"/>
  <c r="X38" i="5"/>
  <c r="X37" i="5"/>
  <c r="V27" i="10"/>
  <c r="V31" i="10" s="1"/>
  <c r="V36" i="10" s="1"/>
  <c r="V29" i="10"/>
  <c r="W26" i="10" s="1"/>
  <c r="V28" i="10"/>
  <c r="W25" i="10" s="1"/>
  <c r="Z94" i="11"/>
  <c r="X19" i="10"/>
  <c r="W35" i="10"/>
  <c r="W24" i="10"/>
  <c r="Y95" i="11"/>
  <c r="Y97" i="11"/>
  <c r="Y98" i="11" s="1"/>
  <c r="P13" i="6"/>
  <c r="R108" i="11" s="1"/>
  <c r="O19" i="6"/>
  <c r="Q112" i="11"/>
  <c r="Q106" i="11"/>
  <c r="Q108" i="11"/>
  <c r="U43" i="10"/>
  <c r="X110" i="11"/>
  <c r="W41" i="5"/>
  <c r="X103" i="11" s="1"/>
  <c r="Z27" i="6"/>
  <c r="Z29" i="6" s="1"/>
  <c r="AA23" i="6"/>
  <c r="AA21" i="7"/>
  <c r="Q27" i="5"/>
  <c r="Q29" i="5" s="1"/>
  <c r="Q39" i="5"/>
  <c r="Q45" i="5" s="1"/>
  <c r="R105" i="11" s="1"/>
  <c r="R107" i="11"/>
  <c r="Q12" i="7"/>
  <c r="Q18" i="7" s="1"/>
  <c r="Q29" i="7" s="1"/>
  <c r="Y16" i="6" l="1"/>
  <c r="Z16" i="7" s="1"/>
  <c r="AA56" i="4"/>
  <c r="O32" i="5"/>
  <c r="N35" i="6"/>
  <c r="N37" i="6" s="1"/>
  <c r="N38" i="6" s="1"/>
  <c r="N40" i="6" s="1"/>
  <c r="P31" i="5"/>
  <c r="Q49" i="11" s="1"/>
  <c r="Q50" i="11" s="1"/>
  <c r="Q12" i="11"/>
  <c r="Q14" i="11" s="1"/>
  <c r="Q18" i="11" s="1"/>
  <c r="Q109" i="11" s="1"/>
  <c r="Q31" i="5"/>
  <c r="R49" i="11" s="1"/>
  <c r="R12" i="11"/>
  <c r="R14" i="11" s="1"/>
  <c r="R18" i="11" s="1"/>
  <c r="R109" i="11" s="1"/>
  <c r="R23" i="5"/>
  <c r="R24" i="5" s="1"/>
  <c r="S107" i="11" s="1"/>
  <c r="P30" i="7"/>
  <c r="Q28" i="7" s="1"/>
  <c r="Q30" i="7" s="1"/>
  <c r="T42" i="10"/>
  <c r="T39" i="10"/>
  <c r="Z31" i="6"/>
  <c r="AB52" i="4"/>
  <c r="AB53" i="4" s="1"/>
  <c r="AB54" i="4" s="1"/>
  <c r="AA15" i="5" s="1"/>
  <c r="AA17" i="5" s="1"/>
  <c r="AA18" i="5" s="1"/>
  <c r="R112" i="11"/>
  <c r="P19" i="6"/>
  <c r="R106" i="11"/>
  <c r="Z95" i="11"/>
  <c r="Z97" i="11"/>
  <c r="Z98" i="11" s="1"/>
  <c r="Z22" i="11"/>
  <c r="Y22" i="5"/>
  <c r="Y38" i="5"/>
  <c r="Y37" i="5"/>
  <c r="Y41" i="5" s="1"/>
  <c r="Z103" i="11" s="1"/>
  <c r="X41" i="5"/>
  <c r="Y103" i="11" s="1"/>
  <c r="Y110" i="11"/>
  <c r="X24" i="10"/>
  <c r="X35" i="10"/>
  <c r="AB26" i="11"/>
  <c r="AA27" i="7"/>
  <c r="V43" i="10"/>
  <c r="X43" i="5"/>
  <c r="Y104" i="11" s="1"/>
  <c r="AA27" i="6"/>
  <c r="AA29" i="6" s="1"/>
  <c r="AB21" i="7"/>
  <c r="AB23" i="6"/>
  <c r="W28" i="10"/>
  <c r="X25" i="10" s="1"/>
  <c r="W27" i="10"/>
  <c r="W31" i="10" s="1"/>
  <c r="W36" i="10" s="1"/>
  <c r="W43" i="10" s="1"/>
  <c r="W29" i="10"/>
  <c r="X26" i="10" s="1"/>
  <c r="V38" i="10"/>
  <c r="Y19" i="10"/>
  <c r="Z37" i="5" l="1"/>
  <c r="Z41" i="5" s="1"/>
  <c r="AA103" i="11" s="1"/>
  <c r="AA94" i="11"/>
  <c r="AA95" i="11" s="1"/>
  <c r="R12" i="7"/>
  <c r="R18" i="7" s="1"/>
  <c r="R29" i="7" s="1"/>
  <c r="Z16" i="6"/>
  <c r="AA16" i="7" s="1"/>
  <c r="AB56" i="4"/>
  <c r="P32" i="5"/>
  <c r="Q32" i="5" s="1"/>
  <c r="R39" i="5"/>
  <c r="R45" i="5" s="1"/>
  <c r="S105" i="11" s="1"/>
  <c r="R27" i="5"/>
  <c r="R29" i="5" s="1"/>
  <c r="R31" i="5" s="1"/>
  <c r="S49" i="11" s="1"/>
  <c r="Q13" i="6"/>
  <c r="S108" i="11" s="1"/>
  <c r="O35" i="6"/>
  <c r="O37" i="6" s="1"/>
  <c r="O38" i="6" s="1"/>
  <c r="O40" i="6" s="1"/>
  <c r="R50" i="11"/>
  <c r="S23" i="11"/>
  <c r="S25" i="11" s="1"/>
  <c r="S27" i="11" s="1"/>
  <c r="T44" i="10"/>
  <c r="T45" i="10" s="1"/>
  <c r="T40" i="10"/>
  <c r="S23" i="5" s="1"/>
  <c r="AC21" i="7"/>
  <c r="AB27" i="6"/>
  <c r="AB29" i="6" s="1"/>
  <c r="X28" i="10"/>
  <c r="Y25" i="10" s="1"/>
  <c r="X29" i="10"/>
  <c r="Y26" i="10" s="1"/>
  <c r="X27" i="10"/>
  <c r="X31" i="10" s="1"/>
  <c r="X36" i="10" s="1"/>
  <c r="X43" i="10" s="1"/>
  <c r="AB27" i="7"/>
  <c r="AC26" i="11"/>
  <c r="P35" i="6"/>
  <c r="P37" i="6" s="1"/>
  <c r="P38" i="6" s="1"/>
  <c r="P40" i="6" s="1"/>
  <c r="R28" i="7"/>
  <c r="Y43" i="5"/>
  <c r="Z104" i="11" s="1"/>
  <c r="Z19" i="10"/>
  <c r="Y35" i="10"/>
  <c r="Y24" i="10"/>
  <c r="AA97" i="11"/>
  <c r="AA98" i="11" s="1"/>
  <c r="AC52" i="4"/>
  <c r="AC53" i="4" s="1"/>
  <c r="AC54" i="4" s="1"/>
  <c r="AB15" i="5" s="1"/>
  <c r="AB17" i="5" s="1"/>
  <c r="AB18" i="5" s="1"/>
  <c r="AA31" i="6"/>
  <c r="Z22" i="5"/>
  <c r="Z38" i="5"/>
  <c r="W38" i="10"/>
  <c r="R30" i="7" l="1"/>
  <c r="AA22" i="11"/>
  <c r="AA38" i="5"/>
  <c r="AB94" i="11"/>
  <c r="AB97" i="11" s="1"/>
  <c r="AB98" i="11" s="1"/>
  <c r="AA16" i="6"/>
  <c r="AB16" i="7" s="1"/>
  <c r="AC56" i="4"/>
  <c r="S12" i="11"/>
  <c r="S14" i="11" s="1"/>
  <c r="S18" i="11" s="1"/>
  <c r="S109" i="11" s="1"/>
  <c r="S106" i="11"/>
  <c r="S50" i="11"/>
  <c r="Q19" i="6"/>
  <c r="S112" i="11"/>
  <c r="R32" i="5"/>
  <c r="S24" i="5"/>
  <c r="T23" i="11"/>
  <c r="T25" i="11" s="1"/>
  <c r="T27" i="11" s="1"/>
  <c r="U42" i="10"/>
  <c r="U39" i="10"/>
  <c r="X38" i="10"/>
  <c r="Z35" i="10"/>
  <c r="Z24" i="10"/>
  <c r="AB22" i="11"/>
  <c r="AB31" i="6"/>
  <c r="AD52" i="4"/>
  <c r="AD53" i="4" s="1"/>
  <c r="AD54" i="4" s="1"/>
  <c r="AC15" i="5" s="1"/>
  <c r="AC17" i="5" s="1"/>
  <c r="AC18" i="5" s="1"/>
  <c r="AA19" i="10"/>
  <c r="Y29" i="10"/>
  <c r="Z26" i="10" s="1"/>
  <c r="Y28" i="10"/>
  <c r="Z25" i="10" s="1"/>
  <c r="Y27" i="10"/>
  <c r="Y31" i="10" s="1"/>
  <c r="Y36" i="10" s="1"/>
  <c r="Y38" i="10" s="1"/>
  <c r="AD26" i="11"/>
  <c r="AC27" i="7"/>
  <c r="Z43" i="5"/>
  <c r="AA104" i="11" s="1"/>
  <c r="S28" i="7"/>
  <c r="Q35" i="6"/>
  <c r="Q37" i="6" s="1"/>
  <c r="Q38" i="6" s="1"/>
  <c r="AB95" i="11" l="1"/>
  <c r="AA22" i="5"/>
  <c r="AA37" i="5"/>
  <c r="AA41" i="5" s="1"/>
  <c r="AB103" i="11" s="1"/>
  <c r="AB22" i="5"/>
  <c r="AC94" i="11"/>
  <c r="AC95" i="11" s="1"/>
  <c r="AB16" i="6"/>
  <c r="AC16" i="7" s="1"/>
  <c r="AD56" i="4"/>
  <c r="Q40" i="6"/>
  <c r="T107" i="11"/>
  <c r="S12" i="7"/>
  <c r="S18" i="7" s="1"/>
  <c r="S29" i="7" s="1"/>
  <c r="S30" i="7" s="1"/>
  <c r="S27" i="5"/>
  <c r="S29" i="5" s="1"/>
  <c r="S39" i="5"/>
  <c r="S45" i="5" s="1"/>
  <c r="T105" i="11" s="1"/>
  <c r="R13" i="6"/>
  <c r="U44" i="10"/>
  <c r="U45" i="10" s="1"/>
  <c r="U40" i="10"/>
  <c r="T23" i="5" s="1"/>
  <c r="AB19" i="10"/>
  <c r="AC97" i="11"/>
  <c r="AC98" i="11" s="1"/>
  <c r="Z29" i="10"/>
  <c r="AA26" i="10" s="1"/>
  <c r="Z27" i="10"/>
  <c r="Z31" i="10" s="1"/>
  <c r="Z36" i="10" s="1"/>
  <c r="Z38" i="10" s="1"/>
  <c r="Z28" i="10"/>
  <c r="AA25" i="10" s="1"/>
  <c r="Y43" i="10"/>
  <c r="AA24" i="10"/>
  <c r="AA35" i="10"/>
  <c r="AA43" i="5"/>
  <c r="AB104" i="11" s="1"/>
  <c r="AB37" i="5" l="1"/>
  <c r="AB41" i="5" s="1"/>
  <c r="AC103" i="11" s="1"/>
  <c r="AC22" i="11"/>
  <c r="AB38" i="5"/>
  <c r="AC22" i="5"/>
  <c r="AD94" i="11"/>
  <c r="AD97" i="11" s="1"/>
  <c r="AD98" i="11" s="1"/>
  <c r="S31" i="5"/>
  <c r="T49" i="11" s="1"/>
  <c r="T50" i="11" s="1"/>
  <c r="T12" i="11"/>
  <c r="T14" i="11" s="1"/>
  <c r="T18" i="11" s="1"/>
  <c r="T28" i="7"/>
  <c r="R35" i="6"/>
  <c r="R37" i="6" s="1"/>
  <c r="R38" i="6" s="1"/>
  <c r="V42" i="10"/>
  <c r="V39" i="10"/>
  <c r="R19" i="6"/>
  <c r="T108" i="11"/>
  <c r="T112" i="11"/>
  <c r="T106" i="11"/>
  <c r="U23" i="11"/>
  <c r="U25" i="11" s="1"/>
  <c r="U27" i="11" s="1"/>
  <c r="T24" i="5"/>
  <c r="AA28" i="10"/>
  <c r="AB25" i="10" s="1"/>
  <c r="AA29" i="10"/>
  <c r="AB26" i="10" s="1"/>
  <c r="AA27" i="10"/>
  <c r="AA31" i="10" s="1"/>
  <c r="AA36" i="10" s="1"/>
  <c r="AA43" i="10" s="1"/>
  <c r="AB24" i="10"/>
  <c r="AB35" i="10"/>
  <c r="AB43" i="5"/>
  <c r="AC104" i="11" s="1"/>
  <c r="AD22" i="11"/>
  <c r="AD95" i="11"/>
  <c r="AC19" i="10"/>
  <c r="Z43" i="10"/>
  <c r="AC38" i="5" l="1"/>
  <c r="AC43" i="5" s="1"/>
  <c r="AD104" i="11" s="1"/>
  <c r="AC37" i="5"/>
  <c r="AC41" i="5" s="1"/>
  <c r="AD103" i="11" s="1"/>
  <c r="S32" i="5"/>
  <c r="R40" i="6"/>
  <c r="T109" i="11"/>
  <c r="F19" i="11"/>
  <c r="T39" i="5"/>
  <c r="T45" i="5" s="1"/>
  <c r="U105" i="11" s="1"/>
  <c r="U107" i="11"/>
  <c r="T27" i="5"/>
  <c r="T29" i="5" s="1"/>
  <c r="T31" i="5" s="1"/>
  <c r="T12" i="7"/>
  <c r="T18" i="7" s="1"/>
  <c r="T29" i="7" s="1"/>
  <c r="T30" i="7" s="1"/>
  <c r="S13" i="6"/>
  <c r="V44" i="10"/>
  <c r="V45" i="10" s="1"/>
  <c r="V40" i="10"/>
  <c r="U23" i="5" s="1"/>
  <c r="AA38" i="10"/>
  <c r="AD19" i="10"/>
  <c r="AC35" i="10"/>
  <c r="AC24" i="10"/>
  <c r="AB27" i="10"/>
  <c r="AB31" i="10" s="1"/>
  <c r="AB36" i="10" s="1"/>
  <c r="AB38" i="10" s="1"/>
  <c r="AB28" i="10"/>
  <c r="AC25" i="10" s="1"/>
  <c r="AB29" i="10"/>
  <c r="AC26" i="10" s="1"/>
  <c r="E42" i="5" l="1"/>
  <c r="V23" i="11"/>
  <c r="V25" i="11" s="1"/>
  <c r="V27" i="11" s="1"/>
  <c r="U24" i="5"/>
  <c r="T32" i="5"/>
  <c r="U109" i="11"/>
  <c r="U49" i="11"/>
  <c r="U50" i="11" s="1"/>
  <c r="U108" i="11"/>
  <c r="U106" i="11"/>
  <c r="S19" i="6"/>
  <c r="U112" i="11"/>
  <c r="S35" i="6"/>
  <c r="S37" i="6" s="1"/>
  <c r="S38" i="6" s="1"/>
  <c r="U28" i="7"/>
  <c r="W42" i="10"/>
  <c r="W39" i="10"/>
  <c r="AD35" i="10"/>
  <c r="AD24" i="10"/>
  <c r="AC29" i="10"/>
  <c r="AD26" i="10" s="1"/>
  <c r="AC27" i="10"/>
  <c r="AC31" i="10" s="1"/>
  <c r="AC36" i="10" s="1"/>
  <c r="AC38" i="10" s="1"/>
  <c r="AC28" i="10"/>
  <c r="AD25" i="10" s="1"/>
  <c r="AB43" i="10"/>
  <c r="AE19" i="10"/>
  <c r="W44" i="10" l="1"/>
  <c r="W45" i="10" s="1"/>
  <c r="W40" i="10"/>
  <c r="V23" i="5" s="1"/>
  <c r="S40" i="6"/>
  <c r="T13" i="6"/>
  <c r="V108" i="11" s="1"/>
  <c r="U12" i="7"/>
  <c r="U18" i="7" s="1"/>
  <c r="U29" i="7" s="1"/>
  <c r="U30" i="7" s="1"/>
  <c r="V107" i="11"/>
  <c r="U39" i="5"/>
  <c r="U45" i="5" s="1"/>
  <c r="V105" i="11" s="1"/>
  <c r="U27" i="5"/>
  <c r="U29" i="5" s="1"/>
  <c r="U31" i="5" s="1"/>
  <c r="U32" i="5" s="1"/>
  <c r="AC43" i="10"/>
  <c r="AD27" i="10"/>
  <c r="AD31" i="10" s="1"/>
  <c r="AD36" i="10" s="1"/>
  <c r="AD38" i="10" s="1"/>
  <c r="AD29" i="10"/>
  <c r="AE26" i="10" s="1"/>
  <c r="AD28" i="10"/>
  <c r="AE25" i="10" s="1"/>
  <c r="E44" i="5"/>
  <c r="AE35" i="10"/>
  <c r="AE24" i="10"/>
  <c r="T35" i="6" l="1"/>
  <c r="T37" i="6" s="1"/>
  <c r="T38" i="6" s="1"/>
  <c r="V28" i="7"/>
  <c r="V49" i="11"/>
  <c r="V50" i="11" s="1"/>
  <c r="V109" i="11"/>
  <c r="T19" i="6"/>
  <c r="V106" i="11"/>
  <c r="V112" i="11"/>
  <c r="W23" i="11"/>
  <c r="W25" i="11" s="1"/>
  <c r="W27" i="11" s="1"/>
  <c r="V24" i="5"/>
  <c r="X39" i="10"/>
  <c r="X42" i="10"/>
  <c r="AD43" i="10"/>
  <c r="AE27" i="10"/>
  <c r="AE31" i="10" s="1"/>
  <c r="AE36" i="10" s="1"/>
  <c r="AE38" i="10" s="1"/>
  <c r="AE28" i="10"/>
  <c r="AE29" i="10"/>
  <c r="V27" i="5" l="1"/>
  <c r="V29" i="5" s="1"/>
  <c r="V31" i="5" s="1"/>
  <c r="V39" i="5"/>
  <c r="V45" i="5" s="1"/>
  <c r="W105" i="11" s="1"/>
  <c r="V12" i="7"/>
  <c r="V18" i="7" s="1"/>
  <c r="V29" i="7" s="1"/>
  <c r="V30" i="7" s="1"/>
  <c r="W107" i="11"/>
  <c r="U13" i="6"/>
  <c r="X44" i="10"/>
  <c r="X45" i="10" s="1"/>
  <c r="X40" i="10"/>
  <c r="W23" i="5" s="1"/>
  <c r="T40" i="6"/>
  <c r="AE43" i="10"/>
  <c r="U35" i="6" l="1"/>
  <c r="U37" i="6" s="1"/>
  <c r="U38" i="6" s="1"/>
  <c r="W28" i="7"/>
  <c r="Y42" i="10"/>
  <c r="Y39" i="10"/>
  <c r="U19" i="6"/>
  <c r="W112" i="11"/>
  <c r="W106" i="11"/>
  <c r="W108" i="11"/>
  <c r="X23" i="11"/>
  <c r="X25" i="11" s="1"/>
  <c r="X27" i="11" s="1"/>
  <c r="W24" i="5"/>
  <c r="V13" i="6" s="1"/>
  <c r="W109" i="11"/>
  <c r="W49" i="11"/>
  <c r="W50" i="11" s="1"/>
  <c r="V32" i="5"/>
  <c r="X112" i="11" l="1"/>
  <c r="X106" i="11"/>
  <c r="V19" i="6"/>
  <c r="Y44" i="10"/>
  <c r="Y45" i="10" s="1"/>
  <c r="Y40" i="10"/>
  <c r="X23" i="5" s="1"/>
  <c r="W27" i="5"/>
  <c r="W29" i="5" s="1"/>
  <c r="W31" i="5" s="1"/>
  <c r="X107" i="11"/>
  <c r="X108" i="11"/>
  <c r="W39" i="5"/>
  <c r="W45" i="5" s="1"/>
  <c r="X105" i="11" s="1"/>
  <c r="W12" i="7"/>
  <c r="W18" i="7" s="1"/>
  <c r="W29" i="7" s="1"/>
  <c r="W30" i="7" s="1"/>
  <c r="U40" i="6"/>
  <c r="X28" i="7" l="1"/>
  <c r="V35" i="6"/>
  <c r="V37" i="6" s="1"/>
  <c r="V38" i="6" s="1"/>
  <c r="V40" i="6" s="1"/>
  <c r="Z42" i="10"/>
  <c r="Z39" i="10"/>
  <c r="X49" i="11"/>
  <c r="X50" i="11" s="1"/>
  <c r="W32" i="5"/>
  <c r="Y23" i="11"/>
  <c r="Y25" i="11" s="1"/>
  <c r="Y27" i="11" s="1"/>
  <c r="X24" i="5"/>
  <c r="Z44" i="10" l="1"/>
  <c r="Z45" i="10" s="1"/>
  <c r="Z40" i="10"/>
  <c r="Y23" i="5" s="1"/>
  <c r="X12" i="7"/>
  <c r="X18" i="7" s="1"/>
  <c r="X29" i="7" s="1"/>
  <c r="X30" i="7" s="1"/>
  <c r="Y107" i="11"/>
  <c r="X39" i="5"/>
  <c r="X45" i="5" s="1"/>
  <c r="Y105" i="11" s="1"/>
  <c r="X27" i="5"/>
  <c r="X29" i="5" s="1"/>
  <c r="X31" i="5" s="1"/>
  <c r="W13" i="6"/>
  <c r="Y108" i="11" s="1"/>
  <c r="X109" i="11"/>
  <c r="Y28" i="7" l="1"/>
  <c r="W35" i="6"/>
  <c r="W37" i="6" s="1"/>
  <c r="W38" i="6" s="1"/>
  <c r="Y49" i="11"/>
  <c r="Y50" i="11" s="1"/>
  <c r="X32" i="5"/>
  <c r="Y106" i="11"/>
  <c r="Y112" i="11"/>
  <c r="W19" i="6"/>
  <c r="Z23" i="11"/>
  <c r="Z25" i="11" s="1"/>
  <c r="Z27" i="11" s="1"/>
  <c r="Y24" i="5"/>
  <c r="X13" i="6" s="1"/>
  <c r="AA42" i="10"/>
  <c r="AA39" i="10"/>
  <c r="Y109" i="11" l="1"/>
  <c r="AA44" i="10"/>
  <c r="AA45" i="10" s="1"/>
  <c r="AA40" i="10"/>
  <c r="Z23" i="5" s="1"/>
  <c r="Z107" i="11"/>
  <c r="Y12" i="7"/>
  <c r="Y18" i="7" s="1"/>
  <c r="Y29" i="7" s="1"/>
  <c r="Y30" i="7" s="1"/>
  <c r="Y39" i="5"/>
  <c r="Y45" i="5" s="1"/>
  <c r="Y27" i="5"/>
  <c r="Y29" i="5" s="1"/>
  <c r="Y31" i="5" s="1"/>
  <c r="Y32" i="5" s="1"/>
  <c r="Z108" i="11"/>
  <c r="W40" i="6"/>
  <c r="Z106" i="11"/>
  <c r="X19" i="6"/>
  <c r="Z112" i="11"/>
  <c r="X35" i="6" l="1"/>
  <c r="X37" i="6" s="1"/>
  <c r="X38" i="6" s="1"/>
  <c r="X40" i="6" s="1"/>
  <c r="Z28" i="7"/>
  <c r="Z49" i="11"/>
  <c r="Z50" i="11" s="1"/>
  <c r="AA23" i="11"/>
  <c r="AA25" i="11" s="1"/>
  <c r="AA27" i="11" s="1"/>
  <c r="Z24" i="5"/>
  <c r="Z105" i="11"/>
  <c r="AB42" i="10"/>
  <c r="AB39" i="10"/>
  <c r="Z109" i="11" l="1"/>
  <c r="F20" i="11"/>
  <c r="AB44" i="10"/>
  <c r="AB45" i="10" s="1"/>
  <c r="AB40" i="10"/>
  <c r="AA23" i="5" s="1"/>
  <c r="Z27" i="5"/>
  <c r="Z29" i="5" s="1"/>
  <c r="Z31" i="5" s="1"/>
  <c r="AA107" i="11"/>
  <c r="Z39" i="5"/>
  <c r="Z45" i="5" s="1"/>
  <c r="Z12" i="7"/>
  <c r="Z18" i="7" s="1"/>
  <c r="Z29" i="7" s="1"/>
  <c r="Z30" i="7" s="1"/>
  <c r="Y13" i="6"/>
  <c r="AA108" i="11" s="1"/>
  <c r="Y35" i="6" l="1"/>
  <c r="Y37" i="6" s="1"/>
  <c r="Y38" i="6" s="1"/>
  <c r="AA28" i="7"/>
  <c r="AA105" i="11"/>
  <c r="AC42" i="10"/>
  <c r="AC39" i="10"/>
  <c r="Y19" i="6"/>
  <c r="AA112" i="11"/>
  <c r="AA106" i="11"/>
  <c r="AA49" i="11"/>
  <c r="AA50" i="11" s="1"/>
  <c r="Z32" i="5"/>
  <c r="AB23" i="11"/>
  <c r="AB25" i="11" s="1"/>
  <c r="AB27" i="11" s="1"/>
  <c r="AA24" i="5"/>
  <c r="AB107" i="11" l="1"/>
  <c r="AA27" i="5"/>
  <c r="AA29" i="5" s="1"/>
  <c r="AA31" i="5" s="1"/>
  <c r="AA12" i="7"/>
  <c r="AA18" i="7" s="1"/>
  <c r="AA29" i="7" s="1"/>
  <c r="AA30" i="7" s="1"/>
  <c r="AA39" i="5"/>
  <c r="AA45" i="5" s="1"/>
  <c r="AC44" i="10"/>
  <c r="AC45" i="10" s="1"/>
  <c r="AC40" i="10"/>
  <c r="AB23" i="5" s="1"/>
  <c r="Z13" i="6"/>
  <c r="Y40" i="6"/>
  <c r="AB28" i="7" l="1"/>
  <c r="Z35" i="6"/>
  <c r="Z37" i="6" s="1"/>
  <c r="Z38" i="6" s="1"/>
  <c r="AB105" i="11"/>
  <c r="AD42" i="10"/>
  <c r="AD39" i="10"/>
  <c r="AB108" i="11"/>
  <c r="Z19" i="6"/>
  <c r="AB106" i="11"/>
  <c r="AB112" i="11"/>
  <c r="AB24" i="5"/>
  <c r="AA13" i="6" s="1"/>
  <c r="AC106" i="11" s="1"/>
  <c r="AC23" i="11"/>
  <c r="AC25" i="11" s="1"/>
  <c r="AC27" i="11" s="1"/>
  <c r="AA32" i="5"/>
  <c r="AB49" i="11"/>
  <c r="AB50" i="11" s="1"/>
  <c r="AC108" i="11" l="1"/>
  <c r="AC112" i="11"/>
  <c r="AA19" i="6"/>
  <c r="AC107" i="11"/>
  <c r="AB39" i="5"/>
  <c r="AB45" i="5" s="1"/>
  <c r="AB27" i="5"/>
  <c r="AB29" i="5" s="1"/>
  <c r="AB31" i="5" s="1"/>
  <c r="AB32" i="5" s="1"/>
  <c r="AB12" i="7"/>
  <c r="AB18" i="7" s="1"/>
  <c r="AB29" i="7" s="1"/>
  <c r="AB30" i="7" s="1"/>
  <c r="AD44" i="10"/>
  <c r="AD45" i="10" s="1"/>
  <c r="AD40" i="10"/>
  <c r="AC23" i="5" s="1"/>
  <c r="Z40" i="6"/>
  <c r="AC28" i="7" l="1"/>
  <c r="AA35" i="6"/>
  <c r="AA37" i="6" s="1"/>
  <c r="AA38" i="6" s="1"/>
  <c r="AA40" i="6" s="1"/>
  <c r="AC24" i="5"/>
  <c r="AD23" i="11"/>
  <c r="AD25" i="11" s="1"/>
  <c r="AD27" i="11" s="1"/>
  <c r="AC105" i="11"/>
  <c r="AE42" i="10"/>
  <c r="AE39" i="10"/>
  <c r="AC49" i="11"/>
  <c r="AC50" i="11" s="1"/>
  <c r="D31" i="11" l="1"/>
  <c r="D33" i="11"/>
  <c r="AE44" i="10"/>
  <c r="AE45" i="10" s="1"/>
  <c r="AE40" i="10"/>
  <c r="AD107" i="11"/>
  <c r="AC27" i="5"/>
  <c r="AC29" i="5" s="1"/>
  <c r="AC31" i="5" s="1"/>
  <c r="AC12" i="7"/>
  <c r="AC18" i="7" s="1"/>
  <c r="AC29" i="7" s="1"/>
  <c r="AC30" i="7" s="1"/>
  <c r="AC39" i="5"/>
  <c r="AC45" i="5" s="1"/>
  <c r="AB13" i="6"/>
  <c r="AD106" i="11" l="1"/>
  <c r="AD112" i="11"/>
  <c r="AB19" i="6"/>
  <c r="AD49" i="11"/>
  <c r="AD50" i="11" s="1"/>
  <c r="AC32" i="5"/>
  <c r="AD108" i="11"/>
  <c r="AD105" i="11"/>
  <c r="AB35" i="6"/>
  <c r="AB37" i="6" s="1"/>
  <c r="AB38" i="6" s="1"/>
  <c r="AB40" i="6" l="1"/>
  <c r="E46" i="5" l="1"/>
  <c r="E58" i="11" l="1" a="1"/>
  <c r="E65" i="11" l="1"/>
  <c r="E70" i="11"/>
  <c r="E67" i="11"/>
  <c r="E82" i="11"/>
  <c r="E61" i="11"/>
  <c r="E71" i="11"/>
  <c r="E81" i="11"/>
  <c r="E74" i="11"/>
  <c r="E72" i="11"/>
  <c r="E62" i="11"/>
  <c r="E75" i="11"/>
  <c r="E60" i="11"/>
  <c r="E76" i="11"/>
  <c r="E63" i="11"/>
  <c r="E73" i="11"/>
  <c r="E83" i="11"/>
  <c r="E59" i="11"/>
  <c r="E77" i="11"/>
  <c r="E79" i="11"/>
  <c r="E66" i="11"/>
  <c r="E58" i="11"/>
  <c r="E69" i="11"/>
  <c r="E68" i="11"/>
  <c r="E64" i="11"/>
  <c r="E80" i="11"/>
  <c r="E78" i="11"/>
  <c r="F58" i="11" l="1"/>
  <c r="F59" i="11" s="1"/>
  <c r="F60" i="11" s="1"/>
  <c r="F61" i="11" s="1"/>
  <c r="F62" i="11" s="1"/>
  <c r="F63" i="11" s="1"/>
  <c r="F64" i="11" s="1"/>
  <c r="F65" i="11" s="1"/>
  <c r="F66" i="11" s="1"/>
  <c r="F67" i="11" s="1"/>
  <c r="F68" i="11" s="1"/>
  <c r="F69" i="11" s="1"/>
  <c r="F70" i="11" s="1"/>
  <c r="F71" i="11" s="1"/>
  <c r="F72" i="11" s="1"/>
  <c r="F73" i="11" s="1"/>
  <c r="F74" i="11" s="1"/>
  <c r="F75" i="11" s="1"/>
  <c r="F76" i="11" s="1"/>
  <c r="F77" i="11" s="1"/>
  <c r="F78" i="11" s="1"/>
  <c r="F79" i="11" s="1"/>
  <c r="F80" i="11" s="1"/>
  <c r="F81" i="11" s="1"/>
  <c r="F82" i="11" s="1"/>
  <c r="F83" i="11" s="1"/>
  <c r="E84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welcome</author>
  </authors>
  <commentList>
    <comment ref="B37" authorId="0" shapeId="0" xr:uid="{02267C79-41DE-4911-A370-8368FB88DDDB}">
      <text>
        <r>
          <rPr>
            <b/>
            <sz val="9"/>
            <color indexed="81"/>
            <rFont val="Tahoma"/>
            <family val="2"/>
          </rPr>
          <t>welcome:</t>
        </r>
        <r>
          <rPr>
            <sz val="9"/>
            <color indexed="81"/>
            <rFont val="Tahoma"/>
            <family val="2"/>
          </rPr>
          <t xml:space="preserve">
PPA missing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welcome</author>
  </authors>
  <commentList>
    <comment ref="B37" authorId="0" shapeId="0" xr:uid="{5423F727-062E-4673-83F8-6DF6D3BF1804}">
      <text>
        <r>
          <rPr>
            <b/>
            <sz val="9"/>
            <color indexed="81"/>
            <rFont val="Tahoma"/>
            <family val="2"/>
          </rPr>
          <t>welcome:</t>
        </r>
        <r>
          <rPr>
            <sz val="9"/>
            <color indexed="81"/>
            <rFont val="Tahoma"/>
            <family val="2"/>
          </rPr>
          <t xml:space="preserve">
PPA missing
</t>
        </r>
      </text>
    </comment>
  </commentList>
</comments>
</file>

<file path=xl/sharedStrings.xml><?xml version="1.0" encoding="utf-8"?>
<sst xmlns="http://schemas.openxmlformats.org/spreadsheetml/2006/main" count="1202" uniqueCount="546">
  <si>
    <t>Particular</t>
  </si>
  <si>
    <t>Land Development Cost</t>
  </si>
  <si>
    <t>Building &amp; Civil Works</t>
  </si>
  <si>
    <t xml:space="preserve">Plant &amp; Machinery </t>
  </si>
  <si>
    <t>Electricity Infrastructure</t>
  </si>
  <si>
    <t>Vehicles</t>
  </si>
  <si>
    <t>Office equipment &amp; Furniture</t>
  </si>
  <si>
    <t>Sub Total</t>
  </si>
  <si>
    <t>Solar Plant</t>
  </si>
  <si>
    <t>Loan from Banks/FIs</t>
  </si>
  <si>
    <t>Ratio</t>
  </si>
  <si>
    <t>Promoter Contribution</t>
  </si>
  <si>
    <t>Means of Finance (Amount INR Crore)</t>
  </si>
  <si>
    <t>Hybrid</t>
  </si>
  <si>
    <t>Solar + Wind</t>
  </si>
  <si>
    <t>Grand Total (PC)</t>
  </si>
  <si>
    <t>Grand Total (MoF)</t>
  </si>
  <si>
    <t>Input</t>
  </si>
  <si>
    <t>Date of Assessment</t>
  </si>
  <si>
    <t>Assessment_Date</t>
  </si>
  <si>
    <t>Start of Construction</t>
  </si>
  <si>
    <t>start_date</t>
  </si>
  <si>
    <t>Construction Period</t>
  </si>
  <si>
    <t>construction_period</t>
  </si>
  <si>
    <t>Completion Date</t>
  </si>
  <si>
    <t>Completion_date</t>
  </si>
  <si>
    <t>SCOD</t>
  </si>
  <si>
    <t>commerical</t>
  </si>
  <si>
    <t>Total Analysis Period</t>
  </si>
  <si>
    <t>Projection</t>
  </si>
  <si>
    <t>Model End Date</t>
  </si>
  <si>
    <t>end_date</t>
  </si>
  <si>
    <t>Operating  Assumptions</t>
  </si>
  <si>
    <t>Value</t>
  </si>
  <si>
    <t>Unit</t>
  </si>
  <si>
    <t>No. of daily Operation Hours</t>
  </si>
  <si>
    <t>hours</t>
  </si>
  <si>
    <t>No. of days per Annum</t>
  </si>
  <si>
    <t>Days</t>
  </si>
  <si>
    <t xml:space="preserve">No. of Working days Per Annum </t>
  </si>
  <si>
    <t>Key Products</t>
  </si>
  <si>
    <t>Installed Capacity(MW)</t>
  </si>
  <si>
    <t>MW</t>
  </si>
  <si>
    <t>Capacity (KW)</t>
  </si>
  <si>
    <t>KW</t>
  </si>
  <si>
    <t>Plant load factor (PLF)</t>
  </si>
  <si>
    <t>%</t>
  </si>
  <si>
    <t xml:space="preserve">Transmission loss </t>
  </si>
  <si>
    <t>Selling Price</t>
  </si>
  <si>
    <t>INR/Unit</t>
  </si>
  <si>
    <t>O &amp; M Expenses</t>
  </si>
  <si>
    <t>Insurance Expenses</t>
  </si>
  <si>
    <t>Escalation on O &amp; M Cost</t>
  </si>
  <si>
    <t>Yearly</t>
  </si>
  <si>
    <t>Plant and Administrative Overhead Expenses</t>
  </si>
  <si>
    <t>of Revenue</t>
  </si>
  <si>
    <t>Other Operating expenses</t>
  </si>
  <si>
    <t>Loan Schedule</t>
  </si>
  <si>
    <t xml:space="preserve">Interest on TL </t>
  </si>
  <si>
    <t>Percentage</t>
  </si>
  <si>
    <t>Door to Door Tenure</t>
  </si>
  <si>
    <t>Years</t>
  </si>
  <si>
    <t>Moratorium before after SCOD</t>
  </si>
  <si>
    <t>months</t>
  </si>
  <si>
    <t>Moratorium period after SCOD</t>
  </si>
  <si>
    <t>Taxation</t>
  </si>
  <si>
    <t>MAT</t>
  </si>
  <si>
    <t>years</t>
  </si>
  <si>
    <t xml:space="preserve">Corporate Tax Rate </t>
  </si>
  <si>
    <t>Surcharge</t>
  </si>
  <si>
    <t>Cess</t>
  </si>
  <si>
    <t>Applicable Tax Rate (%)</t>
  </si>
  <si>
    <t>PROJECT COST (Amount INR Crore)</t>
  </si>
  <si>
    <t>(ASSUMPTIONS/VARIABLES)</t>
  </si>
  <si>
    <t>Modeling Assumptions</t>
  </si>
  <si>
    <t>SOLAR PLANT</t>
  </si>
  <si>
    <t>WIND PLANT</t>
  </si>
  <si>
    <t>Degradation in PLF in First Year</t>
  </si>
  <si>
    <t>Degradation in PLF in Second Year and onwards</t>
  </si>
  <si>
    <t>(COMMON ASSUMPTIONS)</t>
  </si>
  <si>
    <t>(Revenue &amp; Expense Modelling)</t>
  </si>
  <si>
    <t>Operational Years</t>
  </si>
  <si>
    <t>Year Ending (INR Crore)</t>
  </si>
  <si>
    <t>FY</t>
  </si>
  <si>
    <t>Year Counter</t>
  </si>
  <si>
    <t>Months Counter</t>
  </si>
  <si>
    <t>Number of day</t>
  </si>
  <si>
    <t>Number of Hours per day</t>
  </si>
  <si>
    <t>Revenue from Solar power plant</t>
  </si>
  <si>
    <t>Running Capacity (KW)</t>
  </si>
  <si>
    <t>Plant load factor</t>
  </si>
  <si>
    <t>(Degradation y-o-y)</t>
  </si>
  <si>
    <t>No. of units Producion (Yearly)</t>
  </si>
  <si>
    <t xml:space="preserve">Escalation </t>
  </si>
  <si>
    <t>Total Charges</t>
  </si>
  <si>
    <t>Per Unit Revenue in the form of savings</t>
  </si>
  <si>
    <t>Net Revenue from Solar Power</t>
  </si>
  <si>
    <t>Total O &amp; M expenses - Solar Power</t>
  </si>
  <si>
    <t>O &amp; M Expenses - Solar Power</t>
  </si>
  <si>
    <t>Operating Expenses</t>
  </si>
  <si>
    <t>A.</t>
  </si>
  <si>
    <t>B.</t>
  </si>
  <si>
    <t>C.</t>
  </si>
  <si>
    <t>OPERATING EXPENSES</t>
  </si>
  <si>
    <t>REVENUE MODELING</t>
  </si>
  <si>
    <t>Revenue</t>
  </si>
  <si>
    <t>Depreciation &amp; Amrtization</t>
  </si>
  <si>
    <t>Total Expenses</t>
  </si>
  <si>
    <t>EBIT</t>
  </si>
  <si>
    <t>Interest expenses</t>
  </si>
  <si>
    <t>Interest on term loan</t>
  </si>
  <si>
    <t>Profit before Taxes (PBT)</t>
  </si>
  <si>
    <t>Tax</t>
  </si>
  <si>
    <t>Profit after Taxes (PAT)</t>
  </si>
  <si>
    <t>Cash Accrual</t>
  </si>
  <si>
    <t>PAT</t>
  </si>
  <si>
    <t>Add: Dep &amp; Am</t>
  </si>
  <si>
    <t>Net cash accrual</t>
  </si>
  <si>
    <t xml:space="preserve">Cumulative Internal Accruals  </t>
  </si>
  <si>
    <t xml:space="preserve">Less: Repayment Obligations </t>
  </si>
  <si>
    <t xml:space="preserve">LIABILITIES </t>
  </si>
  <si>
    <t>Equity</t>
  </si>
  <si>
    <t>Reserve &amp; Surplus</t>
  </si>
  <si>
    <t>Secured Loan</t>
  </si>
  <si>
    <t>Current Liabilities</t>
  </si>
  <si>
    <t>Trade Paybles</t>
  </si>
  <si>
    <t xml:space="preserve">Term liabilities payable within one year </t>
  </si>
  <si>
    <t>Other Current Liabilities</t>
  </si>
  <si>
    <t>Total</t>
  </si>
  <si>
    <t>Assets</t>
  </si>
  <si>
    <t>Land</t>
  </si>
  <si>
    <t>Building &amp; Civil works</t>
  </si>
  <si>
    <t>Plant &amp; Machinery</t>
  </si>
  <si>
    <t>Electricals &amp; Fittings</t>
  </si>
  <si>
    <t>Office equipments</t>
  </si>
  <si>
    <t>Total Gross Block</t>
  </si>
  <si>
    <t>Net Block</t>
  </si>
  <si>
    <t>Other Non Current Assets</t>
  </si>
  <si>
    <t>Total Non-Current Assets</t>
  </si>
  <si>
    <t>CURRENT ASSETS</t>
  </si>
  <si>
    <t>Trade Receivables</t>
  </si>
  <si>
    <t>Inventories</t>
  </si>
  <si>
    <t>Cash &amp; Cash Equivalent</t>
  </si>
  <si>
    <t>Other Current Assets</t>
  </si>
  <si>
    <t>Total Current Assets</t>
  </si>
  <si>
    <t xml:space="preserve">TOTAL </t>
  </si>
  <si>
    <t>Difference</t>
  </si>
  <si>
    <t>Less: Depreciation</t>
  </si>
  <si>
    <t xml:space="preserve">A. SOURCE OF FUND </t>
  </si>
  <si>
    <t xml:space="preserve">Net Profit </t>
  </si>
  <si>
    <t>Increase in Equity / Share Capital/USL</t>
  </si>
  <si>
    <t>Increase in TL</t>
  </si>
  <si>
    <t xml:space="preserve">Depreciation </t>
  </si>
  <si>
    <t>Trade paybles</t>
  </si>
  <si>
    <t xml:space="preserve">B. APPLICATION OF FUNDS </t>
  </si>
  <si>
    <t xml:space="preserve">Capital Expenses </t>
  </si>
  <si>
    <t xml:space="preserve">Decrease in Term Loan </t>
  </si>
  <si>
    <t>Trade Receivable</t>
  </si>
  <si>
    <t xml:space="preserve">Inventory </t>
  </si>
  <si>
    <t>Opening Balance</t>
  </si>
  <si>
    <t>Net Surplus/ Deficit</t>
  </si>
  <si>
    <t xml:space="preserve">Cumulative Balance </t>
  </si>
  <si>
    <t>Opening Bal</t>
  </si>
  <si>
    <t>Disbursement</t>
  </si>
  <si>
    <t>Repayment</t>
  </si>
  <si>
    <t>Closing Principal o/s</t>
  </si>
  <si>
    <t>Interest</t>
  </si>
  <si>
    <t>IDC</t>
  </si>
  <si>
    <t>TL Interest</t>
  </si>
  <si>
    <t>Loan Amount</t>
  </si>
  <si>
    <t>Rep Year</t>
  </si>
  <si>
    <t>Interest Rate</t>
  </si>
  <si>
    <t>Assumption</t>
  </si>
  <si>
    <t>Op. Bal</t>
  </si>
  <si>
    <t>Repay</t>
  </si>
  <si>
    <t>Cl. Bal</t>
  </si>
  <si>
    <t xml:space="preserve">Disbursement % </t>
  </si>
  <si>
    <t xml:space="preserve">Repayment % </t>
  </si>
  <si>
    <t>2024-25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</si>
  <si>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</si>
  <si>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</si>
  <si>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</si>
  <si>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</si>
  <si>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</si>
  <si>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</si>
  <si>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</si>
  <si>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</si>
  <si>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</si>
  <si>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Jan</t>
  </si>
  <si>
    <t>Feb</t>
  </si>
  <si>
    <t>Mar</t>
  </si>
  <si>
    <t>2025-26</t>
  </si>
  <si>
    <t>2026-27</t>
  </si>
  <si>
    <t>2027-28</t>
  </si>
  <si>
    <t>2028-29</t>
  </si>
  <si>
    <t>2029-30</t>
  </si>
  <si>
    <t>2030-31</t>
  </si>
  <si>
    <t>2031-32</t>
  </si>
  <si>
    <t>2032-33</t>
  </si>
  <si>
    <t>2033-34</t>
  </si>
  <si>
    <t>2034-35</t>
  </si>
  <si>
    <t>2035-36</t>
  </si>
  <si>
    <t>2036-37</t>
  </si>
  <si>
    <t>2037-38</t>
  </si>
  <si>
    <t>2038-39</t>
  </si>
  <si>
    <t>2039-40</t>
  </si>
  <si>
    <t>2040-41</t>
  </si>
  <si>
    <t>2041-42</t>
  </si>
  <si>
    <t>2042-43</t>
  </si>
  <si>
    <t>2043-44</t>
  </si>
  <si>
    <t>2044-45</t>
  </si>
  <si>
    <t>2045-46</t>
  </si>
  <si>
    <t>Check</t>
  </si>
  <si>
    <t>Life
Years</t>
  </si>
  <si>
    <t>IDC &amp; Cont &amp; Pre-Operative</t>
  </si>
  <si>
    <t>Total CoP</t>
  </si>
  <si>
    <t>SLM Rate</t>
  </si>
  <si>
    <t>WDV rate</t>
  </si>
  <si>
    <t>SLM Depreciation - Land</t>
  </si>
  <si>
    <t>Electricity Connection &amp; Infrastructure</t>
  </si>
  <si>
    <t>Office equipment</t>
  </si>
  <si>
    <t xml:space="preserve">Total SLM Depreciation </t>
  </si>
  <si>
    <t>Total WDV</t>
  </si>
  <si>
    <t xml:space="preserve">Total WDV Depreciation </t>
  </si>
  <si>
    <t>Depreciation Assumptions</t>
  </si>
  <si>
    <t>CAPEX PHASING</t>
  </si>
  <si>
    <t xml:space="preserve">Capex </t>
  </si>
  <si>
    <t>MAT Rate</t>
  </si>
  <si>
    <t>Normal Tax rate</t>
  </si>
  <si>
    <t>Profit before taxes</t>
  </si>
  <si>
    <t>Add: Exceptional items</t>
  </si>
  <si>
    <t>Add: Provision for foreign exchange fluctuations</t>
  </si>
  <si>
    <t>Add: Dep.as per Co Act</t>
  </si>
  <si>
    <t>Less: Dep. as per IT Act</t>
  </si>
  <si>
    <t>Adjusted PBT</t>
  </si>
  <si>
    <t>Losses B/F</t>
  </si>
  <si>
    <t>Unabsorbed Depreciation B/F</t>
  </si>
  <si>
    <t>Taxable Profits</t>
  </si>
  <si>
    <t>Losses C/F</t>
  </si>
  <si>
    <t>Unabsorbed Depreciation C/F</t>
  </si>
  <si>
    <t>Tax Liability as per normal provisions</t>
  </si>
  <si>
    <t>Tax Rate Business Income</t>
  </si>
  <si>
    <t>MAT Liability on book profits</t>
  </si>
  <si>
    <t>Tax Liability higher of two</t>
  </si>
  <si>
    <t>Less: Mat Credit set off</t>
  </si>
  <si>
    <t>Tax paid</t>
  </si>
  <si>
    <t>Opening</t>
  </si>
  <si>
    <t>Additions</t>
  </si>
  <si>
    <t>Utilized</t>
  </si>
  <si>
    <t>Cumulative MAT Credit</t>
  </si>
  <si>
    <t>TOTAL</t>
  </si>
  <si>
    <t>Cash accrual</t>
  </si>
  <si>
    <t>Subtotal</t>
  </si>
  <si>
    <t>Loan Repayent</t>
  </si>
  <si>
    <t>DSCR</t>
  </si>
  <si>
    <t>Average DSCR</t>
  </si>
  <si>
    <t>Maximum DSCR</t>
  </si>
  <si>
    <t>2046-47</t>
  </si>
  <si>
    <t>Less: Taxes</t>
  </si>
  <si>
    <t>Add: Depreciation &amp; Amortisation</t>
  </si>
  <si>
    <t>NOPAT</t>
  </si>
  <si>
    <t>Capex</t>
  </si>
  <si>
    <t>Free Cash Flow to Firm (FCFF)</t>
  </si>
  <si>
    <t>WACC</t>
  </si>
  <si>
    <t>NPV</t>
  </si>
  <si>
    <t>IRR</t>
  </si>
  <si>
    <t>Wd</t>
  </si>
  <si>
    <t>Kd</t>
  </si>
  <si>
    <t>Post tax Kd</t>
  </si>
  <si>
    <t>We</t>
  </si>
  <si>
    <t>Payback Perid</t>
  </si>
  <si>
    <t>No. Of Years</t>
  </si>
  <si>
    <t>Accumulated Cash Accrual</t>
  </si>
  <si>
    <t>TPC</t>
  </si>
  <si>
    <t>Payback Period</t>
  </si>
  <si>
    <t>RATIO</t>
  </si>
  <si>
    <t>Particulars</t>
  </si>
  <si>
    <t>WORKING CAPITAL ASSUMPTIONS</t>
  </si>
  <si>
    <t>Receivables</t>
  </si>
  <si>
    <t>Less: Transmission loses</t>
  </si>
  <si>
    <t>Insurance expense @0.1%</t>
  </si>
  <si>
    <t>Total NET BLOCK</t>
  </si>
  <si>
    <t>Total ASSET NET BLOCK AS PER BOOKS</t>
  </si>
  <si>
    <t>Net units Exported Annualy - Solar Power</t>
  </si>
  <si>
    <t>Total Net Units Exported Annually (Units in Lakhs)</t>
  </si>
  <si>
    <t>Total Net Units Generated Annually (Units in Lakhs)</t>
  </si>
  <si>
    <t>Total Transmission Loss (Units In Lakhs)</t>
  </si>
  <si>
    <t>Year Ending</t>
  </si>
  <si>
    <r>
      <t xml:space="preserve">(All Values in </t>
    </r>
    <r>
      <rPr>
        <b/>
        <u/>
        <sz val="11"/>
        <color rgb="FFFF0000"/>
        <rFont val="Calibri"/>
        <family val="2"/>
      </rPr>
      <t>INR Crores</t>
    </r>
    <r>
      <rPr>
        <b/>
        <sz val="11"/>
        <color rgb="FFFF0000"/>
        <rFont val="Calibri"/>
        <family val="2"/>
      </rPr>
      <t>, unless specified)</t>
    </r>
  </si>
  <si>
    <t>(Projected Income Statement)</t>
  </si>
  <si>
    <t>(Projected Balance Sheet)</t>
  </si>
  <si>
    <t>(Projected Cash Flow Statement)</t>
  </si>
  <si>
    <t>(Projected Loan Schedule)</t>
  </si>
  <si>
    <t>Depreciation Schedule as per Income Tax Act</t>
  </si>
  <si>
    <t>Depreciation Schedule as per Company's Act, 2013</t>
  </si>
  <si>
    <t>(Projected Depreciation Schedule)</t>
  </si>
  <si>
    <t>(Projected Tax Calculation)</t>
  </si>
  <si>
    <t>INR/YEAR</t>
  </si>
  <si>
    <t>Free O&amp;M period</t>
  </si>
  <si>
    <t>of WDV</t>
  </si>
  <si>
    <t>Contingencies at ~ 0.5% of Hard Cost</t>
  </si>
  <si>
    <t>Intalled Capacity (MW) - AC</t>
  </si>
  <si>
    <t>Intalled Capacity (MW) - DC</t>
  </si>
  <si>
    <t>EBITDA</t>
  </si>
  <si>
    <t>EBITDA Margin %</t>
  </si>
  <si>
    <t>EBIT Margin %</t>
  </si>
  <si>
    <t>PAT Margin %</t>
  </si>
  <si>
    <t>Average</t>
  </si>
  <si>
    <t>Financial Year</t>
  </si>
  <si>
    <t>Break - Even Point</t>
  </si>
  <si>
    <t>Sales</t>
  </si>
  <si>
    <t>Variable Expenses</t>
  </si>
  <si>
    <t>Contribution</t>
  </si>
  <si>
    <t>Fixed Expenses</t>
  </si>
  <si>
    <t>Profit / PBT</t>
  </si>
  <si>
    <t>PV RATIO (Contr / Sales)</t>
  </si>
  <si>
    <t>BEP  Sales (Fix Exps / Contr * Sales)</t>
  </si>
  <si>
    <t>BEP% (BEP Sales / sales)</t>
  </si>
  <si>
    <t>Ratio Analysis:</t>
  </si>
  <si>
    <t>Return on Capital employed (%)</t>
  </si>
  <si>
    <t>Return on Investment (%)</t>
  </si>
  <si>
    <t>Return on Net Worth</t>
  </si>
  <si>
    <t>ISCR</t>
  </si>
  <si>
    <t>Fixed Asset Coverage Ratio</t>
  </si>
  <si>
    <t>TOL/TNW</t>
  </si>
  <si>
    <t>Debt to Equity Ratio</t>
  </si>
  <si>
    <t>M/s. OMC Power Private Limited</t>
  </si>
  <si>
    <t>Preoperative Expenses</t>
  </si>
  <si>
    <t>D</t>
  </si>
  <si>
    <t>D2D</t>
  </si>
  <si>
    <t>15 yars including 6months mora.</t>
  </si>
  <si>
    <t>Installment</t>
  </si>
  <si>
    <t>35.93 Lakhs each</t>
  </si>
  <si>
    <t>Per Unit cost, If solar operates 18 hrs. per day</t>
  </si>
  <si>
    <t>Hard Cost</t>
  </si>
  <si>
    <t>Total Cost</t>
  </si>
  <si>
    <t>E</t>
  </si>
  <si>
    <t>Debt</t>
  </si>
  <si>
    <t>DSRA</t>
  </si>
  <si>
    <t>Processing</t>
  </si>
  <si>
    <t>Interest on DSRA</t>
  </si>
  <si>
    <t>interest During Construction (IDC)</t>
  </si>
  <si>
    <t>Preliminiary Expenses</t>
  </si>
  <si>
    <t>INR Lakhs</t>
  </si>
  <si>
    <t>PO 1</t>
  </si>
  <si>
    <t>Site Type</t>
  </si>
  <si>
    <t>Basic value</t>
  </si>
  <si>
    <t>GST</t>
  </si>
  <si>
    <t>PO value incl GST</t>
  </si>
  <si>
    <t>As per PPA</t>
  </si>
  <si>
    <t>As per EPC</t>
  </si>
  <si>
    <t>Maharaja Suheldev Autonomous State Medical College Bahraich (723.84 + 928) kWp</t>
  </si>
  <si>
    <t>MC</t>
  </si>
  <si>
    <t>Maharaishi Vashishtha Autonomous State Medical College Basti (373.52 + 726.16) kWp</t>
  </si>
  <si>
    <t>Lok Bandhu Shri Raj Narayan Combined Hospital Lucknow</t>
  </si>
  <si>
    <t>DH</t>
  </si>
  <si>
    <t>Tej Bahadur Sapru Hospital Prayagraj</t>
  </si>
  <si>
    <t>District Hospital Male Barabanki</t>
  </si>
  <si>
    <t>District Female Hospital (MCH Wing) Barabanki</t>
  </si>
  <si>
    <t>Balrampur Hospital Lucknow</t>
  </si>
  <si>
    <t>Netaji Subhash Chandra Bose District Hospital Gorakhpur</t>
  </si>
  <si>
    <t>District Hospital Meerut</t>
  </si>
  <si>
    <t>District Hospital Basti</t>
  </si>
  <si>
    <t>Pt. Din Dayal Upadhyay Combined Hospital Moradabad</t>
  </si>
  <si>
    <t>Pt. Din Dayal Upadhyay Combined Hospital Aligarh</t>
  </si>
  <si>
    <t>Sub-Total PO</t>
  </si>
  <si>
    <t>PO 2</t>
  </si>
  <si>
    <t>District Combined Hospital Auraiya</t>
  </si>
  <si>
    <t>District Hospital Lalitpur (387.44 + 363.08) kW</t>
  </si>
  <si>
    <t>District Hospital Gonda (704.7 + 300.44) kW</t>
  </si>
  <si>
    <t>District Hospital Chandauli (214.6 + 423.4) kW</t>
  </si>
  <si>
    <t>District Women Hospital Bijnor (350.32 + 69.6 + 367.72) kW</t>
  </si>
  <si>
    <t>District Hospital Etah (427.46 + 505.18) kW</t>
  </si>
  <si>
    <t>District Male Hospital Sultanpur (297.54 + 95.12 + 552.16) kW</t>
  </si>
  <si>
    <t>District Hospital Sonbhadra</t>
  </si>
  <si>
    <t>Madhav Prasad Tripathi Medical College &amp; Hospital Siddharthnagar</t>
  </si>
  <si>
    <t>Dr. Sonelal Patel Govt. Hospital &amp; College Pratapgarh (520.84 + 279.56) kW</t>
  </si>
  <si>
    <t>PO 3</t>
  </si>
  <si>
    <t>Motilal Nehru Divisional Hospital Prayagraj</t>
  </si>
  <si>
    <t>District Combined Hospital Amroha</t>
  </si>
  <si>
    <t>District Combined Hospital Maunathbhanjan</t>
  </si>
  <si>
    <t>District Combined Hospital Shamli</t>
  </si>
  <si>
    <t>Seth Baldev Das District Hospital Saharanpur</t>
  </si>
  <si>
    <t>100 Saiyaa Combined Hospital Hardoi</t>
  </si>
  <si>
    <t>Divisional District Hospital Azamgarh - Blood Bank (250.56 + 250.56) kW</t>
  </si>
  <si>
    <t>UHM District Male Hospital Kanpur Nagar</t>
  </si>
  <si>
    <t>District Women Hospital Prayagraj</t>
  </si>
  <si>
    <t>100 Beded Bighapur Unnao</t>
  </si>
  <si>
    <t>100 Beded Maurawa Unnao</t>
  </si>
  <si>
    <t>Uma Shanker Dixit District Women Hospital Unnao</t>
  </si>
  <si>
    <t>Banda Hospital</t>
  </si>
  <si>
    <t>GRAND TOTAL</t>
  </si>
  <si>
    <t>MC Nos</t>
  </si>
  <si>
    <t>DH Nos</t>
  </si>
  <si>
    <t>Monthly Pay</t>
  </si>
  <si>
    <t xml:space="preserve">O&amp;M expenses per MW </t>
  </si>
  <si>
    <t>TOTAL O &amp; M Expenses</t>
  </si>
  <si>
    <t>TOTAL Insurance Expenses</t>
  </si>
  <si>
    <t>O &amp; M Expenses (in lacs)</t>
  </si>
  <si>
    <t>Annual O&amp; M cost in Crore</t>
  </si>
  <si>
    <t>Processing Fees for loan</t>
  </si>
  <si>
    <t>10- yr Nifty 50 Return</t>
  </si>
  <si>
    <t>Ke (https://www.niftyindices.com/market-data/return-profile)</t>
  </si>
  <si>
    <t>Company Risk Premium</t>
  </si>
  <si>
    <t>Appropriate Discount Rate</t>
  </si>
  <si>
    <t>Other Income</t>
  </si>
  <si>
    <t>Financial Model for Proposed 35 locations Solar Power Plant (20 MW )</t>
  </si>
  <si>
    <t>TOTAL SOLAR PROJECT REVENUE</t>
  </si>
  <si>
    <t xml:space="preserve">Bank Charges </t>
  </si>
  <si>
    <t>SN</t>
  </si>
  <si>
    <t>Hospital</t>
  </si>
  <si>
    <t>Cap (KW)</t>
  </si>
  <si>
    <t>Maharaja Suheldev Autonomous State Medical College Bahraich</t>
  </si>
  <si>
    <t>Medical College</t>
  </si>
  <si>
    <t xml:space="preserve">Maharaishi Vashishtha Autonomous State Medical College, Basti </t>
  </si>
  <si>
    <t>Lok Bandhu Shri Raj Narayan Combined Hospital, Lucknow</t>
  </si>
  <si>
    <t>District Hospital</t>
  </si>
  <si>
    <t>Tej Bahadur Sapru Hospital, Prayagraj</t>
  </si>
  <si>
    <t>District Hospital Male, Barabanki</t>
  </si>
  <si>
    <t>District Female Hospital (MCH Wing), Barabanki</t>
  </si>
  <si>
    <t>Balrampur Hospital, Lucknow</t>
  </si>
  <si>
    <t>Netaji Subhash Chandra Bose District Hospital, Gorakhpur</t>
  </si>
  <si>
    <t>District Hospital, Meerut</t>
  </si>
  <si>
    <t>District Hospital, Basti</t>
  </si>
  <si>
    <t>Pt. Din Dayal Upadhyay Combined Hospital, Moradabad</t>
  </si>
  <si>
    <t>Pt. Din Dayal Upadhyay Combined Hospital, Aligarh</t>
  </si>
  <si>
    <t>District Combined Hospital, Auraiya</t>
  </si>
  <si>
    <t>District Hospital, Lalitpur</t>
  </si>
  <si>
    <t>District Hospital, Gonda</t>
  </si>
  <si>
    <t xml:space="preserve">District Hospital, Chandauli </t>
  </si>
  <si>
    <t>District Women Hospital, Bijnor</t>
  </si>
  <si>
    <t>District Hospital, Etah</t>
  </si>
  <si>
    <t xml:space="preserve">District Male Hospital, Sultanpur </t>
  </si>
  <si>
    <t>District Hospital, Sonbhadra</t>
  </si>
  <si>
    <t>Madhav Prasad Tripathi Medical College &amp; Hospital, Siddharthnagar</t>
  </si>
  <si>
    <t xml:space="preserve">Dr. Sonelal Patel Govt. Hospital &amp; College, Pratapgarh </t>
  </si>
  <si>
    <t>Motilal Nehru Divisional Hospital, Prayagraj</t>
  </si>
  <si>
    <t>District Combined Hospital, Amroha</t>
  </si>
  <si>
    <t>District Combined Hospital, Maunathbhanjan</t>
  </si>
  <si>
    <t>District Combined Hospital, Shamli</t>
  </si>
  <si>
    <t>Seth Baldev Das District Hospital, Saharanpur</t>
  </si>
  <si>
    <t>100 Saiyaa Combined Hospital, Hardoi</t>
  </si>
  <si>
    <t>Divisional District Hospital Azamgarh - Blood Bank</t>
  </si>
  <si>
    <t>UHM District Male Hospital, Kanpur Nagar</t>
  </si>
  <si>
    <t>District Women Hospital, Prayagraj</t>
  </si>
  <si>
    <t>100 Beded Maurawa, Unnao</t>
  </si>
  <si>
    <t>Uma Shanker Dixit District Women Hospital, Unnao</t>
  </si>
  <si>
    <t>100 Beded Bighapur, Unnao</t>
  </si>
  <si>
    <t>Increase/ Decrease in project capacity</t>
  </si>
  <si>
    <t>-</t>
  </si>
  <si>
    <t>GRAND TOTAL (in KW)</t>
  </si>
  <si>
    <t>Location</t>
  </si>
  <si>
    <t>PVSyst capacity</t>
  </si>
  <si>
    <t>PVSyst generation (kWh)</t>
  </si>
  <si>
    <t>Project Cost - Hard Cost (Rs. crore)</t>
  </si>
  <si>
    <t>Project Cost - Soft cost (Rs. crore)</t>
  </si>
  <si>
    <t>Total Project Cost (Rs. crore)</t>
  </si>
  <si>
    <t>Total Loan amount (Rs. crore)</t>
  </si>
  <si>
    <t>Panasonic Panel Topcon number (580 Watt)</t>
  </si>
  <si>
    <t>Inverters details (Growatt)</t>
  </si>
  <si>
    <t>Bahraich</t>
  </si>
  <si>
    <t>2847 x 580</t>
  </si>
  <si>
    <t xml:space="preserve"> 40 KW x 1
+ 50 KW x 5
+ 80 KW x 4
+ 100 kw x 8</t>
  </si>
  <si>
    <t>Basti</t>
  </si>
  <si>
    <t>1895 x 580</t>
  </si>
  <si>
    <t xml:space="preserve"> 40 KW x 2
+ 50 KW x 3 
+ 70 KW x 1
+ 80 KW x 7
+ 100 kw x 1</t>
  </si>
  <si>
    <t>Lucknow</t>
  </si>
  <si>
    <t>897 x 580</t>
  </si>
  <si>
    <t>30 KW x 1 
+ 100 kw x 4</t>
  </si>
  <si>
    <t>Prayagraj</t>
  </si>
  <si>
    <t>779 x 580</t>
  </si>
  <si>
    <t>60 KW x 1 
+ 70 KW x 2
+ 80 KW x 1
+ 100 kw x 1</t>
  </si>
  <si>
    <t>Barabanki</t>
  </si>
  <si>
    <t>174 x 580</t>
  </si>
  <si>
    <t>40 KW x 1 
+ 50 KW x 1
+ 90 KW x 2</t>
  </si>
  <si>
    <t>353 x 580</t>
  </si>
  <si>
    <t>30 KW x 1 
+ 40 KW x 1
+ 100 KW x 1</t>
  </si>
  <si>
    <t>1286 x 580</t>
  </si>
  <si>
    <t>20 KW x 1 
+ 25 kW x 1
+ 40 KW x 7
+ 60 KW x 3
+ 80 kW x 2</t>
  </si>
  <si>
    <t>Gorakhpur</t>
  </si>
  <si>
    <t>775 x 580</t>
  </si>
  <si>
    <t>30 KW x 1 
+ 70 KW x 4
+ 80 KW x 1</t>
  </si>
  <si>
    <t>Meerut</t>
  </si>
  <si>
    <t>30 KW x 1 
+ 40 KW x 3
+ 60 KW x 1 
+ 80 KW x 1
+ 100 KW x 1</t>
  </si>
  <si>
    <t>544 x 580</t>
  </si>
  <si>
    <t>#ERROR!</t>
  </si>
  <si>
    <t>Moradabad</t>
  </si>
  <si>
    <t>1287 x 580</t>
  </si>
  <si>
    <t>40 KW x 3 
+ 50 KW x 3
+ 80 KW x 3 
+ 100 KW x 1</t>
  </si>
  <si>
    <t>Aligarh</t>
  </si>
  <si>
    <t>861 x 580</t>
  </si>
  <si>
    <t>40 KW x 1 
+ 70 KW x 3 
+ 200 KW x 2</t>
  </si>
  <si>
    <t>Auriya</t>
  </si>
  <si>
    <t>922 x 580</t>
  </si>
  <si>
    <t xml:space="preserve"> 20 KW x 0
+30 KW x 3
+ 40 KW x 1
+ 50 KW x 2 
+ 60 KW x 1
+ 70 kW x 0
+ 80 kw x 1
+ 100 kw x 3 
+ 125 kW x 1</t>
  </si>
  <si>
    <t>Lalitpur</t>
  </si>
  <si>
    <t>1294 x 580</t>
  </si>
  <si>
    <t>Gonda</t>
  </si>
  <si>
    <t>1722 x 580</t>
  </si>
  <si>
    <t xml:space="preserve"> 20 KW x 1
+30 KW x 2
+ 40 KW x 1
+ 50 KW x 1
+ 60 KW x 1
+ 70 kW x 0
+ 80 kw x 3
+ 100 kw x 1
+ 125 kW x </t>
  </si>
  <si>
    <t>Chandauli</t>
  </si>
  <si>
    <t>1100 x 580</t>
  </si>
  <si>
    <t xml:space="preserve"> 20 KW x 0
+30 KW x 3
+ 40 KW x 1
+ 50 KW x 2 
+ 60 KW x 1
+ 70 kW x 2
+ 80 kw x 1
+ 100 kw x 1 
+ 125 kW x 2</t>
  </si>
  <si>
    <t>Bijnor</t>
  </si>
  <si>
    <t>1358 x 580</t>
  </si>
  <si>
    <t xml:space="preserve"> 20 KW x 0
+30 KW x 0
+ 40 KW x 1
+ 50 KW x  0
+ 60 KW x 1
+ 70 kW x 0
+ 80 kw x 2
+ 100 kw x 1 
+ 125 kW x 0</t>
  </si>
  <si>
    <t>Etah</t>
  </si>
  <si>
    <t>1609 x 580</t>
  </si>
  <si>
    <t>Sultanpur</t>
  </si>
  <si>
    <t>1629 x 580</t>
  </si>
  <si>
    <t xml:space="preserve"> 20 KW x 2
+30 KW x 1
+ 40 KW x 1
+ 50 KW x 
+ 60 KW x 
+ 70 kW x 1
+ 80 kw x 1
+ 100 kw x 1</t>
  </si>
  <si>
    <t>Sonbhadra</t>
  </si>
  <si>
    <t>864 x 580</t>
  </si>
  <si>
    <t>30 KW x 0
+ 40 KW x 0
+ 50 KW x 4
+ 70 KW x 1
+ 80 kW x 1
+ 100 kw x 1</t>
  </si>
  <si>
    <t>Siddharthanagar</t>
  </si>
  <si>
    <t>1297 x 580</t>
  </si>
  <si>
    <t>30 KW x 1
+ 40 KW x 1
+ 50 KW x 3
+ 60 KW x 3
+ 70 kW x 2
+ 100 kw x 1
+ 110 kw x 1</t>
  </si>
  <si>
    <t>Pratapgarh</t>
  </si>
  <si>
    <t>1379 x 580</t>
  </si>
  <si>
    <t>40 KW x 0
+ 70 KW x 1
+ 80 KW x 3
+ 125 KW x 3</t>
  </si>
  <si>
    <t>517  x 580</t>
  </si>
  <si>
    <t>50 KW x 1
+ 70 KW x 1
+ 125 KW x 4</t>
  </si>
  <si>
    <t>Amroha</t>
  </si>
  <si>
    <t>828 x 580</t>
  </si>
  <si>
    <t>District Combined Hospital Maunathbhanjan, Mau</t>
  </si>
  <si>
    <t>Mau</t>
  </si>
  <si>
    <t>790 x 580</t>
  </si>
  <si>
    <t>Shamli</t>
  </si>
  <si>
    <t>741 x 580</t>
  </si>
  <si>
    <t>Saharanpur</t>
  </si>
  <si>
    <t>647 x 580</t>
  </si>
  <si>
    <t>Hardoi</t>
  </si>
  <si>
    <t>598 x 580</t>
  </si>
  <si>
    <t>Azamgarh</t>
  </si>
  <si>
    <t>866 x 580</t>
  </si>
  <si>
    <t>Kanpur Nagar</t>
  </si>
  <si>
    <t>429 x 580</t>
  </si>
  <si>
    <t>347 x 580</t>
  </si>
  <si>
    <t>Unnao</t>
  </si>
  <si>
    <t>540 x 580</t>
  </si>
  <si>
    <t>603 x 580</t>
  </si>
  <si>
    <t>345 x 580</t>
  </si>
  <si>
    <t>Banda</t>
  </si>
  <si>
    <t>1571 x 580</t>
  </si>
  <si>
    <t>34477 x 580</t>
  </si>
  <si>
    <t>174 monthly installment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</si>
</sst>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 * #,##0.00_ ;_ * \-#,##0.00_ ;_ * &quot;-&quot;??_ ;_ @_ "/>
    <numFmt numFmtId="164" formatCode="0\ &quot;MW&quot;"/>
    <numFmt numFmtId="165" formatCode="0.000"/>
    <numFmt numFmtId="166" formatCode="0\ &quot;Months&quot;"/>
    <numFmt numFmtId="167" formatCode="0\ &quot;Years&quot;"/>
    <numFmt numFmtId="168" formatCode="0.00\ &quot;MW&quot;"/>
    <numFmt numFmtId="169" formatCode="0.0"/>
    <numFmt numFmtId="170" formatCode="[$-409]d\-mmm\-yy;@"/>
    <numFmt numFmtId="171" formatCode="_ * #,##0_ ;_ * \-#,##0_ ;_ * &quot;-&quot;??_ ;_ @_ "/>
    <numFmt numFmtId="172" formatCode="0.0%"/>
    <numFmt numFmtId="173" formatCode="_ * #,##0.000_ ;_ * \-#,##0.000_ ;_ * &quot;-&quot;??_ ;_ @_ "/>
    <numFmt numFmtId="174" formatCode="_ * #,##0.00000000_ ;_ * \-#,##0.00000000_ ;_ * &quot;-&quot;??_ ;_ @_ "/>
    <numFmt numFmtId="175" formatCode="&quot;INR&quot;\ 0.00\ &quot;Crore&quot;"/>
    <numFmt numFmtId="176" formatCode="&quot;INR&quot;\ 0\ &quot;Crore&quot;"/>
    <numFmt numFmtId="177" formatCode="0.00\ &quot;years&quot;"/>
    <numFmt numFmtId="178" formatCode="_ * #,##0.00000_ ;_ * \-#,##0.00000_ ;_ * &quot;-&quot;??_ ;_ @_ "/>
    <numFmt numFmtId="179" formatCode="_ * #,##0.000000_ ;_ * \-#,##0.000000_ ;_ * &quot;-&quot;??_ ;_ @_ "/>
    <numFmt numFmtId="180" formatCode="#,##0.0"/>
    <numFmt numFmtId="181" formatCode="0.00000000000000"/>
  </numFmts>
  <fonts count="5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Gill Sans MT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theme="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sz val="11"/>
      <color rgb="FF0070C0"/>
      <name val="Calibri"/>
      <family val="2"/>
    </font>
    <font>
      <sz val="11"/>
      <name val="Calibri"/>
      <family val="2"/>
    </font>
    <font>
      <b/>
      <sz val="14"/>
      <color theme="0"/>
      <name val="Calibri"/>
      <family val="2"/>
    </font>
    <font>
      <b/>
      <sz val="16"/>
      <color theme="0"/>
      <name val="Calibri"/>
      <family val="2"/>
    </font>
    <font>
      <b/>
      <sz val="11"/>
      <color rgb="FF0070C0"/>
      <name val="Calibri"/>
      <family val="2"/>
    </font>
    <font>
      <b/>
      <sz val="11"/>
      <color rgb="FFC00000"/>
      <name val="Calibri"/>
      <family val="2"/>
    </font>
    <font>
      <b/>
      <u/>
      <sz val="11"/>
      <color theme="1"/>
      <name val="Calibri"/>
      <family val="2"/>
    </font>
    <font>
      <b/>
      <sz val="12"/>
      <color rgb="FFC00000"/>
      <name val="Calibri"/>
      <family val="2"/>
    </font>
    <font>
      <b/>
      <i/>
      <sz val="10"/>
      <color theme="1"/>
      <name val="Calibri"/>
      <family val="2"/>
    </font>
    <font>
      <i/>
      <sz val="10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</font>
    <font>
      <i/>
      <sz val="11"/>
      <color rgb="FF0070C0"/>
      <name val="Calibri"/>
      <family val="2"/>
    </font>
    <font>
      <b/>
      <i/>
      <sz val="11"/>
      <color theme="1"/>
      <name val="Calibri"/>
      <family val="2"/>
    </font>
    <font>
      <b/>
      <i/>
      <sz val="11"/>
      <color rgb="FF0070C0"/>
      <name val="Calibri"/>
      <family val="2"/>
    </font>
    <font>
      <sz val="11"/>
      <color theme="5" tint="-0.249977111117893"/>
      <name val="Calibri"/>
      <family val="2"/>
    </font>
    <font>
      <i/>
      <sz val="11"/>
      <color theme="5" tint="-0.249977111117893"/>
      <name val="Calibri"/>
      <family val="2"/>
    </font>
    <font>
      <b/>
      <u/>
      <sz val="12"/>
      <color theme="5" tint="-0.249977111117893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</font>
    <font>
      <b/>
      <u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0"/>
      <color rgb="FFC00000"/>
      <name val="Calibri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b/>
      <sz val="11"/>
      <color rgb="FF0070C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FF0000"/>
      <name val="Calibri"/>
      <family val="2"/>
    </font>
    <font>
      <b/>
      <u/>
      <sz val="11"/>
      <color rgb="FFFF0000"/>
      <name val="Calibri"/>
      <family val="2"/>
    </font>
    <font>
      <sz val="11"/>
      <color theme="0" tint="-0.34998626667073579"/>
      <name val="Calibri"/>
      <family val="2"/>
    </font>
    <font>
      <b/>
      <sz val="11"/>
      <color theme="0" tint="-0.34998626667073579"/>
      <name val="Calibri"/>
      <family val="2"/>
    </font>
    <font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sz val="10"/>
      <color theme="1"/>
      <name val="Calibri"/>
      <family val="2"/>
      <scheme val="minor"/>
    </font>
    <font>
      <sz val="10"/>
      <color rgb="FFFFFFFF"/>
      <name val="Arial"/>
      <family val="2"/>
    </font>
    <font>
      <b/>
      <sz val="10"/>
      <color rgb="FF000000"/>
      <name val="Helvetica Neue"/>
    </font>
    <font>
      <sz val="12"/>
      <color theme="1"/>
      <name val="Helvetica Neue"/>
    </font>
    <font>
      <sz val="10"/>
      <color theme="1"/>
      <name val="Helvetica Neue"/>
    </font>
    <font>
      <b/>
      <sz val="10"/>
      <color theme="1"/>
      <name val="Helvetica Neue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82A75"/>
        <bgColor rgb="FF082A75"/>
      </patternFill>
    </fill>
    <fill>
      <patternFill patternType="solid">
        <fgColor rgb="FFFAE2D5"/>
        <bgColor rgb="FFFAE2D5"/>
      </patternFill>
    </fill>
    <fill>
      <patternFill patternType="solid">
        <fgColor rgb="FFB3E5A1"/>
        <bgColor rgb="FFB3E5A1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rgb="FFFFC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CFE2F3"/>
        <bgColor rgb="FFCFE2F3"/>
      </patternFill>
    </fill>
    <fill>
      <patternFill patternType="solid">
        <fgColor rgb="FF4F81BD"/>
        <bgColor indexed="64"/>
      </patternFill>
    </fill>
    <fill>
      <patternFill patternType="solid">
        <fgColor rgb="FFD3DFEE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theme="5" tint="0.39994506668294322"/>
      </bottom>
      <diagonal/>
    </border>
    <border>
      <left style="dotted">
        <color theme="5" tint="-0.499984740745262"/>
      </left>
      <right/>
      <top/>
      <bottom style="thin">
        <color indexed="64"/>
      </bottom>
      <diagonal/>
    </border>
    <border>
      <left style="dotted">
        <color theme="5" tint="-0.499984740745262"/>
      </left>
      <right/>
      <top/>
      <bottom/>
      <diagonal/>
    </border>
    <border>
      <left style="dotted">
        <color theme="5" tint="-0.499984740745262"/>
      </left>
      <right/>
      <top/>
      <bottom style="dotted">
        <color theme="5" tint="0.39994506668294322"/>
      </bottom>
      <diagonal/>
    </border>
    <border>
      <left style="dotted">
        <color theme="5" tint="-0.499984740745262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7BA0CD"/>
      </left>
      <right style="medium">
        <color rgb="FF7BA0CD"/>
      </right>
      <top style="medium">
        <color rgb="FF7BA0CD"/>
      </top>
      <bottom style="medium">
        <color rgb="FF7BA0CD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43" fillId="0" borderId="0"/>
  </cellStyleXfs>
  <cellXfs count="419">
    <xf numFmtId="0" fontId="0" fillId="0" borderId="0" xfId="0"/>
    <xf numFmtId="0" fontId="6" fillId="0" borderId="0" xfId="3" applyFont="1" applyAlignment="1">
      <alignment vertical="center"/>
    </xf>
    <xf numFmtId="0" fontId="6" fillId="0" borderId="0" xfId="3" applyFont="1" applyAlignment="1">
      <alignment horizontal="left" vertical="center"/>
    </xf>
    <xf numFmtId="0" fontId="6" fillId="0" borderId="0" xfId="3" applyFont="1" applyAlignment="1">
      <alignment horizontal="center" vertical="center"/>
    </xf>
    <xf numFmtId="2" fontId="11" fillId="0" borderId="0" xfId="3" applyNumberFormat="1" applyFont="1" applyAlignment="1">
      <alignment horizontal="center" vertical="center"/>
    </xf>
    <xf numFmtId="2" fontId="6" fillId="0" borderId="0" xfId="3" applyNumberFormat="1" applyFont="1" applyAlignment="1">
      <alignment vertical="center"/>
    </xf>
    <xf numFmtId="43" fontId="6" fillId="0" borderId="0" xfId="1" applyFont="1" applyAlignment="1">
      <alignment vertical="center"/>
    </xf>
    <xf numFmtId="1" fontId="6" fillId="0" borderId="0" xfId="3" applyNumberFormat="1" applyFont="1" applyAlignment="1">
      <alignment horizontal="center" vertical="center"/>
    </xf>
    <xf numFmtId="0" fontId="7" fillId="4" borderId="2" xfId="3" applyFont="1" applyFill="1" applyBorder="1" applyAlignment="1">
      <alignment horizontal="left" vertical="center"/>
    </xf>
    <xf numFmtId="2" fontId="7" fillId="4" borderId="2" xfId="3" applyNumberFormat="1" applyFont="1" applyFill="1" applyBorder="1" applyAlignment="1">
      <alignment horizontal="center" vertical="center"/>
    </xf>
    <xf numFmtId="0" fontId="12" fillId="0" borderId="0" xfId="3" applyFont="1" applyAlignment="1">
      <alignment horizontal="left" vertical="center"/>
    </xf>
    <xf numFmtId="2" fontId="12" fillId="0" borderId="0" xfId="3" applyNumberFormat="1" applyFont="1" applyAlignment="1">
      <alignment horizontal="center" vertical="center"/>
    </xf>
    <xf numFmtId="0" fontId="10" fillId="3" borderId="2" xfId="3" applyFont="1" applyFill="1" applyBorder="1" applyAlignment="1">
      <alignment horizontal="left" vertical="center"/>
    </xf>
    <xf numFmtId="2" fontId="10" fillId="3" borderId="2" xfId="3" applyNumberFormat="1" applyFont="1" applyFill="1" applyBorder="1" applyAlignment="1">
      <alignment horizontal="center" vertical="center"/>
    </xf>
    <xf numFmtId="0" fontId="12" fillId="0" borderId="0" xfId="3" applyFont="1" applyAlignment="1">
      <alignment vertical="center" wrapText="1"/>
    </xf>
    <xf numFmtId="9" fontId="12" fillId="0" borderId="0" xfId="3" applyNumberFormat="1" applyFont="1" applyAlignment="1">
      <alignment horizontal="center" vertical="center"/>
    </xf>
    <xf numFmtId="0" fontId="6" fillId="0" borderId="0" xfId="3" applyFont="1" applyAlignment="1">
      <alignment vertical="center" wrapText="1"/>
    </xf>
    <xf numFmtId="9" fontId="6" fillId="0" borderId="0" xfId="3" applyNumberFormat="1" applyFont="1" applyAlignment="1">
      <alignment horizontal="center" vertical="center"/>
    </xf>
    <xf numFmtId="2" fontId="6" fillId="0" borderId="0" xfId="3" applyNumberFormat="1" applyFont="1" applyAlignment="1">
      <alignment horizontal="center" vertical="center"/>
    </xf>
    <xf numFmtId="0" fontId="10" fillId="3" borderId="0" xfId="3" applyFont="1" applyFill="1" applyAlignment="1">
      <alignment vertical="center"/>
    </xf>
    <xf numFmtId="2" fontId="10" fillId="3" borderId="0" xfId="3" applyNumberFormat="1" applyFont="1" applyFill="1" applyAlignment="1">
      <alignment horizontal="center" vertical="center"/>
    </xf>
    <xf numFmtId="43" fontId="7" fillId="0" borderId="0" xfId="3" applyNumberFormat="1" applyFont="1" applyAlignment="1">
      <alignment vertical="center"/>
    </xf>
    <xf numFmtId="43" fontId="6" fillId="0" borderId="0" xfId="3" applyNumberFormat="1" applyFont="1" applyAlignment="1">
      <alignment vertical="center"/>
    </xf>
    <xf numFmtId="9" fontId="6" fillId="0" borderId="0" xfId="3" applyNumberFormat="1" applyFont="1" applyAlignment="1">
      <alignment horizontal="left" vertical="center"/>
    </xf>
    <xf numFmtId="43" fontId="6" fillId="0" borderId="0" xfId="1" applyFont="1" applyAlignment="1">
      <alignment horizontal="center" vertical="center"/>
    </xf>
    <xf numFmtId="43" fontId="6" fillId="0" borderId="0" xfId="3" applyNumberFormat="1" applyFont="1" applyAlignment="1">
      <alignment horizontal="center" vertical="center"/>
    </xf>
    <xf numFmtId="0" fontId="8" fillId="7" borderId="0" xfId="3" applyFont="1" applyFill="1" applyAlignment="1">
      <alignment horizontal="left" vertical="center"/>
    </xf>
    <xf numFmtId="0" fontId="9" fillId="7" borderId="0" xfId="3" applyFont="1" applyFill="1" applyAlignment="1">
      <alignment horizontal="left" vertical="center"/>
    </xf>
    <xf numFmtId="0" fontId="13" fillId="6" borderId="0" xfId="3" applyFont="1" applyFill="1" applyAlignment="1">
      <alignment horizontal="left" vertical="center"/>
    </xf>
    <xf numFmtId="0" fontId="14" fillId="6" borderId="0" xfId="3" applyFont="1" applyFill="1" applyAlignment="1">
      <alignment horizontal="left" vertical="center"/>
    </xf>
    <xf numFmtId="0" fontId="10" fillId="6" borderId="0" xfId="3" applyFont="1" applyFill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left" vertical="center"/>
    </xf>
    <xf numFmtId="0" fontId="10" fillId="3" borderId="1" xfId="0" applyFont="1" applyFill="1" applyBorder="1" applyAlignment="1">
      <alignment vertical="center"/>
    </xf>
    <xf numFmtId="0" fontId="7" fillId="4" borderId="0" xfId="0" applyFont="1" applyFill="1" applyAlignment="1">
      <alignment horizontal="left" vertical="center"/>
    </xf>
    <xf numFmtId="0" fontId="7" fillId="4" borderId="0" xfId="0" applyFont="1" applyFill="1" applyAlignment="1">
      <alignment horizontal="center" vertical="center"/>
    </xf>
    <xf numFmtId="15" fontId="11" fillId="0" borderId="0" xfId="0" applyNumberFormat="1" applyFont="1" applyAlignment="1">
      <alignment horizontal="center" vertical="center"/>
    </xf>
    <xf numFmtId="166" fontId="11" fillId="0" borderId="0" xfId="1" applyNumberFormat="1" applyFont="1" applyAlignment="1">
      <alignment horizontal="center" vertical="center"/>
    </xf>
    <xf numFmtId="167" fontId="11" fillId="0" borderId="0" xfId="1" applyNumberFormat="1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7" fillId="4" borderId="2" xfId="0" applyFont="1" applyFill="1" applyBorder="1" applyAlignment="1">
      <alignment horizontal="left" vertical="center"/>
    </xf>
    <xf numFmtId="9" fontId="11" fillId="0" borderId="0" xfId="0" applyNumberFormat="1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4" fontId="11" fillId="0" borderId="0" xfId="0" applyNumberFormat="1" applyFont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4" fontId="7" fillId="0" borderId="2" xfId="0" applyNumberFormat="1" applyFont="1" applyBorder="1" applyAlignment="1">
      <alignment horizontal="center" vertical="center"/>
    </xf>
    <xf numFmtId="4" fontId="15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3" fontId="11" fillId="0" borderId="0" xfId="0" applyNumberFormat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10" fontId="11" fillId="0" borderId="0" xfId="2" applyNumberFormat="1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2" fontId="11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vertical="center"/>
    </xf>
    <xf numFmtId="0" fontId="17" fillId="0" borderId="0" xfId="0" applyFont="1" applyAlignment="1">
      <alignment vertical="center"/>
    </xf>
    <xf numFmtId="0" fontId="7" fillId="0" borderId="2" xfId="0" applyFont="1" applyBorder="1" applyAlignment="1">
      <alignment vertical="center"/>
    </xf>
    <xf numFmtId="10" fontId="7" fillId="0" borderId="2" xfId="0" applyNumberFormat="1" applyFont="1" applyBorder="1" applyAlignment="1">
      <alignment horizontal="center" vertical="center"/>
    </xf>
    <xf numFmtId="9" fontId="15" fillId="0" borderId="2" xfId="0" applyNumberFormat="1" applyFont="1" applyBorder="1" applyAlignment="1">
      <alignment horizontal="center" vertical="center"/>
    </xf>
    <xf numFmtId="9" fontId="6" fillId="0" borderId="0" xfId="0" applyNumberFormat="1" applyFont="1" applyAlignment="1">
      <alignment vertical="center"/>
    </xf>
    <xf numFmtId="0" fontId="10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8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10" fillId="3" borderId="0" xfId="0" applyFont="1" applyFill="1" applyAlignment="1">
      <alignment horizontal="center" vertical="center"/>
    </xf>
    <xf numFmtId="170" fontId="10" fillId="3" borderId="0" xfId="0" applyNumberFormat="1" applyFont="1" applyFill="1" applyAlignment="1">
      <alignment horizontal="center" vertical="center"/>
    </xf>
    <xf numFmtId="0" fontId="19" fillId="11" borderId="0" xfId="0" applyFont="1" applyFill="1" applyAlignment="1">
      <alignment vertical="center"/>
    </xf>
    <xf numFmtId="0" fontId="19" fillId="11" borderId="0" xfId="0" applyFont="1" applyFill="1" applyAlignment="1">
      <alignment horizontal="center" vertical="center"/>
    </xf>
    <xf numFmtId="1" fontId="19" fillId="9" borderId="0" xfId="0" applyNumberFormat="1" applyFont="1" applyFill="1" applyAlignment="1">
      <alignment horizontal="center" vertical="center"/>
    </xf>
    <xf numFmtId="1" fontId="19" fillId="11" borderId="0" xfId="0" applyNumberFormat="1" applyFont="1" applyFill="1" applyAlignment="1">
      <alignment horizontal="center" vertical="center"/>
    </xf>
    <xf numFmtId="0" fontId="20" fillId="0" borderId="0" xfId="0" applyFont="1" applyAlignment="1">
      <alignment vertical="center"/>
    </xf>
    <xf numFmtId="0" fontId="21" fillId="11" borderId="0" xfId="0" applyFont="1" applyFill="1" applyAlignment="1">
      <alignment vertical="center"/>
    </xf>
    <xf numFmtId="0" fontId="21" fillId="11" borderId="0" xfId="0" applyFont="1" applyFill="1" applyAlignment="1">
      <alignment horizontal="center" vertical="center"/>
    </xf>
    <xf numFmtId="0" fontId="17" fillId="11" borderId="0" xfId="0" applyFont="1" applyFill="1" applyAlignment="1">
      <alignment vertical="center"/>
    </xf>
    <xf numFmtId="0" fontId="6" fillId="11" borderId="0" xfId="0" applyFont="1" applyFill="1" applyAlignment="1">
      <alignment vertical="center"/>
    </xf>
    <xf numFmtId="2" fontId="6" fillId="11" borderId="0" xfId="0" applyNumberFormat="1" applyFont="1" applyFill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0" fontId="6" fillId="0" borderId="0" xfId="2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9" fontId="23" fillId="0" borderId="0" xfId="0" applyNumberFormat="1" applyFont="1" applyAlignment="1">
      <alignment horizontal="center" vertical="center"/>
    </xf>
    <xf numFmtId="171" fontId="6" fillId="0" borderId="0" xfId="1" applyNumberFormat="1" applyFont="1" applyAlignment="1">
      <alignment horizontal="center" vertical="center"/>
    </xf>
    <xf numFmtId="171" fontId="6" fillId="0" borderId="0" xfId="1" applyNumberFormat="1" applyFont="1" applyAlignment="1">
      <alignment vertical="center"/>
    </xf>
    <xf numFmtId="0" fontId="24" fillId="0" borderId="2" xfId="0" applyFont="1" applyBorder="1" applyAlignment="1">
      <alignment vertical="center"/>
    </xf>
    <xf numFmtId="9" fontId="25" fillId="0" borderId="2" xfId="0" applyNumberFormat="1" applyFont="1" applyBorder="1" applyAlignment="1">
      <alignment horizontal="center" vertical="center"/>
    </xf>
    <xf numFmtId="171" fontId="24" fillId="0" borderId="2" xfId="1" applyNumberFormat="1" applyFont="1" applyBorder="1" applyAlignment="1">
      <alignment vertical="center"/>
    </xf>
    <xf numFmtId="0" fontId="10" fillId="3" borderId="2" xfId="0" applyFont="1" applyFill="1" applyBorder="1" applyAlignment="1">
      <alignment vertical="center"/>
    </xf>
    <xf numFmtId="2" fontId="10" fillId="3" borderId="2" xfId="0" applyNumberFormat="1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vertical="center"/>
    </xf>
    <xf numFmtId="2" fontId="7" fillId="11" borderId="2" xfId="0" applyNumberFormat="1" applyFont="1" applyFill="1" applyBorder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2" fontId="7" fillId="4" borderId="2" xfId="0" applyNumberFormat="1" applyFont="1" applyFill="1" applyBorder="1" applyAlignment="1">
      <alignment horizontal="center" vertical="center"/>
    </xf>
    <xf numFmtId="0" fontId="13" fillId="6" borderId="0" xfId="3" applyFont="1" applyFill="1" applyAlignment="1">
      <alignment vertical="center"/>
    </xf>
    <xf numFmtId="0" fontId="8" fillId="7" borderId="0" xfId="3" applyFont="1" applyFill="1" applyAlignment="1">
      <alignment vertical="center"/>
    </xf>
    <xf numFmtId="169" fontId="6" fillId="0" borderId="0" xfId="0" applyNumberFormat="1" applyFont="1" applyAlignment="1">
      <alignment horizontal="center" vertical="center"/>
    </xf>
    <xf numFmtId="10" fontId="0" fillId="0" borderId="0" xfId="0" applyNumberForma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0" fontId="26" fillId="0" borderId="0" xfId="0" applyNumberFormat="1" applyFont="1" applyAlignment="1">
      <alignment horizontal="center" vertical="center"/>
    </xf>
    <xf numFmtId="10" fontId="26" fillId="0" borderId="0" xfId="2" applyNumberFormat="1" applyFont="1" applyAlignment="1">
      <alignment horizontal="center" vertical="center"/>
    </xf>
    <xf numFmtId="10" fontId="27" fillId="0" borderId="0" xfId="2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0" fontId="28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12" borderId="2" xfId="0" applyFont="1" applyFill="1" applyBorder="1" applyAlignment="1">
      <alignment vertical="center"/>
    </xf>
    <xf numFmtId="2" fontId="10" fillId="12" borderId="2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2" fontId="7" fillId="0" borderId="2" xfId="0" applyNumberFormat="1" applyFont="1" applyBorder="1" applyAlignment="1">
      <alignment horizontal="center" vertical="center"/>
    </xf>
    <xf numFmtId="2" fontId="6" fillId="0" borderId="0" xfId="0" applyNumberFormat="1" applyFont="1" applyAlignment="1">
      <alignment vertical="center"/>
    </xf>
    <xf numFmtId="2" fontId="10" fillId="3" borderId="0" xfId="0" applyNumberFormat="1" applyFont="1" applyFill="1" applyAlignment="1">
      <alignment horizontal="center" vertical="center"/>
    </xf>
    <xf numFmtId="0" fontId="7" fillId="4" borderId="0" xfId="0" applyFont="1" applyFill="1" applyAlignment="1">
      <alignment vertical="center"/>
    </xf>
    <xf numFmtId="2" fontId="7" fillId="4" borderId="0" xfId="0" applyNumberFormat="1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2" fontId="29" fillId="0" borderId="2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3" applyFont="1" applyAlignment="1">
      <alignment vertical="center"/>
    </xf>
    <xf numFmtId="0" fontId="31" fillId="0" borderId="0" xfId="0" applyFont="1" applyAlignment="1">
      <alignment vertical="center"/>
    </xf>
    <xf numFmtId="2" fontId="31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2" fontId="33" fillId="0" borderId="0" xfId="0" applyNumberFormat="1" applyFont="1" applyAlignment="1">
      <alignment horizontal="center" vertical="center"/>
    </xf>
    <xf numFmtId="0" fontId="2" fillId="3" borderId="0" xfId="0" applyFont="1" applyFill="1" applyAlignment="1">
      <alignment vertical="center"/>
    </xf>
    <xf numFmtId="2" fontId="2" fillId="3" borderId="0" xfId="0" applyNumberFormat="1" applyFont="1" applyFill="1" applyAlignment="1">
      <alignment horizontal="center" vertical="center"/>
    </xf>
    <xf numFmtId="0" fontId="4" fillId="0" borderId="2" xfId="0" applyFont="1" applyBorder="1" applyAlignment="1">
      <alignment vertical="center"/>
    </xf>
    <xf numFmtId="2" fontId="4" fillId="0" borderId="2" xfId="0" applyNumberFormat="1" applyFont="1" applyBorder="1" applyAlignment="1">
      <alignment horizontal="center" vertical="center"/>
    </xf>
    <xf numFmtId="0" fontId="4" fillId="11" borderId="0" xfId="0" applyFont="1" applyFill="1" applyAlignment="1">
      <alignment vertical="center"/>
    </xf>
    <xf numFmtId="2" fontId="4" fillId="11" borderId="0" xfId="0" applyNumberFormat="1" applyFon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34" fillId="0" borderId="2" xfId="0" applyFont="1" applyBorder="1" applyAlignment="1">
      <alignment vertical="center"/>
    </xf>
    <xf numFmtId="2" fontId="34" fillId="0" borderId="2" xfId="0" applyNumberFormat="1" applyFont="1" applyBorder="1" applyAlignment="1">
      <alignment horizontal="center" vertical="center"/>
    </xf>
    <xf numFmtId="2" fontId="30" fillId="0" borderId="0" xfId="0" applyNumberFormat="1" applyFont="1" applyAlignment="1">
      <alignment horizontal="center" vertical="center"/>
    </xf>
    <xf numFmtId="0" fontId="4" fillId="11" borderId="2" xfId="0" applyFont="1" applyFill="1" applyBorder="1" applyAlignment="1">
      <alignment vertical="center"/>
    </xf>
    <xf numFmtId="2" fontId="4" fillId="11" borderId="2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2" fontId="16" fillId="9" borderId="0" xfId="0" applyNumberFormat="1" applyFont="1" applyFill="1" applyAlignment="1">
      <alignment horizontal="center" vertical="center"/>
    </xf>
    <xf numFmtId="9" fontId="10" fillId="3" borderId="0" xfId="0" applyNumberFormat="1" applyFont="1" applyFill="1" applyAlignment="1">
      <alignment horizontal="center" vertical="center"/>
    </xf>
    <xf numFmtId="10" fontId="10" fillId="3" borderId="0" xfId="0" applyNumberFormat="1" applyFont="1" applyFill="1" applyAlignment="1">
      <alignment horizontal="center" vertical="center"/>
    </xf>
    <xf numFmtId="0" fontId="6" fillId="5" borderId="0" xfId="0" applyFont="1" applyFill="1" applyAlignment="1">
      <alignment vertical="center"/>
    </xf>
    <xf numFmtId="2" fontId="6" fillId="5" borderId="0" xfId="0" applyNumberFormat="1" applyFont="1" applyFill="1" applyAlignment="1">
      <alignment horizontal="center" vertical="center"/>
    </xf>
    <xf numFmtId="0" fontId="6" fillId="13" borderId="0" xfId="0" applyFont="1" applyFill="1" applyAlignment="1">
      <alignment vertical="center"/>
    </xf>
    <xf numFmtId="2" fontId="6" fillId="13" borderId="0" xfId="0" applyNumberFormat="1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2" fontId="6" fillId="4" borderId="0" xfId="0" applyNumberFormat="1" applyFont="1" applyFill="1" applyAlignment="1">
      <alignment horizontal="center" vertical="center"/>
    </xf>
    <xf numFmtId="0" fontId="7" fillId="14" borderId="2" xfId="0" applyFont="1" applyFill="1" applyBorder="1" applyAlignment="1">
      <alignment vertical="center"/>
    </xf>
    <xf numFmtId="2" fontId="7" fillId="14" borderId="2" xfId="0" applyNumberFormat="1" applyFont="1" applyFill="1" applyBorder="1" applyAlignment="1">
      <alignment horizontal="center" vertical="center"/>
    </xf>
    <xf numFmtId="0" fontId="6" fillId="14" borderId="0" xfId="0" applyFont="1" applyFill="1" applyAlignment="1">
      <alignment vertical="center"/>
    </xf>
    <xf numFmtId="2" fontId="6" fillId="14" borderId="0" xfId="0" applyNumberFormat="1" applyFont="1" applyFill="1" applyAlignment="1">
      <alignment horizontal="center" vertical="center"/>
    </xf>
    <xf numFmtId="9" fontId="0" fillId="0" borderId="0" xfId="2" applyFont="1" applyAlignment="1">
      <alignment vertical="center"/>
    </xf>
    <xf numFmtId="0" fontId="7" fillId="15" borderId="2" xfId="0" applyFont="1" applyFill="1" applyBorder="1" applyAlignment="1">
      <alignment vertical="center"/>
    </xf>
    <xf numFmtId="0" fontId="6" fillId="15" borderId="2" xfId="0" applyFont="1" applyFill="1" applyBorder="1" applyAlignment="1">
      <alignment vertical="center"/>
    </xf>
    <xf numFmtId="2" fontId="6" fillId="15" borderId="2" xfId="0" applyNumberFormat="1" applyFont="1" applyFill="1" applyBorder="1" applyAlignment="1">
      <alignment horizontal="center" vertical="center"/>
    </xf>
    <xf numFmtId="0" fontId="6" fillId="15" borderId="0" xfId="0" applyFont="1" applyFill="1" applyAlignment="1">
      <alignment vertical="center"/>
    </xf>
    <xf numFmtId="2" fontId="6" fillId="15" borderId="0" xfId="0" applyNumberFormat="1" applyFont="1" applyFill="1" applyAlignment="1">
      <alignment horizontal="center" vertical="center"/>
    </xf>
    <xf numFmtId="0" fontId="7" fillId="8" borderId="2" xfId="0" applyFont="1" applyFill="1" applyBorder="1" applyAlignment="1">
      <alignment vertical="center"/>
    </xf>
    <xf numFmtId="2" fontId="7" fillId="8" borderId="2" xfId="0" applyNumberFormat="1" applyFont="1" applyFill="1" applyBorder="1" applyAlignment="1">
      <alignment horizontal="center" vertical="center"/>
    </xf>
    <xf numFmtId="0" fontId="6" fillId="8" borderId="0" xfId="0" applyFont="1" applyFill="1" applyAlignment="1">
      <alignment vertical="center"/>
    </xf>
    <xf numFmtId="2" fontId="6" fillId="8" borderId="0" xfId="0" applyNumberFormat="1" applyFont="1" applyFill="1" applyAlignment="1">
      <alignment horizontal="center" vertical="center"/>
    </xf>
    <xf numFmtId="0" fontId="7" fillId="16" borderId="2" xfId="0" applyFont="1" applyFill="1" applyBorder="1" applyAlignment="1">
      <alignment vertical="center"/>
    </xf>
    <xf numFmtId="2" fontId="7" fillId="16" borderId="2" xfId="0" applyNumberFormat="1" applyFont="1" applyFill="1" applyBorder="1" applyAlignment="1">
      <alignment horizontal="center" vertical="center"/>
    </xf>
    <xf numFmtId="0" fontId="6" fillId="16" borderId="0" xfId="0" applyFont="1" applyFill="1" applyAlignment="1">
      <alignment vertical="center"/>
    </xf>
    <xf numFmtId="2" fontId="6" fillId="16" borderId="0" xfId="0" applyNumberFormat="1" applyFont="1" applyFill="1" applyAlignment="1">
      <alignment horizontal="center" vertical="center"/>
    </xf>
    <xf numFmtId="0" fontId="7" fillId="17" borderId="2" xfId="0" applyFont="1" applyFill="1" applyBorder="1" applyAlignment="1">
      <alignment vertical="center"/>
    </xf>
    <xf numFmtId="2" fontId="7" fillId="17" borderId="2" xfId="0" applyNumberFormat="1" applyFont="1" applyFill="1" applyBorder="1" applyAlignment="1">
      <alignment horizontal="center" vertical="center"/>
    </xf>
    <xf numFmtId="0" fontId="6" fillId="17" borderId="0" xfId="0" applyFont="1" applyFill="1" applyAlignment="1">
      <alignment vertical="center"/>
    </xf>
    <xf numFmtId="2" fontId="6" fillId="17" borderId="0" xfId="0" applyNumberFormat="1" applyFont="1" applyFill="1" applyAlignment="1">
      <alignment horizontal="center" vertical="center"/>
    </xf>
    <xf numFmtId="0" fontId="7" fillId="18" borderId="2" xfId="0" applyFont="1" applyFill="1" applyBorder="1" applyAlignment="1">
      <alignment vertical="center"/>
    </xf>
    <xf numFmtId="2" fontId="7" fillId="18" borderId="2" xfId="0" applyNumberFormat="1" applyFont="1" applyFill="1" applyBorder="1" applyAlignment="1">
      <alignment horizontal="center" vertical="center"/>
    </xf>
    <xf numFmtId="0" fontId="6" fillId="18" borderId="0" xfId="0" applyFont="1" applyFill="1" applyAlignment="1">
      <alignment vertical="center"/>
    </xf>
    <xf numFmtId="2" fontId="6" fillId="18" borderId="0" xfId="0" applyNumberFormat="1" applyFont="1" applyFill="1" applyAlignment="1">
      <alignment horizontal="center" vertical="center"/>
    </xf>
    <xf numFmtId="2" fontId="7" fillId="19" borderId="2" xfId="0" applyNumberFormat="1" applyFont="1" applyFill="1" applyBorder="1" applyAlignment="1">
      <alignment horizontal="center" vertical="center"/>
    </xf>
    <xf numFmtId="0" fontId="6" fillId="19" borderId="0" xfId="0" applyFont="1" applyFill="1" applyAlignment="1">
      <alignment vertical="center"/>
    </xf>
    <xf numFmtId="2" fontId="6" fillId="19" borderId="0" xfId="0" applyNumberFormat="1" applyFont="1" applyFill="1" applyAlignment="1">
      <alignment horizontal="center" vertical="center"/>
    </xf>
    <xf numFmtId="0" fontId="7" fillId="10" borderId="2" xfId="0" applyFont="1" applyFill="1" applyBorder="1" applyAlignment="1">
      <alignment vertical="center"/>
    </xf>
    <xf numFmtId="2" fontId="7" fillId="10" borderId="2" xfId="0" applyNumberFormat="1" applyFont="1" applyFill="1" applyBorder="1" applyAlignment="1">
      <alignment horizontal="center" vertical="center"/>
    </xf>
    <xf numFmtId="0" fontId="6" fillId="10" borderId="0" xfId="0" applyFont="1" applyFill="1" applyAlignment="1">
      <alignment vertical="center"/>
    </xf>
    <xf numFmtId="2" fontId="6" fillId="10" borderId="0" xfId="0" applyNumberFormat="1" applyFont="1" applyFill="1" applyAlignment="1">
      <alignment horizontal="center" vertical="center"/>
    </xf>
    <xf numFmtId="0" fontId="7" fillId="2" borderId="2" xfId="0" applyFont="1" applyFill="1" applyBorder="1" applyAlignment="1">
      <alignment vertical="center"/>
    </xf>
    <xf numFmtId="2" fontId="7" fillId="2" borderId="2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2" fontId="6" fillId="2" borderId="0" xfId="0" applyNumberFormat="1" applyFont="1" applyFill="1" applyAlignment="1">
      <alignment horizontal="center" vertical="center"/>
    </xf>
    <xf numFmtId="0" fontId="7" fillId="20" borderId="2" xfId="0" applyFont="1" applyFill="1" applyBorder="1" applyAlignment="1">
      <alignment vertical="center"/>
    </xf>
    <xf numFmtId="2" fontId="7" fillId="20" borderId="2" xfId="0" applyNumberFormat="1" applyFont="1" applyFill="1" applyBorder="1" applyAlignment="1">
      <alignment horizontal="center" vertical="center"/>
    </xf>
    <xf numFmtId="0" fontId="6" fillId="20" borderId="0" xfId="0" applyFont="1" applyFill="1" applyAlignment="1">
      <alignment vertical="center"/>
    </xf>
    <xf numFmtId="2" fontId="6" fillId="20" borderId="0" xfId="0" applyNumberFormat="1" applyFont="1" applyFill="1" applyAlignment="1">
      <alignment horizontal="center" vertical="center"/>
    </xf>
    <xf numFmtId="0" fontId="35" fillId="0" borderId="0" xfId="0" applyFont="1" applyAlignment="1">
      <alignment vertical="center"/>
    </xf>
    <xf numFmtId="43" fontId="35" fillId="0" borderId="0" xfId="1" applyFont="1" applyAlignment="1">
      <alignment vertical="center"/>
    </xf>
    <xf numFmtId="173" fontId="0" fillId="0" borderId="0" xfId="1" applyNumberFormat="1" applyFont="1" applyAlignment="1">
      <alignment horizontal="center" vertical="center"/>
    </xf>
    <xf numFmtId="173" fontId="0" fillId="0" borderId="0" xfId="1" applyNumberFormat="1" applyFont="1" applyAlignment="1">
      <alignment vertical="center"/>
    </xf>
    <xf numFmtId="172" fontId="6" fillId="5" borderId="0" xfId="2" applyNumberFormat="1" applyFont="1" applyFill="1" applyAlignment="1">
      <alignment horizontal="center" vertical="center"/>
    </xf>
    <xf numFmtId="172" fontId="6" fillId="13" borderId="0" xfId="2" applyNumberFormat="1" applyFont="1" applyFill="1" applyAlignment="1">
      <alignment horizontal="center" vertical="center"/>
    </xf>
    <xf numFmtId="172" fontId="7" fillId="4" borderId="2" xfId="2" applyNumberFormat="1" applyFont="1" applyFill="1" applyBorder="1" applyAlignment="1">
      <alignment vertical="center"/>
    </xf>
    <xf numFmtId="172" fontId="6" fillId="4" borderId="0" xfId="2" applyNumberFormat="1" applyFont="1" applyFill="1" applyAlignment="1">
      <alignment horizontal="center" vertical="center"/>
    </xf>
    <xf numFmtId="172" fontId="7" fillId="14" borderId="2" xfId="2" applyNumberFormat="1" applyFont="1" applyFill="1" applyBorder="1" applyAlignment="1">
      <alignment horizontal="center" vertical="center"/>
    </xf>
    <xf numFmtId="172" fontId="6" fillId="14" borderId="0" xfId="2" applyNumberFormat="1" applyFont="1" applyFill="1" applyAlignment="1">
      <alignment horizontal="center" vertical="center"/>
    </xf>
    <xf numFmtId="172" fontId="6" fillId="15" borderId="2" xfId="2" applyNumberFormat="1" applyFont="1" applyFill="1" applyBorder="1" applyAlignment="1">
      <alignment horizontal="center" vertical="center"/>
    </xf>
    <xf numFmtId="172" fontId="6" fillId="15" borderId="0" xfId="2" applyNumberFormat="1" applyFont="1" applyFill="1" applyAlignment="1">
      <alignment horizontal="center" vertical="center"/>
    </xf>
    <xf numFmtId="172" fontId="7" fillId="8" borderId="2" xfId="2" applyNumberFormat="1" applyFont="1" applyFill="1" applyBorder="1" applyAlignment="1">
      <alignment horizontal="center" vertical="center"/>
    </xf>
    <xf numFmtId="172" fontId="6" fillId="8" borderId="0" xfId="2" applyNumberFormat="1" applyFont="1" applyFill="1" applyAlignment="1">
      <alignment horizontal="center" vertical="center"/>
    </xf>
    <xf numFmtId="172" fontId="7" fillId="16" borderId="2" xfId="2" applyNumberFormat="1" applyFont="1" applyFill="1" applyBorder="1" applyAlignment="1">
      <alignment horizontal="center" vertical="center"/>
    </xf>
    <xf numFmtId="172" fontId="6" fillId="16" borderId="0" xfId="2" applyNumberFormat="1" applyFont="1" applyFill="1" applyAlignment="1">
      <alignment horizontal="center" vertical="center"/>
    </xf>
    <xf numFmtId="172" fontId="7" fillId="17" borderId="2" xfId="2" applyNumberFormat="1" applyFont="1" applyFill="1" applyBorder="1" applyAlignment="1">
      <alignment horizontal="center" vertical="center"/>
    </xf>
    <xf numFmtId="172" fontId="6" fillId="17" borderId="0" xfId="2" applyNumberFormat="1" applyFont="1" applyFill="1" applyAlignment="1">
      <alignment horizontal="center" vertical="center"/>
    </xf>
    <xf numFmtId="172" fontId="7" fillId="18" borderId="2" xfId="2" applyNumberFormat="1" applyFont="1" applyFill="1" applyBorder="1" applyAlignment="1">
      <alignment horizontal="center" vertical="center"/>
    </xf>
    <xf numFmtId="172" fontId="6" fillId="18" borderId="0" xfId="2" applyNumberFormat="1" applyFont="1" applyFill="1" applyAlignment="1">
      <alignment horizontal="center" vertical="center"/>
    </xf>
    <xf numFmtId="172" fontId="7" fillId="11" borderId="2" xfId="2" applyNumberFormat="1" applyFont="1" applyFill="1" applyBorder="1" applyAlignment="1">
      <alignment horizontal="center" vertical="center"/>
    </xf>
    <xf numFmtId="172" fontId="6" fillId="11" borderId="0" xfId="2" applyNumberFormat="1" applyFont="1" applyFill="1" applyAlignment="1">
      <alignment horizontal="center" vertical="center"/>
    </xf>
    <xf numFmtId="172" fontId="7" fillId="19" borderId="2" xfId="2" applyNumberFormat="1" applyFont="1" applyFill="1" applyBorder="1" applyAlignment="1">
      <alignment horizontal="center" vertical="center"/>
    </xf>
    <xf numFmtId="172" fontId="6" fillId="19" borderId="0" xfId="2" applyNumberFormat="1" applyFont="1" applyFill="1" applyAlignment="1">
      <alignment horizontal="center" vertical="center"/>
    </xf>
    <xf numFmtId="172" fontId="7" fillId="10" borderId="2" xfId="2" applyNumberFormat="1" applyFont="1" applyFill="1" applyBorder="1" applyAlignment="1">
      <alignment horizontal="center" vertical="center"/>
    </xf>
    <xf numFmtId="172" fontId="6" fillId="10" borderId="0" xfId="2" applyNumberFormat="1" applyFont="1" applyFill="1" applyAlignment="1">
      <alignment horizontal="center" vertical="center"/>
    </xf>
    <xf numFmtId="172" fontId="7" fillId="2" borderId="2" xfId="2" applyNumberFormat="1" applyFont="1" applyFill="1" applyBorder="1" applyAlignment="1">
      <alignment horizontal="center" vertical="center"/>
    </xf>
    <xf numFmtId="172" fontId="6" fillId="2" borderId="0" xfId="2" applyNumberFormat="1" applyFont="1" applyFill="1" applyAlignment="1">
      <alignment horizontal="center" vertical="center"/>
    </xf>
    <xf numFmtId="172" fontId="7" fillId="20" borderId="2" xfId="2" applyNumberFormat="1" applyFont="1" applyFill="1" applyBorder="1" applyAlignment="1">
      <alignment horizontal="center" vertical="center"/>
    </xf>
    <xf numFmtId="172" fontId="6" fillId="20" borderId="0" xfId="2" applyNumberFormat="1" applyFont="1" applyFill="1" applyAlignment="1">
      <alignment horizontal="center" vertical="center"/>
    </xf>
    <xf numFmtId="172" fontId="0" fillId="0" borderId="0" xfId="2" applyNumberFormat="1" applyFont="1" applyAlignment="1">
      <alignment horizontal="center" vertical="center"/>
    </xf>
    <xf numFmtId="172" fontId="0" fillId="0" borderId="0" xfId="2" applyNumberFormat="1" applyFont="1" applyAlignment="1">
      <alignment vertical="center"/>
    </xf>
    <xf numFmtId="0" fontId="18" fillId="10" borderId="0" xfId="0" applyFont="1" applyFill="1" applyAlignment="1">
      <alignment vertical="center"/>
    </xf>
    <xf numFmtId="0" fontId="10" fillId="3" borderId="0" xfId="0" applyFont="1" applyFill="1" applyAlignment="1">
      <alignment horizontal="center" vertical="center" wrapText="1"/>
    </xf>
    <xf numFmtId="10" fontId="11" fillId="0" borderId="0" xfId="5" applyNumberFormat="1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7" fillId="11" borderId="0" xfId="0" applyFont="1" applyFill="1" applyAlignment="1">
      <alignment vertical="center"/>
    </xf>
    <xf numFmtId="0" fontId="7" fillId="11" borderId="0" xfId="0" applyFont="1" applyFill="1" applyAlignment="1">
      <alignment horizontal="center" vertical="center"/>
    </xf>
    <xf numFmtId="170" fontId="16" fillId="9" borderId="0" xfId="0" applyNumberFormat="1" applyFont="1" applyFill="1" applyAlignment="1">
      <alignment horizontal="center" vertical="center"/>
    </xf>
    <xf numFmtId="170" fontId="7" fillId="11" borderId="0" xfId="0" applyNumberFormat="1" applyFont="1" applyFill="1" applyAlignment="1">
      <alignment horizontal="center" vertical="center"/>
    </xf>
    <xf numFmtId="0" fontId="7" fillId="21" borderId="0" xfId="0" applyFont="1" applyFill="1" applyAlignment="1">
      <alignment vertical="center"/>
    </xf>
    <xf numFmtId="2" fontId="7" fillId="21" borderId="0" xfId="0" applyNumberFormat="1" applyFont="1" applyFill="1" applyAlignment="1">
      <alignment horizontal="center" vertical="center"/>
    </xf>
    <xf numFmtId="165" fontId="7" fillId="21" borderId="0" xfId="0" applyNumberFormat="1" applyFont="1" applyFill="1" applyAlignment="1">
      <alignment horizontal="center" vertical="center"/>
    </xf>
    <xf numFmtId="0" fontId="6" fillId="21" borderId="0" xfId="0" applyFont="1" applyFill="1" applyAlignment="1">
      <alignment vertical="center"/>
    </xf>
    <xf numFmtId="2" fontId="6" fillId="21" borderId="0" xfId="0" applyNumberFormat="1" applyFont="1" applyFill="1" applyAlignment="1">
      <alignment horizontal="center" vertical="center"/>
    </xf>
    <xf numFmtId="0" fontId="29" fillId="2" borderId="1" xfId="3" applyFont="1" applyFill="1" applyBorder="1" applyAlignment="1">
      <alignment vertical="center"/>
    </xf>
    <xf numFmtId="168" fontId="29" fillId="2" borderId="1" xfId="3" applyNumberFormat="1" applyFont="1" applyFill="1" applyBorder="1" applyAlignment="1">
      <alignment horizontal="center" vertical="center"/>
    </xf>
    <xf numFmtId="164" fontId="29" fillId="2" borderId="1" xfId="3" applyNumberFormat="1" applyFont="1" applyFill="1" applyBorder="1" applyAlignment="1">
      <alignment horizontal="center" vertical="center"/>
    </xf>
    <xf numFmtId="0" fontId="29" fillId="2" borderId="0" xfId="3" applyFont="1" applyFill="1" applyAlignment="1">
      <alignment horizontal="left" vertical="center"/>
    </xf>
    <xf numFmtId="0" fontId="29" fillId="2" borderId="0" xfId="3" applyFont="1" applyFill="1" applyAlignment="1">
      <alignment horizontal="center" vertical="center"/>
    </xf>
    <xf numFmtId="0" fontId="29" fillId="2" borderId="1" xfId="3" applyFont="1" applyFill="1" applyBorder="1" applyAlignment="1">
      <alignment horizontal="left" vertical="center"/>
    </xf>
    <xf numFmtId="0" fontId="29" fillId="2" borderId="1" xfId="3" applyFont="1" applyFill="1" applyBorder="1" applyAlignment="1">
      <alignment horizontal="center" vertical="center"/>
    </xf>
    <xf numFmtId="0" fontId="29" fillId="2" borderId="0" xfId="3" applyFont="1" applyFill="1" applyAlignment="1">
      <alignment vertical="center"/>
    </xf>
    <xf numFmtId="168" fontId="29" fillId="2" borderId="0" xfId="3" applyNumberFormat="1" applyFont="1" applyFill="1" applyAlignment="1">
      <alignment horizontal="center" vertical="center"/>
    </xf>
    <xf numFmtId="164" fontId="29" fillId="2" borderId="0" xfId="3" applyNumberFormat="1" applyFont="1" applyFill="1" applyAlignment="1">
      <alignment horizontal="center" vertical="center"/>
    </xf>
    <xf numFmtId="0" fontId="6" fillId="0" borderId="3" xfId="3" applyFont="1" applyBorder="1" applyAlignment="1">
      <alignment horizontal="left" vertical="center"/>
    </xf>
    <xf numFmtId="2" fontId="11" fillId="0" borderId="3" xfId="3" applyNumberFormat="1" applyFont="1" applyBorder="1" applyAlignment="1">
      <alignment horizontal="center" vertical="center"/>
    </xf>
    <xf numFmtId="2" fontId="11" fillId="0" borderId="5" xfId="3" applyNumberFormat="1" applyFont="1" applyBorder="1" applyAlignment="1">
      <alignment horizontal="center" vertical="center"/>
    </xf>
    <xf numFmtId="2" fontId="11" fillId="0" borderId="6" xfId="3" applyNumberFormat="1" applyFont="1" applyBorder="1" applyAlignment="1">
      <alignment horizontal="center" vertical="center"/>
    </xf>
    <xf numFmtId="2" fontId="12" fillId="0" borderId="5" xfId="3" applyNumberFormat="1" applyFont="1" applyBorder="1" applyAlignment="1">
      <alignment horizontal="center" vertical="center"/>
    </xf>
    <xf numFmtId="2" fontId="7" fillId="4" borderId="7" xfId="3" applyNumberFormat="1" applyFont="1" applyFill="1" applyBorder="1" applyAlignment="1">
      <alignment horizontal="center" vertical="center"/>
    </xf>
    <xf numFmtId="2" fontId="10" fillId="3" borderId="7" xfId="3" applyNumberFormat="1" applyFont="1" applyFill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170" fontId="10" fillId="3" borderId="0" xfId="0" applyNumberFormat="1" applyFont="1" applyFill="1" applyAlignment="1">
      <alignment horizontal="left" vertical="center"/>
    </xf>
    <xf numFmtId="0" fontId="4" fillId="11" borderId="8" xfId="0" applyFont="1" applyFill="1" applyBorder="1" applyAlignment="1">
      <alignment vertical="center"/>
    </xf>
    <xf numFmtId="10" fontId="4" fillId="11" borderId="9" xfId="2" applyNumberFormat="1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vertical="center"/>
    </xf>
    <xf numFmtId="10" fontId="4" fillId="11" borderId="11" xfId="0" applyNumberFormat="1" applyFont="1" applyFill="1" applyBorder="1" applyAlignment="1">
      <alignment vertical="center"/>
    </xf>
    <xf numFmtId="2" fontId="37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2" fontId="37" fillId="0" borderId="2" xfId="0" applyNumberFormat="1" applyFont="1" applyBorder="1" applyAlignment="1">
      <alignment horizontal="center" vertical="center"/>
    </xf>
    <xf numFmtId="0" fontId="12" fillId="0" borderId="0" xfId="3" applyFont="1" applyAlignment="1">
      <alignment vertical="center"/>
    </xf>
    <xf numFmtId="10" fontId="12" fillId="0" borderId="0" xfId="0" applyNumberFormat="1" applyFont="1" applyAlignment="1">
      <alignment vertical="center"/>
    </xf>
    <xf numFmtId="174" fontId="0" fillId="0" borderId="0" xfId="1" applyNumberFormat="1" applyFont="1" applyAlignment="1">
      <alignment vertical="center"/>
    </xf>
    <xf numFmtId="9" fontId="7" fillId="0" borderId="0" xfId="3" applyNumberFormat="1" applyFont="1" applyAlignment="1">
      <alignment horizontal="center" vertical="center"/>
    </xf>
    <xf numFmtId="2" fontId="29" fillId="0" borderId="0" xfId="3" applyNumberFormat="1" applyFont="1" applyAlignment="1">
      <alignment horizontal="center" vertical="center"/>
    </xf>
    <xf numFmtId="175" fontId="10" fillId="3" borderId="0" xfId="0" applyNumberFormat="1" applyFont="1" applyFill="1" applyAlignment="1">
      <alignment vertical="center"/>
    </xf>
    <xf numFmtId="176" fontId="10" fillId="3" borderId="0" xfId="0" applyNumberFormat="1" applyFont="1" applyFill="1" applyAlignment="1">
      <alignment vertical="center"/>
    </xf>
    <xf numFmtId="10" fontId="10" fillId="3" borderId="0" xfId="0" applyNumberFormat="1" applyFont="1" applyFill="1" applyAlignment="1">
      <alignment vertical="center"/>
    </xf>
    <xf numFmtId="0" fontId="10" fillId="3" borderId="12" xfId="0" applyFont="1" applyFill="1" applyBorder="1" applyAlignment="1">
      <alignment vertical="center"/>
    </xf>
    <xf numFmtId="9" fontId="10" fillId="3" borderId="12" xfId="0" applyNumberFormat="1" applyFont="1" applyFill="1" applyBorder="1" applyAlignment="1">
      <alignment vertical="center"/>
    </xf>
    <xf numFmtId="0" fontId="6" fillId="0" borderId="12" xfId="0" applyFont="1" applyBorder="1" applyAlignment="1">
      <alignment vertical="center"/>
    </xf>
    <xf numFmtId="9" fontId="6" fillId="0" borderId="12" xfId="0" applyNumberFormat="1" applyFont="1" applyBorder="1" applyAlignment="1">
      <alignment vertical="center"/>
    </xf>
    <xf numFmtId="10" fontId="6" fillId="0" borderId="12" xfId="0" applyNumberFormat="1" applyFont="1" applyBorder="1" applyAlignment="1">
      <alignment vertical="center"/>
    </xf>
    <xf numFmtId="10" fontId="10" fillId="3" borderId="12" xfId="0" applyNumberFormat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38" fillId="2" borderId="0" xfId="0" applyFont="1" applyFill="1" applyAlignment="1">
      <alignment vertical="center"/>
    </xf>
    <xf numFmtId="177" fontId="10" fillId="3" borderId="0" xfId="0" applyNumberFormat="1" applyFont="1" applyFill="1" applyAlignment="1">
      <alignment vertical="center"/>
    </xf>
    <xf numFmtId="176" fontId="10" fillId="3" borderId="0" xfId="0" applyNumberFormat="1" applyFont="1" applyFill="1" applyAlignment="1">
      <alignment horizontal="center" vertical="center"/>
    </xf>
    <xf numFmtId="43" fontId="0" fillId="0" borderId="0" xfId="1" applyFont="1" applyAlignment="1">
      <alignment vertical="center"/>
    </xf>
    <xf numFmtId="10" fontId="6" fillId="0" borderId="0" xfId="2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4" fillId="0" borderId="13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2" fontId="7" fillId="0" borderId="13" xfId="0" applyNumberFormat="1" applyFont="1" applyBorder="1" applyAlignment="1">
      <alignment horizontal="center" vertical="center"/>
    </xf>
    <xf numFmtId="9" fontId="7" fillId="0" borderId="13" xfId="2" applyFont="1" applyFill="1" applyBorder="1" applyAlignment="1">
      <alignment horizontal="center" vertical="center"/>
    </xf>
    <xf numFmtId="2" fontId="31" fillId="0" borderId="0" xfId="3" applyNumberFormat="1" applyFont="1" applyAlignment="1">
      <alignment horizontal="center" vertical="center"/>
    </xf>
    <xf numFmtId="0" fontId="10" fillId="3" borderId="0" xfId="0" applyFont="1" applyFill="1" applyAlignment="1">
      <alignment horizontal="right" vertical="center" wrapText="1"/>
    </xf>
    <xf numFmtId="178" fontId="6" fillId="0" borderId="0" xfId="1" applyNumberFormat="1" applyFont="1" applyAlignment="1">
      <alignment vertical="center"/>
    </xf>
    <xf numFmtId="179" fontId="6" fillId="0" borderId="0" xfId="1" applyNumberFormat="1" applyFont="1" applyAlignment="1">
      <alignment vertical="center"/>
    </xf>
    <xf numFmtId="43" fontId="6" fillId="0" borderId="0" xfId="0" applyNumberFormat="1" applyFont="1" applyAlignment="1">
      <alignment vertical="center"/>
    </xf>
    <xf numFmtId="10" fontId="31" fillId="0" borderId="0" xfId="0" applyNumberFormat="1" applyFont="1" applyAlignment="1">
      <alignment horizontal="center" vertical="center"/>
    </xf>
    <xf numFmtId="0" fontId="41" fillId="0" borderId="0" xfId="3" applyFont="1" applyAlignment="1">
      <alignment vertical="center"/>
    </xf>
    <xf numFmtId="43" fontId="41" fillId="0" borderId="0" xfId="1" applyFont="1" applyAlignment="1">
      <alignment vertical="center"/>
    </xf>
    <xf numFmtId="9" fontId="41" fillId="0" borderId="0" xfId="2" applyFont="1" applyAlignment="1">
      <alignment vertical="center"/>
    </xf>
    <xf numFmtId="2" fontId="41" fillId="0" borderId="0" xfId="3" applyNumberFormat="1" applyFont="1" applyAlignment="1">
      <alignment vertical="center"/>
    </xf>
    <xf numFmtId="2" fontId="41" fillId="0" borderId="0" xfId="2" applyNumberFormat="1" applyFont="1" applyAlignment="1">
      <alignment vertical="center"/>
    </xf>
    <xf numFmtId="10" fontId="0" fillId="0" borderId="0" xfId="2" applyNumberFormat="1" applyFont="1" applyAlignment="1">
      <alignment vertical="center"/>
    </xf>
    <xf numFmtId="170" fontId="29" fillId="0" borderId="0" xfId="0" applyNumberFormat="1" applyFont="1" applyAlignment="1">
      <alignment horizontal="center" vertical="center"/>
    </xf>
    <xf numFmtId="177" fontId="0" fillId="0" borderId="0" xfId="0" applyNumberFormat="1" applyAlignment="1">
      <alignment vertical="center"/>
    </xf>
    <xf numFmtId="9" fontId="16" fillId="22" borderId="0" xfId="3" applyNumberFormat="1" applyFont="1" applyFill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7" fillId="0" borderId="0" xfId="0" applyFont="1" applyAlignment="1">
      <alignment vertical="center" wrapText="1"/>
    </xf>
    <xf numFmtId="10" fontId="7" fillId="0" borderId="0" xfId="4" applyNumberFormat="1" applyFont="1" applyAlignment="1">
      <alignment horizontal="center" vertical="center"/>
    </xf>
    <xf numFmtId="10" fontId="10" fillId="3" borderId="2" xfId="4" applyNumberFormat="1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10" fontId="6" fillId="0" borderId="0" xfId="0" applyNumberFormat="1" applyFont="1" applyAlignment="1">
      <alignment horizontal="center" vertical="center"/>
    </xf>
    <xf numFmtId="0" fontId="16" fillId="23" borderId="0" xfId="0" applyFont="1" applyFill="1" applyAlignment="1">
      <alignment vertical="center"/>
    </xf>
    <xf numFmtId="0" fontId="38" fillId="23" borderId="0" xfId="0" applyFont="1" applyFill="1" applyAlignment="1">
      <alignment vertical="center"/>
    </xf>
    <xf numFmtId="2" fontId="0" fillId="0" borderId="0" xfId="0" applyNumberFormat="1"/>
    <xf numFmtId="171" fontId="0" fillId="0" borderId="0" xfId="1" applyNumberFormat="1" applyFont="1"/>
    <xf numFmtId="9" fontId="0" fillId="0" borderId="0" xfId="2" applyFont="1"/>
    <xf numFmtId="171" fontId="0" fillId="0" borderId="0" xfId="0" applyNumberFormat="1"/>
    <xf numFmtId="43" fontId="0" fillId="0" borderId="0" xfId="0" applyNumberFormat="1"/>
    <xf numFmtId="0" fontId="18" fillId="9" borderId="0" xfId="0" applyFont="1" applyFill="1" applyAlignment="1">
      <alignment horizontal="center" vertical="center"/>
    </xf>
    <xf numFmtId="2" fontId="6" fillId="0" borderId="0" xfId="4" applyNumberFormat="1" applyFont="1" applyFill="1" applyAlignment="1">
      <alignment horizontal="center" vertical="center"/>
    </xf>
    <xf numFmtId="172" fontId="6" fillId="0" borderId="0" xfId="2" applyNumberFormat="1" applyFont="1" applyFill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2" fontId="6" fillId="29" borderId="0" xfId="0" applyNumberFormat="1" applyFont="1" applyFill="1" applyAlignment="1">
      <alignment horizontal="center" vertical="center"/>
    </xf>
    <xf numFmtId="2" fontId="6" fillId="8" borderId="1" xfId="0" applyNumberFormat="1" applyFont="1" applyFill="1" applyBorder="1" applyAlignment="1">
      <alignment horizontal="center" vertical="center"/>
    </xf>
    <xf numFmtId="0" fontId="7" fillId="18" borderId="14" xfId="0" applyFont="1" applyFill="1" applyBorder="1" applyAlignment="1">
      <alignment vertical="center"/>
    </xf>
    <xf numFmtId="172" fontId="7" fillId="18" borderId="15" xfId="2" applyNumberFormat="1" applyFont="1" applyFill="1" applyBorder="1" applyAlignment="1">
      <alignment horizontal="center" vertical="center"/>
    </xf>
    <xf numFmtId="2" fontId="6" fillId="19" borderId="2" xfId="0" applyNumberFormat="1" applyFont="1" applyFill="1" applyBorder="1" applyAlignment="1">
      <alignment horizontal="center" vertical="center"/>
    </xf>
    <xf numFmtId="2" fontId="6" fillId="18" borderId="2" xfId="0" applyNumberFormat="1" applyFont="1" applyFill="1" applyBorder="1" applyAlignment="1">
      <alignment horizontal="center" vertical="center"/>
    </xf>
    <xf numFmtId="0" fontId="7" fillId="11" borderId="14" xfId="0" applyFont="1" applyFill="1" applyBorder="1" applyAlignment="1">
      <alignment vertical="center"/>
    </xf>
    <xf numFmtId="172" fontId="7" fillId="11" borderId="15" xfId="2" applyNumberFormat="1" applyFont="1" applyFill="1" applyBorder="1" applyAlignment="1">
      <alignment horizontal="center" vertical="center"/>
    </xf>
    <xf numFmtId="0" fontId="7" fillId="17" borderId="14" xfId="0" applyFont="1" applyFill="1" applyBorder="1" applyAlignment="1">
      <alignment vertical="center"/>
    </xf>
    <xf numFmtId="172" fontId="7" fillId="17" borderId="15" xfId="2" applyNumberFormat="1" applyFont="1" applyFill="1" applyBorder="1" applyAlignment="1">
      <alignment horizontal="center" vertical="center"/>
    </xf>
    <xf numFmtId="2" fontId="6" fillId="17" borderId="2" xfId="0" applyNumberFormat="1" applyFont="1" applyFill="1" applyBorder="1" applyAlignment="1">
      <alignment horizontal="center" vertical="center"/>
    </xf>
    <xf numFmtId="0" fontId="7" fillId="19" borderId="14" xfId="0" applyFont="1" applyFill="1" applyBorder="1" applyAlignment="1">
      <alignment vertical="center"/>
    </xf>
    <xf numFmtId="172" fontId="7" fillId="19" borderId="15" xfId="2" applyNumberFormat="1" applyFont="1" applyFill="1" applyBorder="1" applyAlignment="1">
      <alignment horizontal="center" vertical="center"/>
    </xf>
    <xf numFmtId="0" fontId="7" fillId="10" borderId="14" xfId="0" applyFont="1" applyFill="1" applyBorder="1" applyAlignment="1">
      <alignment vertical="center"/>
    </xf>
    <xf numFmtId="2" fontId="6" fillId="29" borderId="2" xfId="0" applyNumberFormat="1" applyFont="1" applyFill="1" applyBorder="1" applyAlignment="1">
      <alignment horizontal="center" vertical="center"/>
    </xf>
    <xf numFmtId="172" fontId="7" fillId="10" borderId="15" xfId="2" applyNumberFormat="1" applyFont="1" applyFill="1" applyBorder="1" applyAlignment="1">
      <alignment horizontal="center" vertical="center"/>
    </xf>
    <xf numFmtId="4" fontId="26" fillId="0" borderId="0" xfId="0" applyNumberFormat="1" applyFont="1" applyAlignment="1">
      <alignment horizontal="center" vertical="center"/>
    </xf>
    <xf numFmtId="43" fontId="42" fillId="16" borderId="0" xfId="1" applyFont="1" applyFill="1" applyAlignment="1">
      <alignment vertical="center"/>
    </xf>
    <xf numFmtId="0" fontId="7" fillId="16" borderId="0" xfId="3" applyFont="1" applyFill="1" applyAlignment="1">
      <alignment vertical="center"/>
    </xf>
    <xf numFmtId="43" fontId="7" fillId="16" borderId="0" xfId="1" applyFont="1" applyFill="1" applyAlignment="1">
      <alignment vertical="center"/>
    </xf>
    <xf numFmtId="0" fontId="42" fillId="16" borderId="0" xfId="3" applyFont="1" applyFill="1" applyAlignment="1">
      <alignment vertical="center"/>
    </xf>
    <xf numFmtId="43" fontId="7" fillId="16" borderId="0" xfId="3" applyNumberFormat="1" applyFont="1" applyFill="1" applyAlignment="1">
      <alignment vertical="center"/>
    </xf>
    <xf numFmtId="9" fontId="7" fillId="16" borderId="0" xfId="2" applyFont="1" applyFill="1" applyAlignment="1">
      <alignment vertical="center"/>
    </xf>
    <xf numFmtId="2" fontId="7" fillId="16" borderId="0" xfId="3" applyNumberFormat="1" applyFont="1" applyFill="1" applyAlignment="1">
      <alignment vertical="center"/>
    </xf>
    <xf numFmtId="2" fontId="7" fillId="16" borderId="0" xfId="2" applyNumberFormat="1" applyFont="1" applyFill="1" applyAlignment="1">
      <alignment vertical="center"/>
    </xf>
    <xf numFmtId="0" fontId="1" fillId="0" borderId="0" xfId="6" applyFont="1"/>
    <xf numFmtId="0" fontId="46" fillId="0" borderId="0" xfId="6" applyFont="1" applyAlignment="1">
      <alignment horizontal="center"/>
    </xf>
    <xf numFmtId="2" fontId="47" fillId="0" borderId="0" xfId="6" applyNumberFormat="1" applyFont="1" applyAlignment="1">
      <alignment horizontal="center"/>
    </xf>
    <xf numFmtId="2" fontId="46" fillId="0" borderId="0" xfId="6" applyNumberFormat="1" applyFont="1" applyAlignment="1">
      <alignment horizontal="center"/>
    </xf>
    <xf numFmtId="0" fontId="47" fillId="26" borderId="0" xfId="6" applyFont="1" applyFill="1" applyAlignment="1">
      <alignment wrapText="1"/>
    </xf>
    <xf numFmtId="0" fontId="47" fillId="26" borderId="0" xfId="6" applyFont="1" applyFill="1" applyAlignment="1">
      <alignment horizontal="center"/>
    </xf>
    <xf numFmtId="1" fontId="47" fillId="26" borderId="0" xfId="6" applyNumberFormat="1" applyFont="1" applyFill="1" applyAlignment="1">
      <alignment horizontal="center"/>
    </xf>
    <xf numFmtId="4" fontId="47" fillId="26" borderId="0" xfId="6" applyNumberFormat="1" applyFont="1" applyFill="1" applyAlignment="1">
      <alignment horizontal="center"/>
    </xf>
    <xf numFmtId="2" fontId="47" fillId="26" borderId="0" xfId="6" applyNumberFormat="1" applyFont="1" applyFill="1" applyAlignment="1">
      <alignment horizontal="center"/>
    </xf>
    <xf numFmtId="0" fontId="1" fillId="27" borderId="0" xfId="6" applyFont="1" applyFill="1"/>
    <xf numFmtId="0" fontId="46" fillId="26" borderId="0" xfId="6" applyFont="1" applyFill="1" applyAlignment="1">
      <alignment wrapText="1"/>
    </xf>
    <xf numFmtId="0" fontId="46" fillId="26" borderId="0" xfId="6" applyFont="1" applyFill="1" applyAlignment="1">
      <alignment horizontal="center"/>
    </xf>
    <xf numFmtId="1" fontId="46" fillId="26" borderId="0" xfId="6" applyNumberFormat="1" applyFont="1" applyFill="1" applyAlignment="1">
      <alignment horizontal="center"/>
    </xf>
    <xf numFmtId="2" fontId="46" fillId="26" borderId="0" xfId="6" applyNumberFormat="1" applyFont="1" applyFill="1" applyAlignment="1">
      <alignment horizontal="center"/>
    </xf>
    <xf numFmtId="0" fontId="46" fillId="28" borderId="0" xfId="6" applyFont="1" applyFill="1" applyAlignment="1">
      <alignment wrapText="1"/>
    </xf>
    <xf numFmtId="0" fontId="46" fillId="28" borderId="0" xfId="6" applyFont="1" applyFill="1" applyAlignment="1">
      <alignment horizontal="center"/>
    </xf>
    <xf numFmtId="2" fontId="46" fillId="28" borderId="0" xfId="6" applyNumberFormat="1" applyFont="1" applyFill="1" applyAlignment="1">
      <alignment horizontal="center"/>
    </xf>
    <xf numFmtId="0" fontId="48" fillId="0" borderId="0" xfId="6" applyFont="1"/>
    <xf numFmtId="0" fontId="1" fillId="0" borderId="0" xfId="6" applyFont="1" applyAlignment="1">
      <alignment vertical="center"/>
    </xf>
    <xf numFmtId="0" fontId="4" fillId="0" borderId="0" xfId="6" applyFont="1" applyAlignment="1">
      <alignment vertical="center"/>
    </xf>
    <xf numFmtId="0" fontId="48" fillId="0" borderId="12" xfId="6" applyFont="1" applyBorder="1" applyAlignment="1">
      <alignment vertical="center"/>
    </xf>
    <xf numFmtId="0" fontId="49" fillId="24" borderId="12" xfId="6" applyFont="1" applyFill="1" applyBorder="1" applyAlignment="1">
      <alignment horizontal="center" vertical="center" wrapText="1" readingOrder="1"/>
    </xf>
    <xf numFmtId="2" fontId="49" fillId="24" borderId="12" xfId="6" applyNumberFormat="1" applyFont="1" applyFill="1" applyBorder="1" applyAlignment="1">
      <alignment horizontal="center" vertical="center" wrapText="1" readingOrder="1"/>
    </xf>
    <xf numFmtId="0" fontId="1" fillId="0" borderId="12" xfId="6" applyFont="1" applyBorder="1" applyAlignment="1">
      <alignment vertical="center"/>
    </xf>
    <xf numFmtId="0" fontId="1" fillId="0" borderId="12" xfId="6" applyFont="1" applyBorder="1" applyAlignment="1">
      <alignment wrapText="1"/>
    </xf>
    <xf numFmtId="0" fontId="46" fillId="25" borderId="12" xfId="6" applyFont="1" applyFill="1" applyBorder="1" applyAlignment="1">
      <alignment horizontal="center"/>
    </xf>
    <xf numFmtId="1" fontId="46" fillId="0" borderId="12" xfId="6" applyNumberFormat="1" applyFont="1" applyBorder="1" applyAlignment="1">
      <alignment horizontal="center"/>
    </xf>
    <xf numFmtId="4" fontId="46" fillId="0" borderId="12" xfId="6" applyNumberFormat="1" applyFont="1" applyBorder="1" applyAlignment="1">
      <alignment horizontal="center"/>
    </xf>
    <xf numFmtId="2" fontId="46" fillId="0" borderId="12" xfId="6" applyNumberFormat="1" applyFont="1" applyBorder="1" applyAlignment="1">
      <alignment horizontal="center"/>
    </xf>
    <xf numFmtId="0" fontId="1" fillId="0" borderId="12" xfId="6" applyFont="1" applyBorder="1"/>
    <xf numFmtId="0" fontId="46" fillId="0" borderId="12" xfId="6" applyFont="1" applyBorder="1" applyAlignment="1">
      <alignment horizontal="center"/>
    </xf>
    <xf numFmtId="0" fontId="48" fillId="0" borderId="12" xfId="6" applyFont="1" applyBorder="1"/>
    <xf numFmtId="0" fontId="50" fillId="30" borderId="16" xfId="0" applyFont="1" applyFill="1" applyBorder="1" applyAlignment="1">
      <alignment horizontal="center" vertical="center" wrapText="1"/>
    </xf>
    <xf numFmtId="0" fontId="50" fillId="30" borderId="17" xfId="0" applyFont="1" applyFill="1" applyBorder="1" applyAlignment="1">
      <alignment horizontal="justify" vertical="center" wrapText="1"/>
    </xf>
    <xf numFmtId="0" fontId="50" fillId="30" borderId="17" xfId="0" applyFont="1" applyFill="1" applyBorder="1" applyAlignment="1">
      <alignment horizontal="center" vertical="center" wrapText="1"/>
    </xf>
    <xf numFmtId="0" fontId="52" fillId="0" borderId="18" xfId="0" applyFont="1" applyBorder="1" applyAlignment="1">
      <alignment horizontal="center" vertical="center" wrapText="1"/>
    </xf>
    <xf numFmtId="0" fontId="52" fillId="0" borderId="19" xfId="0" applyFont="1" applyBorder="1" applyAlignment="1">
      <alignment horizontal="justify" vertical="center" wrapText="1"/>
    </xf>
    <xf numFmtId="0" fontId="52" fillId="0" borderId="19" xfId="0" applyFont="1" applyBorder="1" applyAlignment="1">
      <alignment horizontal="center" vertical="center" wrapText="1"/>
    </xf>
    <xf numFmtId="3" fontId="52" fillId="0" borderId="19" xfId="0" applyNumberFormat="1" applyFont="1" applyBorder="1" applyAlignment="1">
      <alignment horizontal="center" vertical="center" wrapText="1"/>
    </xf>
    <xf numFmtId="0" fontId="51" fillId="0" borderId="18" xfId="0" applyFont="1" applyBorder="1" applyAlignment="1">
      <alignment horizontal="center" vertical="center" wrapText="1"/>
    </xf>
    <xf numFmtId="0" fontId="53" fillId="0" borderId="19" xfId="0" applyFont="1" applyBorder="1" applyAlignment="1">
      <alignment horizontal="justify" vertical="center" wrapText="1"/>
    </xf>
    <xf numFmtId="0" fontId="53" fillId="0" borderId="19" xfId="0" applyFont="1" applyBorder="1" applyAlignment="1">
      <alignment horizontal="center" vertical="center" wrapText="1"/>
    </xf>
    <xf numFmtId="3" fontId="53" fillId="0" borderId="19" xfId="0" applyNumberFormat="1" applyFont="1" applyBorder="1" applyAlignment="1">
      <alignment horizontal="center" vertical="center" wrapText="1"/>
    </xf>
    <xf numFmtId="0" fontId="54" fillId="31" borderId="20" xfId="0" applyFont="1" applyFill="1" applyBorder="1" applyAlignment="1">
      <alignment vertical="top" wrapText="1"/>
    </xf>
    <xf numFmtId="0" fontId="54" fillId="0" borderId="0" xfId="0" applyFont="1"/>
    <xf numFmtId="0" fontId="55" fillId="0" borderId="20" xfId="0" applyFont="1" applyBorder="1" applyAlignment="1">
      <alignment vertical="top" wrapText="1"/>
    </xf>
    <xf numFmtId="180" fontId="55" fillId="0" borderId="20" xfId="0" applyNumberFormat="1" applyFont="1" applyBorder="1" applyAlignment="1">
      <alignment vertical="top" wrapText="1"/>
    </xf>
    <xf numFmtId="3" fontId="55" fillId="0" borderId="20" xfId="0" applyNumberFormat="1" applyFont="1" applyBorder="1" applyAlignment="1">
      <alignment vertical="top" wrapText="1"/>
    </xf>
    <xf numFmtId="0" fontId="55" fillId="0" borderId="0" xfId="0" applyFont="1" applyAlignment="1">
      <alignment vertical="top" wrapText="1"/>
    </xf>
    <xf numFmtId="17" fontId="10" fillId="3" borderId="0" xfId="0" applyNumberFormat="1" applyFont="1" applyFill="1" applyAlignment="1">
      <alignment horizontal="center" vertical="center"/>
    </xf>
    <xf numFmtId="181" fontId="6" fillId="0" borderId="0" xfId="3" applyNumberFormat="1" applyFont="1" applyAlignment="1">
      <alignment vertical="center"/>
    </xf>
    <xf numFmtId="165" fontId="11" fillId="0" borderId="0" xfId="3" applyNumberFormat="1" applyFont="1" applyAlignment="1">
      <alignment horizontal="center" vertical="center"/>
    </xf>
    <xf numFmtId="165" fontId="11" fillId="0" borderId="3" xfId="3" applyNumberFormat="1" applyFont="1" applyBorder="1" applyAlignment="1">
      <alignment horizontal="center" vertical="center"/>
    </xf>
    <xf numFmtId="0" fontId="56" fillId="32" borderId="21" xfId="0" applyFont="1" applyFill="1" applyBorder="1" applyAlignment="1">
      <alignment vertical="center" wrapText="1"/>
    </xf>
    <xf numFmtId="0" fontId="57" fillId="33" borderId="22" xfId="0" applyFont="1" applyFill="1" applyBorder="1" applyAlignment="1">
      <alignment vertical="center" wrapText="1"/>
    </xf>
    <xf numFmtId="0" fontId="58" fillId="0" borderId="22" xfId="0" applyFont="1" applyBorder="1" applyAlignment="1">
      <alignment vertical="center" wrapText="1"/>
    </xf>
    <xf numFmtId="0" fontId="0" fillId="0" borderId="12" xfId="6" applyFont="1" applyBorder="1" applyAlignment="1">
      <alignment wrapText="1"/>
    </xf>
    <xf numFmtId="164" fontId="29" fillId="2" borderId="5" xfId="3" applyNumberFormat="1" applyFont="1" applyFill="1" applyBorder="1" applyAlignment="1">
      <alignment horizontal="center" vertical="center" wrapText="1"/>
    </xf>
    <xf numFmtId="164" fontId="29" fillId="2" borderId="4" xfId="3" applyNumberFormat="1" applyFont="1" applyFill="1" applyBorder="1" applyAlignment="1">
      <alignment horizontal="center" vertical="center" wrapText="1"/>
    </xf>
    <xf numFmtId="164" fontId="29" fillId="2" borderId="0" xfId="3" applyNumberFormat="1" applyFont="1" applyFill="1" applyAlignment="1">
      <alignment horizontal="center" vertical="center"/>
    </xf>
    <xf numFmtId="164" fontId="29" fillId="2" borderId="1" xfId="3" applyNumberFormat="1" applyFont="1" applyFill="1" applyBorder="1" applyAlignment="1">
      <alignment horizontal="center" vertical="center"/>
    </xf>
    <xf numFmtId="0" fontId="13" fillId="6" borderId="0" xfId="3" applyFont="1" applyFill="1" applyAlignment="1">
      <alignment horizontal="left" vertical="center"/>
    </xf>
    <xf numFmtId="0" fontId="8" fillId="7" borderId="0" xfId="3" applyFont="1" applyFill="1" applyAlignment="1">
      <alignment horizontal="left" vertical="center"/>
    </xf>
    <xf numFmtId="0" fontId="18" fillId="9" borderId="0" xfId="0" applyFont="1" applyFill="1" applyAlignment="1">
      <alignment horizontal="center" vertical="center"/>
    </xf>
    <xf numFmtId="0" fontId="18" fillId="10" borderId="0" xfId="0" applyFont="1" applyFill="1" applyAlignment="1">
      <alignment horizontal="left" vertical="center"/>
    </xf>
    <xf numFmtId="0" fontId="18" fillId="10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2" fontId="10" fillId="3" borderId="0" xfId="0" applyNumberFormat="1" applyFont="1" applyFill="1" applyAlignment="1">
      <alignment horizontal="left" vertical="center"/>
    </xf>
    <xf numFmtId="0" fontId="1" fillId="0" borderId="12" xfId="6" applyFont="1" applyBorder="1" applyAlignment="1">
      <alignment horizontal="right" vertical="center"/>
    </xf>
  </cellXfs>
  <cellStyles count="7">
    <cellStyle name="Comma" xfId="1" builtinId="3"/>
    <cellStyle name="Normal" xfId="0" builtinId="0"/>
    <cellStyle name="Normal 2" xfId="3" xr:uid="{00000000-0005-0000-0000-000002000000}"/>
    <cellStyle name="Normal 3" xfId="6" xr:uid="{584BB269-B1B5-40A4-8D36-E8F0D98CB21F}"/>
    <cellStyle name="Percent" xfId="2" builtinId="5"/>
    <cellStyle name="Percent 2" xfId="4" xr:uid="{00000000-0005-0000-0000-000004000000}"/>
    <cellStyle name="Percent 4" xfId="5" xr:uid="{00000000-0005-0000-0000-000005000000}"/>
  </cellStyles>
  <dxfs count="2">
    <dxf>
      <font>
        <color rgb="FF9C000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y%20Drive\1.%20Sai%20Bandhan\Reports\70%20MW%20SOLAR%20POWER%20PLANT%20CAPTIVE%20OPEN%20ACCE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se Rental Detials"/>
      <sheetName val="Revised Cost Sheet"/>
      <sheetName val="6 TPD CBG Cost sheet"/>
      <sheetName val="TPC and MoF"/>
      <sheetName val="Sheet2"/>
      <sheetName val="Common Assumption"/>
      <sheetName val="Revenue &amp; Expense Modelling"/>
      <sheetName val="IS"/>
      <sheetName val="BS"/>
      <sheetName val="CFS"/>
      <sheetName val="Loan Schedule"/>
      <sheetName val="Depreciation Schedule"/>
      <sheetName val="Tax Calculations"/>
      <sheetName val="DSCR"/>
      <sheetName val="NPV &amp; IRR, Payback Period"/>
      <sheetName val="Ratio and Break Even Analysis"/>
      <sheetName val="Sheet3"/>
      <sheetName val="Sheet1"/>
    </sheetNames>
    <sheetDataSet>
      <sheetData sheetId="0"/>
      <sheetData sheetId="1"/>
      <sheetData sheetId="2"/>
      <sheetData sheetId="3"/>
      <sheetData sheetId="4"/>
      <sheetData sheetId="5">
        <row r="11">
          <cell r="E11">
            <v>45626</v>
          </cell>
        </row>
        <row r="20">
          <cell r="D20">
            <v>24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38"/>
  <sheetViews>
    <sheetView showGridLines="0" topLeftCell="B11" workbookViewId="0">
      <selection activeCell="H24" sqref="H24"/>
    </sheetView>
  </sheetViews>
  <sheetFormatPr defaultColWidth="9.140625" defaultRowHeight="15"/>
  <cols>
    <col min="1" max="1" width="2.28515625" style="1" customWidth="1"/>
    <col min="2" max="2" width="54.7109375" style="2" customWidth="1"/>
    <col min="3" max="3" width="5.28515625" style="2" bestFit="1" customWidth="1"/>
    <col min="4" max="4" width="16" style="2" customWidth="1"/>
    <col min="5" max="8" width="16" style="1" customWidth="1"/>
    <col min="9" max="10" width="9.140625" style="1"/>
    <col min="11" max="12" width="9.7109375" style="1" bestFit="1" customWidth="1"/>
    <col min="13" max="14" width="9.140625" style="1"/>
    <col min="15" max="15" width="16.7109375" style="1" bestFit="1" customWidth="1"/>
    <col min="16" max="16384" width="9.140625" style="1"/>
  </cols>
  <sheetData>
    <row r="1" spans="1:13" ht="19.899999999999999" customHeight="1">
      <c r="B1" s="28" t="s">
        <v>326</v>
      </c>
      <c r="C1" s="29"/>
      <c r="D1" s="30"/>
      <c r="E1" s="30"/>
      <c r="F1" s="30"/>
      <c r="G1" s="30"/>
      <c r="H1" s="30"/>
    </row>
    <row r="2" spans="1:13" ht="9" customHeight="1">
      <c r="A2" s="6"/>
      <c r="E2" s="2"/>
      <c r="F2" s="2"/>
      <c r="G2" s="2"/>
      <c r="H2" s="2"/>
    </row>
    <row r="3" spans="1:13" ht="19.899999999999999" customHeight="1">
      <c r="B3" s="26" t="s">
        <v>406</v>
      </c>
      <c r="C3" s="26"/>
      <c r="D3" s="27"/>
      <c r="E3" s="27"/>
      <c r="F3" s="27"/>
      <c r="G3" s="27"/>
      <c r="H3" s="27"/>
    </row>
    <row r="4" spans="1:13" ht="9" customHeight="1">
      <c r="E4" s="2"/>
      <c r="F4" s="2"/>
      <c r="G4" s="2"/>
      <c r="H4" s="2"/>
    </row>
    <row r="5" spans="1:13" ht="18" customHeight="1">
      <c r="B5" s="248" t="s">
        <v>72</v>
      </c>
      <c r="C5" s="248"/>
      <c r="D5" s="249">
        <v>20</v>
      </c>
      <c r="E5" s="249"/>
      <c r="F5" s="249">
        <v>20</v>
      </c>
      <c r="G5" s="407" t="s">
        <v>214</v>
      </c>
      <c r="H5" s="409" t="s">
        <v>215</v>
      </c>
      <c r="I5" s="299"/>
      <c r="J5" s="299"/>
      <c r="K5" s="299"/>
      <c r="L5" s="299"/>
    </row>
    <row r="6" spans="1:13" ht="18" customHeight="1">
      <c r="B6" s="246" t="s">
        <v>0</v>
      </c>
      <c r="C6" s="246"/>
      <c r="D6" s="247" t="s">
        <v>8</v>
      </c>
      <c r="E6" s="247"/>
      <c r="F6" s="247" t="s">
        <v>8</v>
      </c>
      <c r="G6" s="408"/>
      <c r="H6" s="410"/>
      <c r="I6" s="299"/>
      <c r="J6" s="299"/>
      <c r="K6" s="299"/>
      <c r="L6" s="299"/>
    </row>
    <row r="7" spans="1:13" ht="18" customHeight="1">
      <c r="A7" s="3"/>
      <c r="B7" s="2" t="s">
        <v>1</v>
      </c>
      <c r="D7" s="4"/>
      <c r="E7" s="4"/>
      <c r="F7" s="4">
        <v>0</v>
      </c>
      <c r="G7" s="253">
        <f>(SUM($F$13:$F$17)/SUM($F$7:$F$12))*F7</f>
        <v>0</v>
      </c>
      <c r="H7" s="4">
        <f>F7+G7</f>
        <v>0</v>
      </c>
      <c r="I7" s="299"/>
      <c r="J7" s="299"/>
      <c r="K7" s="300"/>
      <c r="L7" s="300"/>
    </row>
    <row r="8" spans="1:13" ht="18" customHeight="1">
      <c r="A8" s="3"/>
      <c r="B8" s="2" t="s">
        <v>2</v>
      </c>
      <c r="D8" s="4"/>
      <c r="E8" s="4"/>
      <c r="F8" s="4">
        <v>0</v>
      </c>
      <c r="G8" s="253">
        <v>0</v>
      </c>
      <c r="H8" s="4">
        <f t="shared" ref="H8:H12" si="0">F8+G8</f>
        <v>0</v>
      </c>
      <c r="I8" s="301"/>
      <c r="J8" s="347" t="s">
        <v>334</v>
      </c>
      <c r="K8" s="344">
        <f>+F9+F15+F17</f>
        <v>85.039999999999992</v>
      </c>
      <c r="L8" s="342"/>
      <c r="M8" s="343"/>
    </row>
    <row r="9" spans="1:13" ht="18" customHeight="1">
      <c r="A9" s="3"/>
      <c r="B9" s="2" t="s">
        <v>3</v>
      </c>
      <c r="C9" s="7"/>
      <c r="D9" s="4"/>
      <c r="E9" s="4"/>
      <c r="F9" s="401">
        <v>78.739999999999995</v>
      </c>
      <c r="G9" s="253">
        <f>+F13+F15</f>
        <v>7.7459075413012668</v>
      </c>
      <c r="H9" s="4">
        <f t="shared" si="0"/>
        <v>86.485907541301259</v>
      </c>
      <c r="I9" s="302"/>
      <c r="J9" s="348" t="s">
        <v>167</v>
      </c>
      <c r="K9" s="344">
        <f>+L9</f>
        <v>4.2824735939006775</v>
      </c>
      <c r="L9" s="344">
        <v>4.2824735939006775</v>
      </c>
      <c r="M9" s="343"/>
    </row>
    <row r="10" spans="1:13" ht="18" customHeight="1">
      <c r="A10" s="3"/>
      <c r="B10" s="2" t="s">
        <v>4</v>
      </c>
      <c r="D10" s="4"/>
      <c r="E10" s="4"/>
      <c r="F10" s="401">
        <v>0</v>
      </c>
      <c r="G10" s="253">
        <f>(SUM($F$13:$F$17)/SUM($F$7:$F$12))*F10</f>
        <v>0</v>
      </c>
      <c r="H10" s="4">
        <f t="shared" si="0"/>
        <v>0</v>
      </c>
      <c r="I10" s="299"/>
      <c r="J10" s="343" t="s">
        <v>338</v>
      </c>
      <c r="K10" s="342">
        <f t="shared" ref="K10:K12" si="1">+L10</f>
        <v>0</v>
      </c>
      <c r="L10" s="342"/>
      <c r="M10" s="343"/>
    </row>
    <row r="11" spans="1:13" ht="18" customHeight="1">
      <c r="A11" s="3"/>
      <c r="B11" s="2" t="s">
        <v>5</v>
      </c>
      <c r="D11" s="4"/>
      <c r="E11" s="4"/>
      <c r="F11" s="401">
        <v>0</v>
      </c>
      <c r="G11" s="253">
        <f>(SUM($F$13:$F$17)/SUM($F$7:$F$12))*F11</f>
        <v>0</v>
      </c>
      <c r="H11" s="4">
        <f t="shared" si="0"/>
        <v>0</v>
      </c>
      <c r="I11" s="299"/>
      <c r="J11" s="343" t="s">
        <v>339</v>
      </c>
      <c r="K11" s="342">
        <f t="shared" si="1"/>
        <v>0</v>
      </c>
      <c r="L11" s="342"/>
      <c r="M11" s="343"/>
    </row>
    <row r="12" spans="1:13" ht="18" customHeight="1">
      <c r="A12" s="3"/>
      <c r="B12" s="251" t="s">
        <v>6</v>
      </c>
      <c r="C12" s="251"/>
      <c r="D12" s="252"/>
      <c r="E12" s="252"/>
      <c r="F12" s="402">
        <v>0</v>
      </c>
      <c r="G12" s="254">
        <f>(SUM($F$13:$F$17)/SUM($F$7:$F$12))*F12</f>
        <v>0</v>
      </c>
      <c r="H12" s="252">
        <f t="shared" si="0"/>
        <v>0</v>
      </c>
      <c r="I12" s="299"/>
      <c r="J12" s="343" t="s">
        <v>340</v>
      </c>
      <c r="K12" s="342">
        <f t="shared" si="1"/>
        <v>0</v>
      </c>
      <c r="L12" s="342"/>
      <c r="M12" s="343"/>
    </row>
    <row r="13" spans="1:13" ht="18" customHeight="1">
      <c r="A13" s="3"/>
      <c r="B13" s="2" t="s">
        <v>341</v>
      </c>
      <c r="D13" s="4"/>
      <c r="E13" s="4"/>
      <c r="F13" s="401">
        <f>+L21</f>
        <v>1.445907541301267</v>
      </c>
      <c r="G13" s="253"/>
      <c r="H13" s="4"/>
      <c r="I13" s="299"/>
      <c r="J13" s="343" t="s">
        <v>335</v>
      </c>
      <c r="K13" s="344">
        <f>SUM(K8:K12)</f>
        <v>89.322473593900668</v>
      </c>
      <c r="L13" s="342"/>
      <c r="M13" s="343"/>
    </row>
    <row r="14" spans="1:13" ht="18" customHeight="1">
      <c r="A14" s="3"/>
      <c r="B14" s="2" t="s">
        <v>342</v>
      </c>
      <c r="D14" s="4"/>
      <c r="E14" s="4"/>
      <c r="F14" s="401">
        <f>+O22</f>
        <v>2.8365660525994101</v>
      </c>
      <c r="G14" s="253"/>
      <c r="H14" s="4"/>
      <c r="I14" s="299"/>
      <c r="J14" s="345"/>
      <c r="K14" s="342"/>
      <c r="L14" s="342"/>
      <c r="M14" s="343"/>
    </row>
    <row r="15" spans="1:13" ht="18" customHeight="1">
      <c r="A15" s="3"/>
      <c r="B15" s="2" t="s">
        <v>327</v>
      </c>
      <c r="D15" s="4"/>
      <c r="E15" s="4"/>
      <c r="F15" s="402">
        <v>6.3</v>
      </c>
      <c r="G15" s="253"/>
      <c r="H15" s="4"/>
      <c r="I15" s="299"/>
      <c r="J15" s="345"/>
      <c r="K15" s="342"/>
      <c r="L15" s="342"/>
      <c r="M15" s="343"/>
    </row>
    <row r="16" spans="1:13" ht="18" customHeight="1">
      <c r="A16" s="3"/>
      <c r="D16" s="4"/>
      <c r="E16" s="4"/>
      <c r="F16" s="293"/>
      <c r="G16" s="253"/>
      <c r="H16" s="4"/>
      <c r="I16" s="299"/>
      <c r="J16" s="345"/>
      <c r="K16" s="342"/>
      <c r="L16" s="342"/>
      <c r="M16" s="343"/>
    </row>
    <row r="17" spans="1:15" ht="18" customHeight="1">
      <c r="A17" s="3"/>
      <c r="B17" s="10" t="s">
        <v>300</v>
      </c>
      <c r="C17" s="10"/>
      <c r="D17" s="11"/>
      <c r="E17" s="11"/>
      <c r="F17" s="293">
        <v>0</v>
      </c>
      <c r="G17" s="255"/>
      <c r="H17" s="4"/>
      <c r="I17" s="303"/>
      <c r="J17" s="343" t="s">
        <v>328</v>
      </c>
      <c r="K17" s="344">
        <f>+K13*0.7</f>
        <v>62.525731515730463</v>
      </c>
      <c r="L17" s="342"/>
      <c r="M17" s="343"/>
    </row>
    <row r="18" spans="1:15" ht="18" customHeight="1">
      <c r="A18" s="3"/>
      <c r="B18" s="8" t="s">
        <v>7</v>
      </c>
      <c r="C18" s="8"/>
      <c r="D18" s="9"/>
      <c r="E18" s="9"/>
      <c r="F18" s="9">
        <f>SUM(F7:F17)</f>
        <v>89.322473593900668</v>
      </c>
      <c r="G18" s="256">
        <f>SUM(G7:G17)</f>
        <v>7.7459075413012668</v>
      </c>
      <c r="H18" s="9">
        <f>SUM(H7:H17)</f>
        <v>86.485907541301259</v>
      </c>
      <c r="I18" s="300">
        <f>H18/(D5+E5)</f>
        <v>4.324295377065063</v>
      </c>
      <c r="J18" s="343" t="s">
        <v>336</v>
      </c>
      <c r="K18" s="344">
        <f>+K13-K17</f>
        <v>26.796742078170205</v>
      </c>
      <c r="L18" s="342"/>
      <c r="M18" s="343"/>
      <c r="O18" s="22">
        <f>+K18+K17</f>
        <v>89.322473593900668</v>
      </c>
    </row>
    <row r="19" spans="1:15" ht="18" customHeight="1">
      <c r="A19" s="3"/>
      <c r="D19" s="4"/>
      <c r="E19" s="4"/>
      <c r="F19" s="4"/>
      <c r="G19" s="253"/>
      <c r="H19" s="4"/>
      <c r="J19" s="345"/>
      <c r="K19" s="342"/>
      <c r="L19" s="344"/>
      <c r="M19" s="343"/>
      <c r="O19" s="5">
        <f>+F18</f>
        <v>89.322473593900668</v>
      </c>
    </row>
    <row r="20" spans="1:15" ht="18" customHeight="1">
      <c r="A20" s="3"/>
      <c r="B20" s="12" t="s">
        <v>15</v>
      </c>
      <c r="C20" s="12"/>
      <c r="D20" s="13">
        <f>D18+D19</f>
        <v>0</v>
      </c>
      <c r="E20" s="13">
        <f>E18+E19</f>
        <v>0</v>
      </c>
      <c r="F20" s="13">
        <f>F18+F19</f>
        <v>89.322473593900668</v>
      </c>
      <c r="G20" s="257"/>
      <c r="H20" s="13">
        <f>H18+H19</f>
        <v>86.485907541301259</v>
      </c>
      <c r="I20" s="5"/>
      <c r="J20" s="349" t="s">
        <v>337</v>
      </c>
      <c r="K20" s="342"/>
      <c r="L20" s="346">
        <f>+K17</f>
        <v>62.525731515730463</v>
      </c>
      <c r="M20" s="343"/>
      <c r="O20" s="400">
        <f>+O18-O19</f>
        <v>0</v>
      </c>
    </row>
    <row r="21" spans="1:15" ht="18" customHeight="1">
      <c r="B21" s="1"/>
      <c r="C21" s="1"/>
      <c r="D21" s="1"/>
      <c r="J21" s="343" t="s">
        <v>167</v>
      </c>
      <c r="K21" s="345"/>
      <c r="L21" s="344">
        <f>+L20*9.25%/12*3</f>
        <v>1.445907541301267</v>
      </c>
      <c r="M21" s="343"/>
    </row>
    <row r="22" spans="1:15" ht="18" customHeight="1">
      <c r="B22" s="241" t="s">
        <v>12</v>
      </c>
      <c r="C22" s="241"/>
      <c r="D22" s="242"/>
      <c r="E22" s="242"/>
      <c r="F22" s="250" t="s">
        <v>14</v>
      </c>
      <c r="G22" s="243"/>
      <c r="H22" s="243"/>
      <c r="J22" s="343" t="s">
        <v>339</v>
      </c>
      <c r="K22" s="343"/>
      <c r="L22" s="344">
        <f>+L20*0.5%</f>
        <v>0.31262865757865232</v>
      </c>
      <c r="M22" s="343"/>
      <c r="O22" s="22">
        <f>+SUM(L22:L24)</f>
        <v>2.8365660525994101</v>
      </c>
    </row>
    <row r="23" spans="1:15" ht="18" customHeight="1">
      <c r="B23" s="244" t="s">
        <v>0</v>
      </c>
      <c r="C23" s="244" t="s">
        <v>10</v>
      </c>
      <c r="D23" s="245"/>
      <c r="E23" s="245"/>
      <c r="F23" s="245" t="s">
        <v>13</v>
      </c>
      <c r="G23" s="245"/>
      <c r="H23" s="245"/>
      <c r="J23" s="343" t="s">
        <v>338</v>
      </c>
      <c r="K23" s="343"/>
      <c r="L23" s="344">
        <f>+L20*3/174</f>
        <v>1.0780298537194908</v>
      </c>
      <c r="M23" s="343"/>
    </row>
    <row r="24" spans="1:15" ht="18" customHeight="1">
      <c r="A24" s="3"/>
      <c r="B24" s="14" t="s">
        <v>11</v>
      </c>
      <c r="C24" s="15">
        <f>1-C25</f>
        <v>0.30000000000000004</v>
      </c>
      <c r="D24" s="11"/>
      <c r="E24" s="11"/>
      <c r="F24" s="4">
        <f>F20-F25</f>
        <v>26.796742078170205</v>
      </c>
      <c r="G24" s="4"/>
      <c r="H24" s="4"/>
      <c r="J24" s="343" t="s">
        <v>166</v>
      </c>
      <c r="K24" s="343"/>
      <c r="L24" s="344">
        <f>+L21</f>
        <v>1.445907541301267</v>
      </c>
      <c r="M24" s="343"/>
    </row>
    <row r="25" spans="1:15" ht="18" customHeight="1">
      <c r="A25" s="3"/>
      <c r="B25" s="16" t="s">
        <v>9</v>
      </c>
      <c r="C25" s="17">
        <v>0.7</v>
      </c>
      <c r="D25" s="18"/>
      <c r="E25" s="18"/>
      <c r="F25" s="4">
        <f>F20*C25</f>
        <v>62.525731515730463</v>
      </c>
      <c r="G25" s="4"/>
      <c r="H25" s="4"/>
      <c r="J25" s="343"/>
      <c r="K25" s="343"/>
      <c r="L25" s="344">
        <f>+SUM(L21:L24)</f>
        <v>4.2824735939006775</v>
      </c>
      <c r="M25" s="343"/>
      <c r="N25" s="5"/>
    </row>
    <row r="26" spans="1:15" ht="18" customHeight="1">
      <c r="B26" s="12" t="s">
        <v>16</v>
      </c>
      <c r="C26" s="19"/>
      <c r="D26" s="20"/>
      <c r="E26" s="20"/>
      <c r="F26" s="20">
        <f>F24+F25</f>
        <v>89.322473593900668</v>
      </c>
      <c r="G26" s="20"/>
      <c r="H26" s="20"/>
      <c r="L26" s="21"/>
      <c r="M26" s="22">
        <f>+K9-L25</f>
        <v>0</v>
      </c>
    </row>
    <row r="27" spans="1:15" ht="18" customHeight="1" thickBot="1">
      <c r="B27" s="16"/>
      <c r="D27" s="17"/>
      <c r="E27" s="17"/>
      <c r="F27" s="17"/>
      <c r="L27" s="22"/>
    </row>
    <row r="28" spans="1:15" ht="18" customHeight="1" thickBot="1">
      <c r="B28" s="260" t="s">
        <v>225</v>
      </c>
      <c r="C28" s="260"/>
      <c r="D28" s="73"/>
      <c r="E28" s="73">
        <f>Assumptions!E12</f>
        <v>45838</v>
      </c>
      <c r="F28" s="73" t="s">
        <v>250</v>
      </c>
      <c r="M28" s="403">
        <v>78.739999999999995</v>
      </c>
    </row>
    <row r="29" spans="1:15" ht="18" customHeight="1" thickBot="1">
      <c r="B29" s="2" t="s">
        <v>226</v>
      </c>
      <c r="D29" s="17"/>
      <c r="E29" s="17">
        <v>1</v>
      </c>
      <c r="F29" s="271">
        <f>D29+E29</f>
        <v>1</v>
      </c>
      <c r="I29" s="1">
        <f>+F24/F25*100</f>
        <v>42.857142857142868</v>
      </c>
      <c r="M29" s="404">
        <v>1.44</v>
      </c>
    </row>
    <row r="30" spans="1:15" ht="18" customHeight="1" thickBot="1">
      <c r="C30" s="23"/>
      <c r="D30" s="11"/>
      <c r="E30" s="11"/>
      <c r="F30" s="272"/>
      <c r="M30" s="405">
        <v>6.3</v>
      </c>
    </row>
    <row r="31" spans="1:15" ht="18" customHeight="1" thickBot="1">
      <c r="C31" s="23"/>
      <c r="D31" s="24"/>
      <c r="E31" s="5"/>
      <c r="F31" s="5"/>
      <c r="G31" s="1">
        <f>+F25/F24</f>
        <v>2.3333333333333326</v>
      </c>
      <c r="I31" s="1">
        <f>+C25/C24</f>
        <v>2.333333333333333</v>
      </c>
      <c r="M31" s="404">
        <v>2.84</v>
      </c>
    </row>
    <row r="32" spans="1:15" ht="18" customHeight="1" thickBot="1">
      <c r="C32" s="23"/>
      <c r="D32" s="24"/>
      <c r="E32" s="22"/>
      <c r="F32" s="22"/>
      <c r="G32" s="1">
        <f>+F26/F24</f>
        <v>3.3333333333333326</v>
      </c>
      <c r="M32" s="405">
        <v>89.32</v>
      </c>
    </row>
    <row r="33" spans="3:10" ht="18" customHeight="1">
      <c r="C33" s="23"/>
      <c r="D33" s="24"/>
      <c r="E33" s="22">
        <f>+F25/F24</f>
        <v>2.3333333333333326</v>
      </c>
      <c r="F33" s="22"/>
      <c r="J33" s="1">
        <f>+C25/C24</f>
        <v>2.333333333333333</v>
      </c>
    </row>
    <row r="34" spans="3:10" ht="18" customHeight="1">
      <c r="C34" s="23"/>
      <c r="D34" s="24"/>
      <c r="E34" s="22"/>
      <c r="F34" s="22"/>
    </row>
    <row r="35" spans="3:10" ht="18" customHeight="1">
      <c r="D35" s="25"/>
      <c r="E35" s="25">
        <f>+F24/F26</f>
        <v>0.30000000000000004</v>
      </c>
      <c r="F35" s="25"/>
    </row>
    <row r="36" spans="3:10" ht="18" customHeight="1">
      <c r="D36" s="17"/>
    </row>
    <row r="37" spans="3:10" ht="18" customHeight="1">
      <c r="D37" s="17"/>
    </row>
    <row r="38" spans="3:10" ht="18" customHeight="1">
      <c r="D38" s="17"/>
    </row>
    <row r="39" spans="3:10" ht="18" customHeight="1">
      <c r="D39" s="17"/>
    </row>
    <row r="40" spans="3:10" ht="18" customHeight="1">
      <c r="D40" s="17"/>
    </row>
    <row r="41" spans="3:10" ht="18" customHeight="1">
      <c r="D41" s="17"/>
    </row>
    <row r="42" spans="3:10" ht="18" customHeight="1">
      <c r="D42" s="17"/>
    </row>
    <row r="43" spans="3:10">
      <c r="D43" s="17"/>
    </row>
    <row r="44" spans="3:10">
      <c r="D44" s="17"/>
    </row>
    <row r="45" spans="3:10" ht="18" customHeight="1">
      <c r="D45" s="17"/>
    </row>
    <row r="46" spans="3:10" ht="18" customHeight="1">
      <c r="D46" s="17"/>
    </row>
    <row r="47" spans="3:10" ht="18" customHeight="1">
      <c r="D47" s="17"/>
    </row>
    <row r="48" spans="3:10" ht="18" customHeight="1">
      <c r="D48" s="17"/>
    </row>
    <row r="49" spans="4:4" ht="18" customHeight="1">
      <c r="D49" s="17"/>
    </row>
    <row r="50" spans="4:4" ht="18" customHeight="1">
      <c r="D50" s="17"/>
    </row>
    <row r="51" spans="4:4" ht="18" customHeight="1">
      <c r="D51" s="17"/>
    </row>
    <row r="52" spans="4:4" ht="18" customHeight="1">
      <c r="D52" s="17"/>
    </row>
    <row r="53" spans="4:4" ht="18" customHeight="1">
      <c r="D53" s="17"/>
    </row>
    <row r="54" spans="4:4" ht="18" customHeight="1">
      <c r="D54" s="17"/>
    </row>
    <row r="55" spans="4:4" ht="18" customHeight="1">
      <c r="D55" s="17"/>
    </row>
    <row r="56" spans="4:4" ht="18" customHeight="1">
      <c r="D56" s="17"/>
    </row>
    <row r="57" spans="4:4" ht="18" customHeight="1">
      <c r="D57" s="17"/>
    </row>
    <row r="58" spans="4:4" ht="18" customHeight="1">
      <c r="D58" s="17"/>
    </row>
    <row r="59" spans="4:4" ht="18" customHeight="1">
      <c r="D59" s="17"/>
    </row>
    <row r="60" spans="4:4" ht="18" customHeight="1">
      <c r="D60" s="17"/>
    </row>
    <row r="61" spans="4:4" ht="18" customHeight="1">
      <c r="D61" s="17"/>
    </row>
    <row r="62" spans="4:4" ht="18" customHeight="1">
      <c r="D62" s="17"/>
    </row>
    <row r="63" spans="4:4" ht="18" customHeight="1">
      <c r="D63" s="17"/>
    </row>
    <row r="64" spans="4:4" ht="18" customHeight="1">
      <c r="D64" s="17"/>
    </row>
    <row r="65" spans="4:4" ht="18" customHeight="1">
      <c r="D65" s="17"/>
    </row>
    <row r="66" spans="4:4" ht="18" customHeight="1">
      <c r="D66" s="17"/>
    </row>
    <row r="67" spans="4:4" ht="18" customHeight="1">
      <c r="D67" s="17"/>
    </row>
    <row r="68" spans="4:4" ht="18" customHeight="1">
      <c r="D68" s="17"/>
    </row>
    <row r="69" spans="4:4" ht="18" customHeight="1">
      <c r="D69" s="17"/>
    </row>
    <row r="70" spans="4:4" ht="18" customHeight="1">
      <c r="D70" s="17"/>
    </row>
    <row r="71" spans="4:4" ht="18" customHeight="1">
      <c r="D71" s="17"/>
    </row>
    <row r="72" spans="4:4" ht="18" customHeight="1">
      <c r="D72" s="17"/>
    </row>
    <row r="73" spans="4:4" ht="18" customHeight="1">
      <c r="D73" s="17"/>
    </row>
    <row r="74" spans="4:4" ht="18" customHeight="1">
      <c r="D74" s="17"/>
    </row>
    <row r="75" spans="4:4" ht="18" customHeight="1">
      <c r="D75" s="17"/>
    </row>
    <row r="76" spans="4:4">
      <c r="D76" s="17"/>
    </row>
    <row r="77" spans="4:4">
      <c r="D77" s="17"/>
    </row>
    <row r="78" spans="4:4" ht="18" customHeight="1">
      <c r="D78" s="17"/>
    </row>
    <row r="79" spans="4:4" ht="18" customHeight="1">
      <c r="D79" s="17"/>
    </row>
    <row r="80" spans="4:4" ht="18" customHeight="1">
      <c r="D80" s="17"/>
    </row>
    <row r="81" spans="4:4" ht="18" customHeight="1">
      <c r="D81" s="17"/>
    </row>
    <row r="82" spans="4:4" ht="18" customHeight="1">
      <c r="D82" s="17"/>
    </row>
    <row r="83" spans="4:4">
      <c r="D83" s="17"/>
    </row>
    <row r="84" spans="4:4" ht="18" customHeight="1">
      <c r="D84" s="17"/>
    </row>
    <row r="85" spans="4:4" ht="18" customHeight="1">
      <c r="D85" s="17"/>
    </row>
    <row r="86" spans="4:4" ht="18" customHeight="1">
      <c r="D86" s="17"/>
    </row>
    <row r="87" spans="4:4">
      <c r="D87" s="17"/>
    </row>
    <row r="88" spans="4:4">
      <c r="D88" s="17"/>
    </row>
    <row r="89" spans="4:4" ht="18" customHeight="1">
      <c r="D89" s="17"/>
    </row>
    <row r="90" spans="4:4" ht="18" customHeight="1">
      <c r="D90" s="17"/>
    </row>
    <row r="91" spans="4:4" ht="18" customHeight="1">
      <c r="D91" s="17"/>
    </row>
    <row r="92" spans="4:4" ht="18" customHeight="1">
      <c r="D92" s="17"/>
    </row>
    <row r="93" spans="4:4" ht="18" customHeight="1">
      <c r="D93" s="17"/>
    </row>
    <row r="94" spans="4:4" ht="18" customHeight="1">
      <c r="D94" s="17"/>
    </row>
    <row r="95" spans="4:4" ht="18" customHeight="1">
      <c r="D95" s="17"/>
    </row>
    <row r="96" spans="4:4" ht="18" customHeight="1">
      <c r="D96" s="17"/>
    </row>
    <row r="97" spans="4:4" ht="18" customHeight="1">
      <c r="D97" s="17"/>
    </row>
    <row r="98" spans="4:4" ht="18" customHeight="1">
      <c r="D98" s="17"/>
    </row>
    <row r="99" spans="4:4" ht="18" customHeight="1">
      <c r="D99" s="17"/>
    </row>
    <row r="100" spans="4:4" ht="18" customHeight="1">
      <c r="D100" s="17"/>
    </row>
    <row r="101" spans="4:4" ht="18" customHeight="1">
      <c r="D101" s="17"/>
    </row>
    <row r="102" spans="4:4" ht="18" customHeight="1">
      <c r="D102" s="17"/>
    </row>
    <row r="103" spans="4:4" ht="18" customHeight="1">
      <c r="D103" s="17"/>
    </row>
    <row r="104" spans="4:4" ht="18" customHeight="1">
      <c r="D104" s="17"/>
    </row>
    <row r="105" spans="4:4" ht="18" customHeight="1">
      <c r="D105" s="17"/>
    </row>
    <row r="106" spans="4:4" ht="18" customHeight="1">
      <c r="D106" s="17"/>
    </row>
    <row r="107" spans="4:4" ht="18" customHeight="1">
      <c r="D107" s="17"/>
    </row>
    <row r="108" spans="4:4" ht="18" customHeight="1">
      <c r="D108" s="17"/>
    </row>
    <row r="109" spans="4:4" ht="18" customHeight="1">
      <c r="D109" s="17"/>
    </row>
    <row r="110" spans="4:4" ht="18" customHeight="1">
      <c r="D110" s="17"/>
    </row>
    <row r="111" spans="4:4" ht="18" customHeight="1">
      <c r="D111" s="17"/>
    </row>
    <row r="112" spans="4:4" ht="18" customHeight="1">
      <c r="D112" s="17"/>
    </row>
    <row r="113" spans="1:4" ht="18" customHeight="1">
      <c r="D113" s="17"/>
    </row>
    <row r="114" spans="1:4" ht="18" customHeight="1">
      <c r="D114" s="17"/>
    </row>
    <row r="115" spans="1:4" ht="18" customHeight="1">
      <c r="D115" s="17"/>
    </row>
    <row r="116" spans="1:4" ht="18" customHeight="1">
      <c r="D116" s="17"/>
    </row>
    <row r="117" spans="1:4" ht="18" customHeight="1">
      <c r="D117" s="17"/>
    </row>
    <row r="118" spans="1:4" ht="18" customHeight="1">
      <c r="D118" s="17"/>
    </row>
    <row r="119" spans="1:4" ht="18" customHeight="1">
      <c r="D119" s="17"/>
    </row>
    <row r="120" spans="1:4" ht="18" customHeight="1">
      <c r="D120" s="17"/>
    </row>
    <row r="121" spans="1:4" ht="18" customHeight="1">
      <c r="D121" s="17"/>
    </row>
    <row r="122" spans="1:4" ht="18" customHeight="1">
      <c r="D122" s="17"/>
    </row>
    <row r="123" spans="1:4" ht="18" customHeight="1">
      <c r="D123" s="17"/>
    </row>
    <row r="124" spans="1:4" ht="18" customHeight="1">
      <c r="D124" s="17"/>
    </row>
    <row r="125" spans="1:4" ht="18" customHeight="1">
      <c r="A125" s="2"/>
      <c r="D125" s="17"/>
    </row>
    <row r="126" spans="1:4" ht="18" customHeight="1">
      <c r="A126" s="2"/>
      <c r="D126" s="17"/>
    </row>
    <row r="127" spans="1:4" ht="18" customHeight="1">
      <c r="A127" s="2"/>
      <c r="D127" s="17"/>
    </row>
    <row r="128" spans="1:4" ht="18" customHeight="1">
      <c r="A128" s="2"/>
      <c r="D128" s="17"/>
    </row>
    <row r="129" spans="4:6" s="2" customFormat="1" ht="18" customHeight="1">
      <c r="D129" s="17"/>
      <c r="E129" s="1"/>
      <c r="F129" s="1"/>
    </row>
    <row r="130" spans="4:6" s="2" customFormat="1" ht="18" customHeight="1">
      <c r="E130" s="1"/>
      <c r="F130" s="1"/>
    </row>
    <row r="131" spans="4:6" s="2" customFormat="1" ht="18" customHeight="1">
      <c r="E131" s="1"/>
      <c r="F131" s="1"/>
    </row>
    <row r="132" spans="4:6" s="2" customFormat="1" ht="18" customHeight="1">
      <c r="E132" s="1"/>
      <c r="F132" s="1"/>
    </row>
    <row r="133" spans="4:6" s="2" customFormat="1" ht="18" customHeight="1">
      <c r="E133" s="1"/>
      <c r="F133" s="1"/>
    </row>
    <row r="134" spans="4:6" s="2" customFormat="1" ht="18" customHeight="1">
      <c r="E134" s="1"/>
      <c r="F134" s="1"/>
    </row>
    <row r="135" spans="4:6" s="2" customFormat="1" ht="18" customHeight="1">
      <c r="E135" s="1"/>
      <c r="F135" s="1"/>
    </row>
    <row r="136" spans="4:6" s="2" customFormat="1" ht="18" customHeight="1">
      <c r="E136" s="1"/>
      <c r="F136" s="1"/>
    </row>
    <row r="137" spans="4:6" s="2" customFormat="1" ht="18" customHeight="1">
      <c r="E137" s="1"/>
      <c r="F137" s="1"/>
    </row>
    <row r="138" spans="4:6" s="2" customFormat="1" ht="18" customHeight="1">
      <c r="E138" s="1"/>
      <c r="F138" s="1"/>
    </row>
    <row r="139" spans="4:6" s="2" customFormat="1" ht="18" customHeight="1">
      <c r="E139" s="1"/>
      <c r="F139" s="1"/>
    </row>
    <row r="140" spans="4:6" s="2" customFormat="1" ht="18" customHeight="1">
      <c r="E140" s="1"/>
      <c r="F140" s="1"/>
    </row>
    <row r="141" spans="4:6" s="2" customFormat="1" ht="18" customHeight="1">
      <c r="E141" s="1"/>
      <c r="F141" s="1"/>
    </row>
    <row r="142" spans="4:6" s="2" customFormat="1" ht="18" customHeight="1">
      <c r="E142" s="1"/>
      <c r="F142" s="1"/>
    </row>
    <row r="143" spans="4:6" s="2" customFormat="1" ht="18" customHeight="1">
      <c r="E143" s="1"/>
      <c r="F143" s="1"/>
    </row>
    <row r="144" spans="4:6" s="2" customFormat="1" ht="18" customHeight="1">
      <c r="E144" s="1"/>
      <c r="F144" s="1"/>
    </row>
    <row r="145" spans="5:6" s="2" customFormat="1" ht="18" customHeight="1">
      <c r="E145" s="1"/>
      <c r="F145" s="1"/>
    </row>
    <row r="146" spans="5:6" s="2" customFormat="1" ht="18" customHeight="1">
      <c r="E146" s="1"/>
      <c r="F146" s="1"/>
    </row>
    <row r="147" spans="5:6" s="2" customFormat="1" ht="18" customHeight="1">
      <c r="E147" s="1"/>
      <c r="F147" s="1"/>
    </row>
    <row r="148" spans="5:6" s="2" customFormat="1" ht="18" customHeight="1">
      <c r="E148" s="1"/>
      <c r="F148" s="1"/>
    </row>
    <row r="149" spans="5:6" s="2" customFormat="1" ht="18" customHeight="1">
      <c r="E149" s="1"/>
      <c r="F149" s="1"/>
    </row>
    <row r="150" spans="5:6" s="2" customFormat="1" ht="18" customHeight="1">
      <c r="E150" s="1"/>
      <c r="F150" s="1"/>
    </row>
    <row r="151" spans="5:6" s="2" customFormat="1" ht="18" customHeight="1">
      <c r="E151" s="1"/>
      <c r="F151" s="1"/>
    </row>
    <row r="152" spans="5:6" s="2" customFormat="1" ht="18" customHeight="1">
      <c r="E152" s="1"/>
      <c r="F152" s="1"/>
    </row>
    <row r="153" spans="5:6" s="2" customFormat="1" ht="18" customHeight="1">
      <c r="E153" s="1"/>
      <c r="F153" s="1"/>
    </row>
    <row r="154" spans="5:6" s="2" customFormat="1" ht="18" customHeight="1">
      <c r="E154" s="1"/>
      <c r="F154" s="1"/>
    </row>
    <row r="155" spans="5:6" s="2" customFormat="1" ht="18" customHeight="1">
      <c r="E155" s="1"/>
      <c r="F155" s="1"/>
    </row>
    <row r="156" spans="5:6" s="2" customFormat="1" ht="18" customHeight="1">
      <c r="E156" s="1"/>
      <c r="F156" s="1"/>
    </row>
    <row r="157" spans="5:6" s="2" customFormat="1" ht="18" customHeight="1">
      <c r="E157" s="1"/>
      <c r="F157" s="1"/>
    </row>
    <row r="158" spans="5:6" s="2" customFormat="1" ht="18" customHeight="1">
      <c r="E158" s="1"/>
      <c r="F158" s="1"/>
    </row>
    <row r="159" spans="5:6" s="2" customFormat="1" ht="18" customHeight="1">
      <c r="E159" s="1"/>
      <c r="F159" s="1"/>
    </row>
    <row r="160" spans="5:6" s="2" customFormat="1" ht="18" customHeight="1">
      <c r="E160" s="1"/>
      <c r="F160" s="1"/>
    </row>
    <row r="161" spans="5:6" s="2" customFormat="1" ht="18" customHeight="1">
      <c r="E161" s="1"/>
      <c r="F161" s="1"/>
    </row>
    <row r="162" spans="5:6" s="2" customFormat="1" ht="18" customHeight="1">
      <c r="E162" s="1"/>
      <c r="F162" s="1"/>
    </row>
    <row r="163" spans="5:6" s="2" customFormat="1" ht="18" customHeight="1">
      <c r="E163" s="1"/>
      <c r="F163" s="1"/>
    </row>
    <row r="164" spans="5:6" s="2" customFormat="1" ht="18" customHeight="1">
      <c r="E164" s="1"/>
      <c r="F164" s="1"/>
    </row>
    <row r="165" spans="5:6" s="2" customFormat="1" ht="18" customHeight="1">
      <c r="E165" s="1"/>
      <c r="F165" s="1"/>
    </row>
    <row r="166" spans="5:6" s="2" customFormat="1" ht="18" customHeight="1">
      <c r="E166" s="1"/>
      <c r="F166" s="1"/>
    </row>
    <row r="167" spans="5:6" s="2" customFormat="1" ht="18" customHeight="1">
      <c r="E167" s="1"/>
      <c r="F167" s="1"/>
    </row>
    <row r="168" spans="5:6" s="2" customFormat="1" ht="18" customHeight="1">
      <c r="E168" s="1"/>
      <c r="F168" s="1"/>
    </row>
    <row r="169" spans="5:6" s="2" customFormat="1" ht="18" customHeight="1">
      <c r="E169" s="1"/>
      <c r="F169" s="1"/>
    </row>
    <row r="170" spans="5:6" s="2" customFormat="1" ht="18" customHeight="1">
      <c r="E170" s="1"/>
      <c r="F170" s="1"/>
    </row>
    <row r="171" spans="5:6" s="2" customFormat="1" ht="18" customHeight="1">
      <c r="E171" s="1"/>
      <c r="F171" s="1"/>
    </row>
    <row r="172" spans="5:6" s="2" customFormat="1" ht="18" customHeight="1">
      <c r="E172" s="1"/>
      <c r="F172" s="1"/>
    </row>
    <row r="173" spans="5:6" s="2" customFormat="1" ht="18" customHeight="1">
      <c r="E173" s="1"/>
      <c r="F173" s="1"/>
    </row>
    <row r="174" spans="5:6" s="2" customFormat="1" ht="18" customHeight="1">
      <c r="E174" s="1"/>
      <c r="F174" s="1"/>
    </row>
    <row r="175" spans="5:6" s="2" customFormat="1" ht="18" customHeight="1">
      <c r="E175" s="1"/>
      <c r="F175" s="1"/>
    </row>
    <row r="176" spans="5:6" s="2" customFormat="1" ht="18" customHeight="1">
      <c r="E176" s="1"/>
      <c r="F176" s="1"/>
    </row>
    <row r="177" spans="5:6" s="2" customFormat="1" ht="18" customHeight="1">
      <c r="E177" s="1"/>
      <c r="F177" s="1"/>
    </row>
    <row r="178" spans="5:6" s="2" customFormat="1" ht="18" customHeight="1">
      <c r="E178" s="1"/>
      <c r="F178" s="1"/>
    </row>
    <row r="179" spans="5:6" s="2" customFormat="1" ht="18" customHeight="1">
      <c r="E179" s="1"/>
      <c r="F179" s="1"/>
    </row>
    <row r="180" spans="5:6" s="2" customFormat="1" ht="18" customHeight="1">
      <c r="E180" s="1"/>
      <c r="F180" s="1"/>
    </row>
    <row r="181" spans="5:6" s="2" customFormat="1" ht="18" customHeight="1">
      <c r="E181" s="1"/>
      <c r="F181" s="1"/>
    </row>
    <row r="182" spans="5:6" s="2" customFormat="1" ht="18" customHeight="1">
      <c r="E182" s="1"/>
      <c r="F182" s="1"/>
    </row>
    <row r="183" spans="5:6" s="2" customFormat="1" ht="18" customHeight="1">
      <c r="E183" s="1"/>
      <c r="F183" s="1"/>
    </row>
    <row r="184" spans="5:6" s="2" customFormat="1" ht="18" customHeight="1">
      <c r="E184" s="1"/>
      <c r="F184" s="1"/>
    </row>
    <row r="185" spans="5:6" s="2" customFormat="1" ht="18" customHeight="1">
      <c r="E185" s="1"/>
      <c r="F185" s="1"/>
    </row>
    <row r="186" spans="5:6" s="2" customFormat="1" ht="18" customHeight="1">
      <c r="E186" s="1"/>
      <c r="F186" s="1"/>
    </row>
    <row r="187" spans="5:6" s="2" customFormat="1" ht="18" customHeight="1">
      <c r="E187" s="1"/>
      <c r="F187" s="1"/>
    </row>
    <row r="188" spans="5:6" s="2" customFormat="1" ht="18" customHeight="1">
      <c r="E188" s="1"/>
      <c r="F188" s="1"/>
    </row>
    <row r="189" spans="5:6" s="2" customFormat="1" ht="18" customHeight="1">
      <c r="E189" s="1"/>
      <c r="F189" s="1"/>
    </row>
    <row r="190" spans="5:6" s="2" customFormat="1" ht="18" customHeight="1">
      <c r="E190" s="1"/>
      <c r="F190" s="1"/>
    </row>
    <row r="191" spans="5:6" s="2" customFormat="1" ht="18" customHeight="1">
      <c r="E191" s="1"/>
      <c r="F191" s="1"/>
    </row>
    <row r="192" spans="5:6" s="2" customFormat="1" ht="18" customHeight="1">
      <c r="E192" s="1"/>
      <c r="F192" s="1"/>
    </row>
    <row r="193" spans="5:6" s="2" customFormat="1" ht="18" customHeight="1">
      <c r="E193" s="1"/>
      <c r="F193" s="1"/>
    </row>
    <row r="194" spans="5:6" s="2" customFormat="1" ht="18" customHeight="1">
      <c r="E194" s="1"/>
      <c r="F194" s="1"/>
    </row>
    <row r="195" spans="5:6" s="2" customFormat="1" ht="18" customHeight="1">
      <c r="E195" s="1"/>
      <c r="F195" s="1"/>
    </row>
    <row r="196" spans="5:6" s="2" customFormat="1" ht="18" customHeight="1">
      <c r="E196" s="1"/>
      <c r="F196" s="1"/>
    </row>
    <row r="197" spans="5:6" s="2" customFormat="1" ht="18" customHeight="1">
      <c r="E197" s="1"/>
      <c r="F197" s="1"/>
    </row>
    <row r="198" spans="5:6" s="2" customFormat="1" ht="18" customHeight="1">
      <c r="E198" s="1"/>
      <c r="F198" s="1"/>
    </row>
    <row r="199" spans="5:6" s="2" customFormat="1" ht="18" customHeight="1">
      <c r="E199" s="1"/>
      <c r="F199" s="1"/>
    </row>
    <row r="200" spans="5:6" s="2" customFormat="1" ht="18" customHeight="1">
      <c r="E200" s="1"/>
      <c r="F200" s="1"/>
    </row>
    <row r="201" spans="5:6" s="2" customFormat="1" ht="18" customHeight="1">
      <c r="E201" s="1"/>
      <c r="F201" s="1"/>
    </row>
    <row r="202" spans="5:6" s="2" customFormat="1" ht="18" customHeight="1">
      <c r="E202" s="1"/>
      <c r="F202" s="1"/>
    </row>
    <row r="203" spans="5:6" s="2" customFormat="1" ht="18" customHeight="1">
      <c r="E203" s="1"/>
      <c r="F203" s="1"/>
    </row>
    <row r="204" spans="5:6" s="2" customFormat="1" ht="18" customHeight="1">
      <c r="E204" s="1"/>
      <c r="F204" s="1"/>
    </row>
    <row r="205" spans="5:6" s="2" customFormat="1" ht="18" customHeight="1">
      <c r="E205" s="1"/>
      <c r="F205" s="1"/>
    </row>
    <row r="206" spans="5:6" s="2" customFormat="1" ht="18" customHeight="1">
      <c r="E206" s="1"/>
      <c r="F206" s="1"/>
    </row>
    <row r="207" spans="5:6" s="2" customFormat="1" ht="18" customHeight="1">
      <c r="E207" s="1"/>
      <c r="F207" s="1"/>
    </row>
    <row r="208" spans="5:6" s="2" customFormat="1" ht="18" customHeight="1">
      <c r="E208" s="1"/>
      <c r="F208" s="1"/>
    </row>
    <row r="209" spans="5:6" s="2" customFormat="1" ht="18" customHeight="1">
      <c r="E209" s="1"/>
      <c r="F209" s="1"/>
    </row>
    <row r="210" spans="5:6" s="2" customFormat="1" ht="18" customHeight="1">
      <c r="E210" s="1"/>
      <c r="F210" s="1"/>
    </row>
    <row r="211" spans="5:6" s="2" customFormat="1" ht="18" customHeight="1">
      <c r="E211" s="1"/>
      <c r="F211" s="1"/>
    </row>
    <row r="212" spans="5:6" s="2" customFormat="1" ht="18" customHeight="1">
      <c r="E212" s="1"/>
      <c r="F212" s="1"/>
    </row>
    <row r="213" spans="5:6" s="2" customFormat="1" ht="18" customHeight="1">
      <c r="E213" s="1"/>
      <c r="F213" s="1"/>
    </row>
    <row r="214" spans="5:6" s="2" customFormat="1" ht="18" customHeight="1">
      <c r="E214" s="1"/>
      <c r="F214" s="1"/>
    </row>
    <row r="215" spans="5:6" s="2" customFormat="1" ht="18" customHeight="1">
      <c r="E215" s="1"/>
      <c r="F215" s="1"/>
    </row>
    <row r="216" spans="5:6" s="2" customFormat="1" ht="18" customHeight="1">
      <c r="E216" s="1"/>
      <c r="F216" s="1"/>
    </row>
    <row r="217" spans="5:6" s="2" customFormat="1" ht="18" customHeight="1">
      <c r="E217" s="1"/>
      <c r="F217" s="1"/>
    </row>
    <row r="218" spans="5:6" s="2" customFormat="1" ht="18" customHeight="1">
      <c r="E218" s="1"/>
      <c r="F218" s="1"/>
    </row>
    <row r="219" spans="5:6" s="2" customFormat="1" ht="18" customHeight="1">
      <c r="E219" s="1"/>
      <c r="F219" s="1"/>
    </row>
    <row r="220" spans="5:6" s="2" customFormat="1" ht="18" customHeight="1">
      <c r="E220" s="1"/>
      <c r="F220" s="1"/>
    </row>
    <row r="221" spans="5:6" s="2" customFormat="1" ht="18" customHeight="1">
      <c r="E221" s="1"/>
      <c r="F221" s="1"/>
    </row>
    <row r="222" spans="5:6" s="2" customFormat="1" ht="18" customHeight="1">
      <c r="E222" s="1"/>
      <c r="F222" s="1"/>
    </row>
    <row r="223" spans="5:6" s="2" customFormat="1" ht="18" customHeight="1">
      <c r="E223" s="1"/>
      <c r="F223" s="1"/>
    </row>
    <row r="224" spans="5:6" s="2" customFormat="1" ht="18" customHeight="1">
      <c r="E224" s="1"/>
      <c r="F224" s="1"/>
    </row>
    <row r="225" spans="5:6" s="2" customFormat="1" ht="18" customHeight="1">
      <c r="E225" s="1"/>
      <c r="F225" s="1"/>
    </row>
    <row r="226" spans="5:6" s="2" customFormat="1" ht="18" customHeight="1">
      <c r="E226" s="1"/>
      <c r="F226" s="1"/>
    </row>
    <row r="227" spans="5:6" s="2" customFormat="1" ht="18" customHeight="1">
      <c r="E227" s="1"/>
      <c r="F227" s="1"/>
    </row>
    <row r="228" spans="5:6" s="2" customFormat="1" ht="18" customHeight="1">
      <c r="E228" s="1"/>
      <c r="F228" s="1"/>
    </row>
    <row r="229" spans="5:6" s="2" customFormat="1" ht="18" customHeight="1">
      <c r="E229" s="1"/>
      <c r="F229" s="1"/>
    </row>
    <row r="230" spans="5:6" s="2" customFormat="1" ht="18" customHeight="1">
      <c r="E230" s="1"/>
      <c r="F230" s="1"/>
    </row>
    <row r="231" spans="5:6" s="2" customFormat="1" ht="18" customHeight="1">
      <c r="E231" s="1"/>
      <c r="F231" s="1"/>
    </row>
    <row r="232" spans="5:6" s="2" customFormat="1" ht="18" customHeight="1">
      <c r="E232" s="1"/>
      <c r="F232" s="1"/>
    </row>
    <row r="233" spans="5:6" s="2" customFormat="1" ht="18" customHeight="1">
      <c r="E233" s="1"/>
      <c r="F233" s="1"/>
    </row>
    <row r="234" spans="5:6" s="2" customFormat="1" ht="18" customHeight="1">
      <c r="E234" s="1"/>
      <c r="F234" s="1"/>
    </row>
    <row r="235" spans="5:6" s="2" customFormat="1" ht="18" customHeight="1">
      <c r="E235" s="1"/>
      <c r="F235" s="1"/>
    </row>
    <row r="236" spans="5:6" s="2" customFormat="1" ht="18" customHeight="1">
      <c r="E236" s="1"/>
      <c r="F236" s="1"/>
    </row>
    <row r="237" spans="5:6" s="2" customFormat="1" ht="18" customHeight="1">
      <c r="E237" s="1"/>
      <c r="F237" s="1"/>
    </row>
    <row r="238" spans="5:6" s="2" customFormat="1" ht="18" customHeight="1">
      <c r="E238" s="1"/>
      <c r="F238" s="1"/>
    </row>
    <row r="239" spans="5:6" s="2" customFormat="1" ht="18" customHeight="1">
      <c r="E239" s="1"/>
      <c r="F239" s="1"/>
    </row>
    <row r="240" spans="5:6" s="2" customFormat="1" ht="18" customHeight="1">
      <c r="E240" s="1"/>
      <c r="F240" s="1"/>
    </row>
    <row r="241" spans="5:6" s="2" customFormat="1" ht="18" customHeight="1">
      <c r="E241" s="1"/>
      <c r="F241" s="1"/>
    </row>
    <row r="242" spans="5:6" s="2" customFormat="1" ht="18" customHeight="1">
      <c r="E242" s="1"/>
      <c r="F242" s="1"/>
    </row>
    <row r="243" spans="5:6" s="2" customFormat="1" ht="18" customHeight="1">
      <c r="E243" s="1"/>
      <c r="F243" s="1"/>
    </row>
    <row r="244" spans="5:6" s="2" customFormat="1" ht="18" customHeight="1">
      <c r="E244" s="1"/>
      <c r="F244" s="1"/>
    </row>
    <row r="245" spans="5:6" s="2" customFormat="1" ht="18" customHeight="1">
      <c r="E245" s="1"/>
      <c r="F245" s="1"/>
    </row>
    <row r="246" spans="5:6" s="2" customFormat="1" ht="18" customHeight="1">
      <c r="E246" s="1"/>
      <c r="F246" s="1"/>
    </row>
    <row r="247" spans="5:6" s="2" customFormat="1" ht="18" customHeight="1">
      <c r="E247" s="1"/>
      <c r="F247" s="1"/>
    </row>
    <row r="248" spans="5:6" s="2" customFormat="1" ht="18" customHeight="1">
      <c r="E248" s="1"/>
      <c r="F248" s="1"/>
    </row>
    <row r="249" spans="5:6" s="2" customFormat="1" ht="18" customHeight="1">
      <c r="E249" s="1"/>
      <c r="F249" s="1"/>
    </row>
    <row r="250" spans="5:6" s="2" customFormat="1" ht="18" customHeight="1">
      <c r="E250" s="1"/>
      <c r="F250" s="1"/>
    </row>
    <row r="251" spans="5:6" s="2" customFormat="1" ht="18" customHeight="1">
      <c r="E251" s="1"/>
      <c r="F251" s="1"/>
    </row>
    <row r="252" spans="5:6" s="2" customFormat="1" ht="18" customHeight="1">
      <c r="E252" s="1"/>
      <c r="F252" s="1"/>
    </row>
    <row r="253" spans="5:6" s="2" customFormat="1" ht="18" customHeight="1">
      <c r="E253" s="1"/>
      <c r="F253" s="1"/>
    </row>
    <row r="254" spans="5:6" s="2" customFormat="1" ht="18" customHeight="1">
      <c r="E254" s="1"/>
      <c r="F254" s="1"/>
    </row>
    <row r="255" spans="5:6" s="2" customFormat="1" ht="18" customHeight="1">
      <c r="E255" s="1"/>
      <c r="F255" s="1"/>
    </row>
    <row r="256" spans="5:6" s="2" customFormat="1" ht="18" customHeight="1">
      <c r="E256" s="1"/>
      <c r="F256" s="1"/>
    </row>
    <row r="257" spans="5:6" s="2" customFormat="1" ht="18" customHeight="1">
      <c r="E257" s="1"/>
      <c r="F257" s="1"/>
    </row>
    <row r="258" spans="5:6" s="2" customFormat="1" ht="18" customHeight="1">
      <c r="E258" s="1"/>
      <c r="F258" s="1"/>
    </row>
    <row r="259" spans="5:6" s="2" customFormat="1" ht="18" customHeight="1">
      <c r="E259" s="1"/>
      <c r="F259" s="1"/>
    </row>
    <row r="260" spans="5:6" s="2" customFormat="1" ht="18" customHeight="1">
      <c r="E260" s="1"/>
      <c r="F260" s="1"/>
    </row>
    <row r="261" spans="5:6" s="2" customFormat="1" ht="18" customHeight="1">
      <c r="E261" s="1"/>
      <c r="F261" s="1"/>
    </row>
    <row r="262" spans="5:6" s="2" customFormat="1" ht="18" customHeight="1">
      <c r="E262" s="1"/>
      <c r="F262" s="1"/>
    </row>
    <row r="263" spans="5:6" s="2" customFormat="1" ht="18" customHeight="1">
      <c r="E263" s="1"/>
      <c r="F263" s="1"/>
    </row>
    <row r="264" spans="5:6" s="2" customFormat="1" ht="18" customHeight="1">
      <c r="E264" s="1"/>
      <c r="F264" s="1"/>
    </row>
    <row r="265" spans="5:6" s="2" customFormat="1" ht="18" customHeight="1">
      <c r="E265" s="1"/>
      <c r="F265" s="1"/>
    </row>
    <row r="266" spans="5:6" s="2" customFormat="1" ht="18" customHeight="1">
      <c r="E266" s="1"/>
      <c r="F266" s="1"/>
    </row>
    <row r="267" spans="5:6" s="2" customFormat="1" ht="18" customHeight="1">
      <c r="E267" s="1"/>
      <c r="F267" s="1"/>
    </row>
    <row r="268" spans="5:6" s="2" customFormat="1" ht="18" customHeight="1">
      <c r="E268" s="1"/>
      <c r="F268" s="1"/>
    </row>
    <row r="269" spans="5:6" s="2" customFormat="1" ht="18" customHeight="1">
      <c r="E269" s="1"/>
      <c r="F269" s="1"/>
    </row>
    <row r="270" spans="5:6" s="2" customFormat="1" ht="18" customHeight="1">
      <c r="E270" s="1"/>
      <c r="F270" s="1"/>
    </row>
    <row r="271" spans="5:6" s="2" customFormat="1" ht="18" customHeight="1">
      <c r="E271" s="1"/>
      <c r="F271" s="1"/>
    </row>
    <row r="272" spans="5:6" s="2" customFormat="1" ht="18" customHeight="1">
      <c r="E272" s="1"/>
      <c r="F272" s="1"/>
    </row>
    <row r="273" spans="5:6" s="2" customFormat="1" ht="18" customHeight="1">
      <c r="E273" s="1"/>
      <c r="F273" s="1"/>
    </row>
    <row r="274" spans="5:6" s="2" customFormat="1" ht="18" customHeight="1">
      <c r="E274" s="1"/>
      <c r="F274" s="1"/>
    </row>
    <row r="275" spans="5:6" s="2" customFormat="1" ht="18" customHeight="1">
      <c r="E275" s="1"/>
      <c r="F275" s="1"/>
    </row>
    <row r="276" spans="5:6" s="2" customFormat="1" ht="18" customHeight="1">
      <c r="E276" s="1"/>
      <c r="F276" s="1"/>
    </row>
    <row r="277" spans="5:6" s="2" customFormat="1" ht="18" customHeight="1">
      <c r="E277" s="1"/>
      <c r="F277" s="1"/>
    </row>
    <row r="278" spans="5:6" s="2" customFormat="1" ht="18" customHeight="1">
      <c r="E278" s="1"/>
      <c r="F278" s="1"/>
    </row>
    <row r="279" spans="5:6" s="2" customFormat="1" ht="18" customHeight="1">
      <c r="E279" s="1"/>
      <c r="F279" s="1"/>
    </row>
    <row r="280" spans="5:6" s="2" customFormat="1" ht="18" customHeight="1">
      <c r="E280" s="1"/>
      <c r="F280" s="1"/>
    </row>
    <row r="281" spans="5:6" s="2" customFormat="1" ht="18" customHeight="1">
      <c r="E281" s="1"/>
      <c r="F281" s="1"/>
    </row>
    <row r="282" spans="5:6" s="2" customFormat="1" ht="18" customHeight="1">
      <c r="E282" s="1"/>
      <c r="F282" s="1"/>
    </row>
    <row r="283" spans="5:6" s="2" customFormat="1" ht="18" customHeight="1">
      <c r="E283" s="1"/>
      <c r="F283" s="1"/>
    </row>
    <row r="284" spans="5:6" s="2" customFormat="1" ht="18" customHeight="1">
      <c r="E284" s="1"/>
      <c r="F284" s="1"/>
    </row>
    <row r="285" spans="5:6" s="2" customFormat="1" ht="18" customHeight="1">
      <c r="E285" s="1"/>
      <c r="F285" s="1"/>
    </row>
    <row r="286" spans="5:6" s="2" customFormat="1" ht="18" customHeight="1">
      <c r="E286" s="1"/>
      <c r="F286" s="1"/>
    </row>
    <row r="287" spans="5:6" s="2" customFormat="1" ht="18" customHeight="1">
      <c r="E287" s="1"/>
      <c r="F287" s="1"/>
    </row>
    <row r="288" spans="5:6" s="2" customFormat="1" ht="18" customHeight="1">
      <c r="E288" s="1"/>
      <c r="F288" s="1"/>
    </row>
    <row r="289" spans="5:6" s="2" customFormat="1" ht="18" customHeight="1">
      <c r="E289" s="1"/>
      <c r="F289" s="1"/>
    </row>
    <row r="290" spans="5:6" s="2" customFormat="1" ht="18" customHeight="1">
      <c r="E290" s="1"/>
      <c r="F290" s="1"/>
    </row>
    <row r="291" spans="5:6" s="2" customFormat="1" ht="18" customHeight="1">
      <c r="E291" s="1"/>
      <c r="F291" s="1"/>
    </row>
    <row r="292" spans="5:6" s="2" customFormat="1" ht="18" customHeight="1">
      <c r="E292" s="1"/>
      <c r="F292" s="1"/>
    </row>
    <row r="293" spans="5:6" s="2" customFormat="1" ht="18" customHeight="1">
      <c r="E293" s="1"/>
      <c r="F293" s="1"/>
    </row>
    <row r="294" spans="5:6" s="2" customFormat="1" ht="18" customHeight="1">
      <c r="E294" s="1"/>
      <c r="F294" s="1"/>
    </row>
    <row r="295" spans="5:6" s="2" customFormat="1" ht="18" customHeight="1">
      <c r="E295" s="1"/>
      <c r="F295" s="1"/>
    </row>
    <row r="296" spans="5:6" s="2" customFormat="1" ht="18" customHeight="1">
      <c r="E296" s="1"/>
      <c r="F296" s="1"/>
    </row>
    <row r="297" spans="5:6" s="2" customFormat="1" ht="18" customHeight="1">
      <c r="E297" s="1"/>
      <c r="F297" s="1"/>
    </row>
    <row r="298" spans="5:6" s="2" customFormat="1" ht="18" customHeight="1">
      <c r="E298" s="1"/>
      <c r="F298" s="1"/>
    </row>
    <row r="299" spans="5:6" s="2" customFormat="1" ht="18" customHeight="1">
      <c r="E299" s="1"/>
      <c r="F299" s="1"/>
    </row>
    <row r="300" spans="5:6" s="2" customFormat="1" ht="18" customHeight="1">
      <c r="E300" s="1"/>
      <c r="F300" s="1"/>
    </row>
    <row r="301" spans="5:6" s="2" customFormat="1" ht="18" customHeight="1">
      <c r="E301" s="1"/>
      <c r="F301" s="1"/>
    </row>
    <row r="302" spans="5:6" s="2" customFormat="1" ht="18" customHeight="1">
      <c r="E302" s="1"/>
      <c r="F302" s="1"/>
    </row>
    <row r="303" spans="5:6" s="2" customFormat="1" ht="18" customHeight="1">
      <c r="E303" s="1"/>
      <c r="F303" s="1"/>
    </row>
    <row r="304" spans="5:6" s="2" customFormat="1" ht="18" customHeight="1">
      <c r="E304" s="1"/>
      <c r="F304" s="1"/>
    </row>
    <row r="305" spans="5:6" s="2" customFormat="1" ht="18" customHeight="1">
      <c r="E305" s="1"/>
      <c r="F305" s="1"/>
    </row>
    <row r="306" spans="5:6" s="2" customFormat="1" ht="18" customHeight="1">
      <c r="E306" s="1"/>
      <c r="F306" s="1"/>
    </row>
    <row r="307" spans="5:6" s="2" customFormat="1" ht="18" customHeight="1">
      <c r="E307" s="1"/>
      <c r="F307" s="1"/>
    </row>
    <row r="308" spans="5:6" s="2" customFormat="1" ht="18" customHeight="1">
      <c r="E308" s="1"/>
      <c r="F308" s="1"/>
    </row>
    <row r="309" spans="5:6" s="2" customFormat="1" ht="18" customHeight="1">
      <c r="E309" s="1"/>
      <c r="F309" s="1"/>
    </row>
    <row r="310" spans="5:6" s="2" customFormat="1" ht="18" customHeight="1">
      <c r="E310" s="1"/>
      <c r="F310" s="1"/>
    </row>
    <row r="311" spans="5:6" s="2" customFormat="1" ht="18" customHeight="1">
      <c r="E311" s="1"/>
      <c r="F311" s="1"/>
    </row>
    <row r="312" spans="5:6" s="2" customFormat="1" ht="18" customHeight="1">
      <c r="E312" s="1"/>
      <c r="F312" s="1"/>
    </row>
    <row r="313" spans="5:6" s="2" customFormat="1" ht="18" customHeight="1">
      <c r="E313" s="1"/>
      <c r="F313" s="1"/>
    </row>
    <row r="314" spans="5:6" s="2" customFormat="1" ht="18" customHeight="1">
      <c r="E314" s="1"/>
      <c r="F314" s="1"/>
    </row>
    <row r="315" spans="5:6" s="2" customFormat="1" ht="18" customHeight="1">
      <c r="E315" s="1"/>
      <c r="F315" s="1"/>
    </row>
    <row r="316" spans="5:6" s="2" customFormat="1" ht="18" customHeight="1">
      <c r="E316" s="1"/>
      <c r="F316" s="1"/>
    </row>
    <row r="317" spans="5:6" s="2" customFormat="1" ht="18" customHeight="1">
      <c r="E317" s="1"/>
      <c r="F317" s="1"/>
    </row>
    <row r="318" spans="5:6" s="2" customFormat="1" ht="18" customHeight="1">
      <c r="E318" s="1"/>
      <c r="F318" s="1"/>
    </row>
    <row r="319" spans="5:6" s="2" customFormat="1" ht="18" customHeight="1">
      <c r="E319" s="1"/>
      <c r="F319" s="1"/>
    </row>
    <row r="320" spans="5:6" s="2" customFormat="1" ht="18" customHeight="1">
      <c r="E320" s="1"/>
      <c r="F320" s="1"/>
    </row>
    <row r="321" spans="5:6" s="2" customFormat="1" ht="18" customHeight="1">
      <c r="E321" s="1"/>
      <c r="F321" s="1"/>
    </row>
    <row r="322" spans="5:6" s="2" customFormat="1" ht="18" customHeight="1">
      <c r="E322" s="1"/>
      <c r="F322" s="1"/>
    </row>
    <row r="323" spans="5:6" s="2" customFormat="1" ht="18" customHeight="1">
      <c r="E323" s="1"/>
      <c r="F323" s="1"/>
    </row>
    <row r="324" spans="5:6" s="2" customFormat="1" ht="18" customHeight="1">
      <c r="E324" s="1"/>
      <c r="F324" s="1"/>
    </row>
    <row r="325" spans="5:6" s="2" customFormat="1" ht="18" customHeight="1">
      <c r="E325" s="1"/>
      <c r="F325" s="1"/>
    </row>
    <row r="326" spans="5:6" s="2" customFormat="1" ht="18" customHeight="1">
      <c r="E326" s="1"/>
      <c r="F326" s="1"/>
    </row>
    <row r="327" spans="5:6" s="2" customFormat="1" ht="18" customHeight="1">
      <c r="E327" s="1"/>
      <c r="F327" s="1"/>
    </row>
    <row r="328" spans="5:6" s="2" customFormat="1" ht="18" customHeight="1">
      <c r="E328" s="1"/>
      <c r="F328" s="1"/>
    </row>
    <row r="329" spans="5:6" s="2" customFormat="1" ht="18" customHeight="1">
      <c r="E329" s="1"/>
      <c r="F329" s="1"/>
    </row>
    <row r="330" spans="5:6" s="2" customFormat="1" ht="18" customHeight="1">
      <c r="E330" s="1"/>
      <c r="F330" s="1"/>
    </row>
    <row r="331" spans="5:6" s="2" customFormat="1" ht="18" customHeight="1">
      <c r="E331" s="1"/>
      <c r="F331" s="1"/>
    </row>
    <row r="332" spans="5:6" s="2" customFormat="1" ht="18" customHeight="1">
      <c r="E332" s="1"/>
      <c r="F332" s="1"/>
    </row>
    <row r="333" spans="5:6" s="2" customFormat="1" ht="18" customHeight="1">
      <c r="E333" s="1"/>
      <c r="F333" s="1"/>
    </row>
    <row r="334" spans="5:6" s="2" customFormat="1" ht="18" customHeight="1">
      <c r="E334" s="1"/>
      <c r="F334" s="1"/>
    </row>
    <row r="335" spans="5:6" s="2" customFormat="1" ht="18" customHeight="1">
      <c r="E335" s="1"/>
      <c r="F335" s="1"/>
    </row>
    <row r="336" spans="5:6" s="2" customFormat="1" ht="18" customHeight="1">
      <c r="E336" s="1"/>
      <c r="F336" s="1"/>
    </row>
    <row r="337" spans="5:6" s="2" customFormat="1" ht="18" customHeight="1">
      <c r="E337" s="1"/>
      <c r="F337" s="1"/>
    </row>
    <row r="338" spans="5:6" s="2" customFormat="1" ht="18" customHeight="1">
      <c r="E338" s="1"/>
      <c r="F338" s="1"/>
    </row>
    <row r="339" spans="5:6" s="2" customFormat="1" ht="18" customHeight="1">
      <c r="E339" s="1"/>
      <c r="F339" s="1"/>
    </row>
    <row r="340" spans="5:6" s="2" customFormat="1" ht="18" customHeight="1">
      <c r="E340" s="1"/>
      <c r="F340" s="1"/>
    </row>
    <row r="341" spans="5:6" s="2" customFormat="1" ht="18" customHeight="1">
      <c r="E341" s="1"/>
      <c r="F341" s="1"/>
    </row>
    <row r="342" spans="5:6" s="2" customFormat="1" ht="18" customHeight="1">
      <c r="E342" s="1"/>
      <c r="F342" s="1"/>
    </row>
    <row r="343" spans="5:6" s="2" customFormat="1" ht="18" customHeight="1">
      <c r="E343" s="1"/>
      <c r="F343" s="1"/>
    </row>
    <row r="344" spans="5:6" s="2" customFormat="1" ht="18" customHeight="1">
      <c r="E344" s="1"/>
      <c r="F344" s="1"/>
    </row>
    <row r="345" spans="5:6" s="2" customFormat="1" ht="18" customHeight="1">
      <c r="E345" s="1"/>
      <c r="F345" s="1"/>
    </row>
    <row r="346" spans="5:6" s="2" customFormat="1" ht="18" customHeight="1">
      <c r="E346" s="1"/>
      <c r="F346" s="1"/>
    </row>
    <row r="347" spans="5:6" s="2" customFormat="1" ht="18" customHeight="1">
      <c r="E347" s="1"/>
      <c r="F347" s="1"/>
    </row>
    <row r="348" spans="5:6" s="2" customFormat="1" ht="18" customHeight="1">
      <c r="E348" s="1"/>
      <c r="F348" s="1"/>
    </row>
    <row r="349" spans="5:6" s="2" customFormat="1" ht="18" customHeight="1">
      <c r="E349" s="1"/>
      <c r="F349" s="1"/>
    </row>
    <row r="350" spans="5:6" s="2" customFormat="1" ht="18" customHeight="1">
      <c r="E350" s="1"/>
      <c r="F350" s="1"/>
    </row>
    <row r="351" spans="5:6" s="2" customFormat="1" ht="18" customHeight="1">
      <c r="E351" s="1"/>
      <c r="F351" s="1"/>
    </row>
    <row r="352" spans="5:6" s="2" customFormat="1" ht="18" customHeight="1">
      <c r="E352" s="1"/>
      <c r="F352" s="1"/>
    </row>
    <row r="353" spans="5:6" s="2" customFormat="1" ht="18" customHeight="1">
      <c r="E353" s="1"/>
      <c r="F353" s="1"/>
    </row>
    <row r="354" spans="5:6" s="2" customFormat="1" ht="18" customHeight="1">
      <c r="E354" s="1"/>
      <c r="F354" s="1"/>
    </row>
    <row r="355" spans="5:6" s="2" customFormat="1" ht="18" customHeight="1">
      <c r="E355" s="1"/>
      <c r="F355" s="1"/>
    </row>
    <row r="356" spans="5:6" s="2" customFormat="1" ht="18" customHeight="1">
      <c r="E356" s="1"/>
      <c r="F356" s="1"/>
    </row>
    <row r="357" spans="5:6" s="2" customFormat="1" ht="18" customHeight="1">
      <c r="E357" s="1"/>
      <c r="F357" s="1"/>
    </row>
    <row r="358" spans="5:6" s="2" customFormat="1" ht="18" customHeight="1">
      <c r="E358" s="1"/>
      <c r="F358" s="1"/>
    </row>
    <row r="359" spans="5:6" s="2" customFormat="1" ht="18" customHeight="1">
      <c r="E359" s="1"/>
      <c r="F359" s="1"/>
    </row>
    <row r="360" spans="5:6" s="2" customFormat="1" ht="18" customHeight="1">
      <c r="E360" s="1"/>
      <c r="F360" s="1"/>
    </row>
    <row r="361" spans="5:6" s="2" customFormat="1" ht="18" customHeight="1">
      <c r="E361" s="1"/>
      <c r="F361" s="1"/>
    </row>
    <row r="362" spans="5:6" s="2" customFormat="1" ht="18" customHeight="1">
      <c r="E362" s="1"/>
      <c r="F362" s="1"/>
    </row>
    <row r="363" spans="5:6" s="2" customFormat="1" ht="18" customHeight="1">
      <c r="E363" s="1"/>
      <c r="F363" s="1"/>
    </row>
    <row r="364" spans="5:6" s="2" customFormat="1" ht="18" customHeight="1">
      <c r="E364" s="1"/>
      <c r="F364" s="1"/>
    </row>
    <row r="365" spans="5:6" s="2" customFormat="1" ht="18" customHeight="1">
      <c r="E365" s="1"/>
      <c r="F365" s="1"/>
    </row>
    <row r="366" spans="5:6" s="2" customFormat="1" ht="18" customHeight="1">
      <c r="E366" s="1"/>
      <c r="F366" s="1"/>
    </row>
    <row r="367" spans="5:6" s="2" customFormat="1" ht="18" customHeight="1">
      <c r="E367" s="1"/>
      <c r="F367" s="1"/>
    </row>
    <row r="368" spans="5:6" s="2" customFormat="1" ht="18" customHeight="1">
      <c r="E368" s="1"/>
      <c r="F368" s="1"/>
    </row>
    <row r="369" spans="5:6" s="2" customFormat="1" ht="18" customHeight="1">
      <c r="E369" s="1"/>
      <c r="F369" s="1"/>
    </row>
    <row r="370" spans="5:6" s="2" customFormat="1" ht="18" customHeight="1">
      <c r="E370" s="1"/>
      <c r="F370" s="1"/>
    </row>
    <row r="371" spans="5:6" s="2" customFormat="1" ht="18" customHeight="1">
      <c r="E371" s="1"/>
      <c r="F371" s="1"/>
    </row>
    <row r="372" spans="5:6" s="2" customFormat="1" ht="18" customHeight="1">
      <c r="E372" s="1"/>
      <c r="F372" s="1"/>
    </row>
    <row r="373" spans="5:6" s="2" customFormat="1" ht="18" customHeight="1">
      <c r="E373" s="1"/>
      <c r="F373" s="1"/>
    </row>
    <row r="374" spans="5:6" s="2" customFormat="1" ht="18" customHeight="1">
      <c r="E374" s="1"/>
      <c r="F374" s="1"/>
    </row>
    <row r="375" spans="5:6" s="2" customFormat="1" ht="18" customHeight="1">
      <c r="E375" s="1"/>
      <c r="F375" s="1"/>
    </row>
    <row r="376" spans="5:6" s="2" customFormat="1" ht="18" customHeight="1">
      <c r="E376" s="1"/>
      <c r="F376" s="1"/>
    </row>
    <row r="377" spans="5:6" s="2" customFormat="1" ht="18" customHeight="1">
      <c r="E377" s="1"/>
      <c r="F377" s="1"/>
    </row>
    <row r="378" spans="5:6" s="2" customFormat="1" ht="18" customHeight="1">
      <c r="E378" s="1"/>
      <c r="F378" s="1"/>
    </row>
    <row r="379" spans="5:6" s="2" customFormat="1" ht="18" customHeight="1">
      <c r="E379" s="1"/>
      <c r="F379" s="1"/>
    </row>
    <row r="380" spans="5:6" s="2" customFormat="1" ht="18" customHeight="1">
      <c r="E380" s="1"/>
      <c r="F380" s="1"/>
    </row>
    <row r="381" spans="5:6" s="2" customFormat="1" ht="18" customHeight="1">
      <c r="E381" s="1"/>
      <c r="F381" s="1"/>
    </row>
    <row r="382" spans="5:6" s="2" customFormat="1" ht="18" customHeight="1">
      <c r="E382" s="1"/>
      <c r="F382" s="1"/>
    </row>
    <row r="383" spans="5:6" s="2" customFormat="1" ht="18" customHeight="1">
      <c r="E383" s="1"/>
      <c r="F383" s="1"/>
    </row>
    <row r="384" spans="5:6" s="2" customFormat="1" ht="18" customHeight="1">
      <c r="E384" s="1"/>
      <c r="F384" s="1"/>
    </row>
    <row r="385" spans="5:6" s="2" customFormat="1" ht="18" customHeight="1">
      <c r="E385" s="1"/>
      <c r="F385" s="1"/>
    </row>
    <row r="386" spans="5:6" s="2" customFormat="1" ht="18" customHeight="1">
      <c r="E386" s="1"/>
      <c r="F386" s="1"/>
    </row>
    <row r="387" spans="5:6" s="2" customFormat="1" ht="18" customHeight="1">
      <c r="E387" s="1"/>
      <c r="F387" s="1"/>
    </row>
    <row r="388" spans="5:6" s="2" customFormat="1" ht="18" customHeight="1">
      <c r="E388" s="1"/>
      <c r="F388" s="1"/>
    </row>
    <row r="389" spans="5:6" s="2" customFormat="1" ht="18" customHeight="1">
      <c r="E389" s="1"/>
      <c r="F389" s="1"/>
    </row>
    <row r="390" spans="5:6" s="2" customFormat="1" ht="18" customHeight="1">
      <c r="E390" s="1"/>
      <c r="F390" s="1"/>
    </row>
    <row r="391" spans="5:6" s="2" customFormat="1" ht="18" customHeight="1">
      <c r="E391" s="1"/>
      <c r="F391" s="1"/>
    </row>
    <row r="392" spans="5:6" s="2" customFormat="1" ht="18" customHeight="1">
      <c r="E392" s="1"/>
      <c r="F392" s="1"/>
    </row>
    <row r="393" spans="5:6" s="2" customFormat="1" ht="18" customHeight="1">
      <c r="E393" s="1"/>
      <c r="F393" s="1"/>
    </row>
    <row r="394" spans="5:6" s="2" customFormat="1" ht="18" customHeight="1">
      <c r="E394" s="1"/>
      <c r="F394" s="1"/>
    </row>
    <row r="395" spans="5:6" s="2" customFormat="1" ht="18" customHeight="1">
      <c r="E395" s="1"/>
      <c r="F395" s="1"/>
    </row>
    <row r="396" spans="5:6" s="2" customFormat="1" ht="18" customHeight="1">
      <c r="E396" s="1"/>
      <c r="F396" s="1"/>
    </row>
    <row r="397" spans="5:6" s="2" customFormat="1" ht="18" customHeight="1">
      <c r="E397" s="1"/>
      <c r="F397" s="1"/>
    </row>
    <row r="398" spans="5:6" s="2" customFormat="1" ht="18" customHeight="1">
      <c r="E398" s="1"/>
      <c r="F398" s="1"/>
    </row>
    <row r="399" spans="5:6" s="2" customFormat="1" ht="18" customHeight="1">
      <c r="E399" s="1"/>
      <c r="F399" s="1"/>
    </row>
    <row r="400" spans="5:6" s="2" customFormat="1" ht="18" customHeight="1">
      <c r="E400" s="1"/>
      <c r="F400" s="1"/>
    </row>
    <row r="401" spans="5:6" s="2" customFormat="1" ht="18" customHeight="1">
      <c r="E401" s="1"/>
      <c r="F401" s="1"/>
    </row>
    <row r="402" spans="5:6" s="2" customFormat="1" ht="18" customHeight="1">
      <c r="E402" s="1"/>
      <c r="F402" s="1"/>
    </row>
    <row r="403" spans="5:6" s="2" customFormat="1" ht="18" customHeight="1">
      <c r="E403" s="1"/>
      <c r="F403" s="1"/>
    </row>
    <row r="404" spans="5:6" s="2" customFormat="1" ht="18" customHeight="1">
      <c r="E404" s="1"/>
      <c r="F404" s="1"/>
    </row>
    <row r="405" spans="5:6" s="2" customFormat="1" ht="18" customHeight="1">
      <c r="E405" s="1"/>
      <c r="F405" s="1"/>
    </row>
    <row r="406" spans="5:6" s="2" customFormat="1" ht="18" customHeight="1">
      <c r="E406" s="1"/>
      <c r="F406" s="1"/>
    </row>
    <row r="407" spans="5:6" s="2" customFormat="1" ht="18" customHeight="1">
      <c r="E407" s="1"/>
      <c r="F407" s="1"/>
    </row>
    <row r="408" spans="5:6" s="2" customFormat="1" ht="18" customHeight="1">
      <c r="E408" s="1"/>
      <c r="F408" s="1"/>
    </row>
    <row r="409" spans="5:6" s="2" customFormat="1" ht="18" customHeight="1">
      <c r="E409" s="1"/>
      <c r="F409" s="1"/>
    </row>
    <row r="410" spans="5:6" s="2" customFormat="1" ht="18" customHeight="1">
      <c r="E410" s="1"/>
      <c r="F410" s="1"/>
    </row>
    <row r="411" spans="5:6" s="2" customFormat="1" ht="18" customHeight="1">
      <c r="E411" s="1"/>
      <c r="F411" s="1"/>
    </row>
    <row r="412" spans="5:6" s="2" customFormat="1" ht="18" customHeight="1">
      <c r="E412" s="1"/>
      <c r="F412" s="1"/>
    </row>
    <row r="413" spans="5:6" s="2" customFormat="1" ht="18" customHeight="1">
      <c r="E413" s="1"/>
      <c r="F413" s="1"/>
    </row>
    <row r="414" spans="5:6" s="2" customFormat="1" ht="18" customHeight="1">
      <c r="E414" s="1"/>
      <c r="F414" s="1"/>
    </row>
    <row r="415" spans="5:6" s="2" customFormat="1" ht="18" customHeight="1">
      <c r="E415" s="1"/>
      <c r="F415" s="1"/>
    </row>
    <row r="416" spans="5:6" s="2" customFormat="1" ht="18" customHeight="1">
      <c r="E416" s="1"/>
      <c r="F416" s="1"/>
    </row>
    <row r="417" spans="5:6" s="2" customFormat="1" ht="18" customHeight="1">
      <c r="E417" s="1"/>
      <c r="F417" s="1"/>
    </row>
    <row r="418" spans="5:6" s="2" customFormat="1" ht="18" customHeight="1">
      <c r="E418" s="1"/>
      <c r="F418" s="1"/>
    </row>
    <row r="419" spans="5:6" s="2" customFormat="1" ht="18" customHeight="1">
      <c r="E419" s="1"/>
      <c r="F419" s="1"/>
    </row>
    <row r="420" spans="5:6" s="2" customFormat="1" ht="18" customHeight="1">
      <c r="E420" s="1"/>
      <c r="F420" s="1"/>
    </row>
    <row r="421" spans="5:6" s="2" customFormat="1" ht="18" customHeight="1">
      <c r="E421" s="1"/>
      <c r="F421" s="1"/>
    </row>
    <row r="422" spans="5:6" s="2" customFormat="1" ht="18" customHeight="1">
      <c r="E422" s="1"/>
      <c r="F422" s="1"/>
    </row>
    <row r="423" spans="5:6" s="2" customFormat="1" ht="18" customHeight="1">
      <c r="E423" s="1"/>
      <c r="F423" s="1"/>
    </row>
    <row r="424" spans="5:6" s="2" customFormat="1" ht="18" customHeight="1">
      <c r="E424" s="1"/>
      <c r="F424" s="1"/>
    </row>
    <row r="425" spans="5:6" s="2" customFormat="1" ht="18" customHeight="1">
      <c r="E425" s="1"/>
      <c r="F425" s="1"/>
    </row>
    <row r="426" spans="5:6" s="2" customFormat="1" ht="18" customHeight="1">
      <c r="E426" s="1"/>
      <c r="F426" s="1"/>
    </row>
    <row r="427" spans="5:6" s="2" customFormat="1" ht="18" customHeight="1">
      <c r="E427" s="1"/>
      <c r="F427" s="1"/>
    </row>
    <row r="428" spans="5:6" s="2" customFormat="1" ht="18" customHeight="1">
      <c r="E428" s="1"/>
      <c r="F428" s="1"/>
    </row>
    <row r="429" spans="5:6" s="2" customFormat="1" ht="18" customHeight="1">
      <c r="E429" s="1"/>
      <c r="F429" s="1"/>
    </row>
    <row r="430" spans="5:6" s="2" customFormat="1" ht="18" customHeight="1">
      <c r="E430" s="1"/>
      <c r="F430" s="1"/>
    </row>
    <row r="431" spans="5:6" s="2" customFormat="1" ht="18" customHeight="1">
      <c r="E431" s="1"/>
      <c r="F431" s="1"/>
    </row>
    <row r="432" spans="5:6" s="2" customFormat="1" ht="18" customHeight="1">
      <c r="E432" s="1"/>
      <c r="F432" s="1"/>
    </row>
    <row r="433" spans="1:6" s="2" customFormat="1" ht="18" customHeight="1">
      <c r="E433" s="1"/>
      <c r="F433" s="1"/>
    </row>
    <row r="434" spans="1:6" s="2" customFormat="1" ht="18" customHeight="1">
      <c r="E434" s="1"/>
      <c r="F434" s="1"/>
    </row>
    <row r="435" spans="1:6" s="2" customFormat="1" ht="18" customHeight="1">
      <c r="A435" s="1"/>
      <c r="E435" s="1"/>
      <c r="F435" s="1"/>
    </row>
    <row r="436" spans="1:6" s="2" customFormat="1" ht="18" customHeight="1">
      <c r="A436" s="1"/>
      <c r="E436" s="1"/>
      <c r="F436" s="1"/>
    </row>
    <row r="437" spans="1:6" s="2" customFormat="1" ht="18" customHeight="1">
      <c r="A437" s="1"/>
      <c r="E437" s="1"/>
      <c r="F437" s="1"/>
    </row>
    <row r="438" spans="1:6" s="2" customFormat="1" ht="18" customHeight="1">
      <c r="A438" s="1"/>
      <c r="E438" s="1"/>
      <c r="F438" s="1"/>
    </row>
  </sheetData>
  <mergeCells count="2">
    <mergeCell ref="G5:G6"/>
    <mergeCell ref="H5:H6"/>
  </mergeCells>
  <pageMargins left="0.7" right="0.7" top="0.75" bottom="0.75" header="0.3" footer="0.3"/>
  <ignoredErrors>
    <ignoredError sqref="F20 G10:G12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AD113"/>
  <sheetViews>
    <sheetView showGridLines="0" zoomScaleNormal="100" workbookViewId="0">
      <pane xSplit="2" ySplit="8" topLeftCell="S55" activePane="bottomRight" state="frozen"/>
      <selection activeCell="A9" sqref="A9"/>
      <selection pane="topRight" activeCell="A9" sqref="A9"/>
      <selection pane="bottomLeft" activeCell="A9" sqref="A9"/>
      <selection pane="bottomRight" activeCell="AB97" sqref="AB97"/>
    </sheetView>
  </sheetViews>
  <sheetFormatPr defaultColWidth="13.7109375" defaultRowHeight="15"/>
  <cols>
    <col min="1" max="1" width="4.5703125" style="68" customWidth="1"/>
    <col min="2" max="2" width="55.140625" style="68" customWidth="1"/>
    <col min="3" max="3" width="7.42578125" style="68" bestFit="1" customWidth="1"/>
    <col min="4" max="4" width="13.140625" style="68" bestFit="1" customWidth="1"/>
    <col min="5" max="15" width="12.7109375" style="68" customWidth="1"/>
    <col min="16" max="18" width="13.7109375" style="68"/>
    <col min="19" max="19" width="20.5703125" style="68" bestFit="1" customWidth="1"/>
    <col min="20" max="20" width="13.7109375" style="68"/>
    <col min="21" max="21" width="18.85546875" style="68" bestFit="1" customWidth="1"/>
    <col min="22" max="22" width="18.42578125" style="68" customWidth="1"/>
    <col min="23" max="16384" width="13.7109375" style="68"/>
  </cols>
  <sheetData>
    <row r="1" spans="2:30" s="1" customFormat="1" ht="19.899999999999999" customHeight="1">
      <c r="B1" s="101" t="str">
        <f>Company</f>
        <v>M/s. OMC Power Private Limited</v>
      </c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</row>
    <row r="2" spans="2:30" s="1" customFormat="1" ht="9" customHeight="1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2:30" s="1" customFormat="1" ht="19.899999999999999" customHeight="1">
      <c r="B3" s="102" t="str">
        <f>Project</f>
        <v>Financial Model for Proposed 35 locations Solar Power Plant (20 MW )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</row>
    <row r="4" spans="2:30" s="1" customFormat="1" ht="9" customHeight="1">
      <c r="B4" s="2"/>
      <c r="C4" s="2"/>
      <c r="D4" s="2"/>
      <c r="E4" s="2"/>
      <c r="F4" s="2"/>
      <c r="G4" s="287"/>
    </row>
    <row r="5" spans="2:30" customFormat="1" ht="15.75">
      <c r="B5" s="69" t="s">
        <v>275</v>
      </c>
      <c r="C5" s="69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</row>
    <row r="6" spans="2:30" customFormat="1">
      <c r="B6" s="288" t="s">
        <v>288</v>
      </c>
      <c r="C6" s="66"/>
      <c r="D6" s="66"/>
      <c r="E6" s="3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 spans="2:30" s="31" customFormat="1" ht="15.75">
      <c r="C7" s="66"/>
      <c r="D7" s="413" t="s">
        <v>22</v>
      </c>
      <c r="E7" s="413"/>
      <c r="F7" s="415" t="s">
        <v>81</v>
      </c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</row>
    <row r="8" spans="2:30" s="31" customFormat="1">
      <c r="B8" s="71" t="s">
        <v>82</v>
      </c>
      <c r="C8" s="72" t="s">
        <v>83</v>
      </c>
      <c r="D8" s="73"/>
      <c r="E8" s="73">
        <f>'Revenue &amp; Expenses Modeling'!E8</f>
        <v>45838</v>
      </c>
      <c r="F8" s="399">
        <f>+EDATE(E8,9)</f>
        <v>46111</v>
      </c>
      <c r="G8" s="73">
        <f>DATE(YEAR(F8)+1,MONTH(F8),DAY(F8))</f>
        <v>46476</v>
      </c>
      <c r="H8" s="73">
        <f t="shared" ref="H8:AD8" si="0">DATE(YEAR(G8)+1,MONTH(G8),DAY(G8))</f>
        <v>46842</v>
      </c>
      <c r="I8" s="73">
        <f t="shared" si="0"/>
        <v>47207</v>
      </c>
      <c r="J8" s="73">
        <f t="shared" si="0"/>
        <v>47572</v>
      </c>
      <c r="K8" s="73">
        <f t="shared" si="0"/>
        <v>47937</v>
      </c>
      <c r="L8" s="73">
        <f t="shared" si="0"/>
        <v>48303</v>
      </c>
      <c r="M8" s="73">
        <f t="shared" si="0"/>
        <v>48668</v>
      </c>
      <c r="N8" s="73">
        <f t="shared" si="0"/>
        <v>49033</v>
      </c>
      <c r="O8" s="73">
        <f t="shared" si="0"/>
        <v>49398</v>
      </c>
      <c r="P8" s="73">
        <f t="shared" si="0"/>
        <v>49764</v>
      </c>
      <c r="Q8" s="73">
        <f t="shared" si="0"/>
        <v>50129</v>
      </c>
      <c r="R8" s="73">
        <f t="shared" si="0"/>
        <v>50494</v>
      </c>
      <c r="S8" s="73">
        <f t="shared" si="0"/>
        <v>50859</v>
      </c>
      <c r="T8" s="73">
        <f t="shared" si="0"/>
        <v>51225</v>
      </c>
      <c r="U8" s="73">
        <f t="shared" si="0"/>
        <v>51590</v>
      </c>
      <c r="V8" s="73">
        <f t="shared" si="0"/>
        <v>51955</v>
      </c>
      <c r="W8" s="73">
        <f t="shared" si="0"/>
        <v>52320</v>
      </c>
      <c r="X8" s="73">
        <f t="shared" si="0"/>
        <v>52686</v>
      </c>
      <c r="Y8" s="73">
        <f t="shared" si="0"/>
        <v>53051</v>
      </c>
      <c r="Z8" s="73">
        <f t="shared" si="0"/>
        <v>53416</v>
      </c>
      <c r="AA8" s="73">
        <f t="shared" si="0"/>
        <v>53781</v>
      </c>
      <c r="AB8" s="73">
        <f t="shared" si="0"/>
        <v>54147</v>
      </c>
      <c r="AC8" s="73">
        <f t="shared" si="0"/>
        <v>54512</v>
      </c>
      <c r="AD8" s="73">
        <f t="shared" si="0"/>
        <v>54877</v>
      </c>
    </row>
    <row r="9" spans="2:30" s="78" customFormat="1" ht="12.75">
      <c r="B9" s="74" t="s">
        <v>84</v>
      </c>
      <c r="C9" s="75"/>
      <c r="D9" s="76"/>
      <c r="E9" s="76">
        <v>0</v>
      </c>
      <c r="F9" s="77">
        <v>1</v>
      </c>
      <c r="G9" s="77">
        <f>F9+1</f>
        <v>2</v>
      </c>
      <c r="H9" s="77">
        <f t="shared" ref="H9:AD9" si="1">G9+1</f>
        <v>3</v>
      </c>
      <c r="I9" s="77">
        <f t="shared" si="1"/>
        <v>4</v>
      </c>
      <c r="J9" s="77">
        <f t="shared" si="1"/>
        <v>5</v>
      </c>
      <c r="K9" s="77">
        <f t="shared" si="1"/>
        <v>6</v>
      </c>
      <c r="L9" s="77">
        <f t="shared" si="1"/>
        <v>7</v>
      </c>
      <c r="M9" s="77">
        <f t="shared" si="1"/>
        <v>8</v>
      </c>
      <c r="N9" s="77">
        <f t="shared" si="1"/>
        <v>9</v>
      </c>
      <c r="O9" s="77">
        <f t="shared" si="1"/>
        <v>10</v>
      </c>
      <c r="P9" s="77">
        <f t="shared" si="1"/>
        <v>11</v>
      </c>
      <c r="Q9" s="77">
        <f t="shared" si="1"/>
        <v>12</v>
      </c>
      <c r="R9" s="77">
        <f t="shared" si="1"/>
        <v>13</v>
      </c>
      <c r="S9" s="77">
        <f t="shared" si="1"/>
        <v>14</v>
      </c>
      <c r="T9" s="77">
        <f t="shared" si="1"/>
        <v>15</v>
      </c>
      <c r="U9" s="77">
        <f t="shared" si="1"/>
        <v>16</v>
      </c>
      <c r="V9" s="77">
        <f t="shared" si="1"/>
        <v>17</v>
      </c>
      <c r="W9" s="77">
        <f t="shared" si="1"/>
        <v>18</v>
      </c>
      <c r="X9" s="77">
        <f t="shared" si="1"/>
        <v>19</v>
      </c>
      <c r="Y9" s="77">
        <f t="shared" si="1"/>
        <v>20</v>
      </c>
      <c r="Z9" s="77">
        <f t="shared" si="1"/>
        <v>21</v>
      </c>
      <c r="AA9" s="77">
        <f t="shared" si="1"/>
        <v>22</v>
      </c>
      <c r="AB9" s="77">
        <f t="shared" si="1"/>
        <v>23</v>
      </c>
      <c r="AC9" s="77">
        <f t="shared" si="1"/>
        <v>24</v>
      </c>
      <c r="AD9" s="77">
        <f t="shared" si="1"/>
        <v>25</v>
      </c>
    </row>
    <row r="10" spans="2:30" s="78" customFormat="1" ht="12.75">
      <c r="B10" s="74" t="s">
        <v>85</v>
      </c>
      <c r="C10" s="75"/>
      <c r="D10" s="76"/>
      <c r="E10" s="76">
        <v>3</v>
      </c>
      <c r="F10" s="75">
        <f>MONTH(F8-E8)</f>
        <v>9</v>
      </c>
      <c r="G10" s="75">
        <f t="shared" ref="G10:AD10" si="2">MONTH(G8-F8)</f>
        <v>12</v>
      </c>
      <c r="H10" s="75">
        <f t="shared" si="2"/>
        <v>12</v>
      </c>
      <c r="I10" s="75">
        <f t="shared" si="2"/>
        <v>12</v>
      </c>
      <c r="J10" s="75">
        <f t="shared" si="2"/>
        <v>12</v>
      </c>
      <c r="K10" s="75">
        <f t="shared" si="2"/>
        <v>12</v>
      </c>
      <c r="L10" s="75">
        <f t="shared" si="2"/>
        <v>12</v>
      </c>
      <c r="M10" s="75">
        <f t="shared" si="2"/>
        <v>12</v>
      </c>
      <c r="N10" s="75">
        <f t="shared" si="2"/>
        <v>12</v>
      </c>
      <c r="O10" s="75">
        <f t="shared" si="2"/>
        <v>12</v>
      </c>
      <c r="P10" s="75">
        <f t="shared" si="2"/>
        <v>12</v>
      </c>
      <c r="Q10" s="75">
        <f t="shared" si="2"/>
        <v>12</v>
      </c>
      <c r="R10" s="75">
        <f t="shared" si="2"/>
        <v>12</v>
      </c>
      <c r="S10" s="75">
        <f t="shared" si="2"/>
        <v>12</v>
      </c>
      <c r="T10" s="75">
        <f t="shared" si="2"/>
        <v>12</v>
      </c>
      <c r="U10" s="75">
        <f t="shared" si="2"/>
        <v>12</v>
      </c>
      <c r="V10" s="75">
        <f t="shared" si="2"/>
        <v>12</v>
      </c>
      <c r="W10" s="75">
        <f t="shared" si="2"/>
        <v>12</v>
      </c>
      <c r="X10" s="75">
        <f t="shared" si="2"/>
        <v>12</v>
      </c>
      <c r="Y10" s="75">
        <f t="shared" si="2"/>
        <v>12</v>
      </c>
      <c r="Z10" s="75">
        <f t="shared" si="2"/>
        <v>12</v>
      </c>
      <c r="AA10" s="75">
        <f t="shared" si="2"/>
        <v>12</v>
      </c>
      <c r="AB10" s="75">
        <f t="shared" si="2"/>
        <v>12</v>
      </c>
      <c r="AC10" s="75">
        <f t="shared" si="2"/>
        <v>12</v>
      </c>
      <c r="AD10" s="75">
        <f t="shared" si="2"/>
        <v>12</v>
      </c>
    </row>
    <row r="11" spans="2:30" ht="15" customHeight="1"/>
    <row r="12" spans="2:30" ht="15" customHeight="1">
      <c r="B12" s="31" t="s">
        <v>251</v>
      </c>
      <c r="C12" s="31"/>
      <c r="D12" s="31"/>
      <c r="E12" s="31"/>
      <c r="F12" s="84">
        <f>+IS!E29</f>
        <v>4.6188103519318418</v>
      </c>
      <c r="G12" s="84">
        <f>+IS!F29</f>
        <v>6.6282602254787006</v>
      </c>
      <c r="H12" s="84">
        <f>+IS!G29</f>
        <v>6.8280963975599072</v>
      </c>
      <c r="I12" s="84">
        <f>+IS!H29</f>
        <v>6.9614599833287798</v>
      </c>
      <c r="J12" s="84">
        <f>+IS!I29</f>
        <v>7.1257536374084331</v>
      </c>
      <c r="K12" s="84">
        <f>+IS!J29</f>
        <v>7.2883185290200636</v>
      </c>
      <c r="L12" s="84">
        <f>+IS!K29</f>
        <v>7.4803002438174175</v>
      </c>
      <c r="M12" s="84">
        <f>+IS!L29</f>
        <v>7.6076481670394074</v>
      </c>
      <c r="N12" s="84">
        <f>+IS!M29</f>
        <v>7.7640769203895879</v>
      </c>
      <c r="O12" s="84">
        <f>+IS!N29</f>
        <v>7.9181191110417926</v>
      </c>
      <c r="P12" s="84">
        <f>+IS!O29</f>
        <v>8.0997179448492016</v>
      </c>
      <c r="Q12" s="84">
        <f>+IS!P29</f>
        <v>8.2183074299356722</v>
      </c>
      <c r="R12" s="84">
        <f>+IS!Q29</f>
        <v>8.3640523834958316</v>
      </c>
      <c r="S12" s="84">
        <f>+IS!R29</f>
        <v>8.5066224537052246</v>
      </c>
      <c r="T12" s="84">
        <f>+IS!S29</f>
        <v>8.2534067248100218</v>
      </c>
      <c r="U12" s="84"/>
      <c r="V12" s="84"/>
      <c r="W12" s="84"/>
      <c r="X12" s="84"/>
      <c r="Y12" s="84"/>
      <c r="Z12" s="84"/>
      <c r="AA12" s="84"/>
      <c r="AB12" s="84"/>
      <c r="AC12" s="84"/>
      <c r="AD12" s="84"/>
    </row>
    <row r="13" spans="2:30" ht="15" customHeight="1">
      <c r="B13" s="31" t="s">
        <v>110</v>
      </c>
      <c r="C13" s="31"/>
      <c r="D13" s="31"/>
      <c r="E13" s="31"/>
      <c r="F13" s="84">
        <f>IS!E20</f>
        <v>4.2255401422511163</v>
      </c>
      <c r="G13" s="84">
        <f>IS!F20</f>
        <v>5.2850413578598019</v>
      </c>
      <c r="H13" s="84">
        <f>IS!G20</f>
        <v>4.8861703119835909</v>
      </c>
      <c r="I13" s="84">
        <f>IS!H20</f>
        <v>4.4872992661073781</v>
      </c>
      <c r="J13" s="84">
        <f>IS!I20</f>
        <v>4.0884282202311661</v>
      </c>
      <c r="K13" s="84">
        <f>IS!J20</f>
        <v>3.6895571743549547</v>
      </c>
      <c r="L13" s="84">
        <f>IS!K20</f>
        <v>3.2906861284787419</v>
      </c>
      <c r="M13" s="84">
        <f>IS!L20</f>
        <v>2.8918150826025295</v>
      </c>
      <c r="N13" s="84">
        <f>IS!M20</f>
        <v>2.4929440367263171</v>
      </c>
      <c r="O13" s="84">
        <f>IS!N20</f>
        <v>2.0940729908501052</v>
      </c>
      <c r="P13" s="84">
        <f>IS!O20</f>
        <v>1.6952019449738935</v>
      </c>
      <c r="Q13" s="84">
        <f>IS!P20</f>
        <v>1.296330899097681</v>
      </c>
      <c r="R13" s="84">
        <f>IS!Q20</f>
        <v>0.89745985322146904</v>
      </c>
      <c r="S13" s="84">
        <f>IS!R20</f>
        <v>0.49858880734525729</v>
      </c>
      <c r="T13" s="84">
        <f>IS!S20</f>
        <v>0.11218248165267737</v>
      </c>
      <c r="U13" s="84"/>
      <c r="V13" s="84"/>
      <c r="W13" s="84"/>
      <c r="X13" s="84"/>
      <c r="Y13" s="84"/>
      <c r="Z13" s="84"/>
      <c r="AA13" s="84"/>
      <c r="AB13" s="84"/>
      <c r="AC13" s="84"/>
      <c r="AD13" s="84"/>
    </row>
    <row r="14" spans="2:30" ht="15" customHeight="1">
      <c r="B14" s="61" t="s">
        <v>252</v>
      </c>
      <c r="C14" s="61"/>
      <c r="D14" s="61"/>
      <c r="E14" s="61"/>
      <c r="F14" s="118">
        <f>SUM(F12:F13)</f>
        <v>8.844350494182958</v>
      </c>
      <c r="G14" s="118">
        <f t="shared" ref="G14:T14" si="3">SUM(G12:G13)</f>
        <v>11.913301583338502</v>
      </c>
      <c r="H14" s="118">
        <f t="shared" si="3"/>
        <v>11.714266709543498</v>
      </c>
      <c r="I14" s="118">
        <f t="shared" si="3"/>
        <v>11.448759249436158</v>
      </c>
      <c r="J14" s="118">
        <f t="shared" si="3"/>
        <v>11.214181857639598</v>
      </c>
      <c r="K14" s="118">
        <f t="shared" si="3"/>
        <v>10.977875703375018</v>
      </c>
      <c r="L14" s="118">
        <f t="shared" si="3"/>
        <v>10.770986372296159</v>
      </c>
      <c r="M14" s="118">
        <f t="shared" si="3"/>
        <v>10.499463249641938</v>
      </c>
      <c r="N14" s="118">
        <f t="shared" si="3"/>
        <v>10.257020957115905</v>
      </c>
      <c r="O14" s="118">
        <f t="shared" si="3"/>
        <v>10.012192101891898</v>
      </c>
      <c r="P14" s="118">
        <f t="shared" si="3"/>
        <v>9.7949198898230954</v>
      </c>
      <c r="Q14" s="118">
        <f t="shared" si="3"/>
        <v>9.5146383290333532</v>
      </c>
      <c r="R14" s="118">
        <f t="shared" si="3"/>
        <v>9.2615122367173015</v>
      </c>
      <c r="S14" s="118">
        <f t="shared" si="3"/>
        <v>9.0052112610504818</v>
      </c>
      <c r="T14" s="118">
        <f t="shared" si="3"/>
        <v>8.3655892064626993</v>
      </c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</row>
    <row r="15" spans="2:30" ht="15" customHeight="1">
      <c r="B15" s="31" t="s">
        <v>110</v>
      </c>
      <c r="C15" s="31"/>
      <c r="D15" s="31"/>
      <c r="E15" s="31"/>
      <c r="F15" s="84">
        <f>F13</f>
        <v>4.2255401422511163</v>
      </c>
      <c r="G15" s="84">
        <f t="shared" ref="G15:T15" si="4">G13</f>
        <v>5.2850413578598019</v>
      </c>
      <c r="H15" s="84">
        <f t="shared" si="4"/>
        <v>4.8861703119835909</v>
      </c>
      <c r="I15" s="84">
        <f t="shared" si="4"/>
        <v>4.4872992661073781</v>
      </c>
      <c r="J15" s="84">
        <f t="shared" si="4"/>
        <v>4.0884282202311661</v>
      </c>
      <c r="K15" s="84">
        <f t="shared" si="4"/>
        <v>3.6895571743549547</v>
      </c>
      <c r="L15" s="84">
        <f t="shared" si="4"/>
        <v>3.2906861284787419</v>
      </c>
      <c r="M15" s="84">
        <f t="shared" si="4"/>
        <v>2.8918150826025295</v>
      </c>
      <c r="N15" s="84">
        <f t="shared" si="4"/>
        <v>2.4929440367263171</v>
      </c>
      <c r="O15" s="84">
        <f t="shared" si="4"/>
        <v>2.0940729908501052</v>
      </c>
      <c r="P15" s="84">
        <f t="shared" si="4"/>
        <v>1.6952019449738935</v>
      </c>
      <c r="Q15" s="84">
        <f t="shared" si="4"/>
        <v>1.296330899097681</v>
      </c>
      <c r="R15" s="84">
        <f t="shared" si="4"/>
        <v>0.89745985322146904</v>
      </c>
      <c r="S15" s="84">
        <f t="shared" si="4"/>
        <v>0.49858880734525729</v>
      </c>
      <c r="T15" s="84">
        <f t="shared" si="4"/>
        <v>0.11218248165267737</v>
      </c>
      <c r="U15" s="84"/>
      <c r="V15" s="84"/>
      <c r="W15" s="84"/>
      <c r="X15" s="84"/>
      <c r="Y15" s="84"/>
      <c r="Z15" s="84"/>
      <c r="AA15" s="84"/>
      <c r="AB15" s="84"/>
      <c r="AC15" s="84"/>
      <c r="AD15" s="84"/>
    </row>
    <row r="16" spans="2:30" ht="15" customHeight="1">
      <c r="B16" s="31" t="s">
        <v>253</v>
      </c>
      <c r="C16" s="31"/>
      <c r="D16" s="31"/>
      <c r="E16" s="31"/>
      <c r="F16" s="84">
        <f>CFS!E22</f>
        <v>3.2340895611584726</v>
      </c>
      <c r="G16" s="84">
        <f>CFS!F22</f>
        <v>4.3121194148779631</v>
      </c>
      <c r="H16" s="84">
        <f>CFS!G22</f>
        <v>4.3121194148779631</v>
      </c>
      <c r="I16" s="84">
        <f>CFS!H22</f>
        <v>4.3121194148779631</v>
      </c>
      <c r="J16" s="84">
        <f>CFS!I22</f>
        <v>4.3121194148779631</v>
      </c>
      <c r="K16" s="84">
        <f>CFS!J22</f>
        <v>4.3121194148779631</v>
      </c>
      <c r="L16" s="84">
        <f>CFS!K22</f>
        <v>4.3121194148779631</v>
      </c>
      <c r="M16" s="84">
        <f>CFS!L22</f>
        <v>4.3121194148779631</v>
      </c>
      <c r="N16" s="84">
        <f>CFS!M22</f>
        <v>4.3121194148779631</v>
      </c>
      <c r="O16" s="84">
        <f>CFS!N22</f>
        <v>4.3121194148779631</v>
      </c>
      <c r="P16" s="84">
        <f>CFS!O22</f>
        <v>4.3121194148779631</v>
      </c>
      <c r="Q16" s="84">
        <f>CFS!P22</f>
        <v>4.3121194148779631</v>
      </c>
      <c r="R16" s="84">
        <f>CFS!Q22</f>
        <v>4.3121194148779631</v>
      </c>
      <c r="S16" s="84">
        <f>CFS!R22</f>
        <v>4.3121194148779631</v>
      </c>
      <c r="T16" s="84">
        <f>CFS!S22</f>
        <v>3.2340895611584726</v>
      </c>
      <c r="U16" s="84"/>
      <c r="V16" s="84"/>
      <c r="W16" s="84"/>
      <c r="X16" s="84"/>
      <c r="Y16" s="84"/>
      <c r="Z16" s="84"/>
      <c r="AA16" s="84"/>
      <c r="AB16" s="84"/>
      <c r="AC16" s="84"/>
      <c r="AD16" s="84"/>
    </row>
    <row r="17" spans="2:30" ht="15" customHeight="1">
      <c r="B17" s="61" t="s">
        <v>252</v>
      </c>
      <c r="C17" s="61"/>
      <c r="D17" s="61"/>
      <c r="E17" s="61"/>
      <c r="F17" s="118">
        <f>SUM(F15:F16)</f>
        <v>7.4596297034095889</v>
      </c>
      <c r="G17" s="118">
        <f t="shared" ref="G17:T17" si="5">SUM(G15:G16)</f>
        <v>9.5971607727377659</v>
      </c>
      <c r="H17" s="118">
        <f t="shared" si="5"/>
        <v>9.1982897268615531</v>
      </c>
      <c r="I17" s="118">
        <f t="shared" si="5"/>
        <v>8.7994186809853403</v>
      </c>
      <c r="J17" s="118">
        <f t="shared" si="5"/>
        <v>8.4005476351091293</v>
      </c>
      <c r="K17" s="118">
        <f t="shared" si="5"/>
        <v>8.0016765892329182</v>
      </c>
      <c r="L17" s="118">
        <f t="shared" si="5"/>
        <v>7.6028055433567054</v>
      </c>
      <c r="M17" s="118">
        <f t="shared" si="5"/>
        <v>7.2039344974804926</v>
      </c>
      <c r="N17" s="118">
        <f t="shared" si="5"/>
        <v>6.8050634516042798</v>
      </c>
      <c r="O17" s="118">
        <f t="shared" si="5"/>
        <v>6.4061924057280688</v>
      </c>
      <c r="P17" s="118">
        <f t="shared" si="5"/>
        <v>6.0073213598518569</v>
      </c>
      <c r="Q17" s="118">
        <f t="shared" si="5"/>
        <v>5.6084503139756441</v>
      </c>
      <c r="R17" s="118">
        <f t="shared" si="5"/>
        <v>5.2095792680994322</v>
      </c>
      <c r="S17" s="118">
        <f t="shared" si="5"/>
        <v>4.8107082222232203</v>
      </c>
      <c r="T17" s="118">
        <f t="shared" si="5"/>
        <v>3.3462720428111501</v>
      </c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</row>
    <row r="18" spans="2:30" ht="15" customHeight="1">
      <c r="B18" s="31" t="s">
        <v>254</v>
      </c>
      <c r="C18" s="31"/>
      <c r="D18" s="31"/>
      <c r="E18" s="31"/>
      <c r="F18" s="84">
        <f>F14/F17</f>
        <v>1.1856286231125457</v>
      </c>
      <c r="G18" s="84">
        <f t="shared" ref="G18:T18" si="6">G14/G17</f>
        <v>1.241336043591152</v>
      </c>
      <c r="H18" s="84">
        <f t="shared" si="6"/>
        <v>1.273526607379478</v>
      </c>
      <c r="I18" s="84">
        <f t="shared" si="6"/>
        <v>1.3010813173574496</v>
      </c>
      <c r="J18" s="84">
        <f t="shared" si="6"/>
        <v>1.3349346191159259</v>
      </c>
      <c r="K18" s="84">
        <f t="shared" si="6"/>
        <v>1.3719469389886219</v>
      </c>
      <c r="L18" s="84">
        <f t="shared" si="6"/>
        <v>1.4167120691003066</v>
      </c>
      <c r="M18" s="84">
        <f t="shared" si="6"/>
        <v>1.4574623427397937</v>
      </c>
      <c r="N18" s="84">
        <f t="shared" si="6"/>
        <v>1.5072630887369365</v>
      </c>
      <c r="O18" s="84">
        <f t="shared" si="6"/>
        <v>1.5628928180395489</v>
      </c>
      <c r="P18" s="84">
        <f t="shared" si="6"/>
        <v>1.6304970723365202</v>
      </c>
      <c r="Q18" s="84">
        <f t="shared" si="6"/>
        <v>1.6964825925842504</v>
      </c>
      <c r="R18" s="84">
        <f t="shared" si="6"/>
        <v>1.7777850686387775</v>
      </c>
      <c r="S18" s="84">
        <f t="shared" si="6"/>
        <v>1.8719096742243939</v>
      </c>
      <c r="T18" s="84">
        <f t="shared" si="6"/>
        <v>2.499972835273399</v>
      </c>
      <c r="U18" s="84"/>
      <c r="V18" s="84"/>
      <c r="W18" s="84"/>
      <c r="X18" s="84"/>
      <c r="Y18" s="84"/>
      <c r="Z18" s="84"/>
      <c r="AA18" s="84"/>
      <c r="AB18" s="84"/>
      <c r="AC18" s="84"/>
      <c r="AD18" s="84"/>
    </row>
    <row r="19" spans="2:30" ht="15" customHeight="1">
      <c r="B19" s="71" t="s">
        <v>255</v>
      </c>
      <c r="C19" s="71"/>
      <c r="D19" s="71"/>
      <c r="E19" s="71"/>
      <c r="F19" s="417">
        <f>AVERAGE(F18:Z18)</f>
        <v>1.5419621140812734</v>
      </c>
      <c r="G19" s="417"/>
      <c r="H19" s="417"/>
      <c r="I19" s="417"/>
      <c r="J19" s="417"/>
      <c r="K19" s="417"/>
      <c r="L19" s="417"/>
      <c r="M19" s="417"/>
      <c r="N19" s="417"/>
      <c r="O19" s="417"/>
      <c r="P19" s="417"/>
      <c r="Q19" s="417"/>
      <c r="R19" s="417"/>
      <c r="S19" s="417"/>
      <c r="T19" s="417"/>
      <c r="U19" s="417"/>
      <c r="V19" s="417"/>
      <c r="W19" s="417"/>
      <c r="X19" s="417"/>
      <c r="Y19" s="417"/>
      <c r="Z19" s="417"/>
      <c r="AA19" s="84"/>
      <c r="AB19" s="84"/>
      <c r="AC19" s="84"/>
      <c r="AD19" s="84"/>
    </row>
    <row r="20" spans="2:30" ht="15" customHeight="1">
      <c r="B20" s="71" t="s">
        <v>256</v>
      </c>
      <c r="C20" s="71"/>
      <c r="D20" s="71"/>
      <c r="E20" s="71"/>
      <c r="F20" s="417">
        <f>MAX(F18:Z18)</f>
        <v>2.499972835273399</v>
      </c>
      <c r="G20" s="417"/>
      <c r="H20" s="417"/>
      <c r="I20" s="417"/>
      <c r="J20" s="417"/>
      <c r="K20" s="417"/>
      <c r="L20" s="417"/>
      <c r="M20" s="417"/>
      <c r="N20" s="417"/>
      <c r="O20" s="417"/>
      <c r="P20" s="417"/>
      <c r="Q20" s="417"/>
      <c r="R20" s="417"/>
      <c r="S20" s="417"/>
      <c r="T20" s="417"/>
      <c r="U20" s="417"/>
      <c r="V20" s="417"/>
      <c r="W20" s="417"/>
      <c r="X20" s="417"/>
      <c r="Y20" s="417"/>
      <c r="Z20" s="417"/>
      <c r="AA20" s="84"/>
      <c r="AB20" s="84"/>
      <c r="AC20" s="84"/>
      <c r="AD20" s="84"/>
    </row>
    <row r="21" spans="2:30" ht="15" customHeight="1"/>
    <row r="22" spans="2:30">
      <c r="B22" s="31" t="s">
        <v>108</v>
      </c>
      <c r="C22" s="31"/>
      <c r="D22" s="84"/>
      <c r="E22" s="84">
        <f>IS!D18</f>
        <v>0</v>
      </c>
      <c r="F22" s="84">
        <f>IS!E18</f>
        <v>6.83383926854727</v>
      </c>
      <c r="G22" s="84">
        <f>IS!F18</f>
        <v>9.3190777399327764</v>
      </c>
      <c r="H22" s="84">
        <f>IS!G18</f>
        <v>9.1505690308373904</v>
      </c>
      <c r="I22" s="84">
        <f>IS!H18</f>
        <v>8.9235565050732539</v>
      </c>
      <c r="J22" s="84">
        <f>IS!I18</f>
        <v>8.7230119368402743</v>
      </c>
      <c r="K22" s="84">
        <f>IS!J18</f>
        <v>8.52038049937984</v>
      </c>
      <c r="L22" s="84">
        <f>IS!K18</f>
        <v>8.3423903111875752</v>
      </c>
      <c r="M22" s="84">
        <f>IS!L18</f>
        <v>8.1081160006010311</v>
      </c>
      <c r="N22" s="84">
        <f>IS!M18</f>
        <v>7.8980773465043708</v>
      </c>
      <c r="O22" s="84">
        <f>IS!N18</f>
        <v>7.685157762062496</v>
      </c>
      <c r="P22" s="84">
        <f>IS!O18</f>
        <v>7.4946339174362082</v>
      </c>
      <c r="Q22" s="84">
        <f>IS!P18</f>
        <v>7.2497868906068845</v>
      </c>
      <c r="R22" s="84">
        <f>IS!Q18</f>
        <v>7.0268513270582416</v>
      </c>
      <c r="S22" s="84">
        <f>IS!R18</f>
        <v>6.8000832148003223</v>
      </c>
      <c r="T22" s="84">
        <f>IS!S18</f>
        <v>6.5933555261936565</v>
      </c>
      <c r="U22" s="84">
        <f>IS!T18</f>
        <v>6.3339801235265529</v>
      </c>
      <c r="V22" s="84">
        <f>IS!U18</f>
        <v>6.0940649600768921</v>
      </c>
      <c r="W22" s="84">
        <f>IS!V18</f>
        <v>5.8491735831073939</v>
      </c>
      <c r="X22" s="84">
        <f>IS!W18</f>
        <v>5.6218191012720471</v>
      </c>
      <c r="Y22" s="84">
        <f>IS!X18</f>
        <v>5.3431732811211976</v>
      </c>
      <c r="Z22" s="84">
        <f>IS!Y18</f>
        <v>5.0813673382519173</v>
      </c>
      <c r="AA22" s="84">
        <f>IS!Z18</f>
        <v>4.8132075698338337</v>
      </c>
      <c r="AB22" s="84">
        <f>IS!AA18</f>
        <v>4.5598868542615243</v>
      </c>
      <c r="AC22" s="84">
        <f>IS!AB18</f>
        <v>4.2562701185792413</v>
      </c>
      <c r="AD22" s="84">
        <f>IS!AC18</f>
        <v>3.9666531594888994</v>
      </c>
    </row>
    <row r="23" spans="2:30">
      <c r="B23" s="31" t="s">
        <v>258</v>
      </c>
      <c r="C23" s="31"/>
      <c r="D23" s="84"/>
      <c r="E23" s="84">
        <f>IS!D23</f>
        <v>0</v>
      </c>
      <c r="F23" s="84">
        <f>IS!E23</f>
        <v>0.44758413007241998</v>
      </c>
      <c r="G23" s="84">
        <f>IS!F23</f>
        <v>0.69224064316372247</v>
      </c>
      <c r="H23" s="84">
        <f>IS!G23</f>
        <v>0.73177082015531203</v>
      </c>
      <c r="I23" s="84">
        <f>IS!H23</f>
        <v>0.7612617422065443</v>
      </c>
      <c r="J23" s="84">
        <f>IS!I23</f>
        <v>0.79529456577012292</v>
      </c>
      <c r="K23" s="84">
        <f>IS!J23</f>
        <v>0.82896928257427038</v>
      </c>
      <c r="L23" s="84">
        <f>IS!K23</f>
        <v>0.86687243775283584</v>
      </c>
      <c r="M23" s="84">
        <f>IS!L23</f>
        <v>0.89511723752854289</v>
      </c>
      <c r="N23" s="84">
        <f>IS!M23</f>
        <v>0.92752087595791399</v>
      </c>
      <c r="O23" s="84">
        <f>IS!N23</f>
        <v>0.95943014674004623</v>
      </c>
      <c r="P23" s="84">
        <f>IS!O23</f>
        <v>0.9951825264745332</v>
      </c>
      <c r="Q23" s="84">
        <f>IS!P23</f>
        <v>1.0216130481429793</v>
      </c>
      <c r="R23" s="84">
        <f>IS!Q23</f>
        <v>1.0518035769103902</v>
      </c>
      <c r="S23" s="84">
        <f>IS!R23</f>
        <v>1.0813364403192891</v>
      </c>
      <c r="T23" s="84">
        <f>IS!S23</f>
        <v>1.5232348185923772</v>
      </c>
      <c r="U23" s="84">
        <f>IS!T23</f>
        <v>2.4574627297385683</v>
      </c>
      <c r="V23" s="84">
        <f>IS!U23</f>
        <v>2.4392010452502353</v>
      </c>
      <c r="W23" s="84">
        <f>IS!V23</f>
        <v>2.4117500457186947</v>
      </c>
      <c r="X23" s="84">
        <f>IS!W23</f>
        <v>2.3848697431608903</v>
      </c>
      <c r="Y23" s="84">
        <f>IS!X23</f>
        <v>2.3334615827056915</v>
      </c>
      <c r="Z23" s="84">
        <f>IS!Y23</f>
        <v>2.2841470324290292</v>
      </c>
      <c r="AA23" s="84">
        <f>IS!Z23</f>
        <v>2.2289437471095259</v>
      </c>
      <c r="AB23" s="84">
        <f>IS!AA23</f>
        <v>2.1769488401911254</v>
      </c>
      <c r="AC23" s="84">
        <f>IS!AB23</f>
        <v>2.1027952704571966</v>
      </c>
      <c r="AD23" s="84">
        <f>IS!AC23</f>
        <v>2.0325061689544044</v>
      </c>
    </row>
    <row r="24" spans="2:30">
      <c r="B24" s="31" t="s">
        <v>259</v>
      </c>
      <c r="C24" s="31"/>
      <c r="D24" s="84"/>
      <c r="E24" s="84">
        <f>IS!D16</f>
        <v>0</v>
      </c>
      <c r="F24" s="84">
        <f>IS!E16</f>
        <v>2.458095355708108</v>
      </c>
      <c r="G24" s="84">
        <f>IS!F16</f>
        <v>3.2864644865694483</v>
      </c>
      <c r="H24" s="84">
        <f>IS!G16</f>
        <v>3.2954684988614198</v>
      </c>
      <c r="I24" s="84">
        <f>IS!H16</f>
        <v>3.2864644865694483</v>
      </c>
      <c r="J24" s="84">
        <f>IS!I16</f>
        <v>3.2864644865694483</v>
      </c>
      <c r="K24" s="84">
        <f>IS!J16</f>
        <v>3.2864644865694483</v>
      </c>
      <c r="L24" s="84">
        <f>IS!K16</f>
        <v>3.2954684988614198</v>
      </c>
      <c r="M24" s="84">
        <f>IS!L16</f>
        <v>3.2864644865694483</v>
      </c>
      <c r="N24" s="84">
        <f>IS!M16</f>
        <v>3.2864644865694483</v>
      </c>
      <c r="O24" s="84">
        <f>IS!N16</f>
        <v>3.2864644865694483</v>
      </c>
      <c r="P24" s="84">
        <f>IS!O16</f>
        <v>3.2954684988614198</v>
      </c>
      <c r="Q24" s="84">
        <f>IS!P16</f>
        <v>3.2864644865694483</v>
      </c>
      <c r="R24" s="84">
        <f>IS!Q16</f>
        <v>3.2864644865694483</v>
      </c>
      <c r="S24" s="84">
        <f>IS!R16</f>
        <v>3.2864644865694483</v>
      </c>
      <c r="T24" s="84">
        <f>IS!S16</f>
        <v>3.2954684988614198</v>
      </c>
      <c r="U24" s="84">
        <f>IS!T16</f>
        <v>3.2864644865694483</v>
      </c>
      <c r="V24" s="84">
        <f>IS!U16</f>
        <v>3.2864644865694483</v>
      </c>
      <c r="W24" s="84">
        <f>IS!V16</f>
        <v>3.2864644865694483</v>
      </c>
      <c r="X24" s="84">
        <f>IS!W16</f>
        <v>3.2954684988614198</v>
      </c>
      <c r="Y24" s="84">
        <f>IS!X16</f>
        <v>3.2864644865694483</v>
      </c>
      <c r="Z24" s="84">
        <f>IS!Y16</f>
        <v>3.2864644865694483</v>
      </c>
      <c r="AA24" s="84">
        <f>IS!Z16</f>
        <v>3.2864644865694483</v>
      </c>
      <c r="AB24" s="84">
        <f>IS!AA16</f>
        <v>3.2954684988614198</v>
      </c>
      <c r="AC24" s="84">
        <f>IS!AB16</f>
        <v>3.2864644865694483</v>
      </c>
      <c r="AD24" s="84">
        <f>IS!AC16</f>
        <v>3.2864644865694483</v>
      </c>
    </row>
    <row r="25" spans="2:30">
      <c r="B25" s="61" t="s">
        <v>260</v>
      </c>
      <c r="C25" s="61"/>
      <c r="D25" s="118"/>
      <c r="E25" s="118">
        <f t="shared" ref="E25:AD25" si="7">E22-E23+E24</f>
        <v>0</v>
      </c>
      <c r="F25" s="118">
        <f t="shared" si="7"/>
        <v>8.844350494182958</v>
      </c>
      <c r="G25" s="118">
        <f t="shared" si="7"/>
        <v>11.913301583338502</v>
      </c>
      <c r="H25" s="118">
        <f t="shared" si="7"/>
        <v>11.714266709543498</v>
      </c>
      <c r="I25" s="118">
        <f t="shared" si="7"/>
        <v>11.448759249436158</v>
      </c>
      <c r="J25" s="118">
        <f t="shared" si="7"/>
        <v>11.2141818576396</v>
      </c>
      <c r="K25" s="118">
        <f t="shared" si="7"/>
        <v>10.977875703375018</v>
      </c>
      <c r="L25" s="118">
        <f t="shared" si="7"/>
        <v>10.770986372296159</v>
      </c>
      <c r="M25" s="118">
        <f t="shared" si="7"/>
        <v>10.499463249641938</v>
      </c>
      <c r="N25" s="118">
        <f t="shared" si="7"/>
        <v>10.257020957115905</v>
      </c>
      <c r="O25" s="118">
        <f t="shared" si="7"/>
        <v>10.012192101891898</v>
      </c>
      <c r="P25" s="118">
        <f t="shared" si="7"/>
        <v>9.7949198898230954</v>
      </c>
      <c r="Q25" s="118">
        <f t="shared" si="7"/>
        <v>9.5146383290333532</v>
      </c>
      <c r="R25" s="118">
        <f t="shared" si="7"/>
        <v>9.2615122367172997</v>
      </c>
      <c r="S25" s="118">
        <f t="shared" si="7"/>
        <v>9.0052112610504818</v>
      </c>
      <c r="T25" s="118">
        <f t="shared" si="7"/>
        <v>8.3655892064626993</v>
      </c>
      <c r="U25" s="118">
        <f t="shared" si="7"/>
        <v>7.1629818803574334</v>
      </c>
      <c r="V25" s="118">
        <f t="shared" si="7"/>
        <v>6.9413284013961052</v>
      </c>
      <c r="W25" s="118">
        <f t="shared" si="7"/>
        <v>6.723888023958148</v>
      </c>
      <c r="X25" s="118">
        <f t="shared" si="7"/>
        <v>6.532417856972577</v>
      </c>
      <c r="Y25" s="118">
        <f t="shared" si="7"/>
        <v>6.2961761849849545</v>
      </c>
      <c r="Z25" s="118">
        <f t="shared" si="7"/>
        <v>6.0836847923923365</v>
      </c>
      <c r="AA25" s="118">
        <f t="shared" si="7"/>
        <v>5.8707283092937566</v>
      </c>
      <c r="AB25" s="118">
        <f t="shared" si="7"/>
        <v>5.6784065129318186</v>
      </c>
      <c r="AC25" s="118">
        <f t="shared" si="7"/>
        <v>5.439939334691493</v>
      </c>
      <c r="AD25" s="118">
        <f t="shared" si="7"/>
        <v>5.2206114771039438</v>
      </c>
    </row>
    <row r="26" spans="2:30">
      <c r="B26" s="31" t="s">
        <v>261</v>
      </c>
      <c r="C26" s="31"/>
      <c r="D26" s="84"/>
      <c r="E26" s="84">
        <f>CFS!D21</f>
        <v>86.485907541301259</v>
      </c>
      <c r="F26" s="84">
        <f>CFS!E21</f>
        <v>0</v>
      </c>
      <c r="G26" s="84">
        <f>CFS!F21</f>
        <v>0</v>
      </c>
      <c r="H26" s="84">
        <f>CFS!G21</f>
        <v>0</v>
      </c>
      <c r="I26" s="84">
        <f>CFS!H21</f>
        <v>0</v>
      </c>
      <c r="J26" s="84">
        <f>CFS!I21</f>
        <v>0</v>
      </c>
      <c r="K26" s="84">
        <f>CFS!J21</f>
        <v>0</v>
      </c>
      <c r="L26" s="84">
        <f>CFS!K21</f>
        <v>0</v>
      </c>
      <c r="M26" s="84">
        <f>CFS!L21</f>
        <v>0</v>
      </c>
      <c r="N26" s="84">
        <f>CFS!M21</f>
        <v>0</v>
      </c>
      <c r="O26" s="84">
        <f>CFS!N21</f>
        <v>0</v>
      </c>
      <c r="P26" s="84">
        <f>CFS!O21</f>
        <v>0</v>
      </c>
      <c r="Q26" s="84">
        <f>CFS!P21</f>
        <v>0</v>
      </c>
      <c r="R26" s="84">
        <f>CFS!Q21</f>
        <v>0</v>
      </c>
      <c r="S26" s="84">
        <f>CFS!R21</f>
        <v>0</v>
      </c>
      <c r="T26" s="84">
        <f>CFS!S21</f>
        <v>0</v>
      </c>
      <c r="U26" s="84">
        <f>CFS!T21</f>
        <v>0</v>
      </c>
      <c r="V26" s="84">
        <f>CFS!U21</f>
        <v>0</v>
      </c>
      <c r="W26" s="84">
        <f>CFS!V21</f>
        <v>0</v>
      </c>
      <c r="X26" s="84">
        <f>CFS!W21</f>
        <v>0</v>
      </c>
      <c r="Y26" s="84">
        <f>CFS!X21</f>
        <v>0</v>
      </c>
      <c r="Z26" s="84">
        <f>CFS!Y21</f>
        <v>0</v>
      </c>
      <c r="AA26" s="84">
        <f>CFS!Z21</f>
        <v>0</v>
      </c>
      <c r="AB26" s="84">
        <f>CFS!AA21</f>
        <v>0</v>
      </c>
      <c r="AC26" s="84">
        <f>CFS!AB21</f>
        <v>0</v>
      </c>
      <c r="AD26" s="84">
        <f>CFS!AC21</f>
        <v>0</v>
      </c>
    </row>
    <row r="27" spans="2:30">
      <c r="B27" s="99" t="s">
        <v>262</v>
      </c>
      <c r="C27" s="99"/>
      <c r="D27" s="100"/>
      <c r="E27" s="100">
        <f t="shared" ref="E27:AD27" si="8">E25-E26</f>
        <v>-86.485907541301259</v>
      </c>
      <c r="F27" s="100">
        <f t="shared" si="8"/>
        <v>8.844350494182958</v>
      </c>
      <c r="G27" s="100">
        <f t="shared" si="8"/>
        <v>11.913301583338502</v>
      </c>
      <c r="H27" s="100">
        <f t="shared" si="8"/>
        <v>11.714266709543498</v>
      </c>
      <c r="I27" s="100">
        <f t="shared" si="8"/>
        <v>11.448759249436158</v>
      </c>
      <c r="J27" s="100">
        <f t="shared" si="8"/>
        <v>11.2141818576396</v>
      </c>
      <c r="K27" s="100">
        <f t="shared" si="8"/>
        <v>10.977875703375018</v>
      </c>
      <c r="L27" s="100">
        <f t="shared" si="8"/>
        <v>10.770986372296159</v>
      </c>
      <c r="M27" s="100">
        <f t="shared" si="8"/>
        <v>10.499463249641938</v>
      </c>
      <c r="N27" s="100">
        <f t="shared" si="8"/>
        <v>10.257020957115905</v>
      </c>
      <c r="O27" s="100">
        <f t="shared" si="8"/>
        <v>10.012192101891898</v>
      </c>
      <c r="P27" s="100">
        <f t="shared" si="8"/>
        <v>9.7949198898230954</v>
      </c>
      <c r="Q27" s="100">
        <f t="shared" si="8"/>
        <v>9.5146383290333532</v>
      </c>
      <c r="R27" s="100">
        <f t="shared" si="8"/>
        <v>9.2615122367172997</v>
      </c>
      <c r="S27" s="100">
        <f t="shared" si="8"/>
        <v>9.0052112610504818</v>
      </c>
      <c r="T27" s="100">
        <f t="shared" si="8"/>
        <v>8.3655892064626993</v>
      </c>
      <c r="U27" s="100">
        <f t="shared" si="8"/>
        <v>7.1629818803574334</v>
      </c>
      <c r="V27" s="100">
        <f t="shared" si="8"/>
        <v>6.9413284013961052</v>
      </c>
      <c r="W27" s="100">
        <f t="shared" si="8"/>
        <v>6.723888023958148</v>
      </c>
      <c r="X27" s="100">
        <f t="shared" si="8"/>
        <v>6.532417856972577</v>
      </c>
      <c r="Y27" s="100">
        <f t="shared" si="8"/>
        <v>6.2961761849849545</v>
      </c>
      <c r="Z27" s="100">
        <f t="shared" si="8"/>
        <v>6.0836847923923365</v>
      </c>
      <c r="AA27" s="100">
        <f t="shared" si="8"/>
        <v>5.8707283092937566</v>
      </c>
      <c r="AB27" s="100">
        <f t="shared" si="8"/>
        <v>5.6784065129318186</v>
      </c>
      <c r="AC27" s="100">
        <f t="shared" si="8"/>
        <v>5.439939334691493</v>
      </c>
      <c r="AD27" s="100">
        <f t="shared" si="8"/>
        <v>5.2206114771039438</v>
      </c>
    </row>
    <row r="29" spans="2:30">
      <c r="B29" s="61" t="s">
        <v>263</v>
      </c>
      <c r="C29" s="61"/>
      <c r="D29" s="62">
        <f>C44</f>
        <v>8.9704799999999987E-2</v>
      </c>
    </row>
    <row r="30" spans="2:30"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</row>
    <row r="31" spans="2:30">
      <c r="B31" s="71" t="s">
        <v>264</v>
      </c>
      <c r="C31" s="71"/>
      <c r="D31" s="285">
        <f>XNPV(D29,E27:AD27,E8:AD8)</f>
        <v>11.388090492332362</v>
      </c>
      <c r="E31" s="273"/>
      <c r="F31" s="274"/>
      <c r="G31" s="273"/>
      <c r="H31" s="274"/>
      <c r="I31" s="273"/>
      <c r="J31" s="273"/>
      <c r="K31" s="273"/>
      <c r="L31" s="273"/>
      <c r="M31" s="273"/>
      <c r="N31" s="273"/>
      <c r="O31" s="273"/>
      <c r="P31" s="273"/>
      <c r="Q31" s="273"/>
      <c r="R31" s="273"/>
      <c r="S31" s="273"/>
      <c r="T31" s="273"/>
      <c r="U31" s="273"/>
      <c r="V31" s="273"/>
      <c r="W31" s="273"/>
      <c r="X31" s="273"/>
      <c r="Y31" s="273"/>
      <c r="Z31" s="273"/>
      <c r="AA31" s="273"/>
      <c r="AB31" s="273"/>
      <c r="AC31" s="273"/>
      <c r="AD31" s="273"/>
    </row>
    <row r="32" spans="2:30">
      <c r="B32" s="31"/>
      <c r="C32" s="31"/>
      <c r="D32" s="66"/>
      <c r="E32" s="31"/>
      <c r="F32" s="31"/>
      <c r="G32" s="31"/>
      <c r="H32" s="31"/>
      <c r="I32" s="31"/>
      <c r="J32" s="31"/>
      <c r="K32" s="31"/>
      <c r="L32" s="31"/>
      <c r="M32" s="31"/>
      <c r="N32" s="31"/>
    </row>
    <row r="33" spans="2:30">
      <c r="B33" s="71" t="s">
        <v>265</v>
      </c>
      <c r="C33" s="71"/>
      <c r="D33" s="148">
        <f>XIRR(E27:AD27,E8:AD8)</f>
        <v>0.10841947197914123</v>
      </c>
      <c r="E33" s="275"/>
      <c r="F33" s="275"/>
      <c r="G33" s="275"/>
      <c r="H33" s="275"/>
      <c r="I33" s="275"/>
      <c r="J33" s="275"/>
      <c r="K33" s="275"/>
      <c r="L33" s="275"/>
      <c r="M33" s="275"/>
      <c r="N33" s="275"/>
      <c r="O33" s="275"/>
      <c r="P33" s="275"/>
      <c r="Q33" s="275"/>
      <c r="R33" s="275"/>
      <c r="S33" s="275"/>
      <c r="T33" s="275"/>
      <c r="U33" s="275"/>
      <c r="V33" s="275"/>
      <c r="W33" s="275"/>
      <c r="X33" s="275"/>
      <c r="Y33" s="275"/>
      <c r="Z33" s="275"/>
      <c r="AA33" s="275"/>
      <c r="AB33" s="275"/>
      <c r="AC33" s="275"/>
      <c r="AD33" s="275"/>
    </row>
    <row r="34" spans="2:30">
      <c r="B34" s="31"/>
      <c r="C34" s="31"/>
      <c r="D34" s="64"/>
      <c r="E34" s="31"/>
      <c r="F34" s="31"/>
      <c r="G34" s="31"/>
      <c r="H34" s="31"/>
      <c r="I34" s="31"/>
      <c r="J34" s="31"/>
      <c r="K34" s="31"/>
      <c r="L34" s="31"/>
      <c r="M34" s="31"/>
      <c r="N34" s="31"/>
    </row>
    <row r="35" spans="2:30">
      <c r="B35" s="276" t="s">
        <v>263</v>
      </c>
      <c r="C35" s="277"/>
      <c r="D35" s="31"/>
      <c r="E35" s="31"/>
      <c r="F35" s="31"/>
      <c r="G35" s="31"/>
      <c r="H35" s="31"/>
      <c r="I35" s="31"/>
      <c r="J35" s="31"/>
      <c r="K35" s="31"/>
      <c r="L35" s="31"/>
      <c r="M35" s="31"/>
    </row>
    <row r="36" spans="2:30">
      <c r="B36" s="278" t="s">
        <v>266</v>
      </c>
      <c r="C36" s="279">
        <f>'PC &amp; MoF'!C25</f>
        <v>0.7</v>
      </c>
      <c r="D36" s="31"/>
      <c r="E36" s="31"/>
      <c r="F36" s="31"/>
      <c r="G36" s="31"/>
      <c r="H36" s="31"/>
      <c r="I36" s="31"/>
      <c r="J36" s="31"/>
      <c r="K36" s="31"/>
      <c r="L36" s="31"/>
      <c r="M36" s="31"/>
    </row>
    <row r="37" spans="2:30">
      <c r="B37" s="278" t="s">
        <v>267</v>
      </c>
      <c r="C37" s="280">
        <f>Assumptions!D46</f>
        <v>9.2499999999999999E-2</v>
      </c>
      <c r="D37" s="31"/>
      <c r="E37" s="31"/>
      <c r="F37" s="31"/>
      <c r="G37" s="31"/>
      <c r="H37" s="31"/>
      <c r="I37" s="31"/>
      <c r="J37" s="31"/>
      <c r="K37" s="31"/>
      <c r="L37" s="31"/>
      <c r="M37" s="31"/>
    </row>
    <row r="38" spans="2:30">
      <c r="B38" s="278" t="s">
        <v>112</v>
      </c>
      <c r="C38" s="280">
        <f>Assumptions!E57</f>
        <v>0.29120000000000001</v>
      </c>
      <c r="D38" s="31"/>
      <c r="E38" s="31"/>
      <c r="F38" s="31"/>
      <c r="G38" s="31"/>
      <c r="H38" s="31"/>
      <c r="I38" s="31"/>
      <c r="J38" s="31"/>
      <c r="K38" s="31"/>
      <c r="L38" s="31"/>
      <c r="M38" s="31"/>
    </row>
    <row r="39" spans="2:30">
      <c r="B39" s="278" t="s">
        <v>268</v>
      </c>
      <c r="C39" s="280">
        <f>C37*(1-C38)</f>
        <v>6.5563999999999997E-2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</row>
    <row r="40" spans="2:30">
      <c r="B40" s="278" t="s">
        <v>269</v>
      </c>
      <c r="C40" s="279">
        <f>1-C36</f>
        <v>0.30000000000000004</v>
      </c>
      <c r="D40" s="31"/>
      <c r="E40" s="31"/>
      <c r="F40" s="31"/>
      <c r="G40" s="31"/>
      <c r="H40" s="31"/>
      <c r="I40" s="31"/>
      <c r="J40" s="31"/>
      <c r="K40" s="31"/>
      <c r="L40" s="31"/>
      <c r="M40" s="31"/>
    </row>
    <row r="41" spans="2:30">
      <c r="B41" s="278" t="s">
        <v>402</v>
      </c>
      <c r="C41" s="280">
        <v>0.11269999999999999</v>
      </c>
      <c r="D41" s="31" t="s">
        <v>401</v>
      </c>
      <c r="E41" s="31"/>
      <c r="F41" s="31"/>
      <c r="G41" s="31"/>
      <c r="H41" s="31"/>
      <c r="I41" s="31"/>
      <c r="J41" s="31"/>
      <c r="K41" s="31"/>
      <c r="L41" s="31"/>
      <c r="M41" s="31"/>
    </row>
    <row r="42" spans="2:30">
      <c r="B42" s="276" t="s">
        <v>263</v>
      </c>
      <c r="C42" s="281">
        <f>C36*C39+C40*C41</f>
        <v>7.9704799999999992E-2</v>
      </c>
      <c r="D42" s="31"/>
      <c r="E42" s="31"/>
      <c r="F42" s="31"/>
      <c r="G42" s="31"/>
      <c r="H42" s="31"/>
      <c r="I42" s="31"/>
      <c r="J42" s="31"/>
      <c r="K42" s="31"/>
      <c r="L42" s="31"/>
      <c r="M42" s="31"/>
    </row>
    <row r="43" spans="2:30">
      <c r="B43" s="71" t="s">
        <v>403</v>
      </c>
      <c r="C43" s="275">
        <v>0.01</v>
      </c>
      <c r="D43" s="31"/>
      <c r="E43" s="31"/>
      <c r="F43" s="31"/>
      <c r="G43" s="31"/>
      <c r="H43" s="31"/>
      <c r="I43" s="31"/>
      <c r="J43" s="31"/>
      <c r="K43" s="31"/>
      <c r="L43" s="31"/>
      <c r="M43" s="31"/>
    </row>
    <row r="44" spans="2:30">
      <c r="B44" s="71" t="s">
        <v>404</v>
      </c>
      <c r="C44" s="275">
        <f>+C42+C43</f>
        <v>8.9704799999999987E-2</v>
      </c>
      <c r="D44" s="31"/>
      <c r="E44" s="31"/>
      <c r="F44" s="31"/>
      <c r="G44" s="31"/>
      <c r="H44" s="31"/>
      <c r="I44" s="31"/>
      <c r="J44" s="31"/>
      <c r="K44" s="31"/>
      <c r="L44" s="31"/>
      <c r="M44" s="31"/>
    </row>
    <row r="46" spans="2:30" hidden="1">
      <c r="B46" s="282" t="s">
        <v>270</v>
      </c>
      <c r="C46" s="282"/>
      <c r="D46" s="282"/>
      <c r="E46" s="282"/>
      <c r="F46" s="282"/>
      <c r="G46" s="282"/>
      <c r="H46" s="282"/>
      <c r="I46" s="282"/>
      <c r="J46" s="282"/>
      <c r="K46" s="282"/>
      <c r="L46" s="282"/>
      <c r="M46" s="282"/>
      <c r="N46" s="282"/>
      <c r="O46" s="283"/>
      <c r="P46" s="283"/>
      <c r="Q46" s="283"/>
      <c r="R46" s="283"/>
      <c r="S46" s="283"/>
      <c r="T46" s="283"/>
      <c r="U46" s="283"/>
      <c r="V46" s="283"/>
      <c r="W46" s="283"/>
      <c r="X46" s="283"/>
      <c r="Y46" s="283"/>
      <c r="Z46" s="283"/>
      <c r="AA46" s="283"/>
      <c r="AB46" s="283"/>
      <c r="AC46" s="283"/>
      <c r="AD46" s="283"/>
    </row>
    <row r="47" spans="2:30" hidden="1"/>
    <row r="48" spans="2:30" hidden="1">
      <c r="B48" s="31" t="s">
        <v>271</v>
      </c>
      <c r="C48" s="31"/>
      <c r="D48" s="85"/>
      <c r="E48" s="85"/>
      <c r="F48" s="85">
        <f t="shared" ref="F48:AD48" si="9">F9</f>
        <v>1</v>
      </c>
      <c r="G48" s="85">
        <f t="shared" si="9"/>
        <v>2</v>
      </c>
      <c r="H48" s="85">
        <f t="shared" si="9"/>
        <v>3</v>
      </c>
      <c r="I48" s="85">
        <f t="shared" si="9"/>
        <v>4</v>
      </c>
      <c r="J48" s="85">
        <f t="shared" si="9"/>
        <v>5</v>
      </c>
      <c r="K48" s="85">
        <f t="shared" si="9"/>
        <v>6</v>
      </c>
      <c r="L48" s="85">
        <f t="shared" si="9"/>
        <v>7</v>
      </c>
      <c r="M48" s="85">
        <f t="shared" si="9"/>
        <v>8</v>
      </c>
      <c r="N48" s="85">
        <f t="shared" si="9"/>
        <v>9</v>
      </c>
      <c r="O48" s="85">
        <f t="shared" si="9"/>
        <v>10</v>
      </c>
      <c r="P48" s="85">
        <f t="shared" si="9"/>
        <v>11</v>
      </c>
      <c r="Q48" s="85">
        <f t="shared" si="9"/>
        <v>12</v>
      </c>
      <c r="R48" s="85">
        <f t="shared" si="9"/>
        <v>13</v>
      </c>
      <c r="S48" s="85">
        <f t="shared" si="9"/>
        <v>14</v>
      </c>
      <c r="T48" s="85">
        <f t="shared" si="9"/>
        <v>15</v>
      </c>
      <c r="U48" s="85">
        <f t="shared" si="9"/>
        <v>16</v>
      </c>
      <c r="V48" s="85">
        <f t="shared" si="9"/>
        <v>17</v>
      </c>
      <c r="W48" s="85">
        <f t="shared" si="9"/>
        <v>18</v>
      </c>
      <c r="X48" s="85">
        <f t="shared" si="9"/>
        <v>19</v>
      </c>
      <c r="Y48" s="85">
        <f t="shared" si="9"/>
        <v>20</v>
      </c>
      <c r="Z48" s="85">
        <f t="shared" si="9"/>
        <v>21</v>
      </c>
      <c r="AA48" s="85">
        <f t="shared" si="9"/>
        <v>22</v>
      </c>
      <c r="AB48" s="85">
        <f t="shared" si="9"/>
        <v>23</v>
      </c>
      <c r="AC48" s="85">
        <f t="shared" si="9"/>
        <v>24</v>
      </c>
      <c r="AD48" s="85">
        <f t="shared" si="9"/>
        <v>25</v>
      </c>
    </row>
    <row r="49" spans="2:30" hidden="1">
      <c r="B49" s="31" t="s">
        <v>114</v>
      </c>
      <c r="C49" s="31"/>
      <c r="D49" s="84"/>
      <c r="E49" s="84"/>
      <c r="F49" s="84">
        <f>IS!E31</f>
        <v>1.3847207907733692</v>
      </c>
      <c r="G49" s="84">
        <f>IS!F31</f>
        <v>2.3161408106007375</v>
      </c>
      <c r="H49" s="84">
        <f>IS!G31</f>
        <v>2.515976982681944</v>
      </c>
      <c r="I49" s="84">
        <f>IS!H31</f>
        <v>2.6493405684508167</v>
      </c>
      <c r="J49" s="84">
        <f>IS!I31</f>
        <v>2.81363422253047</v>
      </c>
      <c r="K49" s="84">
        <f>IS!J31</f>
        <v>2.9761991141421005</v>
      </c>
      <c r="L49" s="84">
        <f>IS!K31</f>
        <v>3.1681808289394544</v>
      </c>
      <c r="M49" s="84">
        <f>IS!L31</f>
        <v>3.2955287521614443</v>
      </c>
      <c r="N49" s="84">
        <f>IS!M31</f>
        <v>3.4519575055116247</v>
      </c>
      <c r="O49" s="84">
        <f>IS!N31</f>
        <v>3.6059996961638294</v>
      </c>
      <c r="P49" s="84">
        <f>IS!O31</f>
        <v>3.7875985299712385</v>
      </c>
      <c r="Q49" s="84">
        <f>IS!P31</f>
        <v>3.9061880150577091</v>
      </c>
      <c r="R49" s="84">
        <f>IS!Q31</f>
        <v>4.0519329686178684</v>
      </c>
      <c r="S49" s="84">
        <f>IS!R31</f>
        <v>4.1945030388272615</v>
      </c>
      <c r="T49" s="84">
        <f>IS!S31</f>
        <v>5.0193171636515492</v>
      </c>
      <c r="U49" s="84">
        <f>IS!T31</f>
        <v>7.1629818803574405</v>
      </c>
      <c r="V49" s="84">
        <f>IS!U31</f>
        <v>6.9413284013961123</v>
      </c>
      <c r="W49" s="84">
        <f>IS!V31</f>
        <v>6.7238880239581551</v>
      </c>
      <c r="X49" s="84">
        <f>IS!W31</f>
        <v>6.5324178569725841</v>
      </c>
      <c r="Y49" s="84">
        <f>IS!X31</f>
        <v>6.2961761849849616</v>
      </c>
      <c r="Z49" s="84">
        <f>IS!Y31</f>
        <v>6.0836847923923365</v>
      </c>
      <c r="AA49" s="84">
        <f>IS!Z31</f>
        <v>5.8707283092937566</v>
      </c>
      <c r="AB49" s="84">
        <f>IS!AA31</f>
        <v>5.6784065129318186</v>
      </c>
      <c r="AC49" s="84">
        <f>IS!AB31</f>
        <v>5.439939334691493</v>
      </c>
      <c r="AD49" s="84">
        <f>IS!AC31</f>
        <v>5.2206114771039438</v>
      </c>
    </row>
    <row r="50" spans="2:30" hidden="1">
      <c r="B50" s="31" t="s">
        <v>272</v>
      </c>
      <c r="C50" s="31"/>
      <c r="D50" s="84"/>
      <c r="E50" s="84"/>
      <c r="F50" s="84">
        <f t="shared" ref="F50:AD50" si="10">E50+F49</f>
        <v>1.3847207907733692</v>
      </c>
      <c r="G50" s="84">
        <f t="shared" si="10"/>
        <v>3.7008616013741067</v>
      </c>
      <c r="H50" s="84">
        <f t="shared" si="10"/>
        <v>6.2168385840560507</v>
      </c>
      <c r="I50" s="84">
        <f t="shared" si="10"/>
        <v>8.8661791525068665</v>
      </c>
      <c r="J50" s="84">
        <f t="shared" si="10"/>
        <v>11.679813375037337</v>
      </c>
      <c r="K50" s="84">
        <f t="shared" si="10"/>
        <v>14.656012489179439</v>
      </c>
      <c r="L50" s="84">
        <f t="shared" si="10"/>
        <v>17.824193318118894</v>
      </c>
      <c r="M50" s="84">
        <f t="shared" si="10"/>
        <v>21.119722070280339</v>
      </c>
      <c r="N50" s="84">
        <f t="shared" si="10"/>
        <v>24.571679575791965</v>
      </c>
      <c r="O50" s="84">
        <f t="shared" si="10"/>
        <v>28.177679271955796</v>
      </c>
      <c r="P50" s="84">
        <f t="shared" si="10"/>
        <v>31.965277801927034</v>
      </c>
      <c r="Q50" s="84">
        <f t="shared" si="10"/>
        <v>35.871465816984745</v>
      </c>
      <c r="R50" s="84">
        <f t="shared" si="10"/>
        <v>39.923398785602615</v>
      </c>
      <c r="S50" s="84">
        <f t="shared" si="10"/>
        <v>44.117901824429879</v>
      </c>
      <c r="T50" s="84">
        <f t="shared" si="10"/>
        <v>49.137218988081429</v>
      </c>
      <c r="U50" s="84">
        <f t="shared" si="10"/>
        <v>56.300200868438871</v>
      </c>
      <c r="V50" s="84">
        <f t="shared" si="10"/>
        <v>63.241529269834984</v>
      </c>
      <c r="W50" s="84">
        <f t="shared" si="10"/>
        <v>69.965417293793138</v>
      </c>
      <c r="X50" s="84">
        <f t="shared" si="10"/>
        <v>76.497835150765724</v>
      </c>
      <c r="Y50" s="84">
        <f t="shared" si="10"/>
        <v>82.794011335750682</v>
      </c>
      <c r="Z50" s="84">
        <f t="shared" si="10"/>
        <v>88.877696128143015</v>
      </c>
      <c r="AA50" s="84">
        <f t="shared" si="10"/>
        <v>94.748424437436768</v>
      </c>
      <c r="AB50" s="84">
        <f t="shared" si="10"/>
        <v>100.42683095036858</v>
      </c>
      <c r="AC50" s="84">
        <f t="shared" si="10"/>
        <v>105.86677028506007</v>
      </c>
      <c r="AD50" s="84">
        <f t="shared" si="10"/>
        <v>111.08738176216401</v>
      </c>
    </row>
    <row r="51" spans="2:30" hidden="1">
      <c r="B51" s="31" t="s">
        <v>273</v>
      </c>
      <c r="C51" s="31"/>
      <c r="E51" s="31"/>
      <c r="F51" s="84">
        <f>'PC &amp; MoF'!H20</f>
        <v>86.485907541301259</v>
      </c>
      <c r="G51" s="31"/>
      <c r="H51" s="31"/>
      <c r="I51" s="31"/>
      <c r="J51" s="31"/>
      <c r="K51" s="31"/>
      <c r="L51" s="31"/>
      <c r="M51" s="31"/>
      <c r="N51" s="31"/>
    </row>
    <row r="52" spans="2:30" hidden="1">
      <c r="B52" s="71" t="s">
        <v>274</v>
      </c>
      <c r="C52" s="71"/>
      <c r="D52" s="71"/>
      <c r="E52" s="284"/>
      <c r="F52" s="284">
        <f>N48+F51/O50</f>
        <v>12.069305555882933</v>
      </c>
      <c r="G52" s="284"/>
      <c r="H52" s="284"/>
      <c r="I52" s="284"/>
      <c r="J52" s="284"/>
      <c r="K52" s="284"/>
      <c r="L52" s="284"/>
      <c r="M52" s="284"/>
      <c r="N52" s="284"/>
      <c r="O52" s="284"/>
      <c r="P52" s="284"/>
      <c r="Q52" s="284"/>
      <c r="R52" s="284"/>
      <c r="S52" s="284"/>
      <c r="T52" s="284"/>
      <c r="U52" s="284"/>
      <c r="V52" s="284"/>
      <c r="W52" s="284"/>
      <c r="X52" s="284"/>
      <c r="Y52" s="284"/>
      <c r="Z52" s="284"/>
      <c r="AA52" s="284"/>
      <c r="AB52" s="284"/>
      <c r="AC52" s="284"/>
      <c r="AD52" s="284"/>
    </row>
    <row r="57" spans="2:30" hidden="1">
      <c r="D57" s="259" t="s">
        <v>308</v>
      </c>
      <c r="E57" s="259" t="s">
        <v>114</v>
      </c>
      <c r="F57" s="259" t="s">
        <v>272</v>
      </c>
      <c r="G57" s="259"/>
    </row>
    <row r="58" spans="2:30" hidden="1">
      <c r="B58" s="113">
        <v>1</v>
      </c>
      <c r="D58" s="305">
        <f t="array" ref="D58:D83">TRANSPOSE(F8:AD8)</f>
        <v>46111</v>
      </c>
      <c r="E58" s="112">
        <f t="array" ref="E58:E83">TRANSPOSE(F49:AD49)</f>
        <v>1.3847207907733692</v>
      </c>
      <c r="F58" s="112">
        <f>E58</f>
        <v>1.3847207907733692</v>
      </c>
    </row>
    <row r="59" spans="2:30" hidden="1">
      <c r="B59" s="113">
        <f>B58+1</f>
        <v>2</v>
      </c>
      <c r="D59" s="305">
        <v>46476</v>
      </c>
      <c r="E59" s="112">
        <v>2.3161408106007375</v>
      </c>
      <c r="F59" s="112">
        <f>E59+F58</f>
        <v>3.7008616013741067</v>
      </c>
    </row>
    <row r="60" spans="2:30" hidden="1">
      <c r="B60" s="113">
        <f t="shared" ref="B60:B83" si="11">B59+1</f>
        <v>3</v>
      </c>
      <c r="D60" s="305">
        <v>46842</v>
      </c>
      <c r="E60" s="112">
        <v>2.515976982681944</v>
      </c>
      <c r="F60" s="112">
        <f t="shared" ref="F60:F83" si="12">E60+F59</f>
        <v>6.2168385840560507</v>
      </c>
    </row>
    <row r="61" spans="2:30" hidden="1">
      <c r="B61" s="113">
        <f t="shared" si="11"/>
        <v>4</v>
      </c>
      <c r="D61" s="305">
        <v>47207</v>
      </c>
      <c r="E61" s="112">
        <v>2.6493405684508167</v>
      </c>
      <c r="F61" s="112">
        <f t="shared" si="12"/>
        <v>8.8661791525068665</v>
      </c>
    </row>
    <row r="62" spans="2:30" hidden="1">
      <c r="B62" s="113">
        <f t="shared" si="11"/>
        <v>5</v>
      </c>
      <c r="D62" s="305">
        <v>47572</v>
      </c>
      <c r="E62" s="112">
        <v>2.81363422253047</v>
      </c>
      <c r="F62" s="112">
        <f t="shared" si="12"/>
        <v>11.679813375037337</v>
      </c>
    </row>
    <row r="63" spans="2:30" hidden="1">
      <c r="B63" s="113">
        <f t="shared" si="11"/>
        <v>6</v>
      </c>
      <c r="D63" s="305">
        <v>47937</v>
      </c>
      <c r="E63" s="112">
        <v>2.9761991141421005</v>
      </c>
      <c r="F63" s="112">
        <f t="shared" si="12"/>
        <v>14.656012489179439</v>
      </c>
    </row>
    <row r="64" spans="2:30" hidden="1">
      <c r="B64" s="113">
        <f t="shared" si="11"/>
        <v>7</v>
      </c>
      <c r="D64" s="305">
        <v>48303</v>
      </c>
      <c r="E64" s="112">
        <v>3.1681808289394544</v>
      </c>
      <c r="F64" s="112">
        <f t="shared" si="12"/>
        <v>17.824193318118894</v>
      </c>
    </row>
    <row r="65" spans="2:6" hidden="1">
      <c r="B65" s="113">
        <f t="shared" si="11"/>
        <v>8</v>
      </c>
      <c r="D65" s="305">
        <v>48668</v>
      </c>
      <c r="E65" s="112">
        <v>3.2955287521614443</v>
      </c>
      <c r="F65" s="112">
        <f t="shared" si="12"/>
        <v>21.119722070280339</v>
      </c>
    </row>
    <row r="66" spans="2:6" hidden="1">
      <c r="B66" s="113">
        <f t="shared" si="11"/>
        <v>9</v>
      </c>
      <c r="D66" s="305">
        <v>49033</v>
      </c>
      <c r="E66" s="112">
        <v>3.4519575055116247</v>
      </c>
      <c r="F66" s="112">
        <f t="shared" si="12"/>
        <v>24.571679575791965</v>
      </c>
    </row>
    <row r="67" spans="2:6" hidden="1">
      <c r="B67" s="113">
        <f t="shared" si="11"/>
        <v>10</v>
      </c>
      <c r="D67" s="305">
        <v>49398</v>
      </c>
      <c r="E67" s="112">
        <v>3.6059996961638294</v>
      </c>
      <c r="F67" s="112">
        <f t="shared" si="12"/>
        <v>28.177679271955796</v>
      </c>
    </row>
    <row r="68" spans="2:6" hidden="1">
      <c r="B68" s="113">
        <f t="shared" si="11"/>
        <v>11</v>
      </c>
      <c r="D68" s="305">
        <v>49764</v>
      </c>
      <c r="E68" s="112">
        <v>3.7875985299712385</v>
      </c>
      <c r="F68" s="112">
        <f t="shared" si="12"/>
        <v>31.965277801927034</v>
      </c>
    </row>
    <row r="69" spans="2:6" hidden="1">
      <c r="B69" s="113">
        <f t="shared" si="11"/>
        <v>12</v>
      </c>
      <c r="D69" s="305">
        <v>50129</v>
      </c>
      <c r="E69" s="112">
        <v>3.9061880150577091</v>
      </c>
      <c r="F69" s="112">
        <f t="shared" si="12"/>
        <v>35.871465816984745</v>
      </c>
    </row>
    <row r="70" spans="2:6" hidden="1">
      <c r="B70" s="113">
        <f t="shared" si="11"/>
        <v>13</v>
      </c>
      <c r="D70" s="305">
        <v>50494</v>
      </c>
      <c r="E70" s="112">
        <v>4.0519329686178684</v>
      </c>
      <c r="F70" s="112">
        <f t="shared" si="12"/>
        <v>39.923398785602615</v>
      </c>
    </row>
    <row r="71" spans="2:6" hidden="1">
      <c r="B71" s="113">
        <f t="shared" si="11"/>
        <v>14</v>
      </c>
      <c r="D71" s="305">
        <v>50859</v>
      </c>
      <c r="E71" s="112">
        <v>4.1945030388272615</v>
      </c>
      <c r="F71" s="112">
        <f t="shared" si="12"/>
        <v>44.117901824429879</v>
      </c>
    </row>
    <row r="72" spans="2:6" hidden="1">
      <c r="B72" s="113">
        <f t="shared" si="11"/>
        <v>15</v>
      </c>
      <c r="D72" s="305">
        <v>51225</v>
      </c>
      <c r="E72" s="112">
        <v>5.0193171636515492</v>
      </c>
      <c r="F72" s="112">
        <f t="shared" si="12"/>
        <v>49.137218988081429</v>
      </c>
    </row>
    <row r="73" spans="2:6" hidden="1">
      <c r="B73" s="113">
        <f t="shared" si="11"/>
        <v>16</v>
      </c>
      <c r="D73" s="305">
        <v>51590</v>
      </c>
      <c r="E73" s="112">
        <v>7.1629818803574405</v>
      </c>
      <c r="F73" s="112">
        <f t="shared" si="12"/>
        <v>56.300200868438871</v>
      </c>
    </row>
    <row r="74" spans="2:6" hidden="1">
      <c r="B74" s="113">
        <f t="shared" si="11"/>
        <v>17</v>
      </c>
      <c r="D74" s="305">
        <v>51955</v>
      </c>
      <c r="E74" s="112">
        <v>6.9413284013961123</v>
      </c>
      <c r="F74" s="112">
        <f t="shared" si="12"/>
        <v>63.241529269834984</v>
      </c>
    </row>
    <row r="75" spans="2:6" hidden="1">
      <c r="B75" s="113">
        <f t="shared" si="11"/>
        <v>18</v>
      </c>
      <c r="D75" s="305">
        <v>52320</v>
      </c>
      <c r="E75" s="112">
        <v>6.7238880239581551</v>
      </c>
      <c r="F75" s="112">
        <f t="shared" si="12"/>
        <v>69.965417293793138</v>
      </c>
    </row>
    <row r="76" spans="2:6" hidden="1">
      <c r="B76" s="113">
        <f t="shared" si="11"/>
        <v>19</v>
      </c>
      <c r="D76" s="305">
        <v>52686</v>
      </c>
      <c r="E76" s="112">
        <v>6.5324178569725841</v>
      </c>
      <c r="F76" s="112">
        <f t="shared" si="12"/>
        <v>76.497835150765724</v>
      </c>
    </row>
    <row r="77" spans="2:6" hidden="1">
      <c r="B77" s="113">
        <f t="shared" si="11"/>
        <v>20</v>
      </c>
      <c r="D77" s="305">
        <v>53051</v>
      </c>
      <c r="E77" s="112">
        <v>6.2961761849849616</v>
      </c>
      <c r="F77" s="112">
        <f t="shared" si="12"/>
        <v>82.794011335750682</v>
      </c>
    </row>
    <row r="78" spans="2:6" hidden="1">
      <c r="B78" s="113">
        <f t="shared" si="11"/>
        <v>21</v>
      </c>
      <c r="D78" s="305">
        <v>53416</v>
      </c>
      <c r="E78" s="112">
        <v>6.0836847923923365</v>
      </c>
      <c r="F78" s="112">
        <f t="shared" si="12"/>
        <v>88.877696128143015</v>
      </c>
    </row>
    <row r="79" spans="2:6" hidden="1">
      <c r="B79" s="113">
        <f t="shared" si="11"/>
        <v>22</v>
      </c>
      <c r="D79" s="305">
        <v>53781</v>
      </c>
      <c r="E79" s="112">
        <v>5.8707283092937566</v>
      </c>
      <c r="F79" s="112">
        <f t="shared" si="12"/>
        <v>94.748424437436768</v>
      </c>
    </row>
    <row r="80" spans="2:6" hidden="1">
      <c r="B80" s="113">
        <f t="shared" si="11"/>
        <v>23</v>
      </c>
      <c r="D80" s="305">
        <v>54147</v>
      </c>
      <c r="E80" s="112">
        <v>5.6784065129318186</v>
      </c>
      <c r="F80" s="112">
        <f t="shared" si="12"/>
        <v>100.42683095036858</v>
      </c>
    </row>
    <row r="81" spans="2:30" hidden="1">
      <c r="B81" s="113">
        <f t="shared" si="11"/>
        <v>24</v>
      </c>
      <c r="D81" s="305">
        <v>54512</v>
      </c>
      <c r="E81" s="112">
        <v>5.439939334691493</v>
      </c>
      <c r="F81" s="112">
        <f t="shared" si="12"/>
        <v>105.86677028506007</v>
      </c>
    </row>
    <row r="82" spans="2:30" hidden="1">
      <c r="B82" s="113">
        <f t="shared" si="11"/>
        <v>25</v>
      </c>
      <c r="D82" s="305">
        <v>54877</v>
      </c>
      <c r="E82" s="112">
        <v>5.2206114771039438</v>
      </c>
      <c r="F82" s="112">
        <f t="shared" si="12"/>
        <v>111.08738176216401</v>
      </c>
    </row>
    <row r="83" spans="2:30" hidden="1">
      <c r="B83" s="113">
        <f t="shared" si="11"/>
        <v>26</v>
      </c>
      <c r="D83" s="305" t="e">
        <v>#N/A</v>
      </c>
      <c r="E83" s="112" t="e">
        <v>#N/A</v>
      </c>
      <c r="F83" s="112" t="e">
        <f t="shared" si="12"/>
        <v>#N/A</v>
      </c>
    </row>
    <row r="84" spans="2:30" hidden="1">
      <c r="B84" s="113"/>
      <c r="D84" s="259" t="s">
        <v>128</v>
      </c>
      <c r="E84" s="112" t="e">
        <f>SUM(E58:E83)</f>
        <v>#N/A</v>
      </c>
    </row>
    <row r="85" spans="2:30" hidden="1">
      <c r="B85" s="113"/>
      <c r="D85" s="68" t="s">
        <v>273</v>
      </c>
      <c r="E85" s="111">
        <f>F51</f>
        <v>86.485907541301259</v>
      </c>
    </row>
    <row r="86" spans="2:30" hidden="1">
      <c r="B86" s="113"/>
      <c r="D86" s="68" t="s">
        <v>274</v>
      </c>
      <c r="E86" s="306">
        <f>F52</f>
        <v>12.069305555882933</v>
      </c>
    </row>
    <row r="87" spans="2:30">
      <c r="B87" s="113"/>
    </row>
    <row r="88" spans="2:30">
      <c r="B88" s="113"/>
    </row>
    <row r="89" spans="2:30">
      <c r="B89" s="308" t="s">
        <v>309</v>
      </c>
    </row>
    <row r="90" spans="2:30">
      <c r="B90" s="113"/>
    </row>
    <row r="91" spans="2:30">
      <c r="B91" s="31" t="s">
        <v>310</v>
      </c>
      <c r="F91" s="112">
        <f>IS!E12</f>
        <v>10.563790836440971</v>
      </c>
      <c r="G91" s="112">
        <f>IS!F12</f>
        <v>13.933503394201249</v>
      </c>
      <c r="H91" s="112">
        <f>IS!G12</f>
        <v>13.833064219898972</v>
      </c>
      <c r="I91" s="112">
        <f>IS!H12</f>
        <v>13.659240257906296</v>
      </c>
      <c r="J91" s="112">
        <f>IS!I12</f>
        <v>13.524162217764246</v>
      </c>
      <c r="K91" s="112">
        <f>IS!J12</f>
        <v>13.390434958023617</v>
      </c>
      <c r="L91" s="112">
        <f>IS!K12</f>
        <v>13.293953487941156</v>
      </c>
      <c r="M91" s="112">
        <f>IS!L12</f>
        <v>13.126978883608601</v>
      </c>
      <c r="N91" s="112">
        <f>IS!M12</f>
        <v>12.997223457209525</v>
      </c>
      <c r="O91" s="112">
        <f>IS!N12</f>
        <v>12.868765585074444</v>
      </c>
      <c r="P91" s="112">
        <f>IS!O12</f>
        <v>12.776085869874297</v>
      </c>
      <c r="Q91" s="112">
        <f>IS!P12</f>
        <v>12.615690731181115</v>
      </c>
      <c r="R91" s="112">
        <f>IS!Q12</f>
        <v>12.491048186306319</v>
      </c>
      <c r="S91" s="112">
        <f>IS!R12</f>
        <v>12.367652066880268</v>
      </c>
      <c r="T91" s="112">
        <f>IS!S12</f>
        <v>12.278624302251071</v>
      </c>
      <c r="U91" s="112">
        <f>IS!T12</f>
        <v>12.124549371999004</v>
      </c>
      <c r="V91" s="112">
        <f>IS!U12</f>
        <v>12.004818240716029</v>
      </c>
      <c r="W91" s="112">
        <f>IS!V12</f>
        <v>11.886284420745881</v>
      </c>
      <c r="X91" s="112">
        <f>IS!W12</f>
        <v>11.800764705263857</v>
      </c>
      <c r="Y91" s="112">
        <f>IS!X12</f>
        <v>11.652760942022693</v>
      </c>
      <c r="Z91" s="112">
        <f>IS!Y12</f>
        <v>11.53774769503948</v>
      </c>
      <c r="AA91" s="112">
        <f>IS!Z12</f>
        <v>11.423884580526096</v>
      </c>
      <c r="AB91" s="112">
        <f>IS!AA12</f>
        <v>11.341734683057728</v>
      </c>
      <c r="AC91" s="112">
        <f>IS!AB12</f>
        <v>11.199562858623279</v>
      </c>
      <c r="AD91" s="112">
        <f>IS!AC12</f>
        <v>11.089081592474059</v>
      </c>
    </row>
    <row r="92" spans="2:30">
      <c r="B92" s="31" t="s">
        <v>311</v>
      </c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  <c r="AD92" s="112"/>
    </row>
    <row r="93" spans="2:30">
      <c r="B93" s="123" t="s">
        <v>312</v>
      </c>
      <c r="F93" s="266">
        <f>F91-F92</f>
        <v>10.563790836440971</v>
      </c>
      <c r="G93" s="266">
        <f t="shared" ref="G93:AD93" si="13">G91-G92</f>
        <v>13.933503394201249</v>
      </c>
      <c r="H93" s="266">
        <f t="shared" si="13"/>
        <v>13.833064219898972</v>
      </c>
      <c r="I93" s="266">
        <f t="shared" si="13"/>
        <v>13.659240257906296</v>
      </c>
      <c r="J93" s="266">
        <f t="shared" si="13"/>
        <v>13.524162217764246</v>
      </c>
      <c r="K93" s="266">
        <f t="shared" si="13"/>
        <v>13.390434958023617</v>
      </c>
      <c r="L93" s="266">
        <f t="shared" si="13"/>
        <v>13.293953487941156</v>
      </c>
      <c r="M93" s="266">
        <f t="shared" si="13"/>
        <v>13.126978883608601</v>
      </c>
      <c r="N93" s="266">
        <f t="shared" si="13"/>
        <v>12.997223457209525</v>
      </c>
      <c r="O93" s="266">
        <f t="shared" si="13"/>
        <v>12.868765585074444</v>
      </c>
      <c r="P93" s="266">
        <f t="shared" si="13"/>
        <v>12.776085869874297</v>
      </c>
      <c r="Q93" s="266">
        <f t="shared" si="13"/>
        <v>12.615690731181115</v>
      </c>
      <c r="R93" s="266">
        <f t="shared" si="13"/>
        <v>12.491048186306319</v>
      </c>
      <c r="S93" s="266">
        <f t="shared" si="13"/>
        <v>12.367652066880268</v>
      </c>
      <c r="T93" s="266">
        <f t="shared" si="13"/>
        <v>12.278624302251071</v>
      </c>
      <c r="U93" s="266">
        <f t="shared" si="13"/>
        <v>12.124549371999004</v>
      </c>
      <c r="V93" s="266">
        <f t="shared" si="13"/>
        <v>12.004818240716029</v>
      </c>
      <c r="W93" s="266">
        <f t="shared" si="13"/>
        <v>11.886284420745881</v>
      </c>
      <c r="X93" s="266">
        <f t="shared" si="13"/>
        <v>11.800764705263857</v>
      </c>
      <c r="Y93" s="266">
        <f t="shared" si="13"/>
        <v>11.652760942022693</v>
      </c>
      <c r="Z93" s="266">
        <f t="shared" si="13"/>
        <v>11.53774769503948</v>
      </c>
      <c r="AA93" s="266">
        <f t="shared" si="13"/>
        <v>11.423884580526096</v>
      </c>
      <c r="AB93" s="266">
        <f t="shared" si="13"/>
        <v>11.341734683057728</v>
      </c>
      <c r="AC93" s="266">
        <f t="shared" si="13"/>
        <v>11.199562858623279</v>
      </c>
      <c r="AD93" s="266">
        <f t="shared" si="13"/>
        <v>11.089081592474059</v>
      </c>
    </row>
    <row r="94" spans="2:30">
      <c r="B94" s="31" t="s">
        <v>313</v>
      </c>
      <c r="F94" s="112">
        <f>IS!E17</f>
        <v>3.7299515678937007</v>
      </c>
      <c r="G94" s="112">
        <f>IS!F17</f>
        <v>4.6144256542684721</v>
      </c>
      <c r="H94" s="112">
        <f>IS!G17</f>
        <v>4.6824951890615818</v>
      </c>
      <c r="I94" s="112">
        <f>IS!H17</f>
        <v>4.7356837528330411</v>
      </c>
      <c r="J94" s="112">
        <f>IS!I17</f>
        <v>4.8011502809239719</v>
      </c>
      <c r="K94" s="112">
        <f>IS!J17</f>
        <v>4.8700544586437777</v>
      </c>
      <c r="L94" s="112">
        <f>IS!K17</f>
        <v>4.9515631767535817</v>
      </c>
      <c r="M94" s="112">
        <f>IS!L17</f>
        <v>5.0188628830075697</v>
      </c>
      <c r="N94" s="112">
        <f>IS!M17</f>
        <v>5.0991461107051546</v>
      </c>
      <c r="O94" s="112">
        <f>IS!N17</f>
        <v>5.1836078230119478</v>
      </c>
      <c r="P94" s="112">
        <f>IS!O17</f>
        <v>5.281451952438089</v>
      </c>
      <c r="Q94" s="112">
        <f>IS!P17</f>
        <v>5.3659038405742301</v>
      </c>
      <c r="R94" s="112">
        <f>IS!Q17</f>
        <v>5.4641968592480774</v>
      </c>
      <c r="S94" s="112">
        <f>IS!R17</f>
        <v>5.5675688520799458</v>
      </c>
      <c r="T94" s="112">
        <f>IS!S17</f>
        <v>5.6852687760574145</v>
      </c>
      <c r="U94" s="112">
        <f>IS!T17</f>
        <v>5.7905692484724511</v>
      </c>
      <c r="V94" s="112">
        <f>IS!U17</f>
        <v>5.9107532806391365</v>
      </c>
      <c r="W94" s="112">
        <f>IS!V17</f>
        <v>6.0371108376384868</v>
      </c>
      <c r="X94" s="112">
        <f>IS!W17</f>
        <v>6.17894560399181</v>
      </c>
      <c r="Y94" s="112">
        <f>IS!X17</f>
        <v>6.3095876609014958</v>
      </c>
      <c r="Z94" s="112">
        <f>IS!Y17</f>
        <v>6.4563803567875624</v>
      </c>
      <c r="AA94" s="112">
        <f>IS!Z17</f>
        <v>6.6106770106922621</v>
      </c>
      <c r="AB94" s="112">
        <f>IS!AA17</f>
        <v>6.7818478287962041</v>
      </c>
      <c r="AC94" s="112">
        <f>IS!AB17</f>
        <v>6.9432927400440381</v>
      </c>
      <c r="AD94" s="112">
        <f>IS!AC17</f>
        <v>7.1224284329851599</v>
      </c>
    </row>
    <row r="95" spans="2:30">
      <c r="B95" s="31" t="s">
        <v>314</v>
      </c>
      <c r="F95" s="112">
        <f>F93-F94</f>
        <v>6.83383926854727</v>
      </c>
      <c r="G95" s="112">
        <f t="shared" ref="G95:AD95" si="14">G93-G94</f>
        <v>9.3190777399327764</v>
      </c>
      <c r="H95" s="112">
        <f t="shared" si="14"/>
        <v>9.1505690308373904</v>
      </c>
      <c r="I95" s="112">
        <f t="shared" si="14"/>
        <v>8.9235565050732539</v>
      </c>
      <c r="J95" s="112">
        <f t="shared" si="14"/>
        <v>8.7230119368402743</v>
      </c>
      <c r="K95" s="112">
        <f t="shared" si="14"/>
        <v>8.52038049937984</v>
      </c>
      <c r="L95" s="112">
        <f t="shared" si="14"/>
        <v>8.3423903111875752</v>
      </c>
      <c r="M95" s="112">
        <f t="shared" si="14"/>
        <v>8.1081160006010311</v>
      </c>
      <c r="N95" s="112">
        <f t="shared" si="14"/>
        <v>7.8980773465043708</v>
      </c>
      <c r="O95" s="112">
        <f t="shared" si="14"/>
        <v>7.685157762062496</v>
      </c>
      <c r="P95" s="112">
        <f t="shared" si="14"/>
        <v>7.4946339174362082</v>
      </c>
      <c r="Q95" s="112">
        <f t="shared" si="14"/>
        <v>7.2497868906068845</v>
      </c>
      <c r="R95" s="112">
        <f t="shared" si="14"/>
        <v>7.0268513270582416</v>
      </c>
      <c r="S95" s="112">
        <f t="shared" si="14"/>
        <v>6.8000832148003223</v>
      </c>
      <c r="T95" s="112">
        <f t="shared" si="14"/>
        <v>6.5933555261936565</v>
      </c>
      <c r="U95" s="112">
        <f t="shared" si="14"/>
        <v>6.3339801235265529</v>
      </c>
      <c r="V95" s="112">
        <f t="shared" si="14"/>
        <v>6.0940649600768921</v>
      </c>
      <c r="W95" s="112">
        <f t="shared" si="14"/>
        <v>5.8491735831073939</v>
      </c>
      <c r="X95" s="112">
        <f t="shared" si="14"/>
        <v>5.6218191012720471</v>
      </c>
      <c r="Y95" s="112">
        <f t="shared" si="14"/>
        <v>5.3431732811211976</v>
      </c>
      <c r="Z95" s="112">
        <f t="shared" si="14"/>
        <v>5.0813673382519173</v>
      </c>
      <c r="AA95" s="112">
        <f t="shared" si="14"/>
        <v>4.8132075698338337</v>
      </c>
      <c r="AB95" s="112">
        <f t="shared" si="14"/>
        <v>4.5598868542615243</v>
      </c>
      <c r="AC95" s="112">
        <f t="shared" si="14"/>
        <v>4.2562701185792413</v>
      </c>
      <c r="AD95" s="112">
        <f t="shared" si="14"/>
        <v>3.9666531594888994</v>
      </c>
    </row>
    <row r="96" spans="2:30">
      <c r="B96" s="123" t="s">
        <v>315</v>
      </c>
      <c r="F96" s="310">
        <f>F93/F91</f>
        <v>1</v>
      </c>
      <c r="G96" s="310">
        <f t="shared" ref="G96:AD96" si="15">G93/G91</f>
        <v>1</v>
      </c>
      <c r="H96" s="310">
        <f t="shared" si="15"/>
        <v>1</v>
      </c>
      <c r="I96" s="310">
        <f t="shared" si="15"/>
        <v>1</v>
      </c>
      <c r="J96" s="310">
        <f t="shared" si="15"/>
        <v>1</v>
      </c>
      <c r="K96" s="310">
        <f t="shared" si="15"/>
        <v>1</v>
      </c>
      <c r="L96" s="310">
        <f t="shared" si="15"/>
        <v>1</v>
      </c>
      <c r="M96" s="310">
        <f t="shared" si="15"/>
        <v>1</v>
      </c>
      <c r="N96" s="310">
        <f t="shared" si="15"/>
        <v>1</v>
      </c>
      <c r="O96" s="310">
        <f t="shared" si="15"/>
        <v>1</v>
      </c>
      <c r="P96" s="310">
        <f t="shared" si="15"/>
        <v>1</v>
      </c>
      <c r="Q96" s="310">
        <f t="shared" si="15"/>
        <v>1</v>
      </c>
      <c r="R96" s="310">
        <f t="shared" si="15"/>
        <v>1</v>
      </c>
      <c r="S96" s="310">
        <f t="shared" si="15"/>
        <v>1</v>
      </c>
      <c r="T96" s="310">
        <f t="shared" si="15"/>
        <v>1</v>
      </c>
      <c r="U96" s="310">
        <f t="shared" si="15"/>
        <v>1</v>
      </c>
      <c r="V96" s="310">
        <f t="shared" si="15"/>
        <v>1</v>
      </c>
      <c r="W96" s="310">
        <f t="shared" si="15"/>
        <v>1</v>
      </c>
      <c r="X96" s="310">
        <f t="shared" si="15"/>
        <v>1</v>
      </c>
      <c r="Y96" s="310">
        <f t="shared" si="15"/>
        <v>1</v>
      </c>
      <c r="Z96" s="310">
        <f t="shared" si="15"/>
        <v>1</v>
      </c>
      <c r="AA96" s="310">
        <f t="shared" si="15"/>
        <v>1</v>
      </c>
      <c r="AB96" s="310">
        <f t="shared" si="15"/>
        <v>1</v>
      </c>
      <c r="AC96" s="310">
        <f t="shared" si="15"/>
        <v>1</v>
      </c>
      <c r="AD96" s="310">
        <f t="shared" si="15"/>
        <v>1</v>
      </c>
    </row>
    <row r="97" spans="2:30">
      <c r="B97" s="309" t="s">
        <v>316</v>
      </c>
      <c r="F97" s="258">
        <f>(F94/F93)*F91</f>
        <v>3.7299515678937003</v>
      </c>
      <c r="G97" s="258">
        <f t="shared" ref="G97:AD97" si="16">(G94/G93)*G91</f>
        <v>4.6144256542684721</v>
      </c>
      <c r="H97" s="258">
        <f t="shared" si="16"/>
        <v>4.6824951890615818</v>
      </c>
      <c r="I97" s="258">
        <f t="shared" si="16"/>
        <v>4.7356837528330411</v>
      </c>
      <c r="J97" s="258">
        <f t="shared" si="16"/>
        <v>4.8011502809239719</v>
      </c>
      <c r="K97" s="258">
        <f t="shared" si="16"/>
        <v>4.8700544586437777</v>
      </c>
      <c r="L97" s="258">
        <f t="shared" si="16"/>
        <v>4.9515631767535817</v>
      </c>
      <c r="M97" s="258">
        <f t="shared" si="16"/>
        <v>5.0188628830075697</v>
      </c>
      <c r="N97" s="258">
        <f t="shared" si="16"/>
        <v>5.0991461107051546</v>
      </c>
      <c r="O97" s="258">
        <f t="shared" si="16"/>
        <v>5.1836078230119478</v>
      </c>
      <c r="P97" s="258">
        <f t="shared" si="16"/>
        <v>5.281451952438089</v>
      </c>
      <c r="Q97" s="258">
        <f t="shared" si="16"/>
        <v>5.3659038405742301</v>
      </c>
      <c r="R97" s="258">
        <f t="shared" si="16"/>
        <v>5.4641968592480774</v>
      </c>
      <c r="S97" s="258">
        <f t="shared" si="16"/>
        <v>5.5675688520799458</v>
      </c>
      <c r="T97" s="258">
        <f t="shared" si="16"/>
        <v>5.6852687760574145</v>
      </c>
      <c r="U97" s="258">
        <f t="shared" si="16"/>
        <v>5.7905692484724511</v>
      </c>
      <c r="V97" s="258">
        <f t="shared" si="16"/>
        <v>5.9107532806391365</v>
      </c>
      <c r="W97" s="258">
        <f t="shared" si="16"/>
        <v>6.0371108376384868</v>
      </c>
      <c r="X97" s="258">
        <f t="shared" si="16"/>
        <v>6.17894560399181</v>
      </c>
      <c r="Y97" s="258">
        <f t="shared" si="16"/>
        <v>6.3095876609014958</v>
      </c>
      <c r="Z97" s="258">
        <f t="shared" si="16"/>
        <v>6.4563803567875624</v>
      </c>
      <c r="AA97" s="258">
        <f t="shared" si="16"/>
        <v>6.610677010692263</v>
      </c>
      <c r="AB97" s="258">
        <f t="shared" si="16"/>
        <v>6.7818478287962041</v>
      </c>
      <c r="AC97" s="258">
        <f t="shared" si="16"/>
        <v>6.9432927400440381</v>
      </c>
      <c r="AD97" s="258">
        <f t="shared" si="16"/>
        <v>7.122428432985159</v>
      </c>
    </row>
    <row r="98" spans="2:30">
      <c r="B98" s="94" t="s">
        <v>317</v>
      </c>
      <c r="C98" s="312"/>
      <c r="D98" s="312"/>
      <c r="E98" s="312"/>
      <c r="F98" s="311">
        <f>F97/F91</f>
        <v>0.35308835868150834</v>
      </c>
      <c r="G98" s="311">
        <f t="shared" ref="G98:AD98" si="17">G97/G91</f>
        <v>0.33117483261165115</v>
      </c>
      <c r="H98" s="311">
        <f t="shared" si="17"/>
        <v>0.33850021330239871</v>
      </c>
      <c r="I98" s="311">
        <f t="shared" si="17"/>
        <v>0.34670184164100298</v>
      </c>
      <c r="J98" s="311">
        <f t="shared" si="17"/>
        <v>0.3550053750921125</v>
      </c>
      <c r="K98" s="311">
        <f t="shared" si="17"/>
        <v>0.3636965097780947</v>
      </c>
      <c r="L98" s="311">
        <f t="shared" si="17"/>
        <v>0.37246731615580775</v>
      </c>
      <c r="M98" s="311">
        <f t="shared" si="17"/>
        <v>0.38233190801232447</v>
      </c>
      <c r="N98" s="311">
        <f t="shared" si="17"/>
        <v>0.39232580154468849</v>
      </c>
      <c r="O98" s="311">
        <f t="shared" si="17"/>
        <v>0.40280536534320294</v>
      </c>
      <c r="P98" s="311">
        <f t="shared" si="17"/>
        <v>0.41338575884900913</v>
      </c>
      <c r="Q98" s="311">
        <f t="shared" si="17"/>
        <v>0.42533571525432123</v>
      </c>
      <c r="R98" s="311">
        <f t="shared" si="17"/>
        <v>0.43744902571414024</v>
      </c>
      <c r="S98" s="311">
        <f t="shared" si="17"/>
        <v>0.45017185331316983</v>
      </c>
      <c r="T98" s="311">
        <f t="shared" si="17"/>
        <v>0.4630216411960027</v>
      </c>
      <c r="U98" s="311">
        <f t="shared" si="17"/>
        <v>0.47759047126695364</v>
      </c>
      <c r="V98" s="311">
        <f t="shared" si="17"/>
        <v>0.49236507893072351</v>
      </c>
      <c r="W98" s="311">
        <f t="shared" si="17"/>
        <v>0.50790563509497866</v>
      </c>
      <c r="X98" s="311">
        <f t="shared" si="17"/>
        <v>0.52360552543138372</v>
      </c>
      <c r="Y98" s="311">
        <f t="shared" si="17"/>
        <v>0.54146718466930754</v>
      </c>
      <c r="Z98" s="311">
        <f t="shared" si="17"/>
        <v>0.55958758394096342</v>
      </c>
      <c r="AA98" s="311">
        <f t="shared" si="17"/>
        <v>0.57867155117806923</v>
      </c>
      <c r="AB98" s="311">
        <f t="shared" si="17"/>
        <v>0.59795507638940992</v>
      </c>
      <c r="AC98" s="311">
        <f t="shared" si="17"/>
        <v>0.61996104916701644</v>
      </c>
      <c r="AD98" s="311">
        <f t="shared" si="17"/>
        <v>0.6422920034981987</v>
      </c>
    </row>
    <row r="99" spans="2:30">
      <c r="B99" s="113"/>
    </row>
    <row r="100" spans="2:30">
      <c r="B100" s="113"/>
    </row>
    <row r="101" spans="2:30">
      <c r="B101" s="314" t="s">
        <v>318</v>
      </c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</row>
    <row r="103" spans="2:30">
      <c r="B103" s="31" t="s">
        <v>304</v>
      </c>
      <c r="C103" s="31"/>
      <c r="D103" s="31"/>
      <c r="E103" s="31"/>
      <c r="F103" s="313">
        <f>IS!E41</f>
        <v>0.87960229127235423</v>
      </c>
      <c r="G103" s="313">
        <f>IS!F41</f>
        <v>0.90469294547617607</v>
      </c>
      <c r="H103" s="313">
        <f>IS!G41</f>
        <v>0.89973105971669576</v>
      </c>
      <c r="I103" s="313">
        <f>IS!H41</f>
        <v>0.89390191263201846</v>
      </c>
      <c r="J103" s="313">
        <f>IS!I41</f>
        <v>0.8880015064914738</v>
      </c>
      <c r="K103" s="313">
        <f>IS!J41</f>
        <v>0.88173722683104983</v>
      </c>
      <c r="L103" s="313">
        <f>IS!K41</f>
        <v>0.87542496824632399</v>
      </c>
      <c r="M103" s="313">
        <f>IS!L41</f>
        <v>0.86802763897172619</v>
      </c>
      <c r="N103" s="313">
        <f>IS!M41</f>
        <v>0.86053316463292651</v>
      </c>
      <c r="O103" s="313">
        <f>IS!N41</f>
        <v>0.85257767546540297</v>
      </c>
      <c r="P103" s="313">
        <f>IS!O41</f>
        <v>0.84455462543034643</v>
      </c>
      <c r="Q103" s="313">
        <f>IS!P41</f>
        <v>0.83517039230636725</v>
      </c>
      <c r="R103" s="313">
        <f>IS!Q41</f>
        <v>0.8256565549826288</v>
      </c>
      <c r="S103" s="313">
        <f>IS!R41</f>
        <v>0.81555881802180219</v>
      </c>
      <c r="T103" s="313">
        <f>IS!S41</f>
        <v>0.80536905288666039</v>
      </c>
      <c r="U103" s="313">
        <f>IS!T41</f>
        <v>0.79346822013145513</v>
      </c>
      <c r="V103" s="313">
        <f>IS!U41</f>
        <v>0.78139704063414772</v>
      </c>
      <c r="W103" s="313">
        <f>IS!V41</f>
        <v>0.76858652765634972</v>
      </c>
      <c r="X103" s="313">
        <f>IS!W41</f>
        <v>0.75565336847668996</v>
      </c>
      <c r="Y103" s="313">
        <f>IS!X41</f>
        <v>0.74056593202475052</v>
      </c>
      <c r="Z103" s="313">
        <f>IS!Y41</f>
        <v>0.7252569605434358</v>
      </c>
      <c r="AA103" s="313">
        <f>IS!Z41</f>
        <v>0.70901207022088752</v>
      </c>
      <c r="AB103" s="313">
        <f>IS!AA41</f>
        <v>0.69260616410444387</v>
      </c>
      <c r="AC103" s="313">
        <f>IS!AB41</f>
        <v>0.67348473332073333</v>
      </c>
      <c r="AD103" s="313">
        <f>IS!AC41</f>
        <v>0.65407739906800721</v>
      </c>
    </row>
    <row r="104" spans="2:30">
      <c r="B104" s="31" t="s">
        <v>305</v>
      </c>
      <c r="C104" s="31"/>
      <c r="D104" s="31"/>
      <c r="E104" s="31"/>
      <c r="F104" s="313">
        <f>IS!E43</f>
        <v>0.64691164131849166</v>
      </c>
      <c r="G104" s="313">
        <f>IS!F43</f>
        <v>0.66882516738834874</v>
      </c>
      <c r="H104" s="313">
        <f>IS!G43</f>
        <v>0.66149978669760123</v>
      </c>
      <c r="I104" s="313">
        <f>IS!H43</f>
        <v>0.65329815835899696</v>
      </c>
      <c r="J104" s="313">
        <f>IS!I43</f>
        <v>0.6449946249078875</v>
      </c>
      <c r="K104" s="313">
        <f>IS!J43</f>
        <v>0.63630349022190535</v>
      </c>
      <c r="L104" s="313">
        <f>IS!K43</f>
        <v>0.62753268384419236</v>
      </c>
      <c r="M104" s="313">
        <f>IS!L43</f>
        <v>0.61766809198767547</v>
      </c>
      <c r="N104" s="313">
        <f>IS!M43</f>
        <v>0.60767419845531145</v>
      </c>
      <c r="O104" s="313">
        <f>IS!N43</f>
        <v>0.59719463465679712</v>
      </c>
      <c r="P104" s="313">
        <f>IS!O43</f>
        <v>0.58661424115099092</v>
      </c>
      <c r="Q104" s="313">
        <f>IS!P43</f>
        <v>0.57466428474567877</v>
      </c>
      <c r="R104" s="313">
        <f>IS!Q43</f>
        <v>0.56255097428585976</v>
      </c>
      <c r="S104" s="313">
        <f>IS!R43</f>
        <v>0.54982814668683011</v>
      </c>
      <c r="T104" s="313">
        <f>IS!S43</f>
        <v>0.53697835880399725</v>
      </c>
      <c r="U104" s="313">
        <f>IS!T43</f>
        <v>0.52240952873304636</v>
      </c>
      <c r="V104" s="313">
        <f>IS!U43</f>
        <v>0.50763492106927655</v>
      </c>
      <c r="W104" s="313">
        <f>IS!V43</f>
        <v>0.49209436490502134</v>
      </c>
      <c r="X104" s="313">
        <f>IS!W43</f>
        <v>0.47639447456861628</v>
      </c>
      <c r="Y104" s="313">
        <f>IS!X43</f>
        <v>0.45853281533069246</v>
      </c>
      <c r="Z104" s="313">
        <f>IS!Y43</f>
        <v>0.44041241605903653</v>
      </c>
      <c r="AA104" s="313">
        <f>IS!Z43</f>
        <v>0.42132844882193082</v>
      </c>
      <c r="AB104" s="313">
        <f>IS!AA43</f>
        <v>0.40204492361059008</v>
      </c>
      <c r="AC104" s="313">
        <f>IS!AB43</f>
        <v>0.38003895083298356</v>
      </c>
      <c r="AD104" s="313">
        <f>IS!AC43</f>
        <v>0.35770799650180124</v>
      </c>
    </row>
    <row r="105" spans="2:30">
      <c r="B105" s="31" t="s">
        <v>306</v>
      </c>
      <c r="C105" s="31"/>
      <c r="D105" s="31"/>
      <c r="E105" s="31"/>
      <c r="F105" s="313">
        <f>IS!E45</f>
        <v>0.20453973669850667</v>
      </c>
      <c r="G105" s="313">
        <f>IS!F45</f>
        <v>0.2398388721317582</v>
      </c>
      <c r="H105" s="313">
        <f>IS!G45</f>
        <v>0.25537565954597208</v>
      </c>
      <c r="I105" s="313">
        <f>IS!H45</f>
        <v>0.26904830923024109</v>
      </c>
      <c r="J105" s="313">
        <f>IS!I45</f>
        <v>0.28388369564186428</v>
      </c>
      <c r="K105" s="313">
        <f>IS!J45</f>
        <v>0.29885915244692512</v>
      </c>
      <c r="L105" s="313">
        <f>IS!K45</f>
        <v>0.3147921157353249</v>
      </c>
      <c r="M105" s="313">
        <f>IS!L45</f>
        <v>0.32918341065252538</v>
      </c>
      <c r="N105" s="313">
        <f>IS!M45</f>
        <v>0.34450530519550465</v>
      </c>
      <c r="O105" s="313">
        <f>IS!N45</f>
        <v>0.3599144450843263</v>
      </c>
      <c r="P105" s="313">
        <f>IS!O45</f>
        <v>0.37603453005243853</v>
      </c>
      <c r="Q105" s="313">
        <f>IS!P45</f>
        <v>0.39092928389379528</v>
      </c>
      <c r="R105" s="313">
        <f>IS!Q45</f>
        <v>0.40649814340583829</v>
      </c>
      <c r="S105" s="313">
        <f>IS!R45</f>
        <v>0.42208156721314993</v>
      </c>
      <c r="T105" s="313">
        <f>IS!S45</f>
        <v>0.40378613303117761</v>
      </c>
      <c r="U105" s="313">
        <f>IS!T45</f>
        <v>0.31972465737494549</v>
      </c>
      <c r="V105" s="313">
        <f>IS!U45</f>
        <v>0.30444975022034731</v>
      </c>
      <c r="W105" s="313">
        <f>IS!V45</f>
        <v>0.28919243522299992</v>
      </c>
      <c r="X105" s="313">
        <f>IS!W45</f>
        <v>0.27429996605790202</v>
      </c>
      <c r="Y105" s="313">
        <f>IS!X45</f>
        <v>0.2582831410847673</v>
      </c>
      <c r="Z105" s="313">
        <f>IS!Y45</f>
        <v>0.24244075878219459</v>
      </c>
      <c r="AA105" s="313">
        <f>IS!Z45</f>
        <v>0.22621585543061365</v>
      </c>
      <c r="AB105" s="313">
        <f>IS!AA45</f>
        <v>0.21010348775218921</v>
      </c>
      <c r="AC105" s="313">
        <f>IS!AB45</f>
        <v>0.19228204487141592</v>
      </c>
      <c r="AD105" s="313">
        <f>IS!AC45</f>
        <v>0.17441904222682988</v>
      </c>
    </row>
    <row r="106" spans="2:30">
      <c r="B106" s="31" t="s">
        <v>319</v>
      </c>
      <c r="C106" s="31"/>
      <c r="D106" s="31"/>
      <c r="E106" s="31"/>
      <c r="F106" s="313">
        <f>IS!E38/(BS!D12+BS!D13+BS!D14)</f>
        <v>8.1416311379880521E-2</v>
      </c>
      <c r="G106" s="313">
        <f>IS!F38/(BS!E12+BS!E13+BS!E14)</f>
        <v>0.11232316928481988</v>
      </c>
      <c r="H106" s="313">
        <f>IS!G38/(BS!F12+BS!F13+BS!F14)</f>
        <v>0.11133817665078921</v>
      </c>
      <c r="I106" s="313">
        <f>IS!H38/(BS!G12+BS!G13+BS!G14)</f>
        <v>0.10942430500270722</v>
      </c>
      <c r="J106" s="313">
        <f>IS!I38/(BS!H12+BS!H13+BS!H14)</f>
        <v>0.10758895022463602</v>
      </c>
      <c r="K106" s="313">
        <f>IS!J38/(BS!I12+BS!I13+BS!I14)</f>
        <v>0.10549341086719366</v>
      </c>
      <c r="L106" s="313">
        <f>IS!K38/(BS!J12+BS!J13+BS!J14)</f>
        <v>0.10345270058331985</v>
      </c>
      <c r="M106" s="313">
        <f>IS!L38/(BS!K12+BS!K13+BS!K14)</f>
        <v>0.1005362001221355</v>
      </c>
      <c r="N106" s="313">
        <f>IS!M38/(BS!L12+BS!L13+BS!L14)</f>
        <v>9.7731288946287478E-2</v>
      </c>
      <c r="O106" s="313">
        <f>IS!N38/(BS!M12+BS!M13+BS!M14)</f>
        <v>9.4722082872767982E-2</v>
      </c>
      <c r="P106" s="313">
        <f>IS!O38/(BS!N12+BS!N13+BS!N14)</f>
        <v>9.1816883847373784E-2</v>
      </c>
      <c r="Q106" s="313">
        <f>IS!P38/(BS!O12+BS!O13+BS!O14)</f>
        <v>8.8148017693634895E-2</v>
      </c>
      <c r="R106" s="313">
        <f>IS!Q38/(BS!P12+BS!P13+BS!P14)</f>
        <v>8.4649567585900767E-2</v>
      </c>
      <c r="S106" s="313">
        <f>IS!R38/(BS!Q12+BS!Q13+BS!Q14)</f>
        <v>8.0003670754862963E-2</v>
      </c>
      <c r="T106" s="313">
        <f>IS!S38/(BS!R12+BS!R13+BS!R14)</f>
        <v>7.3296090070988251E-2</v>
      </c>
      <c r="U106" s="313">
        <f>IS!T38/(BS!S12+BS!S13+BS!S14)</f>
        <v>6.7503702482053285E-2</v>
      </c>
      <c r="V106" s="313">
        <f>IS!U38/(BS!T12+BS!T13+BS!T14)</f>
        <v>6.2511911710318516E-2</v>
      </c>
      <c r="W106" s="313">
        <f>IS!V38/(BS!U12+BS!U13+BS!U14)</f>
        <v>5.7956287421785636E-2</v>
      </c>
      <c r="X106" s="313">
        <f>IS!W38/(BS!V12+BS!V13+BS!V14)</f>
        <v>5.3972486227340209E-2</v>
      </c>
      <c r="Y106" s="313">
        <f>IS!X38/(BS!W12+BS!W13+BS!W14)</f>
        <v>4.9856733654131222E-2</v>
      </c>
      <c r="Z106" s="313">
        <f>IS!Y38/(BS!X12+BS!X13+BS!X14)</f>
        <v>4.6207789691462317E-2</v>
      </c>
      <c r="AA106" s="313">
        <f>IS!Z38/(BS!Y12+BS!Y13+BS!Y14)</f>
        <v>4.2764289888140877E-2</v>
      </c>
      <c r="AB106" s="313">
        <f>IS!AA38/(BS!Z12+BS!Z13+BS!Z14)</f>
        <v>3.9673625848413878E-2</v>
      </c>
      <c r="AC106" s="313">
        <f>IS!AB38/(BS!AA12+BS!AA13+BS!AA14)</f>
        <v>3.6350899139446571E-2</v>
      </c>
      <c r="AD106" s="313">
        <f>IS!AC38/(BS!AB12+BS!AB13+BS!AB14)</f>
        <v>3.3326893809371448E-2</v>
      </c>
    </row>
    <row r="107" spans="2:30">
      <c r="B107" s="31" t="s">
        <v>320</v>
      </c>
      <c r="C107" s="31"/>
      <c r="D107" s="31"/>
      <c r="E107" s="31"/>
      <c r="F107" s="313">
        <f>IS!E24/BS!D12</f>
        <v>8.0633496039204944E-2</v>
      </c>
      <c r="G107" s="313">
        <f>IS!F24/BS!E12</f>
        <v>0.12470903101431964</v>
      </c>
      <c r="H107" s="313">
        <f>IS!G24/BS!F12</f>
        <v>0.13183049970751184</v>
      </c>
      <c r="I107" s="313">
        <f>IS!H24/BS!G12</f>
        <v>0.13714336937075433</v>
      </c>
      <c r="J107" s="313">
        <f>IS!I24/BS!H12</f>
        <v>0.14327447492083889</v>
      </c>
      <c r="K107" s="313">
        <f>IS!J24/BS!I12</f>
        <v>0.14934106656609947</v>
      </c>
      <c r="L107" s="313">
        <f>IS!K24/BS!J12</f>
        <v>0.15616942286298097</v>
      </c>
      <c r="M107" s="313">
        <f>IS!L24/BS!K12</f>
        <v>0.16125780021557859</v>
      </c>
      <c r="N107" s="313">
        <f>IS!M24/BS!L12</f>
        <v>0.16709540364116868</v>
      </c>
      <c r="O107" s="313">
        <f>IS!N24/BS!M12</f>
        <v>0.17284394539310405</v>
      </c>
      <c r="P107" s="313">
        <f>IS!O24/BS!N12</f>
        <v>0.17928483365526485</v>
      </c>
      <c r="Q107" s="313">
        <f>IS!P24/BS!O12</f>
        <v>0.18404636388182122</v>
      </c>
      <c r="R107" s="313">
        <f>IS!Q24/BS!P12</f>
        <v>0.18948526959412754</v>
      </c>
      <c r="S107" s="313">
        <f>IS!R24/BS!Q12</f>
        <v>0.1948056951068072</v>
      </c>
      <c r="T107" s="313">
        <f>IS!S24/BS!R12</f>
        <v>0.18502018683784527</v>
      </c>
      <c r="U107" s="313">
        <f>IS!T24/BS!S12</f>
        <v>0.14466375735078527</v>
      </c>
      <c r="V107" s="313">
        <f>IS!U24/BS!T12</f>
        <v>0.13639209961288823</v>
      </c>
      <c r="W107" s="313">
        <f>IS!V24/BS!U12</f>
        <v>0.12827766626857903</v>
      </c>
      <c r="X107" s="313">
        <f>IS!W24/BS!V12</f>
        <v>0.12079637698748924</v>
      </c>
      <c r="Y107" s="313">
        <f>IS!X24/BS!W12</f>
        <v>0.11231632896401073</v>
      </c>
      <c r="Z107" s="313">
        <f>IS!Y24/BS!X12</f>
        <v>0.10438658168455582</v>
      </c>
      <c r="AA107" s="313">
        <f>IS!Z24/BS!Y12</f>
        <v>9.6439478171846935E-2</v>
      </c>
      <c r="AB107" s="313">
        <f>IS!AA24/BS!Z12</f>
        <v>8.8926407811778144E-2</v>
      </c>
      <c r="AC107" s="313">
        <f>IS!AB24/BS!AA12</f>
        <v>8.0363308414135887E-2</v>
      </c>
      <c r="AD107" s="313">
        <f>IS!AC24/BS!AB12</f>
        <v>7.2178438143423992E-2</v>
      </c>
    </row>
    <row r="108" spans="2:30">
      <c r="B108" s="31" t="s">
        <v>321</v>
      </c>
      <c r="C108" s="31"/>
      <c r="D108" s="31"/>
      <c r="E108" s="31"/>
      <c r="F108" s="313">
        <f>IS!E24/(BS!D12+BS!D13)</f>
        <v>7.4616876429193707E-2</v>
      </c>
      <c r="G108" s="313">
        <f>IS!F24/(BS!E12+BS!E13)</f>
        <v>0.1034635617803783</v>
      </c>
      <c r="H108" s="313">
        <f>IS!G24/(BS!F12+BS!F13)</f>
        <v>9.8588961240743761E-2</v>
      </c>
      <c r="I108" s="313">
        <f>IS!H24/(BS!G12+BS!G13)</f>
        <v>9.3021667350767848E-2</v>
      </c>
      <c r="J108" s="313">
        <f>IS!I24/(BS!H12+BS!H13)</f>
        <v>8.857275191445943E-2</v>
      </c>
      <c r="K108" s="313">
        <f>IS!J24/(BS!I12+BS!I13)</f>
        <v>8.4519988227370238E-2</v>
      </c>
      <c r="L108" s="313">
        <f>IS!K24/(BS!J12+BS!J13)</f>
        <v>8.1207067953954701E-2</v>
      </c>
      <c r="M108" s="313">
        <f>IS!L24/(BS!K12+BS!K13)</f>
        <v>7.7365649479349999E-2</v>
      </c>
      <c r="N108" s="313">
        <f>IS!M24/(BS!L12+BS!L13)</f>
        <v>7.4216644780600374E-2</v>
      </c>
      <c r="O108" s="313">
        <f>IS!N24/(BS!M12+BS!M13)</f>
        <v>7.1296478011795159E-2</v>
      </c>
      <c r="P108" s="313">
        <f>IS!O24/(BS!N12+BS!N13)</f>
        <v>6.8860800677133419E-2</v>
      </c>
      <c r="Q108" s="313">
        <f>IS!P24/(BS!O12+BS!O13)</f>
        <v>6.6022529248388584E-2</v>
      </c>
      <c r="R108" s="313">
        <f>IS!Q24/(BS!P12+BS!P13)</f>
        <v>6.364727968746553E-2</v>
      </c>
      <c r="S108" s="313">
        <f>IS!R24/(BS!Q12+BS!Q13)</f>
        <v>6.141568949952457E-2</v>
      </c>
      <c r="T108" s="313">
        <f>IS!S24/(BS!R12+BS!R13)</f>
        <v>5.5115712376170585E-2</v>
      </c>
      <c r="U108" s="313">
        <f>IS!T24/(BS!S12+BS!S13)</f>
        <v>4.1313561412168562E-2</v>
      </c>
      <c r="V108" s="313">
        <f>IS!U24/(BS!T12+BS!T13)</f>
        <v>3.7490990308378797E-2</v>
      </c>
      <c r="W108" s="313">
        <f>IS!V24/(BS!U12+BS!U13)</f>
        <v>3.4059564773161424E-2</v>
      </c>
      <c r="X108" s="313">
        <f>IS!W24/(BS!V12+BS!V13)</f>
        <v>3.1076454347263117E-2</v>
      </c>
      <c r="Y108" s="313">
        <f>IS!X24/(BS!W12+BS!W13)</f>
        <v>2.8083385402042988E-2</v>
      </c>
      <c r="Z108" s="313">
        <f>IS!Y24/(BS!X12+BS!X13)</f>
        <v>2.5436729724133161E-2</v>
      </c>
      <c r="AA108" s="313">
        <f>IS!Z24/(BS!Y12+BS!Y13)</f>
        <v>2.2960615277647936E-2</v>
      </c>
      <c r="AB108" s="313">
        <f>IS!AA24/(BS!Z12+BS!Z13)</f>
        <v>2.0732924787780108E-2</v>
      </c>
      <c r="AC108" s="313">
        <f>IS!AB24/(BS!AA12+BS!AA13)</f>
        <v>1.8391865370976472E-2</v>
      </c>
      <c r="AD108" s="313">
        <f>IS!AC24/(BS!AB12+BS!AB13)</f>
        <v>1.6250251477385031E-2</v>
      </c>
    </row>
    <row r="109" spans="2:30">
      <c r="B109" s="31" t="s">
        <v>254</v>
      </c>
      <c r="C109" s="31"/>
      <c r="D109" s="31"/>
      <c r="E109" s="31"/>
      <c r="F109" s="84">
        <f t="shared" ref="F109:AD109" si="18">F18</f>
        <v>1.1856286231125457</v>
      </c>
      <c r="G109" s="84">
        <f t="shared" si="18"/>
        <v>1.241336043591152</v>
      </c>
      <c r="H109" s="84">
        <f t="shared" si="18"/>
        <v>1.273526607379478</v>
      </c>
      <c r="I109" s="84">
        <f t="shared" si="18"/>
        <v>1.3010813173574496</v>
      </c>
      <c r="J109" s="84">
        <f t="shared" si="18"/>
        <v>1.3349346191159259</v>
      </c>
      <c r="K109" s="84">
        <f t="shared" si="18"/>
        <v>1.3719469389886219</v>
      </c>
      <c r="L109" s="84">
        <f t="shared" si="18"/>
        <v>1.4167120691003066</v>
      </c>
      <c r="M109" s="84">
        <f t="shared" si="18"/>
        <v>1.4574623427397937</v>
      </c>
      <c r="N109" s="84">
        <f t="shared" si="18"/>
        <v>1.5072630887369365</v>
      </c>
      <c r="O109" s="84">
        <f t="shared" si="18"/>
        <v>1.5628928180395489</v>
      </c>
      <c r="P109" s="84">
        <f t="shared" si="18"/>
        <v>1.6304970723365202</v>
      </c>
      <c r="Q109" s="84">
        <f t="shared" si="18"/>
        <v>1.6964825925842504</v>
      </c>
      <c r="R109" s="84">
        <f t="shared" si="18"/>
        <v>1.7777850686387775</v>
      </c>
      <c r="S109" s="84">
        <f t="shared" si="18"/>
        <v>1.8719096742243939</v>
      </c>
      <c r="T109" s="84">
        <f t="shared" si="18"/>
        <v>2.499972835273399</v>
      </c>
      <c r="U109" s="84">
        <f t="shared" si="18"/>
        <v>0</v>
      </c>
      <c r="V109" s="84">
        <f t="shared" si="18"/>
        <v>0</v>
      </c>
      <c r="W109" s="84">
        <f t="shared" si="18"/>
        <v>0</v>
      </c>
      <c r="X109" s="84">
        <f t="shared" si="18"/>
        <v>0</v>
      </c>
      <c r="Y109" s="84">
        <f t="shared" si="18"/>
        <v>0</v>
      </c>
      <c r="Z109" s="84">
        <f t="shared" si="18"/>
        <v>0</v>
      </c>
      <c r="AA109" s="84">
        <f t="shared" si="18"/>
        <v>0</v>
      </c>
      <c r="AB109" s="84">
        <f t="shared" si="18"/>
        <v>0</v>
      </c>
      <c r="AC109" s="84">
        <f t="shared" si="18"/>
        <v>0</v>
      </c>
      <c r="AD109" s="84">
        <f t="shared" si="18"/>
        <v>0</v>
      </c>
    </row>
    <row r="110" spans="2:30">
      <c r="B110" s="31" t="s">
        <v>322</v>
      </c>
      <c r="C110" s="31"/>
      <c r="D110" s="31"/>
      <c r="E110" s="31"/>
      <c r="F110" s="84">
        <f>IS!E37/IS!E20</f>
        <v>2.1989933384717979</v>
      </c>
      <c r="G110" s="84">
        <f>IS!F37/IS!F20</f>
        <v>2.3851359663923026</v>
      </c>
      <c r="H110" s="84">
        <f>IS!G37/IS!G20</f>
        <v>2.5471968300356305</v>
      </c>
      <c r="I110" s="84">
        <f>IS!H37/IS!H20</f>
        <v>2.7210177586917657</v>
      </c>
      <c r="J110" s="84">
        <f>IS!I37/IS!I20</f>
        <v>2.9374311536110786</v>
      </c>
      <c r="K110" s="84">
        <f>IS!J37/IS!J20</f>
        <v>3.2000710188244961</v>
      </c>
      <c r="L110" s="84">
        <f>IS!K37/IS!K20</f>
        <v>3.5366055453696776</v>
      </c>
      <c r="M110" s="84">
        <f>IS!L37/IS!L20</f>
        <v>3.9402866925072426</v>
      </c>
      <c r="N110" s="84">
        <f>IS!M37/IS!M20</f>
        <v>4.4864793065154922</v>
      </c>
      <c r="O110" s="84">
        <f>IS!N37/IS!N20</f>
        <v>5.2393695427865339</v>
      </c>
      <c r="P110" s="84">
        <f>IS!O37/IS!O20</f>
        <v>6.3650837873854602</v>
      </c>
      <c r="Q110" s="84">
        <f>IS!P37/IS!P20</f>
        <v>8.1277483893272588</v>
      </c>
      <c r="R110" s="84">
        <f>IS!Q37/IS!Q20</f>
        <v>11.491673724019652</v>
      </c>
      <c r="S110" s="84">
        <f>IS!R37/IS!R20</f>
        <v>20.230192801711148</v>
      </c>
      <c r="T110" s="84">
        <f>IS!S37/IS!S20</f>
        <v>88.149449712401392</v>
      </c>
      <c r="U110" s="84">
        <f>IS!T37/IS!T20</f>
        <v>-1351792231540637</v>
      </c>
      <c r="V110" s="84">
        <f>IS!U37/IS!U20</f>
        <v>-1318081164399342.3</v>
      </c>
      <c r="W110" s="84">
        <f>IS!V37/IS!V20</f>
        <v>-1283670877310193.5</v>
      </c>
      <c r="X110" s="84">
        <f>IS!W37/IS!W20</f>
        <v>-1252989918119156.8</v>
      </c>
      <c r="Y110" s="84">
        <f>IS!X37/IS!X20</f>
        <v>-1212571535740851</v>
      </c>
      <c r="Z110" s="84"/>
      <c r="AA110" s="84"/>
      <c r="AB110" s="84"/>
      <c r="AC110" s="84"/>
      <c r="AD110" s="84"/>
    </row>
    <row r="111" spans="2:30">
      <c r="B111" s="31" t="s">
        <v>323</v>
      </c>
      <c r="C111" s="31"/>
      <c r="D111" s="31"/>
      <c r="E111" s="31"/>
      <c r="F111" s="84">
        <f>IFERROR(BS!D29/BS!D14,0)</f>
        <v>1.5283474338091401</v>
      </c>
      <c r="G111" s="84">
        <f>IFERROR(BS!E29/BS!E14,0)</f>
        <v>1.5935560679935046</v>
      </c>
      <c r="H111" s="84">
        <f>IFERROR(BS!F29/BS!F14,0)</f>
        <v>1.6707023019159877</v>
      </c>
      <c r="I111" s="84">
        <f>IFERROR(BS!G29/BS!G14,0)</f>
        <v>1.7638875654824626</v>
      </c>
      <c r="J111" s="84">
        <f>IFERROR(BS!H29/BS!H14,0)</f>
        <v>1.8783723178641316</v>
      </c>
      <c r="K111" s="84">
        <f>IFERROR(BS!I29/BS!I14,0)</f>
        <v>2.0224015224733285</v>
      </c>
      <c r="L111" s="84">
        <f>IFERROR(BS!J29/BS!J14,0)</f>
        <v>2.2087967030876272</v>
      </c>
      <c r="M111" s="84">
        <f>IFERROR(BS!K29/BS!K14,0)</f>
        <v>2.4603881328171524</v>
      </c>
      <c r="N111" s="84">
        <f>IFERROR(BS!L29/BS!L14,0)</f>
        <v>2.8179127961170036</v>
      </c>
      <c r="O111" s="84">
        <f>IFERROR(BS!M29/BS!M14,0)</f>
        <v>3.3661172798434418</v>
      </c>
      <c r="P111" s="84">
        <f>IFERROR(BS!N29/BS!N14,0)</f>
        <v>4.3122566349403977</v>
      </c>
      <c r="Q111" s="84">
        <f>IFERROR(BS!O29/BS!O14,0)</f>
        <v>6.3408912936818469</v>
      </c>
      <c r="R111" s="84">
        <f>IFERROR(BS!P29/BS!P14,0)</f>
        <v>13.77921837573381</v>
      </c>
      <c r="S111" s="84">
        <f>IFERROR(BS!Q29/BS!Q14,0)</f>
        <v>4224863844694078.5</v>
      </c>
      <c r="T111" s="84">
        <f>IFERROR(BS!R29/BS!R14,0)</f>
        <v>3887557692342181</v>
      </c>
      <c r="U111" s="84">
        <f>IFERROR(BS!S29/BS!S14,0)</f>
        <v>3551173141499441.5</v>
      </c>
      <c r="V111" s="84">
        <f>IFERROR(BS!T29/BS!T14,0)</f>
        <v>3214788590656702</v>
      </c>
      <c r="W111" s="84">
        <f>IFERROR(BS!U29/BS!U14,0)</f>
        <v>2878404039813962</v>
      </c>
      <c r="X111" s="84">
        <f>IFERROR(BS!V29/BS!V14,0)</f>
        <v>2541097887462064.5</v>
      </c>
      <c r="Y111" s="84">
        <v>0</v>
      </c>
      <c r="Z111" s="84">
        <v>0</v>
      </c>
      <c r="AA111" s="84">
        <v>0</v>
      </c>
      <c r="AB111" s="84">
        <v>0</v>
      </c>
      <c r="AC111" s="84">
        <v>0</v>
      </c>
      <c r="AD111" s="84">
        <v>0</v>
      </c>
    </row>
    <row r="112" spans="2:30">
      <c r="B112" s="31" t="s">
        <v>324</v>
      </c>
      <c r="C112" s="31"/>
      <c r="D112" s="31"/>
      <c r="E112" s="31"/>
      <c r="F112" s="84">
        <f>(BS!D14+BS!E16+BS!D17)/(BS!D12+BS!D13)</f>
        <v>2.0606405342591891</v>
      </c>
      <c r="G112" s="84">
        <f>(BS!E14+BS!F16+BS!E17)/(BS!E12+BS!E13)</f>
        <v>1.7141073039054937</v>
      </c>
      <c r="H112" s="84">
        <f>(BS!F14+BS!G16+BS!F17)/(BS!F12+BS!F13)</f>
        <v>1.4248941554655745</v>
      </c>
      <c r="I112" s="84">
        <f>(BS!G14+BS!H16+BS!G17)/(BS!G12+BS!G13)</f>
        <v>1.1833357452633442</v>
      </c>
      <c r="J112" s="84">
        <f>(BS!H14+BS!I16+BS!H17)/(BS!H12+BS!H13)</f>
        <v>0.97917410667367688</v>
      </c>
      <c r="K112" s="84">
        <f>(BS!I14+BS!J16+BS!I17)/(BS!I12+BS!I13)</f>
        <v>0.80548295698890549</v>
      </c>
      <c r="L112" s="84">
        <f>(BS!J14+BS!K16+BS!J17)/(BS!J12+BS!J13)</f>
        <v>0.65650228912911224</v>
      </c>
      <c r="M112" s="84">
        <f>(BS!K14+BS!L16+BS!K17)/(BS!K12+BS!K13)</f>
        <v>0.52862633901269085</v>
      </c>
      <c r="N112" s="84">
        <f>(BS!L14+BS!M16+BS!L17)/(BS!L12+BS!L13)</f>
        <v>0.41803494083914067</v>
      </c>
      <c r="O112" s="84">
        <f>(BS!M14+BS!N16+BS!M17)/(BS!M12+BS!M13)</f>
        <v>0.32197653990473418</v>
      </c>
      <c r="P112" s="84">
        <f>(BS!N14+BS!O16+BS!N17)/(BS!N12+BS!N13)</f>
        <v>0.23809752071099438</v>
      </c>
      <c r="Q112" s="84">
        <f>(BS!O14+BS!P16+BS!O17)/(BS!O12+BS!O13)</f>
        <v>0.16475957510724087</v>
      </c>
      <c r="R112" s="84">
        <f>(BS!P14+BS!Q16+BS!P17)/(BS!P12+BS!P13)</f>
        <v>0.10032740217693699</v>
      </c>
      <c r="S112" s="84">
        <f>(BS!Q14+BS!R16+BS!Q17)/(BS!Q12+BS!Q13)</f>
        <v>4.3547017232024338E-2</v>
      </c>
      <c r="T112" s="84">
        <f>(BS!R14+BS!S16+BS!R17)/(BS!R12+BS!R13)</f>
        <v>5.2908319035945154E-3</v>
      </c>
      <c r="U112" s="84">
        <f>(BS!S14+BS!T16+BS!S17)/(BS!S12+BS!S13)</f>
        <v>5.1775239907772795E-3</v>
      </c>
      <c r="V112" s="84">
        <f>(BS!T14+BS!U16+BS!T17)/(BS!T12+BS!T13)</f>
        <v>5.0899467723560772E-3</v>
      </c>
      <c r="W112" s="84">
        <f>(BS!U14+BS!V16+BS!U17)/(BS!U12+BS!U13)</f>
        <v>5.032094749380529E-3</v>
      </c>
      <c r="X112" s="84">
        <f>(BS!V14+BS!W16+BS!V17)/(BS!V12+BS!V13)</f>
        <v>4.9788028120524921E-3</v>
      </c>
      <c r="Y112" s="84">
        <f>(BS!W14+BS!X16+BS!W17)/(BS!W12+BS!W13)</f>
        <v>4.9515601774184782E-3</v>
      </c>
      <c r="Z112" s="84">
        <f>(BS!X14+BS!Y16+BS!X17)/(BS!X12+BS!X13)</f>
        <v>4.9409326274357963E-3</v>
      </c>
      <c r="AA112" s="84">
        <f>(BS!Y14+BS!Z16+BS!Y17)/(BS!Y12+BS!Y13)</f>
        <v>4.9524842710945878E-3</v>
      </c>
      <c r="AB112" s="84">
        <f>(BS!Z14+BS!AA16+BS!Z17)/(BS!Z12+BS!Z13)</f>
        <v>4.9652565524313085E-3</v>
      </c>
      <c r="AC112" s="84">
        <f>(BS!AA14+BS!AB16+BS!AA17)/(BS!AA12+BS!AA13)</f>
        <v>4.9996828926246089E-3</v>
      </c>
      <c r="AD112" s="84" t="e">
        <f>(BS!AB14+BS!#REF!+BS!AB17)/(BS!AB12+BS!AB13)</f>
        <v>#REF!</v>
      </c>
    </row>
    <row r="113" spans="2:30">
      <c r="B113" s="31" t="s">
        <v>325</v>
      </c>
      <c r="C113" s="31"/>
      <c r="D113" s="31"/>
      <c r="E113" s="31"/>
      <c r="F113" s="84">
        <f>(BS!D14+BS!D17)/BS!D12</f>
        <v>2.2126436781609193</v>
      </c>
      <c r="G113" s="84">
        <f>(BS!E14+BS!E17)/BS!E12</f>
        <v>2.0517241379310343</v>
      </c>
      <c r="H113" s="84">
        <f>(BS!F14+BS!F17)/BS!F12</f>
        <v>1.8908045977011492</v>
      </c>
      <c r="I113" s="84">
        <f>(BS!G14+BS!G17)/BS!G12</f>
        <v>1.7298850574712641</v>
      </c>
      <c r="J113" s="84">
        <f>(BS!H14+BS!H17)/BS!H12</f>
        <v>1.5689655172413792</v>
      </c>
      <c r="K113" s="84">
        <f>(BS!I14+BS!I17)/BS!I12</f>
        <v>1.4080459770114941</v>
      </c>
      <c r="L113" s="84">
        <f>(BS!J14+BS!J17)/BS!J12</f>
        <v>1.2471264367816091</v>
      </c>
      <c r="M113" s="84">
        <f>(BS!K14+BS!K17)/BS!K12</f>
        <v>1.0862068965517242</v>
      </c>
      <c r="N113" s="84">
        <f>(BS!L14+BS!L17)/BS!L12</f>
        <v>0.92528735632183923</v>
      </c>
      <c r="O113" s="84">
        <f>(BS!M14+BS!M17)/BS!M12</f>
        <v>0.76436781609195414</v>
      </c>
      <c r="P113" s="84">
        <f>(BS!N14+BS!N17)/BS!N12</f>
        <v>0.60344827586206917</v>
      </c>
      <c r="Q113" s="84">
        <f>(BS!O14+BS!O17)/BS!O12</f>
        <v>0.4425287356321842</v>
      </c>
      <c r="R113" s="84">
        <f>(BS!P14+BS!P17)/BS!P12</f>
        <v>0.28160919540229917</v>
      </c>
      <c r="S113" s="84">
        <f>(BS!Q14+BS!Q17)/BS!Q12</f>
        <v>0.12068965517241415</v>
      </c>
      <c r="T113" s="84">
        <f>(BS!R14+BS!R17)/BS!R12</f>
        <v>3.6459516564367784E-16</v>
      </c>
      <c r="U113" s="84">
        <f>(BS!S14+BS!S17)/BS!S12</f>
        <v>3.6459516564367784E-16</v>
      </c>
      <c r="V113" s="84">
        <f>(BS!T14+BS!T17)/BS!T12</f>
        <v>3.6459516564367784E-16</v>
      </c>
      <c r="W113" s="84">
        <f>(BS!U14+BS!U17)/BS!U12</f>
        <v>3.6459516564367784E-16</v>
      </c>
      <c r="X113" s="84">
        <f>(BS!V14+BS!V17)/BS!V12</f>
        <v>3.6459516564367784E-16</v>
      </c>
      <c r="Y113" s="84">
        <f>(BS!W14+BS!W17)/BS!W12</f>
        <v>3.6459516564367784E-16</v>
      </c>
      <c r="Z113" s="84">
        <f>(BS!X14+BS!X17)/BS!X12</f>
        <v>3.6459516564367784E-16</v>
      </c>
      <c r="AA113" s="84">
        <f>(BS!Y14+BS!Y17)/BS!Y12</f>
        <v>3.6459516564367784E-16</v>
      </c>
      <c r="AB113" s="84">
        <f>(BS!Z14+BS!Z17)/BS!Z12</f>
        <v>3.6459516564367784E-16</v>
      </c>
      <c r="AC113" s="84">
        <f>(BS!AA14+BS!AA17)/BS!AA12</f>
        <v>3.6459516564367784E-16</v>
      </c>
      <c r="AD113" s="84">
        <f>(BS!AB14+BS!AB17)/BS!AB12</f>
        <v>3.6459516564367784E-16</v>
      </c>
    </row>
  </sheetData>
  <mergeCells count="4">
    <mergeCell ref="D7:E7"/>
    <mergeCell ref="F7:AD7"/>
    <mergeCell ref="F19:Z19"/>
    <mergeCell ref="F20:Z20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CAF5A-632F-45D8-918C-9A9B13D218CF}">
  <dimension ref="A1:I47"/>
  <sheetViews>
    <sheetView view="pageBreakPreview" zoomScaleNormal="100" zoomScaleSheetLayoutView="100" workbookViewId="0">
      <selection activeCell="B19" sqref="B19"/>
    </sheetView>
  </sheetViews>
  <sheetFormatPr defaultColWidth="12.85546875" defaultRowHeight="15"/>
  <cols>
    <col min="1" max="1" width="4.42578125" style="368" customWidth="1"/>
    <col min="2" max="2" width="57.85546875" style="350" customWidth="1"/>
    <col min="3" max="3" width="6.5703125" style="350" customWidth="1"/>
    <col min="4" max="4" width="17.85546875" style="350" customWidth="1"/>
    <col min="5" max="5" width="14.5703125" style="350" customWidth="1"/>
    <col min="6" max="6" width="12.7109375" style="350" customWidth="1"/>
    <col min="7" max="7" width="16.5703125" style="350" customWidth="1"/>
    <col min="8" max="8" width="10.42578125" style="350" customWidth="1"/>
    <col min="9" max="9" width="9.85546875" style="350" customWidth="1"/>
    <col min="10" max="16384" width="12.85546875" style="350"/>
  </cols>
  <sheetData>
    <row r="1" spans="1:9">
      <c r="C1" s="351"/>
      <c r="D1" s="351"/>
      <c r="E1" s="351"/>
      <c r="F1" s="351"/>
      <c r="G1" s="352" t="s">
        <v>343</v>
      </c>
    </row>
    <row r="2" spans="1:9" s="367" customFormat="1" ht="25.5">
      <c r="A2" s="370"/>
      <c r="B2" s="371" t="s">
        <v>344</v>
      </c>
      <c r="C2" s="371" t="s">
        <v>345</v>
      </c>
      <c r="D2" s="371" t="s">
        <v>43</v>
      </c>
      <c r="E2" s="371" t="s">
        <v>346</v>
      </c>
      <c r="F2" s="371" t="s">
        <v>347</v>
      </c>
      <c r="G2" s="372" t="s">
        <v>348</v>
      </c>
      <c r="H2" s="371" t="s">
        <v>349</v>
      </c>
      <c r="I2" s="371" t="s">
        <v>350</v>
      </c>
    </row>
    <row r="3" spans="1:9" ht="30">
      <c r="A3" s="373">
        <v>1</v>
      </c>
      <c r="B3" s="374" t="s">
        <v>351</v>
      </c>
      <c r="C3" s="375" t="s">
        <v>352</v>
      </c>
      <c r="D3" s="376">
        <v>1566</v>
      </c>
      <c r="E3" s="377">
        <v>524.60702455668775</v>
      </c>
      <c r="F3" s="377">
        <f t="shared" ref="F3:F14" si="0">E3*13.8%</f>
        <v>72.395769388822913</v>
      </c>
      <c r="G3" s="378">
        <f t="shared" ref="G3:G14" si="1">E3*1.138</f>
        <v>597.00279394551058</v>
      </c>
      <c r="H3" s="379">
        <v>1800</v>
      </c>
      <c r="I3" s="379">
        <v>1651</v>
      </c>
    </row>
    <row r="4" spans="1:9" ht="30">
      <c r="A4" s="373">
        <v>2</v>
      </c>
      <c r="B4" s="374" t="s">
        <v>353</v>
      </c>
      <c r="C4" s="375" t="s">
        <v>352</v>
      </c>
      <c r="D4" s="376">
        <v>1099.6799999999998</v>
      </c>
      <c r="E4" s="377">
        <v>352.80400476001313</v>
      </c>
      <c r="F4" s="377">
        <f t="shared" si="0"/>
        <v>48.686952656881815</v>
      </c>
      <c r="G4" s="378">
        <f t="shared" si="1"/>
        <v>401.4909574168949</v>
      </c>
      <c r="H4" s="379">
        <v>1000</v>
      </c>
      <c r="I4" s="379">
        <v>1100</v>
      </c>
    </row>
    <row r="5" spans="1:9">
      <c r="A5" s="373">
        <v>3</v>
      </c>
      <c r="B5" s="374" t="s">
        <v>354</v>
      </c>
      <c r="C5" s="380" t="s">
        <v>355</v>
      </c>
      <c r="D5" s="376">
        <v>502.28</v>
      </c>
      <c r="E5" s="377">
        <v>171.04931187543656</v>
      </c>
      <c r="F5" s="377">
        <f t="shared" si="0"/>
        <v>23.604805038810248</v>
      </c>
      <c r="G5" s="378">
        <f t="shared" si="1"/>
        <v>194.6541169142468</v>
      </c>
      <c r="H5" s="379">
        <v>500</v>
      </c>
      <c r="I5" s="379">
        <v>521</v>
      </c>
    </row>
    <row r="6" spans="1:9">
      <c r="A6" s="373">
        <v>4</v>
      </c>
      <c r="B6" s="374" t="s">
        <v>356</v>
      </c>
      <c r="C6" s="380" t="s">
        <v>355</v>
      </c>
      <c r="D6" s="376">
        <v>436.16</v>
      </c>
      <c r="E6" s="377">
        <v>143.4051679914142</v>
      </c>
      <c r="F6" s="377">
        <f t="shared" si="0"/>
        <v>19.789913182815162</v>
      </c>
      <c r="G6" s="378">
        <f t="shared" si="1"/>
        <v>163.19508117422936</v>
      </c>
      <c r="H6" s="379">
        <v>450</v>
      </c>
      <c r="I6" s="379">
        <v>452</v>
      </c>
    </row>
    <row r="7" spans="1:9">
      <c r="A7" s="373">
        <v>5</v>
      </c>
      <c r="B7" s="374" t="s">
        <v>357</v>
      </c>
      <c r="C7" s="380" t="s">
        <v>355</v>
      </c>
      <c r="D7" s="376">
        <v>100.92</v>
      </c>
      <c r="E7" s="377">
        <v>43.53606439690072</v>
      </c>
      <c r="F7" s="377">
        <f t="shared" si="0"/>
        <v>6.0079768867723002</v>
      </c>
      <c r="G7" s="378">
        <f t="shared" si="1"/>
        <v>49.544041283673018</v>
      </c>
      <c r="H7" s="379">
        <v>100</v>
      </c>
      <c r="I7" s="379">
        <v>200</v>
      </c>
    </row>
    <row r="8" spans="1:9">
      <c r="A8" s="373">
        <v>6</v>
      </c>
      <c r="B8" s="374" t="s">
        <v>358</v>
      </c>
      <c r="C8" s="380" t="s">
        <v>355</v>
      </c>
      <c r="D8" s="376">
        <v>205.32</v>
      </c>
      <c r="E8" s="377">
        <v>79.324357606497031</v>
      </c>
      <c r="F8" s="377">
        <f t="shared" si="0"/>
        <v>10.946761349696592</v>
      </c>
      <c r="G8" s="378">
        <f t="shared" si="1"/>
        <v>90.271118956193618</v>
      </c>
      <c r="H8" s="379">
        <v>250</v>
      </c>
      <c r="I8" s="379">
        <v>205</v>
      </c>
    </row>
    <row r="9" spans="1:9">
      <c r="A9" s="373">
        <v>7</v>
      </c>
      <c r="B9" s="374" t="s">
        <v>359</v>
      </c>
      <c r="C9" s="380" t="s">
        <v>355</v>
      </c>
      <c r="D9" s="376">
        <v>693.1</v>
      </c>
      <c r="E9" s="377">
        <v>246.09285796931229</v>
      </c>
      <c r="F9" s="377">
        <f t="shared" si="0"/>
        <v>33.960814399765098</v>
      </c>
      <c r="G9" s="378">
        <f t="shared" si="1"/>
        <v>280.05367236907739</v>
      </c>
      <c r="H9" s="379">
        <v>1200</v>
      </c>
      <c r="I9" s="379">
        <v>746</v>
      </c>
    </row>
    <row r="10" spans="1:9">
      <c r="A10" s="373">
        <v>8</v>
      </c>
      <c r="B10" s="374" t="s">
        <v>360</v>
      </c>
      <c r="C10" s="380" t="s">
        <v>355</v>
      </c>
      <c r="D10" s="376">
        <v>450.66</v>
      </c>
      <c r="E10" s="377">
        <v>155.17350248896119</v>
      </c>
      <c r="F10" s="377">
        <f t="shared" si="0"/>
        <v>21.413943343476646</v>
      </c>
      <c r="G10" s="378">
        <f t="shared" si="1"/>
        <v>176.58744583243782</v>
      </c>
      <c r="H10" s="379">
        <v>450</v>
      </c>
      <c r="I10" s="379">
        <v>450</v>
      </c>
    </row>
    <row r="11" spans="1:9">
      <c r="A11" s="373">
        <v>9</v>
      </c>
      <c r="B11" s="374" t="s">
        <v>361</v>
      </c>
      <c r="C11" s="380" t="s">
        <v>355</v>
      </c>
      <c r="D11" s="376">
        <v>452.98</v>
      </c>
      <c r="E11" s="377">
        <v>162.1794213626259</v>
      </c>
      <c r="F11" s="377">
        <f t="shared" si="0"/>
        <v>22.380760148042377</v>
      </c>
      <c r="G11" s="378">
        <f t="shared" si="1"/>
        <v>184.56018151066826</v>
      </c>
      <c r="H11" s="379">
        <v>448</v>
      </c>
      <c r="I11" s="379">
        <v>448</v>
      </c>
    </row>
    <row r="12" spans="1:9">
      <c r="A12" s="373">
        <v>10</v>
      </c>
      <c r="B12" s="374" t="s">
        <v>362</v>
      </c>
      <c r="C12" s="380" t="s">
        <v>355</v>
      </c>
      <c r="D12" s="376">
        <v>328.28</v>
      </c>
      <c r="E12" s="377">
        <v>110.86142758295199</v>
      </c>
      <c r="F12" s="377">
        <f t="shared" si="0"/>
        <v>15.298877006447375</v>
      </c>
      <c r="G12" s="378">
        <f t="shared" si="1"/>
        <v>126.16030458939936</v>
      </c>
      <c r="H12" s="379">
        <v>312</v>
      </c>
      <c r="I12" s="379">
        <v>315</v>
      </c>
    </row>
    <row r="13" spans="1:9">
      <c r="A13" s="373">
        <v>11</v>
      </c>
      <c r="B13" s="374" t="s">
        <v>363</v>
      </c>
      <c r="C13" s="380" t="s">
        <v>355</v>
      </c>
      <c r="D13" s="376">
        <v>693.1</v>
      </c>
      <c r="E13" s="377">
        <v>238.29395291217881</v>
      </c>
      <c r="F13" s="377">
        <f t="shared" si="0"/>
        <v>32.88456550188068</v>
      </c>
      <c r="G13" s="378">
        <f t="shared" si="1"/>
        <v>271.17851841405945</v>
      </c>
      <c r="H13" s="379">
        <v>783</v>
      </c>
      <c r="I13" s="379">
        <v>747</v>
      </c>
    </row>
    <row r="14" spans="1:9">
      <c r="A14" s="373">
        <v>12</v>
      </c>
      <c r="B14" s="374" t="s">
        <v>364</v>
      </c>
      <c r="C14" s="380" t="s">
        <v>355</v>
      </c>
      <c r="D14" s="376">
        <v>506.92</v>
      </c>
      <c r="E14" s="377">
        <v>175.99946284578175</v>
      </c>
      <c r="F14" s="377">
        <f t="shared" si="0"/>
        <v>24.287925872717885</v>
      </c>
      <c r="G14" s="378">
        <f t="shared" si="1"/>
        <v>200.28738871849961</v>
      </c>
      <c r="H14" s="379">
        <v>512</v>
      </c>
      <c r="I14" s="379">
        <v>500</v>
      </c>
    </row>
    <row r="15" spans="1:9">
      <c r="A15" s="369"/>
      <c r="B15" s="354" t="s">
        <v>365</v>
      </c>
      <c r="C15" s="355"/>
      <c r="D15" s="356">
        <f t="shared" ref="D15:G15" si="2">SUM(D3:D14)</f>
        <v>7035.4000000000005</v>
      </c>
      <c r="E15" s="357">
        <f t="shared" si="2"/>
        <v>2403.3265563487612</v>
      </c>
      <c r="F15" s="357">
        <f t="shared" si="2"/>
        <v>331.65906477612907</v>
      </c>
      <c r="G15" s="358">
        <f t="shared" si="2"/>
        <v>2734.9856211248903</v>
      </c>
      <c r="H15" s="359">
        <f>SUM(H3:H14)</f>
        <v>7805</v>
      </c>
    </row>
    <row r="16" spans="1:9" s="367" customFormat="1" ht="25.5">
      <c r="A16" s="370"/>
      <c r="B16" s="371" t="s">
        <v>366</v>
      </c>
      <c r="C16" s="371" t="s">
        <v>345</v>
      </c>
      <c r="D16" s="371" t="s">
        <v>43</v>
      </c>
      <c r="E16" s="371" t="s">
        <v>346</v>
      </c>
      <c r="F16" s="371" t="s">
        <v>347</v>
      </c>
      <c r="G16" s="372" t="s">
        <v>348</v>
      </c>
      <c r="H16" s="371" t="s">
        <v>349</v>
      </c>
    </row>
    <row r="17" spans="1:8">
      <c r="A17" s="373">
        <v>1</v>
      </c>
      <c r="B17" s="374" t="s">
        <v>367</v>
      </c>
      <c r="C17" s="375" t="s">
        <v>352</v>
      </c>
      <c r="D17" s="376">
        <v>534.76</v>
      </c>
      <c r="E17" s="376">
        <v>187.13658933754493</v>
      </c>
      <c r="F17" s="376">
        <f t="shared" ref="F17:F26" si="3">E17*13.8%</f>
        <v>25.824849328581202</v>
      </c>
      <c r="G17" s="378">
        <f t="shared" ref="G17:G26" si="4">E17*1.138</f>
        <v>212.96143866612613</v>
      </c>
      <c r="H17" s="379">
        <v>729</v>
      </c>
    </row>
    <row r="18" spans="1:8">
      <c r="A18" s="373">
        <v>2</v>
      </c>
      <c r="B18" s="374" t="s">
        <v>368</v>
      </c>
      <c r="C18" s="375" t="s">
        <v>352</v>
      </c>
      <c r="D18" s="376">
        <v>750.52</v>
      </c>
      <c r="E18" s="376">
        <v>258.2682440414323</v>
      </c>
      <c r="F18" s="376">
        <f t="shared" si="3"/>
        <v>35.641017677717663</v>
      </c>
      <c r="G18" s="378">
        <f t="shared" si="4"/>
        <v>293.90926171914992</v>
      </c>
      <c r="H18" s="379">
        <v>748</v>
      </c>
    </row>
    <row r="19" spans="1:8">
      <c r="A19" s="373">
        <v>3</v>
      </c>
      <c r="B19" s="374" t="s">
        <v>369</v>
      </c>
      <c r="C19" s="375" t="s">
        <v>352</v>
      </c>
      <c r="D19" s="376">
        <v>1005.14</v>
      </c>
      <c r="E19" s="376">
        <v>362.85748179227835</v>
      </c>
      <c r="F19" s="376">
        <f t="shared" si="3"/>
        <v>50.074332487334416</v>
      </c>
      <c r="G19" s="378">
        <f t="shared" si="4"/>
        <v>412.93181427961275</v>
      </c>
      <c r="H19" s="379">
        <v>1100</v>
      </c>
    </row>
    <row r="20" spans="1:8">
      <c r="A20" s="373">
        <v>4</v>
      </c>
      <c r="B20" s="374" t="s">
        <v>370</v>
      </c>
      <c r="C20" s="375" t="s">
        <v>352</v>
      </c>
      <c r="D20" s="376">
        <v>638</v>
      </c>
      <c r="E20" s="376">
        <v>217.74299202550054</v>
      </c>
      <c r="F20" s="376">
        <f t="shared" si="3"/>
        <v>30.048532899519078</v>
      </c>
      <c r="G20" s="378">
        <f t="shared" si="4"/>
        <v>247.79152492501959</v>
      </c>
      <c r="H20" s="379">
        <v>636</v>
      </c>
    </row>
    <row r="21" spans="1:8">
      <c r="A21" s="373">
        <v>5</v>
      </c>
      <c r="B21" s="374" t="s">
        <v>371</v>
      </c>
      <c r="C21" s="375" t="s">
        <v>352</v>
      </c>
      <c r="D21" s="376">
        <v>787.64</v>
      </c>
      <c r="E21" s="376">
        <v>296.28573859767619</v>
      </c>
      <c r="F21" s="376">
        <f t="shared" si="3"/>
        <v>40.887431926479316</v>
      </c>
      <c r="G21" s="378">
        <f t="shared" si="4"/>
        <v>337.17317052415547</v>
      </c>
      <c r="H21" s="379">
        <v>785</v>
      </c>
    </row>
    <row r="22" spans="1:8">
      <c r="A22" s="373">
        <v>6</v>
      </c>
      <c r="B22" s="374" t="s">
        <v>372</v>
      </c>
      <c r="C22" s="375" t="s">
        <v>352</v>
      </c>
      <c r="D22" s="376">
        <v>932.64</v>
      </c>
      <c r="E22" s="376">
        <v>323.96394347045458</v>
      </c>
      <c r="F22" s="376">
        <f t="shared" si="3"/>
        <v>44.707024198922738</v>
      </c>
      <c r="G22" s="378">
        <f t="shared" si="4"/>
        <v>368.67096766937726</v>
      </c>
      <c r="H22" s="379">
        <v>1035</v>
      </c>
    </row>
    <row r="23" spans="1:8">
      <c r="A23" s="373">
        <v>7</v>
      </c>
      <c r="B23" s="374" t="s">
        <v>373</v>
      </c>
      <c r="C23" s="375" t="s">
        <v>352</v>
      </c>
      <c r="D23" s="376">
        <v>944.82</v>
      </c>
      <c r="E23" s="376">
        <v>363.20953181229396</v>
      </c>
      <c r="F23" s="376">
        <f t="shared" si="3"/>
        <v>50.122915390096573</v>
      </c>
      <c r="G23" s="378">
        <f t="shared" si="4"/>
        <v>413.33244720239048</v>
      </c>
      <c r="H23" s="379">
        <v>1200</v>
      </c>
    </row>
    <row r="24" spans="1:8">
      <c r="A24" s="373">
        <v>8</v>
      </c>
      <c r="B24" s="374" t="s">
        <v>374</v>
      </c>
      <c r="C24" s="375" t="s">
        <v>352</v>
      </c>
      <c r="D24" s="376">
        <v>501.12</v>
      </c>
      <c r="E24" s="376">
        <v>173.72345432436117</v>
      </c>
      <c r="F24" s="376">
        <f t="shared" si="3"/>
        <v>23.973836696761843</v>
      </c>
      <c r="G24" s="378">
        <f t="shared" si="4"/>
        <v>197.69729102112299</v>
      </c>
      <c r="H24" s="379">
        <v>500</v>
      </c>
    </row>
    <row r="25" spans="1:8" ht="30">
      <c r="A25" s="373">
        <v>9</v>
      </c>
      <c r="B25" s="374" t="s">
        <v>375</v>
      </c>
      <c r="C25" s="375" t="s">
        <v>352</v>
      </c>
      <c r="D25" s="376">
        <v>751.68</v>
      </c>
      <c r="E25" s="376">
        <v>246.94668767888888</v>
      </c>
      <c r="F25" s="376">
        <f t="shared" si="3"/>
        <v>34.07864289968667</v>
      </c>
      <c r="G25" s="378">
        <f t="shared" si="4"/>
        <v>281.02533057857551</v>
      </c>
      <c r="H25" s="379">
        <v>750</v>
      </c>
    </row>
    <row r="26" spans="1:8" ht="30">
      <c r="A26" s="373">
        <v>10</v>
      </c>
      <c r="B26" s="374" t="s">
        <v>376</v>
      </c>
      <c r="C26" s="375" t="s">
        <v>352</v>
      </c>
      <c r="D26" s="376">
        <v>800.4</v>
      </c>
      <c r="E26" s="376">
        <v>279.60706977608913</v>
      </c>
      <c r="F26" s="376">
        <f t="shared" si="3"/>
        <v>38.585775629100304</v>
      </c>
      <c r="G26" s="378">
        <f t="shared" si="4"/>
        <v>318.19284540518942</v>
      </c>
      <c r="H26" s="379">
        <v>800</v>
      </c>
    </row>
    <row r="27" spans="1:8">
      <c r="B27" s="360" t="s">
        <v>365</v>
      </c>
      <c r="C27" s="361"/>
      <c r="D27" s="362">
        <f t="shared" ref="D27:G27" si="5">SUM(D17:D26)</f>
        <v>7646.7199999999993</v>
      </c>
      <c r="E27" s="362">
        <f t="shared" si="5"/>
        <v>2709.7417328565198</v>
      </c>
      <c r="F27" s="362">
        <f t="shared" si="5"/>
        <v>373.94435913419977</v>
      </c>
      <c r="G27" s="363">
        <f t="shared" si="5"/>
        <v>3083.6860919907194</v>
      </c>
      <c r="H27" s="362">
        <f>SUM(H17:H26)</f>
        <v>8283</v>
      </c>
    </row>
    <row r="28" spans="1:8" s="367" customFormat="1" ht="25.5">
      <c r="A28" s="370"/>
      <c r="B28" s="371" t="s">
        <v>377</v>
      </c>
      <c r="C28" s="371" t="s">
        <v>345</v>
      </c>
      <c r="D28" s="371" t="s">
        <v>43</v>
      </c>
      <c r="E28" s="371" t="s">
        <v>346</v>
      </c>
      <c r="F28" s="371" t="s">
        <v>347</v>
      </c>
      <c r="G28" s="372" t="s">
        <v>348</v>
      </c>
      <c r="H28" s="381"/>
    </row>
    <row r="29" spans="1:8">
      <c r="A29" s="373">
        <v>1</v>
      </c>
      <c r="B29" s="374" t="s">
        <v>378</v>
      </c>
      <c r="C29" s="380" t="s">
        <v>355</v>
      </c>
      <c r="D29" s="376">
        <v>300.44</v>
      </c>
      <c r="E29" s="376">
        <v>108.80461734030553</v>
      </c>
      <c r="F29" s="376">
        <f t="shared" ref="F29:F41" si="6">E29*13.8%</f>
        <v>15.015037192962163</v>
      </c>
      <c r="G29" s="378">
        <f t="shared" ref="G29:G41" si="7">E29*1.138</f>
        <v>123.81965453326768</v>
      </c>
      <c r="H29" s="379">
        <v>300</v>
      </c>
    </row>
    <row r="30" spans="1:8">
      <c r="A30" s="373">
        <v>2</v>
      </c>
      <c r="B30" s="374" t="s">
        <v>379</v>
      </c>
      <c r="C30" s="380" t="s">
        <v>355</v>
      </c>
      <c r="D30" s="376">
        <v>480.24</v>
      </c>
      <c r="E30" s="376">
        <v>162.55043448412755</v>
      </c>
      <c r="F30" s="376">
        <f t="shared" si="6"/>
        <v>22.431959958809603</v>
      </c>
      <c r="G30" s="378">
        <f t="shared" si="7"/>
        <v>184.98239444293714</v>
      </c>
      <c r="H30" s="379">
        <v>480</v>
      </c>
    </row>
    <row r="31" spans="1:8">
      <c r="A31" s="373">
        <v>3</v>
      </c>
      <c r="B31" s="374" t="s">
        <v>380</v>
      </c>
      <c r="C31" s="380" t="s">
        <v>355</v>
      </c>
      <c r="D31" s="376">
        <v>457.62</v>
      </c>
      <c r="E31" s="376">
        <v>153.65767093211568</v>
      </c>
      <c r="F31" s="376">
        <f t="shared" si="6"/>
        <v>21.204758588631964</v>
      </c>
      <c r="G31" s="378">
        <f t="shared" si="7"/>
        <v>174.86242952074764</v>
      </c>
      <c r="H31" s="379">
        <v>531</v>
      </c>
    </row>
    <row r="32" spans="1:8">
      <c r="A32" s="373">
        <v>4</v>
      </c>
      <c r="B32" s="374" t="s">
        <v>381</v>
      </c>
      <c r="C32" s="380" t="s">
        <v>355</v>
      </c>
      <c r="D32" s="376">
        <v>430.36</v>
      </c>
      <c r="E32" s="376">
        <v>145.40304285116696</v>
      </c>
      <c r="F32" s="376">
        <f t="shared" si="6"/>
        <v>20.065619913461042</v>
      </c>
      <c r="G32" s="378">
        <f t="shared" si="7"/>
        <v>165.46866276462799</v>
      </c>
      <c r="H32" s="379">
        <v>430</v>
      </c>
    </row>
    <row r="33" spans="1:8">
      <c r="A33" s="373">
        <v>5</v>
      </c>
      <c r="B33" s="374" t="s">
        <v>382</v>
      </c>
      <c r="C33" s="380" t="s">
        <v>355</v>
      </c>
      <c r="D33" s="376">
        <v>375.26</v>
      </c>
      <c r="E33" s="376">
        <v>138.2012678088054</v>
      </c>
      <c r="F33" s="376">
        <f t="shared" si="6"/>
        <v>19.071774957615148</v>
      </c>
      <c r="G33" s="378">
        <f t="shared" si="7"/>
        <v>157.27304276642053</v>
      </c>
      <c r="H33" s="379">
        <v>375</v>
      </c>
    </row>
    <row r="34" spans="1:8">
      <c r="A34" s="373">
        <v>6</v>
      </c>
      <c r="B34" s="374" t="s">
        <v>383</v>
      </c>
      <c r="C34" s="380" t="s">
        <v>355</v>
      </c>
      <c r="D34" s="376">
        <v>346.84</v>
      </c>
      <c r="E34" s="376">
        <v>142.85038573213743</v>
      </c>
      <c r="F34" s="376">
        <f t="shared" si="6"/>
        <v>19.713353231034965</v>
      </c>
      <c r="G34" s="378">
        <f t="shared" si="7"/>
        <v>162.56373896317237</v>
      </c>
      <c r="H34" s="379">
        <v>355</v>
      </c>
    </row>
    <row r="35" spans="1:8" ht="30">
      <c r="A35" s="373">
        <v>7</v>
      </c>
      <c r="B35" s="374" t="s">
        <v>384</v>
      </c>
      <c r="C35" s="380" t="s">
        <v>355</v>
      </c>
      <c r="D35" s="376">
        <v>501.12</v>
      </c>
      <c r="E35" s="376">
        <v>180.50602996631</v>
      </c>
      <c r="F35" s="376">
        <f t="shared" si="6"/>
        <v>24.909832135350783</v>
      </c>
      <c r="G35" s="378">
        <f t="shared" si="7"/>
        <v>205.41586210166076</v>
      </c>
      <c r="H35" s="379">
        <v>722</v>
      </c>
    </row>
    <row r="36" spans="1:8">
      <c r="A36" s="373">
        <v>8</v>
      </c>
      <c r="B36" s="374" t="s">
        <v>385</v>
      </c>
      <c r="C36" s="380" t="s">
        <v>355</v>
      </c>
      <c r="D36" s="376">
        <v>248.82</v>
      </c>
      <c r="E36" s="376">
        <v>92.527834493671264</v>
      </c>
      <c r="F36" s="376">
        <f t="shared" si="6"/>
        <v>12.768841160126636</v>
      </c>
      <c r="G36" s="378">
        <f t="shared" si="7"/>
        <v>105.29667565379789</v>
      </c>
      <c r="H36" s="379">
        <v>308</v>
      </c>
    </row>
    <row r="37" spans="1:8">
      <c r="A37" s="373">
        <v>9</v>
      </c>
      <c r="B37" s="374" t="s">
        <v>386</v>
      </c>
      <c r="C37" s="380" t="s">
        <v>355</v>
      </c>
      <c r="D37" s="376">
        <v>200.68</v>
      </c>
      <c r="E37" s="376">
        <v>77.283095750722552</v>
      </c>
      <c r="F37" s="376">
        <f t="shared" si="6"/>
        <v>10.665067213599713</v>
      </c>
      <c r="G37" s="378">
        <f t="shared" si="7"/>
        <v>87.94816296432225</v>
      </c>
      <c r="H37" s="379">
        <v>210</v>
      </c>
    </row>
    <row r="38" spans="1:8">
      <c r="A38" s="373">
        <v>10</v>
      </c>
      <c r="B38" s="374" t="s">
        <v>387</v>
      </c>
      <c r="C38" s="380" t="s">
        <v>355</v>
      </c>
      <c r="D38" s="376">
        <v>201</v>
      </c>
      <c r="E38" s="376">
        <v>69.060533114023002</v>
      </c>
      <c r="F38" s="376">
        <f t="shared" si="6"/>
        <v>9.5303535697351744</v>
      </c>
      <c r="G38" s="378">
        <f t="shared" si="7"/>
        <v>78.590886683758171</v>
      </c>
      <c r="H38" s="418">
        <v>532</v>
      </c>
    </row>
    <row r="39" spans="1:8">
      <c r="A39" s="373">
        <v>11</v>
      </c>
      <c r="B39" s="374" t="s">
        <v>388</v>
      </c>
      <c r="C39" s="380" t="s">
        <v>355</v>
      </c>
      <c r="D39" s="376">
        <v>312.04000000000002</v>
      </c>
      <c r="E39" s="376">
        <v>109.19601144025049</v>
      </c>
      <c r="F39" s="376">
        <f t="shared" si="6"/>
        <v>15.069049578754569</v>
      </c>
      <c r="G39" s="378">
        <f t="shared" si="7"/>
        <v>124.26506101900505</v>
      </c>
      <c r="H39" s="418"/>
    </row>
    <row r="40" spans="1:8">
      <c r="A40" s="373">
        <v>12</v>
      </c>
      <c r="B40" s="374" t="s">
        <v>389</v>
      </c>
      <c r="C40" s="380" t="s">
        <v>355</v>
      </c>
      <c r="D40" s="376">
        <v>350</v>
      </c>
      <c r="E40" s="376">
        <v>117.83312589620182</v>
      </c>
      <c r="F40" s="376">
        <f t="shared" si="6"/>
        <v>16.260971373675854</v>
      </c>
      <c r="G40" s="378">
        <f t="shared" si="7"/>
        <v>134.09409726987766</v>
      </c>
      <c r="H40" s="379">
        <v>350</v>
      </c>
    </row>
    <row r="41" spans="1:8">
      <c r="A41" s="373">
        <v>13</v>
      </c>
      <c r="B41" s="374" t="s">
        <v>390</v>
      </c>
      <c r="C41" s="380" t="s">
        <v>355</v>
      </c>
      <c r="D41" s="376">
        <v>910.6</v>
      </c>
      <c r="E41" s="376">
        <v>308.51454429187572</v>
      </c>
      <c r="F41" s="376">
        <f t="shared" si="6"/>
        <v>42.575007112278854</v>
      </c>
      <c r="G41" s="378">
        <f t="shared" si="7"/>
        <v>351.08955140415452</v>
      </c>
      <c r="H41" s="379">
        <v>910</v>
      </c>
    </row>
    <row r="42" spans="1:8">
      <c r="B42" s="360" t="s">
        <v>365</v>
      </c>
      <c r="C42" s="361"/>
      <c r="D42" s="362">
        <f>SUM(D29:D41)</f>
        <v>5115.0200000000004</v>
      </c>
      <c r="E42" s="362">
        <f>SUM(E29:E41)</f>
        <v>1806.3885941017134</v>
      </c>
      <c r="F42" s="362">
        <f>SUM(F29:F41)</f>
        <v>249.28162598603649</v>
      </c>
      <c r="G42" s="363">
        <f>SUM(G29:G41)</f>
        <v>2055.6702200877498</v>
      </c>
    </row>
    <row r="43" spans="1:8">
      <c r="B43" s="364" t="s">
        <v>391</v>
      </c>
      <c r="C43" s="365"/>
      <c r="D43" s="366">
        <f>D42+D27+D15</f>
        <v>19797.14</v>
      </c>
      <c r="E43" s="366">
        <f>E42+E27+E15</f>
        <v>6919.4568833069943</v>
      </c>
      <c r="F43" s="366">
        <f>F42+F27+F15</f>
        <v>954.88504989636533</v>
      </c>
      <c r="G43" s="366">
        <f>G42+G27+G15</f>
        <v>7874.3419332033591</v>
      </c>
    </row>
    <row r="44" spans="1:8">
      <c r="C44" s="351" t="s">
        <v>392</v>
      </c>
      <c r="D44" s="351">
        <v>12</v>
      </c>
      <c r="E44" s="351"/>
      <c r="F44" s="351"/>
      <c r="G44" s="353">
        <f>G43*0.7</f>
        <v>5512.0393532423514</v>
      </c>
    </row>
    <row r="45" spans="1:8">
      <c r="C45" s="351" t="s">
        <v>393</v>
      </c>
      <c r="D45" s="351">
        <v>23</v>
      </c>
      <c r="E45" s="351"/>
      <c r="F45" s="351"/>
      <c r="G45" s="353">
        <f>G43-G44</f>
        <v>2362.3025799610077</v>
      </c>
    </row>
    <row r="46" spans="1:8">
      <c r="C46" s="351"/>
      <c r="D46" s="351"/>
      <c r="E46" s="351"/>
      <c r="F46" s="351"/>
      <c r="G46" s="353"/>
    </row>
    <row r="47" spans="1:8">
      <c r="C47" s="351"/>
      <c r="D47" s="351"/>
      <c r="E47" s="351"/>
      <c r="F47" s="351"/>
      <c r="G47" s="353"/>
    </row>
  </sheetData>
  <mergeCells count="1">
    <mergeCell ref="H38:H39"/>
  </mergeCells>
  <pageMargins left="0" right="0" top="0" bottom="0" header="0" footer="0"/>
  <pageSetup scale="84" orientation="landscape" r:id="rId1"/>
  <rowBreaks count="1" manualBreakCount="1">
    <brk id="41" max="8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463EE-56D8-4C0A-9527-C979BAE68725}">
  <dimension ref="A1:I43"/>
  <sheetViews>
    <sheetView workbookViewId="0">
      <selection activeCell="B19" sqref="B19"/>
    </sheetView>
  </sheetViews>
  <sheetFormatPr defaultRowHeight="24.75" customHeight="1"/>
  <cols>
    <col min="1" max="1" width="4.42578125" customWidth="1"/>
    <col min="2" max="2" width="60.28515625" customWidth="1"/>
    <col min="3" max="3" width="6.5703125" customWidth="1"/>
    <col min="4" max="4" width="17.85546875" customWidth="1"/>
    <col min="6" max="6" width="7.85546875" customWidth="1"/>
    <col min="7" max="7" width="35.5703125" customWidth="1"/>
    <col min="8" max="8" width="14.5703125" customWidth="1"/>
    <col min="9" max="9" width="13.140625" customWidth="1"/>
  </cols>
  <sheetData>
    <row r="1" spans="1:9" ht="24.75" customHeight="1" thickBot="1"/>
    <row r="2" spans="1:9" ht="24.75" customHeight="1" thickBot="1">
      <c r="A2" s="370"/>
      <c r="B2" s="371" t="s">
        <v>344</v>
      </c>
      <c r="C2" s="371" t="s">
        <v>345</v>
      </c>
      <c r="D2" s="371" t="s">
        <v>43</v>
      </c>
      <c r="F2" s="382" t="s">
        <v>409</v>
      </c>
      <c r="G2" s="383" t="s">
        <v>410</v>
      </c>
      <c r="H2" s="384" t="s">
        <v>345</v>
      </c>
      <c r="I2" s="384" t="s">
        <v>411</v>
      </c>
    </row>
    <row r="3" spans="1:9" ht="47.25" customHeight="1" thickBot="1">
      <c r="A3" s="373">
        <v>1</v>
      </c>
      <c r="B3" s="406" t="s">
        <v>351</v>
      </c>
      <c r="C3" s="375" t="s">
        <v>352</v>
      </c>
      <c r="D3" s="376">
        <v>1566</v>
      </c>
      <c r="F3" s="385">
        <v>1</v>
      </c>
      <c r="G3" s="386" t="s">
        <v>412</v>
      </c>
      <c r="H3" s="387" t="s">
        <v>413</v>
      </c>
      <c r="I3" s="388">
        <v>1566</v>
      </c>
    </row>
    <row r="4" spans="1:9" ht="63" customHeight="1" thickBot="1">
      <c r="A4" s="373">
        <v>2</v>
      </c>
      <c r="B4" s="374" t="s">
        <v>353</v>
      </c>
      <c r="C4" s="375" t="s">
        <v>352</v>
      </c>
      <c r="D4" s="376">
        <v>1099.6799999999998</v>
      </c>
      <c r="F4" s="385">
        <v>2</v>
      </c>
      <c r="G4" s="386" t="s">
        <v>414</v>
      </c>
      <c r="H4" s="387" t="s">
        <v>413</v>
      </c>
      <c r="I4" s="388">
        <v>1100</v>
      </c>
    </row>
    <row r="5" spans="1:9" ht="24.75" customHeight="1" thickBot="1">
      <c r="A5" s="373">
        <v>3</v>
      </c>
      <c r="B5" s="374" t="s">
        <v>354</v>
      </c>
      <c r="C5" s="380" t="s">
        <v>355</v>
      </c>
      <c r="D5" s="376">
        <v>502.28</v>
      </c>
      <c r="F5" s="385">
        <v>3</v>
      </c>
      <c r="G5" s="386" t="s">
        <v>415</v>
      </c>
      <c r="H5" s="387" t="s">
        <v>416</v>
      </c>
      <c r="I5" s="387">
        <v>502</v>
      </c>
    </row>
    <row r="6" spans="1:9" ht="24.75" customHeight="1" thickBot="1">
      <c r="A6" s="373">
        <v>4</v>
      </c>
      <c r="B6" s="374" t="s">
        <v>356</v>
      </c>
      <c r="C6" s="380" t="s">
        <v>355</v>
      </c>
      <c r="D6" s="376">
        <v>436.16</v>
      </c>
      <c r="F6" s="385">
        <v>4</v>
      </c>
      <c r="G6" s="386" t="s">
        <v>417</v>
      </c>
      <c r="H6" s="387" t="s">
        <v>416</v>
      </c>
      <c r="I6" s="387">
        <v>436</v>
      </c>
    </row>
    <row r="7" spans="1:9" ht="24.75" customHeight="1" thickBot="1">
      <c r="A7" s="373">
        <v>5</v>
      </c>
      <c r="B7" s="374" t="s">
        <v>357</v>
      </c>
      <c r="C7" s="380" t="s">
        <v>355</v>
      </c>
      <c r="D7" s="376">
        <v>100.92</v>
      </c>
      <c r="F7" s="385">
        <v>5</v>
      </c>
      <c r="G7" s="386" t="s">
        <v>418</v>
      </c>
      <c r="H7" s="387" t="s">
        <v>416</v>
      </c>
      <c r="I7" s="387">
        <v>101</v>
      </c>
    </row>
    <row r="8" spans="1:9" ht="24.75" customHeight="1" thickBot="1">
      <c r="A8" s="373">
        <v>6</v>
      </c>
      <c r="B8" s="374" t="s">
        <v>358</v>
      </c>
      <c r="C8" s="380" t="s">
        <v>355</v>
      </c>
      <c r="D8" s="376">
        <v>205.32</v>
      </c>
      <c r="F8" s="385">
        <v>6</v>
      </c>
      <c r="G8" s="386" t="s">
        <v>419</v>
      </c>
      <c r="H8" s="387" t="s">
        <v>416</v>
      </c>
      <c r="I8" s="387">
        <v>205</v>
      </c>
    </row>
    <row r="9" spans="1:9" ht="24.75" customHeight="1" thickBot="1">
      <c r="A9" s="373">
        <v>7</v>
      </c>
      <c r="B9" s="374" t="s">
        <v>359</v>
      </c>
      <c r="C9" s="380" t="s">
        <v>355</v>
      </c>
      <c r="D9" s="376">
        <v>693.1</v>
      </c>
      <c r="F9" s="385">
        <v>7</v>
      </c>
      <c r="G9" s="386" t="s">
        <v>420</v>
      </c>
      <c r="H9" s="387" t="s">
        <v>416</v>
      </c>
      <c r="I9" s="387">
        <v>693</v>
      </c>
    </row>
    <row r="10" spans="1:9" ht="24.75" customHeight="1" thickBot="1">
      <c r="A10" s="373">
        <v>8</v>
      </c>
      <c r="B10" s="374" t="s">
        <v>360</v>
      </c>
      <c r="C10" s="380" t="s">
        <v>355</v>
      </c>
      <c r="D10" s="376">
        <v>450.66</v>
      </c>
      <c r="F10" s="385">
        <v>8</v>
      </c>
      <c r="G10" s="386" t="s">
        <v>421</v>
      </c>
      <c r="H10" s="387" t="s">
        <v>416</v>
      </c>
      <c r="I10" s="387">
        <v>451</v>
      </c>
    </row>
    <row r="11" spans="1:9" ht="24.75" customHeight="1" thickBot="1">
      <c r="A11" s="373">
        <v>9</v>
      </c>
      <c r="B11" s="374" t="s">
        <v>361</v>
      </c>
      <c r="C11" s="380" t="s">
        <v>355</v>
      </c>
      <c r="D11" s="376">
        <v>452.98</v>
      </c>
      <c r="F11" s="385">
        <v>9</v>
      </c>
      <c r="G11" s="386" t="s">
        <v>422</v>
      </c>
      <c r="H11" s="387" t="s">
        <v>416</v>
      </c>
      <c r="I11" s="387">
        <v>453</v>
      </c>
    </row>
    <row r="12" spans="1:9" ht="24.75" customHeight="1" thickBot="1">
      <c r="A12" s="373">
        <v>10</v>
      </c>
      <c r="B12" s="374" t="s">
        <v>362</v>
      </c>
      <c r="C12" s="380" t="s">
        <v>355</v>
      </c>
      <c r="D12" s="376">
        <v>328.28</v>
      </c>
      <c r="F12" s="385">
        <v>10</v>
      </c>
      <c r="G12" s="386" t="s">
        <v>423</v>
      </c>
      <c r="H12" s="387" t="s">
        <v>416</v>
      </c>
      <c r="I12" s="387">
        <v>328</v>
      </c>
    </row>
    <row r="13" spans="1:9" ht="24.75" customHeight="1" thickBot="1">
      <c r="A13" s="373">
        <v>11</v>
      </c>
      <c r="B13" s="374" t="s">
        <v>363</v>
      </c>
      <c r="C13" s="380" t="s">
        <v>355</v>
      </c>
      <c r="D13" s="376">
        <v>693.1</v>
      </c>
      <c r="F13" s="385">
        <v>11</v>
      </c>
      <c r="G13" s="386" t="s">
        <v>424</v>
      </c>
      <c r="H13" s="387" t="s">
        <v>416</v>
      </c>
      <c r="I13" s="387">
        <v>693</v>
      </c>
    </row>
    <row r="14" spans="1:9" ht="24.75" customHeight="1" thickBot="1">
      <c r="A14" s="373">
        <v>12</v>
      </c>
      <c r="B14" s="374" t="s">
        <v>364</v>
      </c>
      <c r="C14" s="380" t="s">
        <v>355</v>
      </c>
      <c r="D14" s="376">
        <v>506.92</v>
      </c>
      <c r="F14" s="385">
        <v>12</v>
      </c>
      <c r="G14" s="386" t="s">
        <v>425</v>
      </c>
      <c r="H14" s="387" t="s">
        <v>416</v>
      </c>
      <c r="I14" s="387">
        <v>507</v>
      </c>
    </row>
    <row r="15" spans="1:9" ht="24.75" customHeight="1" thickBot="1">
      <c r="A15" s="369"/>
      <c r="B15" s="354" t="s">
        <v>365</v>
      </c>
      <c r="C15" s="355"/>
      <c r="D15" s="356">
        <f t="shared" ref="D15" si="0">SUM(D3:D14)</f>
        <v>7035.4000000000005</v>
      </c>
      <c r="F15" s="385">
        <v>13</v>
      </c>
      <c r="G15" s="386" t="s">
        <v>426</v>
      </c>
      <c r="H15" s="387" t="s">
        <v>413</v>
      </c>
      <c r="I15" s="387">
        <v>535</v>
      </c>
    </row>
    <row r="16" spans="1:9" ht="24.75" customHeight="1" thickBot="1">
      <c r="A16" s="370"/>
      <c r="B16" s="371" t="s">
        <v>366</v>
      </c>
      <c r="C16" s="371" t="s">
        <v>345</v>
      </c>
      <c r="D16" s="371" t="s">
        <v>43</v>
      </c>
      <c r="F16" s="385">
        <v>14</v>
      </c>
      <c r="G16" s="386" t="s">
        <v>427</v>
      </c>
      <c r="H16" s="387" t="s">
        <v>413</v>
      </c>
      <c r="I16" s="387">
        <v>751</v>
      </c>
    </row>
    <row r="17" spans="1:9" ht="24.75" customHeight="1" thickBot="1">
      <c r="A17" s="373">
        <v>1</v>
      </c>
      <c r="B17" s="374" t="s">
        <v>367</v>
      </c>
      <c r="C17" s="375" t="s">
        <v>352</v>
      </c>
      <c r="D17" s="376">
        <v>534.76</v>
      </c>
      <c r="F17" s="385">
        <v>15</v>
      </c>
      <c r="G17" s="386" t="s">
        <v>428</v>
      </c>
      <c r="H17" s="387" t="s">
        <v>413</v>
      </c>
      <c r="I17" s="388">
        <v>1005</v>
      </c>
    </row>
    <row r="18" spans="1:9" ht="24.75" customHeight="1" thickBot="1">
      <c r="A18" s="373">
        <v>2</v>
      </c>
      <c r="B18" s="374" t="s">
        <v>368</v>
      </c>
      <c r="C18" s="375" t="s">
        <v>352</v>
      </c>
      <c r="D18" s="376">
        <v>750.52</v>
      </c>
      <c r="F18" s="385">
        <v>16</v>
      </c>
      <c r="G18" s="386" t="s">
        <v>429</v>
      </c>
      <c r="H18" s="387" t="s">
        <v>413</v>
      </c>
      <c r="I18" s="387">
        <v>638</v>
      </c>
    </row>
    <row r="19" spans="1:9" ht="24.75" customHeight="1" thickBot="1">
      <c r="A19" s="373">
        <v>3</v>
      </c>
      <c r="B19" s="406" t="s">
        <v>369</v>
      </c>
      <c r="C19" s="375" t="s">
        <v>352</v>
      </c>
      <c r="D19" s="376">
        <v>1005.14</v>
      </c>
      <c r="F19" s="385">
        <v>17</v>
      </c>
      <c r="G19" s="386" t="s">
        <v>430</v>
      </c>
      <c r="H19" s="387" t="s">
        <v>413</v>
      </c>
      <c r="I19" s="387">
        <v>788</v>
      </c>
    </row>
    <row r="20" spans="1:9" ht="24.75" customHeight="1" thickBot="1">
      <c r="A20" s="373">
        <v>4</v>
      </c>
      <c r="B20" s="374" t="s">
        <v>370</v>
      </c>
      <c r="C20" s="375" t="s">
        <v>352</v>
      </c>
      <c r="D20" s="376">
        <v>638</v>
      </c>
      <c r="F20" s="385">
        <v>18</v>
      </c>
      <c r="G20" s="386" t="s">
        <v>431</v>
      </c>
      <c r="H20" s="387" t="s">
        <v>413</v>
      </c>
      <c r="I20" s="387">
        <v>933</v>
      </c>
    </row>
    <row r="21" spans="1:9" ht="24.75" customHeight="1" thickBot="1">
      <c r="A21" s="373">
        <v>5</v>
      </c>
      <c r="B21" s="374" t="s">
        <v>371</v>
      </c>
      <c r="C21" s="375" t="s">
        <v>352</v>
      </c>
      <c r="D21" s="376">
        <v>787.64</v>
      </c>
      <c r="F21" s="385">
        <v>19</v>
      </c>
      <c r="G21" s="386" t="s">
        <v>432</v>
      </c>
      <c r="H21" s="387" t="s">
        <v>413</v>
      </c>
      <c r="I21" s="387">
        <v>945</v>
      </c>
    </row>
    <row r="22" spans="1:9" ht="24.75" customHeight="1" thickBot="1">
      <c r="A22" s="373">
        <v>6</v>
      </c>
      <c r="B22" s="374" t="s">
        <v>372</v>
      </c>
      <c r="C22" s="375" t="s">
        <v>352</v>
      </c>
      <c r="D22" s="376">
        <v>932.64</v>
      </c>
      <c r="F22" s="385">
        <v>20</v>
      </c>
      <c r="G22" s="386" t="s">
        <v>433</v>
      </c>
      <c r="H22" s="387" t="s">
        <v>413</v>
      </c>
      <c r="I22" s="387">
        <v>501</v>
      </c>
    </row>
    <row r="23" spans="1:9" ht="24.75" customHeight="1" thickBot="1">
      <c r="A23" s="373">
        <v>7</v>
      </c>
      <c r="B23" s="374" t="s">
        <v>373</v>
      </c>
      <c r="C23" s="375" t="s">
        <v>352</v>
      </c>
      <c r="D23" s="376">
        <v>944.82</v>
      </c>
      <c r="F23" s="385">
        <v>21</v>
      </c>
      <c r="G23" s="386" t="s">
        <v>434</v>
      </c>
      <c r="H23" s="387" t="s">
        <v>413</v>
      </c>
      <c r="I23" s="387">
        <v>752</v>
      </c>
    </row>
    <row r="24" spans="1:9" ht="24.75" customHeight="1" thickBot="1">
      <c r="A24" s="373">
        <v>8</v>
      </c>
      <c r="B24" s="374" t="s">
        <v>374</v>
      </c>
      <c r="C24" s="375" t="s">
        <v>352</v>
      </c>
      <c r="D24" s="376">
        <v>501.12</v>
      </c>
      <c r="F24" s="385">
        <v>22</v>
      </c>
      <c r="G24" s="386" t="s">
        <v>435</v>
      </c>
      <c r="H24" s="387" t="s">
        <v>413</v>
      </c>
      <c r="I24" s="387">
        <v>800</v>
      </c>
    </row>
    <row r="25" spans="1:9" ht="24.75" customHeight="1" thickBot="1">
      <c r="A25" s="373">
        <v>9</v>
      </c>
      <c r="B25" s="374" t="s">
        <v>375</v>
      </c>
      <c r="C25" s="375" t="s">
        <v>352</v>
      </c>
      <c r="D25" s="376">
        <v>751.68</v>
      </c>
      <c r="F25" s="385">
        <v>23</v>
      </c>
      <c r="G25" s="386" t="s">
        <v>436</v>
      </c>
      <c r="H25" s="387" t="s">
        <v>416</v>
      </c>
      <c r="I25" s="387">
        <v>300</v>
      </c>
    </row>
    <row r="26" spans="1:9" ht="24.75" customHeight="1" thickBot="1">
      <c r="A26" s="373">
        <v>10</v>
      </c>
      <c r="B26" s="374" t="s">
        <v>376</v>
      </c>
      <c r="C26" s="375" t="s">
        <v>352</v>
      </c>
      <c r="D26" s="376">
        <v>800.4</v>
      </c>
      <c r="F26" s="385">
        <v>24</v>
      </c>
      <c r="G26" s="386" t="s">
        <v>437</v>
      </c>
      <c r="H26" s="387" t="s">
        <v>416</v>
      </c>
      <c r="I26" s="387">
        <v>480</v>
      </c>
    </row>
    <row r="27" spans="1:9" ht="24.75" customHeight="1" thickBot="1">
      <c r="A27" s="368"/>
      <c r="B27" s="360" t="s">
        <v>365</v>
      </c>
      <c r="C27" s="361"/>
      <c r="D27" s="362">
        <f t="shared" ref="D27" si="1">SUM(D17:D26)</f>
        <v>7646.7199999999993</v>
      </c>
      <c r="F27" s="385">
        <v>25</v>
      </c>
      <c r="G27" s="386" t="s">
        <v>438</v>
      </c>
      <c r="H27" s="387" t="s">
        <v>416</v>
      </c>
      <c r="I27" s="387">
        <v>458</v>
      </c>
    </row>
    <row r="28" spans="1:9" ht="24.75" customHeight="1" thickBot="1">
      <c r="A28" s="370"/>
      <c r="B28" s="371" t="s">
        <v>377</v>
      </c>
      <c r="C28" s="371" t="s">
        <v>345</v>
      </c>
      <c r="D28" s="371" t="s">
        <v>43</v>
      </c>
      <c r="F28" s="385">
        <v>26</v>
      </c>
      <c r="G28" s="386" t="s">
        <v>439</v>
      </c>
      <c r="H28" s="387" t="s">
        <v>416</v>
      </c>
      <c r="I28" s="387">
        <v>430</v>
      </c>
    </row>
    <row r="29" spans="1:9" ht="24.75" customHeight="1" thickBot="1">
      <c r="A29" s="373">
        <v>1</v>
      </c>
      <c r="B29" s="374" t="s">
        <v>378</v>
      </c>
      <c r="C29" s="380" t="s">
        <v>355</v>
      </c>
      <c r="D29" s="376">
        <v>300.44</v>
      </c>
      <c r="F29" s="385">
        <v>27</v>
      </c>
      <c r="G29" s="386" t="s">
        <v>440</v>
      </c>
      <c r="H29" s="387" t="s">
        <v>416</v>
      </c>
      <c r="I29" s="387">
        <v>375</v>
      </c>
    </row>
    <row r="30" spans="1:9" ht="24.75" customHeight="1" thickBot="1">
      <c r="A30" s="373">
        <v>2</v>
      </c>
      <c r="B30" s="374" t="s">
        <v>379</v>
      </c>
      <c r="C30" s="380" t="s">
        <v>355</v>
      </c>
      <c r="D30" s="376">
        <v>480.24</v>
      </c>
      <c r="F30" s="385">
        <v>28</v>
      </c>
      <c r="G30" s="386" t="s">
        <v>441</v>
      </c>
      <c r="H30" s="387" t="s">
        <v>416</v>
      </c>
      <c r="I30" s="387">
        <v>347</v>
      </c>
    </row>
    <row r="31" spans="1:9" ht="24.75" customHeight="1" thickBot="1">
      <c r="A31" s="373">
        <v>3</v>
      </c>
      <c r="B31" s="374" t="s">
        <v>380</v>
      </c>
      <c r="C31" s="380" t="s">
        <v>355</v>
      </c>
      <c r="D31" s="376">
        <v>457.62</v>
      </c>
      <c r="F31" s="385">
        <v>29</v>
      </c>
      <c r="G31" s="386" t="s">
        <v>442</v>
      </c>
      <c r="H31" s="387" t="s">
        <v>416</v>
      </c>
      <c r="I31" s="387">
        <v>501</v>
      </c>
    </row>
    <row r="32" spans="1:9" ht="24.75" customHeight="1" thickBot="1">
      <c r="A32" s="373">
        <v>4</v>
      </c>
      <c r="B32" s="374" t="s">
        <v>381</v>
      </c>
      <c r="C32" s="380" t="s">
        <v>355</v>
      </c>
      <c r="D32" s="376">
        <v>430.36</v>
      </c>
      <c r="F32" s="385">
        <v>30</v>
      </c>
      <c r="G32" s="386" t="s">
        <v>443</v>
      </c>
      <c r="H32" s="387" t="s">
        <v>416</v>
      </c>
      <c r="I32" s="387">
        <v>249</v>
      </c>
    </row>
    <row r="33" spans="1:9" ht="24.75" customHeight="1" thickBot="1">
      <c r="A33" s="373">
        <v>5</v>
      </c>
      <c r="B33" s="374" t="s">
        <v>382</v>
      </c>
      <c r="C33" s="380" t="s">
        <v>355</v>
      </c>
      <c r="D33" s="376">
        <v>375.26</v>
      </c>
      <c r="F33" s="385">
        <v>31</v>
      </c>
      <c r="G33" s="386" t="s">
        <v>444</v>
      </c>
      <c r="H33" s="387" t="s">
        <v>416</v>
      </c>
      <c r="I33" s="387">
        <v>201</v>
      </c>
    </row>
    <row r="34" spans="1:9" ht="24.75" customHeight="1" thickBot="1">
      <c r="A34" s="373">
        <v>6</v>
      </c>
      <c r="B34" s="374" t="s">
        <v>383</v>
      </c>
      <c r="C34" s="380" t="s">
        <v>355</v>
      </c>
      <c r="D34" s="376">
        <v>346.84</v>
      </c>
      <c r="F34" s="385">
        <v>32</v>
      </c>
      <c r="G34" s="386" t="s">
        <v>445</v>
      </c>
      <c r="H34" s="387" t="s">
        <v>416</v>
      </c>
      <c r="I34" s="387">
        <v>312</v>
      </c>
    </row>
    <row r="35" spans="1:9" ht="24.75" customHeight="1" thickBot="1">
      <c r="A35" s="373">
        <v>7</v>
      </c>
      <c r="B35" s="374" t="s">
        <v>384</v>
      </c>
      <c r="C35" s="380" t="s">
        <v>355</v>
      </c>
      <c r="D35" s="376">
        <v>501.12</v>
      </c>
      <c r="F35" s="385">
        <v>33</v>
      </c>
      <c r="G35" s="386" t="s">
        <v>446</v>
      </c>
      <c r="H35" s="387" t="s">
        <v>416</v>
      </c>
      <c r="I35" s="387">
        <v>201</v>
      </c>
    </row>
    <row r="36" spans="1:9" ht="24.75" customHeight="1" thickBot="1">
      <c r="A36" s="373">
        <v>8</v>
      </c>
      <c r="B36" s="374" t="s">
        <v>385</v>
      </c>
      <c r="C36" s="380" t="s">
        <v>355</v>
      </c>
      <c r="D36" s="376">
        <v>248.82</v>
      </c>
      <c r="F36" s="385">
        <v>34</v>
      </c>
      <c r="G36" s="386" t="s">
        <v>447</v>
      </c>
      <c r="H36" s="387" t="s">
        <v>416</v>
      </c>
      <c r="I36" s="387">
        <v>350</v>
      </c>
    </row>
    <row r="37" spans="1:9" ht="24.75" customHeight="1" thickBot="1">
      <c r="A37" s="373">
        <v>9</v>
      </c>
      <c r="B37" s="374" t="s">
        <v>386</v>
      </c>
      <c r="C37" s="380" t="s">
        <v>355</v>
      </c>
      <c r="D37" s="376">
        <v>200.68</v>
      </c>
      <c r="F37" s="385">
        <v>35</v>
      </c>
      <c r="G37" s="386" t="s">
        <v>390</v>
      </c>
      <c r="H37" s="387" t="s">
        <v>416</v>
      </c>
      <c r="I37" s="387">
        <v>911</v>
      </c>
    </row>
    <row r="38" spans="1:9" ht="24.75" customHeight="1" thickBot="1">
      <c r="A38" s="373">
        <v>10</v>
      </c>
      <c r="B38" s="374" t="s">
        <v>387</v>
      </c>
      <c r="C38" s="380" t="s">
        <v>355</v>
      </c>
      <c r="D38" s="376">
        <v>201</v>
      </c>
      <c r="F38" s="389"/>
      <c r="G38" s="386" t="s">
        <v>448</v>
      </c>
      <c r="H38" s="387" t="s">
        <v>449</v>
      </c>
      <c r="I38" s="387">
        <v>203</v>
      </c>
    </row>
    <row r="39" spans="1:9" ht="24.75" customHeight="1" thickBot="1">
      <c r="A39" s="373">
        <v>11</v>
      </c>
      <c r="B39" s="374" t="s">
        <v>388</v>
      </c>
      <c r="C39" s="380" t="s">
        <v>355</v>
      </c>
      <c r="D39" s="376">
        <v>312.04000000000002</v>
      </c>
      <c r="F39" s="389"/>
      <c r="G39" s="390" t="s">
        <v>450</v>
      </c>
      <c r="H39" s="391" t="s">
        <v>449</v>
      </c>
      <c r="I39" s="392">
        <f>SUM(I3:I38)</f>
        <v>20001</v>
      </c>
    </row>
    <row r="40" spans="1:9" ht="24.75" customHeight="1">
      <c r="A40" s="373">
        <v>12</v>
      </c>
      <c r="B40" s="374" t="s">
        <v>389</v>
      </c>
      <c r="C40" s="380" t="s">
        <v>355</v>
      </c>
      <c r="D40" s="376">
        <v>350</v>
      </c>
    </row>
    <row r="41" spans="1:9" ht="24.75" customHeight="1">
      <c r="A41" s="373">
        <v>13</v>
      </c>
      <c r="B41" s="374" t="s">
        <v>390</v>
      </c>
      <c r="C41" s="380" t="s">
        <v>355</v>
      </c>
      <c r="D41" s="376">
        <v>910.6</v>
      </c>
    </row>
    <row r="42" spans="1:9" ht="24.75" customHeight="1">
      <c r="A42" s="368"/>
      <c r="B42" s="360" t="s">
        <v>365</v>
      </c>
      <c r="C42" s="361"/>
      <c r="D42" s="362">
        <f>SUM(D29:D41)</f>
        <v>5115.0200000000004</v>
      </c>
    </row>
    <row r="43" spans="1:9" ht="24.75" customHeight="1">
      <c r="A43" s="368"/>
      <c r="B43" s="364" t="s">
        <v>391</v>
      </c>
      <c r="C43" s="365"/>
      <c r="D43" s="366">
        <f>D42+D27+D15</f>
        <v>19797.14</v>
      </c>
    </row>
  </sheetData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BA79F-132B-4B07-BB4E-E61CD62304B7}">
  <dimension ref="A1:Z1000"/>
  <sheetViews>
    <sheetView topLeftCell="A31" workbookViewId="0">
      <selection activeCell="B2" sqref="B2"/>
    </sheetView>
  </sheetViews>
  <sheetFormatPr defaultColWidth="12.5703125" defaultRowHeight="15"/>
  <cols>
    <col min="1" max="1" width="3.42578125" customWidth="1"/>
    <col min="2" max="2" width="30.28515625" customWidth="1"/>
    <col min="8" max="8" width="15.140625" customWidth="1"/>
    <col min="9" max="9" width="15" customWidth="1"/>
    <col min="10" max="10" width="13.42578125" customWidth="1"/>
  </cols>
  <sheetData>
    <row r="1" spans="1:26" ht="51">
      <c r="A1" s="393" t="s">
        <v>409</v>
      </c>
      <c r="B1" s="393" t="s">
        <v>410</v>
      </c>
      <c r="C1" s="393" t="s">
        <v>451</v>
      </c>
      <c r="D1" s="393" t="s">
        <v>345</v>
      </c>
      <c r="E1" s="393" t="s">
        <v>43</v>
      </c>
      <c r="F1" s="393" t="s">
        <v>452</v>
      </c>
      <c r="G1" s="393" t="s">
        <v>453</v>
      </c>
      <c r="H1" s="393" t="s">
        <v>454</v>
      </c>
      <c r="I1" s="393" t="s">
        <v>455</v>
      </c>
      <c r="J1" s="393" t="s">
        <v>456</v>
      </c>
      <c r="K1" s="393" t="s">
        <v>457</v>
      </c>
      <c r="L1" s="393" t="s">
        <v>458</v>
      </c>
      <c r="M1" s="393" t="s">
        <v>459</v>
      </c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  <c r="Z1" s="394"/>
    </row>
    <row r="2" spans="1:26" ht="51">
      <c r="A2" s="395">
        <v>1</v>
      </c>
      <c r="B2" s="395" t="s">
        <v>351</v>
      </c>
      <c r="C2" s="395" t="s">
        <v>460</v>
      </c>
      <c r="D2" s="395" t="s">
        <v>352</v>
      </c>
      <c r="E2" s="396">
        <v>1566</v>
      </c>
      <c r="F2" s="396">
        <v>1651</v>
      </c>
      <c r="G2" s="397">
        <v>2279500</v>
      </c>
      <c r="H2" s="395">
        <v>5.97</v>
      </c>
      <c r="I2" s="395">
        <v>0.84</v>
      </c>
      <c r="J2" s="395">
        <v>6.81</v>
      </c>
      <c r="K2" s="395">
        <v>4.76</v>
      </c>
      <c r="L2" s="395" t="s">
        <v>461</v>
      </c>
      <c r="M2" s="395" t="s">
        <v>462</v>
      </c>
    </row>
    <row r="3" spans="1:26" ht="63.75">
      <c r="A3" s="395">
        <v>2</v>
      </c>
      <c r="B3" s="395" t="s">
        <v>353</v>
      </c>
      <c r="C3" s="395" t="s">
        <v>463</v>
      </c>
      <c r="D3" s="395" t="s">
        <v>352</v>
      </c>
      <c r="E3" s="396">
        <v>1100</v>
      </c>
      <c r="F3" s="396">
        <v>1099</v>
      </c>
      <c r="G3" s="397">
        <v>1515800</v>
      </c>
      <c r="H3" s="395">
        <v>4.01</v>
      </c>
      <c r="I3" s="395">
        <v>0.59</v>
      </c>
      <c r="J3" s="395">
        <v>4.5999999999999996</v>
      </c>
      <c r="K3" s="395">
        <v>3.22</v>
      </c>
      <c r="L3" s="395" t="s">
        <v>464</v>
      </c>
      <c r="M3" s="395" t="s">
        <v>465</v>
      </c>
    </row>
    <row r="4" spans="1:26" ht="25.5">
      <c r="A4" s="395">
        <v>3</v>
      </c>
      <c r="B4" s="395" t="s">
        <v>354</v>
      </c>
      <c r="C4" s="395" t="s">
        <v>466</v>
      </c>
      <c r="D4" s="395" t="s">
        <v>355</v>
      </c>
      <c r="E4" s="396">
        <v>502</v>
      </c>
      <c r="F4" s="396">
        <v>520</v>
      </c>
      <c r="G4" s="397">
        <v>762400</v>
      </c>
      <c r="H4" s="395">
        <v>1.95</v>
      </c>
      <c r="I4" s="395">
        <v>0.27</v>
      </c>
      <c r="J4" s="395">
        <v>2.21</v>
      </c>
      <c r="K4" s="395">
        <v>1.55</v>
      </c>
      <c r="L4" s="395" t="s">
        <v>467</v>
      </c>
      <c r="M4" s="395" t="s">
        <v>468</v>
      </c>
    </row>
    <row r="5" spans="1:26" ht="51">
      <c r="A5" s="395">
        <v>4</v>
      </c>
      <c r="B5" s="395" t="s">
        <v>356</v>
      </c>
      <c r="C5" s="395" t="s">
        <v>469</v>
      </c>
      <c r="D5" s="395" t="s">
        <v>355</v>
      </c>
      <c r="E5" s="396">
        <v>436</v>
      </c>
      <c r="F5" s="396">
        <v>452</v>
      </c>
      <c r="G5" s="397">
        <v>623700</v>
      </c>
      <c r="H5" s="395">
        <v>1.63</v>
      </c>
      <c r="I5" s="395">
        <v>0.23</v>
      </c>
      <c r="J5" s="395">
        <v>1.87</v>
      </c>
      <c r="K5" s="395">
        <v>1.31</v>
      </c>
      <c r="L5" s="395" t="s">
        <v>470</v>
      </c>
      <c r="M5" s="395" t="s">
        <v>471</v>
      </c>
    </row>
    <row r="6" spans="1:26" ht="38.25">
      <c r="A6" s="395">
        <v>5</v>
      </c>
      <c r="B6" s="395" t="s">
        <v>357</v>
      </c>
      <c r="C6" s="395" t="s">
        <v>472</v>
      </c>
      <c r="D6" s="395" t="s">
        <v>355</v>
      </c>
      <c r="E6" s="396">
        <v>101</v>
      </c>
      <c r="F6" s="396">
        <v>101</v>
      </c>
      <c r="G6" s="397">
        <v>147470</v>
      </c>
      <c r="H6" s="395">
        <v>0.5</v>
      </c>
      <c r="I6" s="395">
        <v>0.05</v>
      </c>
      <c r="J6" s="395">
        <v>0.55000000000000004</v>
      </c>
      <c r="K6" s="395">
        <v>0.38</v>
      </c>
      <c r="L6" s="395" t="s">
        <v>473</v>
      </c>
      <c r="M6" s="395" t="s">
        <v>474</v>
      </c>
    </row>
    <row r="7" spans="1:26" ht="38.25">
      <c r="A7" s="395">
        <v>6</v>
      </c>
      <c r="B7" s="395" t="s">
        <v>358</v>
      </c>
      <c r="C7" s="395" t="s">
        <v>472</v>
      </c>
      <c r="D7" s="395" t="s">
        <v>355</v>
      </c>
      <c r="E7" s="396">
        <v>205</v>
      </c>
      <c r="F7" s="396">
        <v>204</v>
      </c>
      <c r="G7" s="397">
        <v>275100</v>
      </c>
      <c r="H7" s="395">
        <v>0.9</v>
      </c>
      <c r="I7" s="395">
        <v>0.11</v>
      </c>
      <c r="J7" s="395">
        <v>1.01</v>
      </c>
      <c r="K7" s="395">
        <v>0.71</v>
      </c>
      <c r="L7" s="395" t="s">
        <v>475</v>
      </c>
      <c r="M7" s="395" t="s">
        <v>476</v>
      </c>
    </row>
    <row r="8" spans="1:26" ht="63.75">
      <c r="A8" s="395">
        <v>7</v>
      </c>
      <c r="B8" s="395" t="s">
        <v>359</v>
      </c>
      <c r="C8" s="395" t="s">
        <v>466</v>
      </c>
      <c r="D8" s="395" t="s">
        <v>355</v>
      </c>
      <c r="E8" s="396">
        <v>693</v>
      </c>
      <c r="F8" s="396">
        <v>746</v>
      </c>
      <c r="G8" s="397">
        <v>1093600</v>
      </c>
      <c r="H8" s="395">
        <v>2.8</v>
      </c>
      <c r="I8" s="395">
        <v>0.37</v>
      </c>
      <c r="J8" s="395">
        <v>3.17</v>
      </c>
      <c r="K8" s="395">
        <v>2.2200000000000002</v>
      </c>
      <c r="L8" s="395" t="s">
        <v>477</v>
      </c>
      <c r="M8" s="395" t="s">
        <v>478</v>
      </c>
    </row>
    <row r="9" spans="1:26" ht="38.25">
      <c r="A9" s="395">
        <v>8</v>
      </c>
      <c r="B9" s="395" t="s">
        <v>360</v>
      </c>
      <c r="C9" s="395" t="s">
        <v>479</v>
      </c>
      <c r="D9" s="395" t="s">
        <v>355</v>
      </c>
      <c r="E9" s="396">
        <v>451</v>
      </c>
      <c r="F9" s="396">
        <v>450</v>
      </c>
      <c r="G9" s="397">
        <v>582500</v>
      </c>
      <c r="H9" s="395">
        <v>1.77</v>
      </c>
      <c r="I9" s="395">
        <v>0.24</v>
      </c>
      <c r="J9" s="395">
        <v>2.0099999999999998</v>
      </c>
      <c r="K9" s="395">
        <v>1.4</v>
      </c>
      <c r="L9" s="395" t="s">
        <v>480</v>
      </c>
      <c r="M9" s="395" t="s">
        <v>481</v>
      </c>
    </row>
    <row r="10" spans="1:26" ht="63.75">
      <c r="A10" s="395">
        <v>9</v>
      </c>
      <c r="B10" s="395" t="s">
        <v>361</v>
      </c>
      <c r="C10" s="395" t="s">
        <v>482</v>
      </c>
      <c r="D10" s="395" t="s">
        <v>355</v>
      </c>
      <c r="E10" s="396">
        <v>453</v>
      </c>
      <c r="F10" s="396">
        <v>450</v>
      </c>
      <c r="G10" s="397">
        <v>672900</v>
      </c>
      <c r="H10" s="395">
        <v>1.85</v>
      </c>
      <c r="I10" s="395">
        <v>0.24</v>
      </c>
      <c r="J10" s="395">
        <v>2.09</v>
      </c>
      <c r="K10" s="395">
        <v>1.46</v>
      </c>
      <c r="L10" s="395" t="s">
        <v>480</v>
      </c>
      <c r="M10" s="395" t="s">
        <v>483</v>
      </c>
    </row>
    <row r="11" spans="1:26">
      <c r="A11" s="395">
        <v>10</v>
      </c>
      <c r="B11" s="395" t="s">
        <v>362</v>
      </c>
      <c r="C11" s="395" t="s">
        <v>463</v>
      </c>
      <c r="D11" s="395" t="s">
        <v>355</v>
      </c>
      <c r="E11" s="396">
        <v>328</v>
      </c>
      <c r="F11" s="396">
        <v>316</v>
      </c>
      <c r="G11" s="397">
        <v>433300</v>
      </c>
      <c r="H11" s="395">
        <v>1.26</v>
      </c>
      <c r="I11" s="395">
        <v>0.18</v>
      </c>
      <c r="J11" s="395">
        <v>1.44</v>
      </c>
      <c r="K11" s="395">
        <v>1.01</v>
      </c>
      <c r="L11" s="395" t="s">
        <v>484</v>
      </c>
      <c r="M11" s="395" t="s">
        <v>485</v>
      </c>
    </row>
    <row r="12" spans="1:26" ht="51">
      <c r="A12" s="395">
        <v>11</v>
      </c>
      <c r="B12" s="395" t="s">
        <v>363</v>
      </c>
      <c r="C12" s="395" t="s">
        <v>486</v>
      </c>
      <c r="D12" s="395" t="s">
        <v>355</v>
      </c>
      <c r="E12" s="396">
        <v>693</v>
      </c>
      <c r="F12" s="396">
        <v>746</v>
      </c>
      <c r="G12" s="397">
        <v>1111700</v>
      </c>
      <c r="H12" s="395">
        <v>2.71</v>
      </c>
      <c r="I12" s="395">
        <v>0.37</v>
      </c>
      <c r="J12" s="395">
        <v>3.08</v>
      </c>
      <c r="K12" s="395">
        <v>2.16</v>
      </c>
      <c r="L12" s="395" t="s">
        <v>487</v>
      </c>
      <c r="M12" s="395" t="s">
        <v>488</v>
      </c>
    </row>
    <row r="13" spans="1:26" ht="38.25">
      <c r="A13" s="395">
        <v>12</v>
      </c>
      <c r="B13" s="395" t="s">
        <v>364</v>
      </c>
      <c r="C13" s="395" t="s">
        <v>489</v>
      </c>
      <c r="D13" s="395" t="s">
        <v>355</v>
      </c>
      <c r="E13" s="396">
        <v>507</v>
      </c>
      <c r="F13" s="396">
        <v>499</v>
      </c>
      <c r="G13" s="397">
        <v>759300</v>
      </c>
      <c r="H13" s="395">
        <v>2</v>
      </c>
      <c r="I13" s="395">
        <v>0.27</v>
      </c>
      <c r="J13" s="395">
        <v>2.27</v>
      </c>
      <c r="K13" s="395">
        <v>1.59</v>
      </c>
      <c r="L13" s="395" t="s">
        <v>490</v>
      </c>
      <c r="M13" s="395" t="s">
        <v>491</v>
      </c>
    </row>
    <row r="14" spans="1:26" ht="114.75">
      <c r="A14" s="395">
        <v>13</v>
      </c>
      <c r="B14" s="395" t="s">
        <v>367</v>
      </c>
      <c r="C14" s="395" t="s">
        <v>492</v>
      </c>
      <c r="D14" s="395" t="s">
        <v>352</v>
      </c>
      <c r="E14" s="396">
        <v>535</v>
      </c>
      <c r="F14" s="396">
        <v>535</v>
      </c>
      <c r="G14" s="397">
        <v>792500</v>
      </c>
      <c r="H14" s="395">
        <v>2.13</v>
      </c>
      <c r="I14" s="395">
        <v>0.28999999999999998</v>
      </c>
      <c r="J14" s="395">
        <v>2.42</v>
      </c>
      <c r="K14" s="395">
        <v>1.69</v>
      </c>
      <c r="L14" s="395" t="s">
        <v>493</v>
      </c>
      <c r="M14" s="395" t="s">
        <v>494</v>
      </c>
    </row>
    <row r="15" spans="1:26" ht="114.75">
      <c r="A15" s="395">
        <v>14</v>
      </c>
      <c r="B15" s="395" t="s">
        <v>368</v>
      </c>
      <c r="C15" s="395" t="s">
        <v>495</v>
      </c>
      <c r="D15" s="395" t="s">
        <v>352</v>
      </c>
      <c r="E15" s="396">
        <v>751</v>
      </c>
      <c r="F15" s="396">
        <v>751</v>
      </c>
      <c r="G15" s="397">
        <v>1161400</v>
      </c>
      <c r="H15" s="395">
        <v>2.94</v>
      </c>
      <c r="I15" s="395">
        <v>0.4</v>
      </c>
      <c r="J15" s="395">
        <v>3.34</v>
      </c>
      <c r="K15" s="395">
        <v>2.34</v>
      </c>
      <c r="L15" s="395" t="s">
        <v>496</v>
      </c>
      <c r="M15" s="395" t="s">
        <v>494</v>
      </c>
    </row>
    <row r="16" spans="1:26" ht="114.75">
      <c r="A16" s="395">
        <v>15</v>
      </c>
      <c r="B16" s="395" t="s">
        <v>369</v>
      </c>
      <c r="C16" s="395" t="s">
        <v>497</v>
      </c>
      <c r="D16" s="395" t="s">
        <v>352</v>
      </c>
      <c r="E16" s="396">
        <v>1005</v>
      </c>
      <c r="F16" s="396">
        <v>1005</v>
      </c>
      <c r="G16" s="397">
        <v>1309100</v>
      </c>
      <c r="H16" s="395">
        <v>4.13</v>
      </c>
      <c r="I16" s="395">
        <v>0.54</v>
      </c>
      <c r="J16" s="395">
        <v>4.67</v>
      </c>
      <c r="K16" s="395">
        <v>3.27</v>
      </c>
      <c r="L16" s="395" t="s">
        <v>498</v>
      </c>
      <c r="M16" s="395" t="s">
        <v>499</v>
      </c>
    </row>
    <row r="17" spans="1:13" ht="114.75">
      <c r="A17" s="395">
        <v>16</v>
      </c>
      <c r="B17" s="395" t="s">
        <v>370</v>
      </c>
      <c r="C17" s="395" t="s">
        <v>500</v>
      </c>
      <c r="D17" s="395" t="s">
        <v>352</v>
      </c>
      <c r="E17" s="396">
        <v>638</v>
      </c>
      <c r="F17" s="396">
        <v>638</v>
      </c>
      <c r="G17" s="397">
        <v>845700</v>
      </c>
      <c r="H17" s="395">
        <v>2.48</v>
      </c>
      <c r="I17" s="395">
        <v>0.34</v>
      </c>
      <c r="J17" s="395">
        <v>2.82</v>
      </c>
      <c r="K17" s="395">
        <v>1.97</v>
      </c>
      <c r="L17" s="395" t="s">
        <v>501</v>
      </c>
      <c r="M17" s="395" t="s">
        <v>502</v>
      </c>
    </row>
    <row r="18" spans="1:13" ht="114.75">
      <c r="A18" s="395">
        <v>17</v>
      </c>
      <c r="B18" s="395" t="s">
        <v>371</v>
      </c>
      <c r="C18" s="395" t="s">
        <v>503</v>
      </c>
      <c r="D18" s="395" t="s">
        <v>352</v>
      </c>
      <c r="E18" s="396">
        <v>788</v>
      </c>
      <c r="F18" s="396">
        <v>788</v>
      </c>
      <c r="G18" s="397">
        <v>1143720</v>
      </c>
      <c r="H18" s="395">
        <v>3.37</v>
      </c>
      <c r="I18" s="395">
        <v>0.42</v>
      </c>
      <c r="J18" s="395">
        <v>3.79</v>
      </c>
      <c r="K18" s="395">
        <v>2.65</v>
      </c>
      <c r="L18" s="395" t="s">
        <v>504</v>
      </c>
      <c r="M18" s="395" t="s">
        <v>505</v>
      </c>
    </row>
    <row r="19" spans="1:13" ht="114.75">
      <c r="A19" s="395">
        <v>18</v>
      </c>
      <c r="B19" s="395" t="s">
        <v>372</v>
      </c>
      <c r="C19" s="395" t="s">
        <v>506</v>
      </c>
      <c r="D19" s="395" t="s">
        <v>352</v>
      </c>
      <c r="E19" s="396">
        <v>933</v>
      </c>
      <c r="F19" s="396">
        <v>933</v>
      </c>
      <c r="G19" s="397">
        <v>1407600</v>
      </c>
      <c r="H19" s="395">
        <v>3.69</v>
      </c>
      <c r="I19" s="395">
        <v>0.5</v>
      </c>
      <c r="J19" s="395">
        <v>4.1900000000000004</v>
      </c>
      <c r="K19" s="395">
        <v>2.93</v>
      </c>
      <c r="L19" s="395" t="s">
        <v>507</v>
      </c>
      <c r="M19" s="395" t="s">
        <v>494</v>
      </c>
    </row>
    <row r="20" spans="1:13" ht="102">
      <c r="A20" s="395">
        <v>19</v>
      </c>
      <c r="B20" s="395" t="s">
        <v>373</v>
      </c>
      <c r="C20" s="395" t="s">
        <v>508</v>
      </c>
      <c r="D20" s="395" t="s">
        <v>352</v>
      </c>
      <c r="E20" s="396">
        <v>945</v>
      </c>
      <c r="F20" s="396">
        <v>945</v>
      </c>
      <c r="G20" s="397">
        <v>1342180</v>
      </c>
      <c r="H20" s="395">
        <v>4.13</v>
      </c>
      <c r="I20" s="395">
        <v>0.5</v>
      </c>
      <c r="J20" s="395">
        <v>4.6399999999999997</v>
      </c>
      <c r="K20" s="395">
        <v>3.25</v>
      </c>
      <c r="L20" s="395" t="s">
        <v>509</v>
      </c>
      <c r="M20" s="395" t="s">
        <v>510</v>
      </c>
    </row>
    <row r="21" spans="1:13" ht="76.5">
      <c r="A21" s="395">
        <v>20</v>
      </c>
      <c r="B21" s="395" t="s">
        <v>374</v>
      </c>
      <c r="C21" s="395" t="s">
        <v>511</v>
      </c>
      <c r="D21" s="395" t="s">
        <v>352</v>
      </c>
      <c r="E21" s="396">
        <v>501</v>
      </c>
      <c r="F21" s="396">
        <v>501</v>
      </c>
      <c r="G21" s="397">
        <v>772400</v>
      </c>
      <c r="H21" s="395">
        <v>1.98</v>
      </c>
      <c r="I21" s="395">
        <v>0.27</v>
      </c>
      <c r="J21" s="395">
        <v>2.2400000000000002</v>
      </c>
      <c r="K21" s="395">
        <v>1.57</v>
      </c>
      <c r="L21" s="395" t="s">
        <v>512</v>
      </c>
      <c r="M21" s="395" t="s">
        <v>513</v>
      </c>
    </row>
    <row r="22" spans="1:13" ht="89.25">
      <c r="A22" s="395">
        <v>21</v>
      </c>
      <c r="B22" s="395" t="s">
        <v>375</v>
      </c>
      <c r="C22" s="395" t="s">
        <v>514</v>
      </c>
      <c r="D22" s="395" t="s">
        <v>352</v>
      </c>
      <c r="E22" s="396">
        <v>752</v>
      </c>
      <c r="F22" s="396">
        <v>752</v>
      </c>
      <c r="G22" s="397">
        <v>1063200</v>
      </c>
      <c r="H22" s="395">
        <v>2.81</v>
      </c>
      <c r="I22" s="395">
        <v>0.4</v>
      </c>
      <c r="J22" s="395">
        <v>3.21</v>
      </c>
      <c r="K22" s="395">
        <v>2.25</v>
      </c>
      <c r="L22" s="395" t="s">
        <v>515</v>
      </c>
      <c r="M22" s="395" t="s">
        <v>516</v>
      </c>
    </row>
    <row r="23" spans="1:13" ht="51">
      <c r="A23" s="395">
        <v>22</v>
      </c>
      <c r="B23" s="395" t="s">
        <v>376</v>
      </c>
      <c r="C23" s="395" t="s">
        <v>517</v>
      </c>
      <c r="D23" s="395" t="s">
        <v>352</v>
      </c>
      <c r="E23" s="396">
        <v>800</v>
      </c>
      <c r="F23" s="396">
        <v>800</v>
      </c>
      <c r="G23" s="397">
        <v>1141600</v>
      </c>
      <c r="H23" s="395">
        <v>3.18</v>
      </c>
      <c r="I23" s="395">
        <v>0.43</v>
      </c>
      <c r="J23" s="395">
        <v>3.61</v>
      </c>
      <c r="K23" s="395">
        <v>2.5299999999999998</v>
      </c>
      <c r="L23" s="395" t="s">
        <v>518</v>
      </c>
      <c r="M23" s="395" t="s">
        <v>519</v>
      </c>
    </row>
    <row r="24" spans="1:13" ht="38.25">
      <c r="A24" s="395">
        <v>23</v>
      </c>
      <c r="B24" s="395" t="s">
        <v>378</v>
      </c>
      <c r="C24" s="395" t="s">
        <v>469</v>
      </c>
      <c r="D24" s="395" t="s">
        <v>355</v>
      </c>
      <c r="E24" s="396">
        <v>300</v>
      </c>
      <c r="F24" s="396">
        <v>300</v>
      </c>
      <c r="G24" s="397">
        <v>430700</v>
      </c>
      <c r="H24" s="395">
        <v>1.24</v>
      </c>
      <c r="I24" s="395">
        <v>0.16</v>
      </c>
      <c r="J24" s="395">
        <v>1.4</v>
      </c>
      <c r="K24" s="395">
        <v>0.98</v>
      </c>
      <c r="L24" s="395" t="s">
        <v>520</v>
      </c>
      <c r="M24" s="395" t="s">
        <v>521</v>
      </c>
    </row>
    <row r="25" spans="1:13" ht="51">
      <c r="A25" s="395">
        <v>24</v>
      </c>
      <c r="B25" s="395" t="s">
        <v>379</v>
      </c>
      <c r="C25" s="395" t="s">
        <v>522</v>
      </c>
      <c r="D25" s="395" t="s">
        <v>355</v>
      </c>
      <c r="E25" s="396">
        <v>480</v>
      </c>
      <c r="F25" s="396">
        <v>480</v>
      </c>
      <c r="G25" s="397">
        <v>701300</v>
      </c>
      <c r="H25" s="395">
        <v>1.85</v>
      </c>
      <c r="I25" s="395">
        <v>0.26</v>
      </c>
      <c r="J25" s="395">
        <v>2.11</v>
      </c>
      <c r="K25" s="395">
        <v>1.47</v>
      </c>
      <c r="L25" s="395" t="s">
        <v>523</v>
      </c>
      <c r="M25" s="395" t="s">
        <v>519</v>
      </c>
    </row>
    <row r="26" spans="1:13" ht="51">
      <c r="A26" s="395">
        <v>25</v>
      </c>
      <c r="B26" s="395" t="s">
        <v>524</v>
      </c>
      <c r="C26" s="395" t="s">
        <v>525</v>
      </c>
      <c r="D26" s="395" t="s">
        <v>355</v>
      </c>
      <c r="E26" s="396">
        <v>458</v>
      </c>
      <c r="F26" s="396">
        <v>458</v>
      </c>
      <c r="G26" s="397">
        <v>649600</v>
      </c>
      <c r="H26" s="395">
        <v>1.75</v>
      </c>
      <c r="I26" s="395">
        <v>0.24</v>
      </c>
      <c r="J26" s="395">
        <v>1.99</v>
      </c>
      <c r="K26" s="395">
        <v>1.4</v>
      </c>
      <c r="L26" s="395" t="s">
        <v>526</v>
      </c>
      <c r="M26" s="395" t="s">
        <v>519</v>
      </c>
    </row>
    <row r="27" spans="1:13" ht="51">
      <c r="A27" s="395">
        <v>26</v>
      </c>
      <c r="B27" s="395" t="s">
        <v>381</v>
      </c>
      <c r="C27" s="395" t="s">
        <v>527</v>
      </c>
      <c r="D27" s="395" t="s">
        <v>355</v>
      </c>
      <c r="E27" s="396">
        <v>430</v>
      </c>
      <c r="F27" s="396">
        <v>430</v>
      </c>
      <c r="G27" s="397">
        <v>647300</v>
      </c>
      <c r="H27" s="395">
        <v>1.65</v>
      </c>
      <c r="I27" s="395">
        <v>0.23</v>
      </c>
      <c r="J27" s="395">
        <v>1.88</v>
      </c>
      <c r="K27" s="395">
        <v>1.32</v>
      </c>
      <c r="L27" s="395" t="s">
        <v>528</v>
      </c>
      <c r="M27" s="395" t="s">
        <v>519</v>
      </c>
    </row>
    <row r="28" spans="1:13" ht="51">
      <c r="A28" s="395">
        <v>27</v>
      </c>
      <c r="B28" s="395" t="s">
        <v>382</v>
      </c>
      <c r="C28" s="395" t="s">
        <v>529</v>
      </c>
      <c r="D28" s="395" t="s">
        <v>355</v>
      </c>
      <c r="E28" s="396">
        <v>375</v>
      </c>
      <c r="F28" s="396">
        <v>375</v>
      </c>
      <c r="G28" s="397">
        <v>554700</v>
      </c>
      <c r="H28" s="395">
        <v>1.57</v>
      </c>
      <c r="I28" s="395">
        <v>0.2</v>
      </c>
      <c r="J28" s="395">
        <v>1.77</v>
      </c>
      <c r="K28" s="395">
        <v>1.24</v>
      </c>
      <c r="L28" s="395" t="s">
        <v>530</v>
      </c>
      <c r="M28" s="395" t="s">
        <v>519</v>
      </c>
    </row>
    <row r="29" spans="1:13" ht="51">
      <c r="A29" s="395">
        <v>28</v>
      </c>
      <c r="B29" s="395" t="s">
        <v>383</v>
      </c>
      <c r="C29" s="395" t="s">
        <v>531</v>
      </c>
      <c r="D29" s="395" t="s">
        <v>355</v>
      </c>
      <c r="E29" s="396">
        <v>347</v>
      </c>
      <c r="F29" s="396">
        <v>347</v>
      </c>
      <c r="G29" s="397">
        <v>481700</v>
      </c>
      <c r="H29" s="395">
        <v>1.63</v>
      </c>
      <c r="I29" s="395">
        <v>0.19</v>
      </c>
      <c r="J29" s="395">
        <v>1.81</v>
      </c>
      <c r="K29" s="395">
        <v>1.27</v>
      </c>
      <c r="L29" s="395" t="s">
        <v>532</v>
      </c>
      <c r="M29" s="395" t="s">
        <v>519</v>
      </c>
    </row>
    <row r="30" spans="1:13" ht="51">
      <c r="A30" s="395">
        <v>29</v>
      </c>
      <c r="B30" s="395" t="s">
        <v>384</v>
      </c>
      <c r="C30" s="395" t="s">
        <v>533</v>
      </c>
      <c r="D30" s="395" t="s">
        <v>355</v>
      </c>
      <c r="E30" s="396">
        <v>501</v>
      </c>
      <c r="F30" s="396">
        <v>502</v>
      </c>
      <c r="G30" s="397">
        <v>715400</v>
      </c>
      <c r="H30" s="395">
        <v>2.0499999999999998</v>
      </c>
      <c r="I30" s="395">
        <v>0.27</v>
      </c>
      <c r="J30" s="395">
        <v>2.3199999999999998</v>
      </c>
      <c r="K30" s="395">
        <v>1.63</v>
      </c>
      <c r="L30" s="395" t="s">
        <v>534</v>
      </c>
      <c r="M30" s="395" t="s">
        <v>519</v>
      </c>
    </row>
    <row r="31" spans="1:13" ht="51">
      <c r="A31" s="395">
        <v>30</v>
      </c>
      <c r="B31" s="395" t="s">
        <v>385</v>
      </c>
      <c r="C31" s="395" t="s">
        <v>535</v>
      </c>
      <c r="D31" s="395" t="s">
        <v>355</v>
      </c>
      <c r="E31" s="396">
        <v>249</v>
      </c>
      <c r="F31" s="396">
        <v>249</v>
      </c>
      <c r="G31" s="397">
        <v>370300</v>
      </c>
      <c r="H31" s="395">
        <v>1.05</v>
      </c>
      <c r="I31" s="395">
        <v>0.13</v>
      </c>
      <c r="J31" s="395">
        <v>1.19</v>
      </c>
      <c r="K31" s="395">
        <v>0.83</v>
      </c>
      <c r="L31" s="395" t="s">
        <v>536</v>
      </c>
      <c r="M31" s="395" t="s">
        <v>519</v>
      </c>
    </row>
    <row r="32" spans="1:13" ht="51">
      <c r="A32" s="395">
        <v>31</v>
      </c>
      <c r="B32" s="395" t="s">
        <v>386</v>
      </c>
      <c r="C32" s="395" t="s">
        <v>469</v>
      </c>
      <c r="D32" s="395" t="s">
        <v>355</v>
      </c>
      <c r="E32" s="396">
        <v>201</v>
      </c>
      <c r="F32" s="396">
        <v>201</v>
      </c>
      <c r="G32" s="397">
        <v>298700</v>
      </c>
      <c r="H32" s="395">
        <v>0.88</v>
      </c>
      <c r="I32" s="395">
        <v>0.11</v>
      </c>
      <c r="J32" s="395">
        <v>0.99</v>
      </c>
      <c r="K32" s="395">
        <v>0.69</v>
      </c>
      <c r="L32" s="395" t="s">
        <v>537</v>
      </c>
      <c r="M32" s="395" t="s">
        <v>519</v>
      </c>
    </row>
    <row r="33" spans="1:13" ht="51">
      <c r="A33" s="395">
        <v>32</v>
      </c>
      <c r="B33" s="395" t="s">
        <v>388</v>
      </c>
      <c r="C33" s="395" t="s">
        <v>538</v>
      </c>
      <c r="D33" s="395" t="s">
        <v>355</v>
      </c>
      <c r="E33" s="396">
        <v>312</v>
      </c>
      <c r="F33" s="396">
        <v>313</v>
      </c>
      <c r="G33" s="397">
        <v>458800</v>
      </c>
      <c r="H33" s="395">
        <v>1.24</v>
      </c>
      <c r="I33" s="395">
        <v>0.17</v>
      </c>
      <c r="J33" s="395">
        <v>1.41</v>
      </c>
      <c r="K33" s="395">
        <v>0.99</v>
      </c>
      <c r="L33" s="395" t="s">
        <v>539</v>
      </c>
      <c r="M33" s="395" t="s">
        <v>519</v>
      </c>
    </row>
    <row r="34" spans="1:13" ht="51">
      <c r="A34" s="395">
        <v>33</v>
      </c>
      <c r="B34" s="395" t="s">
        <v>389</v>
      </c>
      <c r="C34" s="395" t="s">
        <v>538</v>
      </c>
      <c r="D34" s="395" t="s">
        <v>355</v>
      </c>
      <c r="E34" s="396">
        <v>350</v>
      </c>
      <c r="F34" s="396">
        <v>350</v>
      </c>
      <c r="G34" s="397">
        <v>290400</v>
      </c>
      <c r="H34" s="395">
        <v>1.34</v>
      </c>
      <c r="I34" s="395">
        <v>0.19</v>
      </c>
      <c r="J34" s="395">
        <v>1.53</v>
      </c>
      <c r="K34" s="395">
        <v>1.07</v>
      </c>
      <c r="L34" s="395" t="s">
        <v>540</v>
      </c>
      <c r="M34" s="395" t="s">
        <v>519</v>
      </c>
    </row>
    <row r="35" spans="1:13" ht="51">
      <c r="A35" s="395">
        <v>34</v>
      </c>
      <c r="B35" s="395" t="s">
        <v>387</v>
      </c>
      <c r="C35" s="395" t="s">
        <v>538</v>
      </c>
      <c r="D35" s="395" t="s">
        <v>355</v>
      </c>
      <c r="E35" s="396">
        <v>201</v>
      </c>
      <c r="F35" s="396">
        <v>200</v>
      </c>
      <c r="G35" s="397">
        <v>517300</v>
      </c>
      <c r="H35" s="395">
        <v>0.79</v>
      </c>
      <c r="I35" s="395">
        <v>0.11</v>
      </c>
      <c r="J35" s="395">
        <v>0.89</v>
      </c>
      <c r="K35" s="395">
        <v>0.63</v>
      </c>
      <c r="L35" s="395" t="s">
        <v>541</v>
      </c>
      <c r="M35" s="395" t="s">
        <v>519</v>
      </c>
    </row>
    <row r="36" spans="1:13" ht="51">
      <c r="A36" s="395">
        <v>35</v>
      </c>
      <c r="B36" s="395" t="s">
        <v>390</v>
      </c>
      <c r="C36" s="395" t="s">
        <v>542</v>
      </c>
      <c r="D36" s="395" t="s">
        <v>355</v>
      </c>
      <c r="E36" s="396">
        <v>911</v>
      </c>
      <c r="F36" s="396">
        <v>911</v>
      </c>
      <c r="G36" s="397">
        <v>1350800</v>
      </c>
      <c r="H36" s="395">
        <v>3.51</v>
      </c>
      <c r="I36" s="395">
        <v>0.49</v>
      </c>
      <c r="J36" s="395">
        <v>4</v>
      </c>
      <c r="K36" s="395">
        <v>2.8</v>
      </c>
      <c r="L36" s="395" t="s">
        <v>543</v>
      </c>
      <c r="M36" s="395" t="s">
        <v>519</v>
      </c>
    </row>
    <row r="37" spans="1:13">
      <c r="A37" s="395"/>
      <c r="B37" s="395"/>
      <c r="C37" s="395"/>
      <c r="D37" s="395"/>
      <c r="E37" s="396"/>
      <c r="F37" s="396"/>
      <c r="G37" s="395"/>
      <c r="H37" s="395"/>
      <c r="I37" s="395"/>
      <c r="J37" s="395"/>
      <c r="K37" s="395"/>
      <c r="L37" s="395"/>
      <c r="M37" s="395"/>
    </row>
    <row r="38" spans="1:13">
      <c r="A38" s="395"/>
      <c r="B38" s="395"/>
      <c r="C38" s="395"/>
      <c r="D38" s="395"/>
      <c r="E38" s="396">
        <v>19797</v>
      </c>
      <c r="F38" s="396">
        <v>19997</v>
      </c>
      <c r="G38" s="397">
        <v>28703670</v>
      </c>
      <c r="H38" s="395">
        <v>78.739999999999995</v>
      </c>
      <c r="I38" s="395">
        <v>10.58</v>
      </c>
      <c r="J38" s="395">
        <v>89.32</v>
      </c>
      <c r="K38" s="395">
        <v>62.53</v>
      </c>
      <c r="L38" s="395" t="s">
        <v>544</v>
      </c>
      <c r="M38" s="395"/>
    </row>
    <row r="39" spans="1:13">
      <c r="A39" s="398"/>
      <c r="B39" s="398"/>
      <c r="C39" s="398"/>
      <c r="D39" s="398"/>
      <c r="E39" s="398"/>
      <c r="F39" s="398"/>
      <c r="G39" s="398"/>
      <c r="H39" s="398"/>
      <c r="I39" s="398"/>
      <c r="J39" s="398"/>
      <c r="K39" s="398"/>
      <c r="L39" s="398"/>
      <c r="M39" s="398"/>
    </row>
    <row r="40" spans="1:13">
      <c r="A40" s="398"/>
      <c r="B40" s="398"/>
      <c r="C40" s="398"/>
      <c r="D40" s="398"/>
      <c r="E40" s="398"/>
      <c r="F40" s="398"/>
      <c r="G40" s="398"/>
      <c r="H40" s="398"/>
      <c r="I40" s="398"/>
      <c r="J40" s="398"/>
      <c r="K40" s="398"/>
      <c r="L40" s="398"/>
      <c r="M40" s="398"/>
    </row>
    <row r="41" spans="1:13">
      <c r="A41" s="398"/>
      <c r="B41" s="398"/>
      <c r="C41" s="398"/>
      <c r="D41" s="398"/>
      <c r="E41" s="398"/>
      <c r="F41" s="398"/>
      <c r="G41" s="398"/>
      <c r="H41" s="398"/>
      <c r="I41" s="398"/>
      <c r="J41" s="398"/>
      <c r="K41" s="398"/>
      <c r="L41" s="398"/>
      <c r="M41" s="398"/>
    </row>
    <row r="42" spans="1:13">
      <c r="A42" s="398"/>
      <c r="B42" s="398"/>
      <c r="C42" s="398"/>
      <c r="D42" s="398"/>
      <c r="E42" s="398"/>
      <c r="F42" s="398"/>
      <c r="G42" s="398"/>
      <c r="H42" s="398"/>
      <c r="I42" s="398"/>
      <c r="J42" s="398"/>
      <c r="K42" s="398"/>
      <c r="L42" s="398"/>
      <c r="M42" s="398"/>
    </row>
    <row r="43" spans="1:13">
      <c r="A43" s="398"/>
      <c r="B43" s="398"/>
      <c r="C43" s="398"/>
      <c r="D43" s="398"/>
      <c r="E43" s="398"/>
      <c r="F43" s="398"/>
      <c r="G43" s="398"/>
      <c r="H43" s="398"/>
      <c r="I43" s="398"/>
      <c r="J43" s="398"/>
      <c r="K43" s="398"/>
      <c r="L43" s="398"/>
      <c r="M43" s="398"/>
    </row>
    <row r="44" spans="1:13">
      <c r="A44" s="398"/>
      <c r="B44" s="398"/>
      <c r="C44" s="398"/>
      <c r="D44" s="398"/>
      <c r="E44" s="398"/>
      <c r="F44" s="398"/>
      <c r="G44" s="398"/>
      <c r="H44" s="398"/>
      <c r="I44" s="398"/>
      <c r="J44" s="398"/>
      <c r="K44" s="398"/>
      <c r="L44" s="398"/>
      <c r="M44" s="398"/>
    </row>
    <row r="45" spans="1:13">
      <c r="A45" s="398"/>
      <c r="B45" s="398"/>
      <c r="C45" s="398"/>
      <c r="D45" s="398"/>
      <c r="E45" s="398"/>
      <c r="F45" s="398"/>
      <c r="G45" s="398"/>
      <c r="H45" s="398"/>
      <c r="I45" s="398"/>
      <c r="J45" s="398"/>
      <c r="K45" s="398"/>
      <c r="L45" s="398"/>
      <c r="M45" s="398"/>
    </row>
    <row r="46" spans="1:13">
      <c r="A46" s="398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</row>
    <row r="47" spans="1:13">
      <c r="A47" s="398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</row>
    <row r="48" spans="1:13">
      <c r="A48" s="398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</row>
    <row r="49" spans="1:13">
      <c r="A49" s="398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</row>
    <row r="50" spans="1:13">
      <c r="A50" s="398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</row>
    <row r="51" spans="1:13">
      <c r="A51" s="398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</row>
    <row r="52" spans="1:13">
      <c r="A52" s="398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</row>
    <row r="53" spans="1:13">
      <c r="A53" s="398"/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</row>
    <row r="54" spans="1:13">
      <c r="A54" s="398"/>
      <c r="B54" s="398"/>
      <c r="C54" s="398"/>
      <c r="D54" s="398"/>
      <c r="E54" s="398"/>
      <c r="F54" s="398"/>
      <c r="G54" s="398"/>
      <c r="H54" s="398"/>
      <c r="I54" s="398"/>
      <c r="J54" s="398"/>
      <c r="K54" s="398"/>
      <c r="L54" s="398"/>
      <c r="M54" s="398"/>
    </row>
    <row r="55" spans="1:13">
      <c r="A55" s="398"/>
      <c r="B55" s="398"/>
      <c r="C55" s="398"/>
      <c r="D55" s="398"/>
      <c r="E55" s="398"/>
      <c r="F55" s="398"/>
      <c r="G55" s="398"/>
      <c r="H55" s="398"/>
      <c r="I55" s="398"/>
      <c r="J55" s="398"/>
      <c r="K55" s="398"/>
      <c r="L55" s="398"/>
      <c r="M55" s="398"/>
    </row>
    <row r="56" spans="1:13">
      <c r="A56" s="398"/>
      <c r="B56" s="398"/>
      <c r="C56" s="398"/>
      <c r="D56" s="398"/>
      <c r="E56" s="398"/>
      <c r="F56" s="398"/>
      <c r="G56" s="398"/>
      <c r="H56" s="398"/>
      <c r="I56" s="398"/>
      <c r="J56" s="398"/>
      <c r="K56" s="398"/>
      <c r="L56" s="398"/>
      <c r="M56" s="398"/>
    </row>
    <row r="57" spans="1:13">
      <c r="A57" s="398"/>
      <c r="B57" s="398"/>
      <c r="C57" s="398"/>
      <c r="D57" s="398"/>
      <c r="E57" s="398"/>
      <c r="F57" s="398"/>
      <c r="G57" s="398"/>
      <c r="H57" s="398"/>
      <c r="I57" s="398"/>
      <c r="J57" s="398"/>
      <c r="K57" s="398"/>
      <c r="L57" s="398"/>
      <c r="M57" s="398"/>
    </row>
    <row r="58" spans="1:13">
      <c r="A58" s="398"/>
      <c r="B58" s="398"/>
      <c r="C58" s="398"/>
      <c r="D58" s="398"/>
      <c r="E58" s="398"/>
      <c r="F58" s="398"/>
      <c r="G58" s="398"/>
      <c r="H58" s="398"/>
      <c r="I58" s="398"/>
      <c r="J58" s="398"/>
      <c r="K58" s="398"/>
      <c r="L58" s="398"/>
      <c r="M58" s="398"/>
    </row>
    <row r="59" spans="1:13">
      <c r="A59" s="398"/>
      <c r="B59" s="398"/>
      <c r="C59" s="398"/>
      <c r="D59" s="398"/>
      <c r="E59" s="398"/>
      <c r="F59" s="398"/>
      <c r="G59" s="398"/>
      <c r="H59" s="398"/>
      <c r="I59" s="398"/>
      <c r="J59" s="398"/>
      <c r="K59" s="398"/>
      <c r="L59" s="398"/>
      <c r="M59" s="398"/>
    </row>
    <row r="60" spans="1:13">
      <c r="A60" s="398"/>
      <c r="B60" s="398"/>
      <c r="C60" s="398"/>
      <c r="D60" s="398"/>
      <c r="E60" s="398"/>
      <c r="F60" s="398"/>
      <c r="G60" s="398"/>
      <c r="H60" s="398"/>
      <c r="I60" s="398"/>
      <c r="J60" s="398"/>
      <c r="K60" s="398"/>
      <c r="L60" s="398"/>
      <c r="M60" s="398"/>
    </row>
    <row r="61" spans="1:13">
      <c r="A61" s="398"/>
      <c r="B61" s="398"/>
      <c r="C61" s="398"/>
      <c r="D61" s="398"/>
      <c r="E61" s="398"/>
      <c r="F61" s="398"/>
      <c r="G61" s="398"/>
      <c r="H61" s="398"/>
      <c r="I61" s="398"/>
      <c r="J61" s="398"/>
      <c r="K61" s="398"/>
      <c r="L61" s="398"/>
      <c r="M61" s="398"/>
    </row>
    <row r="62" spans="1:13">
      <c r="A62" s="398"/>
      <c r="B62" s="398"/>
      <c r="C62" s="398"/>
      <c r="D62" s="398"/>
      <c r="E62" s="398"/>
      <c r="F62" s="398"/>
      <c r="G62" s="398"/>
      <c r="H62" s="398"/>
      <c r="I62" s="398"/>
      <c r="J62" s="398"/>
      <c r="K62" s="398"/>
      <c r="L62" s="398"/>
      <c r="M62" s="398"/>
    </row>
    <row r="63" spans="1:13">
      <c r="A63" s="398"/>
      <c r="B63" s="398"/>
      <c r="C63" s="398"/>
      <c r="D63" s="398"/>
      <c r="E63" s="398"/>
      <c r="F63" s="398"/>
      <c r="G63" s="398"/>
      <c r="H63" s="398"/>
      <c r="I63" s="398"/>
      <c r="J63" s="398"/>
      <c r="K63" s="398"/>
      <c r="L63" s="398"/>
      <c r="M63" s="398"/>
    </row>
    <row r="64" spans="1:13">
      <c r="A64" s="398"/>
      <c r="B64" s="398"/>
      <c r="C64" s="398"/>
      <c r="D64" s="398"/>
      <c r="E64" s="398"/>
      <c r="F64" s="398"/>
      <c r="G64" s="398"/>
      <c r="H64" s="398"/>
      <c r="I64" s="398"/>
      <c r="J64" s="398"/>
      <c r="K64" s="398"/>
      <c r="L64" s="398"/>
      <c r="M64" s="398"/>
    </row>
    <row r="65" spans="1:13">
      <c r="A65" s="398"/>
      <c r="B65" s="398"/>
      <c r="C65" s="398"/>
      <c r="D65" s="398"/>
      <c r="E65" s="398"/>
      <c r="F65" s="398"/>
      <c r="G65" s="398"/>
      <c r="H65" s="398"/>
      <c r="I65" s="398"/>
      <c r="J65" s="398"/>
      <c r="K65" s="398"/>
      <c r="L65" s="398"/>
      <c r="M65" s="398"/>
    </row>
    <row r="66" spans="1:13">
      <c r="A66" s="398"/>
      <c r="B66" s="398"/>
      <c r="C66" s="398"/>
      <c r="D66" s="398"/>
      <c r="E66" s="398"/>
      <c r="F66" s="398"/>
      <c r="G66" s="398"/>
      <c r="H66" s="398"/>
      <c r="I66" s="398"/>
      <c r="J66" s="398"/>
      <c r="K66" s="398"/>
      <c r="L66" s="398"/>
      <c r="M66" s="398"/>
    </row>
    <row r="67" spans="1:13">
      <c r="A67" s="398"/>
      <c r="B67" s="398"/>
      <c r="C67" s="398"/>
      <c r="D67" s="398"/>
      <c r="E67" s="398"/>
      <c r="F67" s="398"/>
      <c r="G67" s="398"/>
      <c r="H67" s="398"/>
      <c r="I67" s="398"/>
      <c r="J67" s="398"/>
      <c r="K67" s="398"/>
      <c r="L67" s="398"/>
      <c r="M67" s="398"/>
    </row>
    <row r="68" spans="1:13">
      <c r="A68" s="398"/>
      <c r="B68" s="398"/>
      <c r="C68" s="398"/>
      <c r="D68" s="398"/>
      <c r="E68" s="398"/>
      <c r="F68" s="398"/>
      <c r="G68" s="398"/>
      <c r="H68" s="398"/>
      <c r="I68" s="398"/>
      <c r="J68" s="398"/>
      <c r="K68" s="398"/>
      <c r="L68" s="398"/>
      <c r="M68" s="398"/>
    </row>
    <row r="69" spans="1:13">
      <c r="A69" s="398"/>
      <c r="B69" s="398"/>
      <c r="C69" s="398"/>
      <c r="D69" s="398"/>
      <c r="E69" s="398"/>
      <c r="F69" s="398"/>
      <c r="G69" s="398"/>
      <c r="H69" s="398"/>
      <c r="I69" s="398"/>
      <c r="J69" s="398"/>
      <c r="K69" s="398"/>
      <c r="L69" s="398"/>
      <c r="M69" s="398"/>
    </row>
    <row r="70" spans="1:13">
      <c r="A70" s="398"/>
      <c r="B70" s="398"/>
      <c r="C70" s="398"/>
      <c r="D70" s="398"/>
      <c r="E70" s="398"/>
      <c r="F70" s="398"/>
      <c r="G70" s="398"/>
      <c r="H70" s="398"/>
      <c r="I70" s="398"/>
      <c r="J70" s="398"/>
      <c r="K70" s="398"/>
      <c r="L70" s="398"/>
      <c r="M70" s="398"/>
    </row>
    <row r="71" spans="1:13">
      <c r="A71" s="398"/>
      <c r="B71" s="398"/>
      <c r="C71" s="398"/>
      <c r="D71" s="398"/>
      <c r="E71" s="398"/>
      <c r="F71" s="398"/>
      <c r="G71" s="398"/>
      <c r="H71" s="398"/>
      <c r="I71" s="398"/>
      <c r="J71" s="398"/>
      <c r="K71" s="398"/>
      <c r="L71" s="398"/>
      <c r="M71" s="398"/>
    </row>
    <row r="72" spans="1:13">
      <c r="A72" s="398"/>
      <c r="B72" s="398"/>
      <c r="C72" s="398"/>
      <c r="D72" s="398"/>
      <c r="E72" s="398"/>
      <c r="F72" s="398"/>
      <c r="G72" s="398"/>
      <c r="H72" s="398"/>
      <c r="I72" s="398"/>
      <c r="J72" s="398"/>
      <c r="K72" s="398"/>
      <c r="L72" s="398"/>
      <c r="M72" s="398"/>
    </row>
    <row r="73" spans="1:13">
      <c r="A73" s="398"/>
      <c r="B73" s="398"/>
      <c r="C73" s="398"/>
      <c r="D73" s="398"/>
      <c r="E73" s="398"/>
      <c r="F73" s="398"/>
      <c r="G73" s="398"/>
      <c r="H73" s="398"/>
      <c r="I73" s="398"/>
      <c r="J73" s="398"/>
      <c r="K73" s="398"/>
      <c r="L73" s="398"/>
      <c r="M73" s="398"/>
    </row>
    <row r="74" spans="1:13">
      <c r="A74" s="398"/>
      <c r="B74" s="398"/>
      <c r="C74" s="398"/>
      <c r="D74" s="398"/>
      <c r="E74" s="398"/>
      <c r="F74" s="398"/>
      <c r="G74" s="398"/>
      <c r="H74" s="398"/>
      <c r="I74" s="398"/>
      <c r="J74" s="398"/>
      <c r="K74" s="398"/>
      <c r="L74" s="398"/>
      <c r="M74" s="398"/>
    </row>
    <row r="75" spans="1:13">
      <c r="A75" s="398"/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</row>
    <row r="76" spans="1:13">
      <c r="A76" s="398"/>
      <c r="B76" s="398"/>
      <c r="C76" s="398"/>
      <c r="D76" s="398"/>
      <c r="E76" s="398"/>
      <c r="F76" s="398"/>
      <c r="G76" s="398"/>
      <c r="H76" s="398"/>
      <c r="I76" s="398"/>
      <c r="J76" s="398"/>
      <c r="K76" s="398"/>
      <c r="L76" s="398"/>
      <c r="M76" s="398"/>
    </row>
    <row r="77" spans="1:13">
      <c r="A77" s="398"/>
      <c r="B77" s="398"/>
      <c r="C77" s="398"/>
      <c r="D77" s="398"/>
      <c r="E77" s="398"/>
      <c r="F77" s="398"/>
      <c r="G77" s="398"/>
      <c r="H77" s="398"/>
      <c r="I77" s="398"/>
      <c r="J77" s="398"/>
      <c r="K77" s="398"/>
      <c r="L77" s="398"/>
      <c r="M77" s="398"/>
    </row>
    <row r="78" spans="1:13">
      <c r="A78" s="398"/>
      <c r="B78" s="398"/>
      <c r="C78" s="398"/>
      <c r="D78" s="398"/>
      <c r="E78" s="398"/>
      <c r="F78" s="398"/>
      <c r="G78" s="398"/>
      <c r="H78" s="398"/>
      <c r="I78" s="398"/>
      <c r="J78" s="398"/>
      <c r="K78" s="398"/>
      <c r="L78" s="398"/>
      <c r="M78" s="398"/>
    </row>
    <row r="79" spans="1:13">
      <c r="A79" s="398"/>
      <c r="B79" s="398"/>
      <c r="C79" s="398"/>
      <c r="D79" s="398"/>
      <c r="E79" s="398"/>
      <c r="F79" s="398"/>
      <c r="G79" s="398"/>
      <c r="H79" s="398"/>
      <c r="I79" s="398"/>
      <c r="J79" s="398"/>
      <c r="K79" s="398"/>
      <c r="L79" s="398"/>
      <c r="M79" s="398"/>
    </row>
    <row r="80" spans="1:13">
      <c r="A80" s="398"/>
      <c r="B80" s="398"/>
      <c r="C80" s="398"/>
      <c r="D80" s="398"/>
      <c r="E80" s="398"/>
      <c r="F80" s="398"/>
      <c r="G80" s="398"/>
      <c r="H80" s="398"/>
      <c r="I80" s="398"/>
      <c r="J80" s="398"/>
      <c r="K80" s="398"/>
      <c r="L80" s="398"/>
      <c r="M80" s="398"/>
    </row>
    <row r="81" spans="1:13">
      <c r="A81" s="398"/>
      <c r="B81" s="398"/>
      <c r="C81" s="398"/>
      <c r="D81" s="398"/>
      <c r="E81" s="398"/>
      <c r="F81" s="398"/>
      <c r="G81" s="398"/>
      <c r="H81" s="398"/>
      <c r="I81" s="398"/>
      <c r="J81" s="398"/>
      <c r="K81" s="398"/>
      <c r="L81" s="398"/>
      <c r="M81" s="398"/>
    </row>
    <row r="82" spans="1:13">
      <c r="A82" s="398"/>
      <c r="B82" s="398"/>
      <c r="C82" s="398"/>
      <c r="D82" s="398"/>
      <c r="E82" s="398"/>
      <c r="F82" s="398"/>
      <c r="G82" s="398"/>
      <c r="H82" s="398"/>
      <c r="I82" s="398"/>
      <c r="J82" s="398"/>
      <c r="K82" s="398"/>
      <c r="L82" s="398"/>
      <c r="M82" s="398"/>
    </row>
    <row r="83" spans="1:13">
      <c r="A83" s="398"/>
      <c r="B83" s="398"/>
      <c r="C83" s="398"/>
      <c r="D83" s="398"/>
      <c r="E83" s="398"/>
      <c r="F83" s="398"/>
      <c r="G83" s="398"/>
      <c r="H83" s="398"/>
      <c r="I83" s="398"/>
      <c r="J83" s="398"/>
      <c r="K83" s="398"/>
      <c r="L83" s="398"/>
      <c r="M83" s="398"/>
    </row>
    <row r="84" spans="1:13">
      <c r="A84" s="398"/>
      <c r="B84" s="398"/>
      <c r="C84" s="398"/>
      <c r="D84" s="398"/>
      <c r="E84" s="398"/>
      <c r="F84" s="398"/>
      <c r="G84" s="398"/>
      <c r="H84" s="398"/>
      <c r="I84" s="398"/>
      <c r="J84" s="398"/>
      <c r="K84" s="398"/>
      <c r="L84" s="398"/>
      <c r="M84" s="398"/>
    </row>
    <row r="85" spans="1:13">
      <c r="A85" s="398"/>
      <c r="B85" s="398"/>
      <c r="C85" s="398"/>
      <c r="D85" s="398"/>
      <c r="E85" s="398"/>
      <c r="F85" s="398"/>
      <c r="G85" s="398"/>
      <c r="H85" s="398"/>
      <c r="I85" s="398"/>
      <c r="J85" s="398"/>
      <c r="K85" s="398"/>
      <c r="L85" s="398"/>
      <c r="M85" s="398"/>
    </row>
    <row r="86" spans="1:13">
      <c r="A86" s="398"/>
      <c r="B86" s="398"/>
      <c r="C86" s="398"/>
      <c r="D86" s="398"/>
      <c r="E86" s="398"/>
      <c r="F86" s="398"/>
      <c r="G86" s="398"/>
      <c r="H86" s="398"/>
      <c r="I86" s="398"/>
      <c r="J86" s="398"/>
      <c r="K86" s="398"/>
      <c r="L86" s="398"/>
      <c r="M86" s="398"/>
    </row>
    <row r="87" spans="1:13">
      <c r="A87" s="398"/>
      <c r="B87" s="398"/>
      <c r="C87" s="398"/>
      <c r="D87" s="398"/>
      <c r="E87" s="398"/>
      <c r="F87" s="398"/>
      <c r="G87" s="398"/>
      <c r="H87" s="398"/>
      <c r="I87" s="398"/>
      <c r="J87" s="398"/>
      <c r="K87" s="398"/>
      <c r="L87" s="398"/>
      <c r="M87" s="398"/>
    </row>
    <row r="88" spans="1:13">
      <c r="A88" s="398"/>
      <c r="B88" s="398"/>
      <c r="C88" s="398"/>
      <c r="D88" s="398"/>
      <c r="E88" s="398"/>
      <c r="F88" s="398"/>
      <c r="G88" s="398"/>
      <c r="H88" s="398"/>
      <c r="I88" s="398"/>
      <c r="J88" s="398"/>
      <c r="K88" s="398"/>
      <c r="L88" s="398"/>
      <c r="M88" s="398"/>
    </row>
    <row r="89" spans="1:13">
      <c r="A89" s="398"/>
      <c r="B89" s="398"/>
      <c r="C89" s="398"/>
      <c r="D89" s="398"/>
      <c r="E89" s="398"/>
      <c r="F89" s="398"/>
      <c r="G89" s="398"/>
      <c r="H89" s="398"/>
      <c r="I89" s="398"/>
      <c r="J89" s="398"/>
      <c r="K89" s="398"/>
      <c r="L89" s="398"/>
      <c r="M89" s="398"/>
    </row>
    <row r="90" spans="1:13">
      <c r="A90" s="398"/>
      <c r="B90" s="398"/>
      <c r="C90" s="398"/>
      <c r="D90" s="398"/>
      <c r="E90" s="398"/>
      <c r="F90" s="398"/>
      <c r="G90" s="398"/>
      <c r="H90" s="398"/>
      <c r="I90" s="398"/>
      <c r="J90" s="398"/>
      <c r="K90" s="398"/>
      <c r="L90" s="398"/>
      <c r="M90" s="398"/>
    </row>
    <row r="91" spans="1:13">
      <c r="A91" s="398"/>
      <c r="B91" s="398"/>
      <c r="C91" s="398"/>
      <c r="D91" s="398"/>
      <c r="E91" s="398"/>
      <c r="F91" s="398"/>
      <c r="G91" s="398"/>
      <c r="H91" s="398"/>
      <c r="I91" s="398"/>
      <c r="J91" s="398"/>
      <c r="K91" s="398"/>
      <c r="L91" s="398"/>
      <c r="M91" s="398"/>
    </row>
    <row r="92" spans="1:13">
      <c r="A92" s="398"/>
      <c r="B92" s="398"/>
      <c r="C92" s="398"/>
      <c r="D92" s="398"/>
      <c r="E92" s="398"/>
      <c r="F92" s="398"/>
      <c r="G92" s="398"/>
      <c r="H92" s="398"/>
      <c r="I92" s="398"/>
      <c r="J92" s="398"/>
      <c r="K92" s="398"/>
      <c r="L92" s="398"/>
      <c r="M92" s="398"/>
    </row>
    <row r="93" spans="1:13">
      <c r="A93" s="398"/>
      <c r="B93" s="398"/>
      <c r="C93" s="398"/>
      <c r="D93" s="398"/>
      <c r="E93" s="398"/>
      <c r="F93" s="398"/>
      <c r="G93" s="398"/>
      <c r="H93" s="398"/>
      <c r="I93" s="398"/>
      <c r="J93" s="398"/>
      <c r="K93" s="398"/>
      <c r="L93" s="398"/>
      <c r="M93" s="398"/>
    </row>
    <row r="94" spans="1:13">
      <c r="A94" s="398"/>
      <c r="B94" s="398"/>
      <c r="C94" s="398"/>
      <c r="D94" s="398"/>
      <c r="E94" s="398"/>
      <c r="F94" s="398"/>
      <c r="G94" s="398"/>
      <c r="H94" s="398"/>
      <c r="I94" s="398"/>
      <c r="J94" s="398"/>
      <c r="K94" s="398"/>
      <c r="L94" s="398"/>
      <c r="M94" s="398"/>
    </row>
    <row r="95" spans="1:13">
      <c r="A95" s="398"/>
      <c r="B95" s="398"/>
      <c r="C95" s="398"/>
      <c r="D95" s="398"/>
      <c r="E95" s="398"/>
      <c r="F95" s="398"/>
      <c r="G95" s="398"/>
      <c r="H95" s="398"/>
      <c r="I95" s="398"/>
      <c r="J95" s="398"/>
      <c r="K95" s="398"/>
      <c r="L95" s="398"/>
      <c r="M95" s="398"/>
    </row>
    <row r="96" spans="1:13">
      <c r="A96" s="398"/>
      <c r="B96" s="398"/>
      <c r="C96" s="398"/>
      <c r="D96" s="398"/>
      <c r="E96" s="398"/>
      <c r="F96" s="398"/>
      <c r="G96" s="398"/>
      <c r="H96" s="398"/>
      <c r="I96" s="398"/>
      <c r="J96" s="398"/>
      <c r="K96" s="398"/>
      <c r="L96" s="398"/>
      <c r="M96" s="398"/>
    </row>
    <row r="97" spans="1:13">
      <c r="A97" s="398"/>
      <c r="B97" s="398"/>
      <c r="C97" s="398"/>
      <c r="D97" s="398"/>
      <c r="E97" s="398"/>
      <c r="F97" s="398"/>
      <c r="G97" s="398"/>
      <c r="H97" s="398"/>
      <c r="I97" s="398"/>
      <c r="J97" s="398"/>
      <c r="K97" s="398"/>
      <c r="L97" s="398"/>
      <c r="M97" s="398"/>
    </row>
    <row r="98" spans="1:13">
      <c r="A98" s="398"/>
      <c r="B98" s="398"/>
      <c r="C98" s="398"/>
      <c r="D98" s="398"/>
      <c r="E98" s="398"/>
      <c r="F98" s="398"/>
      <c r="G98" s="398"/>
      <c r="H98" s="398"/>
      <c r="I98" s="398"/>
      <c r="J98" s="398"/>
      <c r="K98" s="398"/>
      <c r="L98" s="398"/>
      <c r="M98" s="398"/>
    </row>
    <row r="99" spans="1:13">
      <c r="A99" s="398"/>
      <c r="B99" s="398"/>
      <c r="C99" s="398"/>
      <c r="D99" s="398"/>
      <c r="E99" s="398"/>
      <c r="F99" s="398"/>
      <c r="G99" s="398"/>
      <c r="H99" s="398"/>
      <c r="I99" s="398"/>
      <c r="J99" s="398"/>
      <c r="K99" s="398"/>
      <c r="L99" s="398"/>
      <c r="M99" s="398"/>
    </row>
    <row r="100" spans="1:13">
      <c r="A100" s="398"/>
      <c r="B100" s="398"/>
      <c r="C100" s="398"/>
      <c r="D100" s="398"/>
      <c r="E100" s="398"/>
      <c r="F100" s="398"/>
      <c r="G100" s="398"/>
      <c r="H100" s="398"/>
      <c r="I100" s="398"/>
      <c r="J100" s="398"/>
      <c r="K100" s="398"/>
      <c r="L100" s="398"/>
      <c r="M100" s="398"/>
    </row>
    <row r="101" spans="1:13">
      <c r="A101" s="398"/>
      <c r="B101" s="398"/>
      <c r="C101" s="398"/>
      <c r="D101" s="398"/>
      <c r="E101" s="398"/>
      <c r="F101" s="398"/>
      <c r="G101" s="398"/>
      <c r="H101" s="398"/>
      <c r="I101" s="398"/>
      <c r="J101" s="398"/>
      <c r="K101" s="398"/>
      <c r="L101" s="398"/>
      <c r="M101" s="398"/>
    </row>
    <row r="102" spans="1:13">
      <c r="A102" s="398"/>
      <c r="B102" s="398"/>
      <c r="C102" s="398"/>
      <c r="D102" s="398"/>
      <c r="E102" s="398"/>
      <c r="F102" s="398"/>
      <c r="G102" s="398"/>
      <c r="H102" s="398"/>
      <c r="I102" s="398"/>
      <c r="J102" s="398"/>
      <c r="K102" s="398"/>
      <c r="L102" s="398"/>
      <c r="M102" s="398"/>
    </row>
    <row r="103" spans="1:13">
      <c r="A103" s="398"/>
      <c r="B103" s="398"/>
      <c r="C103" s="398"/>
      <c r="D103" s="398"/>
      <c r="E103" s="398"/>
      <c r="F103" s="398"/>
      <c r="G103" s="398"/>
      <c r="H103" s="398"/>
      <c r="I103" s="398"/>
      <c r="J103" s="398"/>
      <c r="K103" s="398"/>
      <c r="L103" s="398"/>
      <c r="M103" s="398"/>
    </row>
    <row r="104" spans="1:13">
      <c r="A104" s="398"/>
      <c r="B104" s="398"/>
      <c r="C104" s="398"/>
      <c r="D104" s="398"/>
      <c r="E104" s="398"/>
      <c r="F104" s="398"/>
      <c r="G104" s="398"/>
      <c r="H104" s="398"/>
      <c r="I104" s="398"/>
      <c r="J104" s="398"/>
      <c r="K104" s="398"/>
      <c r="L104" s="398"/>
      <c r="M104" s="398"/>
    </row>
    <row r="105" spans="1:13">
      <c r="A105" s="398"/>
      <c r="B105" s="398"/>
      <c r="C105" s="398"/>
      <c r="D105" s="398"/>
      <c r="E105" s="398"/>
      <c r="F105" s="398"/>
      <c r="G105" s="398"/>
      <c r="H105" s="398"/>
      <c r="I105" s="398"/>
      <c r="J105" s="398"/>
      <c r="K105" s="398"/>
      <c r="L105" s="398"/>
      <c r="M105" s="398"/>
    </row>
    <row r="106" spans="1:13">
      <c r="A106" s="398"/>
      <c r="B106" s="398"/>
      <c r="C106" s="398"/>
      <c r="D106" s="398"/>
      <c r="E106" s="398"/>
      <c r="F106" s="398"/>
      <c r="G106" s="398"/>
      <c r="H106" s="398"/>
      <c r="I106" s="398"/>
      <c r="J106" s="398"/>
      <c r="K106" s="398"/>
      <c r="L106" s="398"/>
      <c r="M106" s="398"/>
    </row>
    <row r="107" spans="1:13">
      <c r="A107" s="398"/>
      <c r="B107" s="398"/>
      <c r="C107" s="398"/>
      <c r="D107" s="398"/>
      <c r="E107" s="398"/>
      <c r="F107" s="398"/>
      <c r="G107" s="398"/>
      <c r="H107" s="398"/>
      <c r="I107" s="398"/>
      <c r="J107" s="398"/>
      <c r="K107" s="398"/>
      <c r="L107" s="398"/>
      <c r="M107" s="398"/>
    </row>
    <row r="108" spans="1:13">
      <c r="A108" s="398"/>
      <c r="B108" s="398"/>
      <c r="C108" s="398"/>
      <c r="D108" s="398"/>
      <c r="E108" s="398"/>
      <c r="F108" s="398"/>
      <c r="G108" s="398"/>
      <c r="H108" s="398"/>
      <c r="I108" s="398"/>
      <c r="J108" s="398"/>
      <c r="K108" s="398"/>
      <c r="L108" s="398"/>
      <c r="M108" s="398"/>
    </row>
    <row r="109" spans="1:13">
      <c r="A109" s="398"/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</row>
    <row r="110" spans="1:13">
      <c r="A110" s="398"/>
      <c r="B110" s="398"/>
      <c r="C110" s="398"/>
      <c r="D110" s="398"/>
      <c r="E110" s="398"/>
      <c r="F110" s="398"/>
      <c r="G110" s="398"/>
      <c r="H110" s="398"/>
      <c r="I110" s="398"/>
      <c r="J110" s="398"/>
      <c r="K110" s="398"/>
      <c r="L110" s="398"/>
      <c r="M110" s="398"/>
    </row>
    <row r="111" spans="1:13">
      <c r="A111" s="398"/>
      <c r="B111" s="398"/>
      <c r="C111" s="398"/>
      <c r="D111" s="398"/>
      <c r="E111" s="398"/>
      <c r="F111" s="398"/>
      <c r="G111" s="398"/>
      <c r="H111" s="398"/>
      <c r="I111" s="398"/>
      <c r="J111" s="398"/>
      <c r="K111" s="398"/>
      <c r="L111" s="398"/>
      <c r="M111" s="398"/>
    </row>
    <row r="112" spans="1:13">
      <c r="A112" s="398"/>
      <c r="B112" s="398"/>
      <c r="C112" s="398"/>
      <c r="D112" s="398"/>
      <c r="E112" s="398"/>
      <c r="F112" s="398"/>
      <c r="G112" s="398"/>
      <c r="H112" s="398"/>
      <c r="I112" s="398"/>
      <c r="J112" s="398"/>
      <c r="K112" s="398"/>
      <c r="L112" s="398"/>
      <c r="M112" s="398"/>
    </row>
    <row r="113" spans="1:13">
      <c r="A113" s="398"/>
      <c r="B113" s="398"/>
      <c r="C113" s="398"/>
      <c r="D113" s="398"/>
      <c r="E113" s="398"/>
      <c r="F113" s="398"/>
      <c r="G113" s="398"/>
      <c r="H113" s="398"/>
      <c r="I113" s="398"/>
      <c r="J113" s="398"/>
      <c r="K113" s="398"/>
      <c r="L113" s="398"/>
      <c r="M113" s="398"/>
    </row>
    <row r="114" spans="1:13">
      <c r="A114" s="398"/>
      <c r="B114" s="398"/>
      <c r="C114" s="398"/>
      <c r="D114" s="398"/>
      <c r="E114" s="398"/>
      <c r="F114" s="398"/>
      <c r="G114" s="398"/>
      <c r="H114" s="398"/>
      <c r="I114" s="398"/>
      <c r="J114" s="398"/>
      <c r="K114" s="398"/>
      <c r="L114" s="398"/>
      <c r="M114" s="398"/>
    </row>
    <row r="115" spans="1:13">
      <c r="A115" s="398"/>
      <c r="B115" s="398"/>
      <c r="C115" s="398"/>
      <c r="D115" s="398"/>
      <c r="E115" s="398"/>
      <c r="F115" s="398"/>
      <c r="G115" s="398"/>
      <c r="H115" s="398"/>
      <c r="I115" s="398"/>
      <c r="J115" s="398"/>
      <c r="K115" s="398"/>
      <c r="L115" s="398"/>
      <c r="M115" s="398"/>
    </row>
    <row r="116" spans="1:13">
      <c r="A116" s="398"/>
      <c r="B116" s="398"/>
      <c r="C116" s="398"/>
      <c r="D116" s="398"/>
      <c r="E116" s="398"/>
      <c r="F116" s="398"/>
      <c r="G116" s="398"/>
      <c r="H116" s="398"/>
      <c r="I116" s="398"/>
      <c r="J116" s="398"/>
      <c r="K116" s="398"/>
      <c r="L116" s="398"/>
      <c r="M116" s="398"/>
    </row>
    <row r="117" spans="1:13">
      <c r="A117" s="398"/>
      <c r="B117" s="398"/>
      <c r="C117" s="398"/>
      <c r="D117" s="398"/>
      <c r="E117" s="398"/>
      <c r="F117" s="398"/>
      <c r="G117" s="398"/>
      <c r="H117" s="398"/>
      <c r="I117" s="398"/>
      <c r="J117" s="398"/>
      <c r="K117" s="398"/>
      <c r="L117" s="398"/>
      <c r="M117" s="398"/>
    </row>
    <row r="118" spans="1:13">
      <c r="A118" s="398"/>
      <c r="B118" s="398"/>
      <c r="C118" s="398"/>
      <c r="D118" s="398"/>
      <c r="E118" s="398"/>
      <c r="F118" s="398"/>
      <c r="G118" s="398"/>
      <c r="H118" s="398"/>
      <c r="I118" s="398"/>
      <c r="J118" s="398"/>
      <c r="K118" s="398"/>
      <c r="L118" s="398"/>
      <c r="M118" s="398"/>
    </row>
    <row r="119" spans="1:13">
      <c r="A119" s="398"/>
      <c r="B119" s="398"/>
      <c r="C119" s="398"/>
      <c r="D119" s="398"/>
      <c r="E119" s="398"/>
      <c r="F119" s="398"/>
      <c r="G119" s="398"/>
      <c r="H119" s="398"/>
      <c r="I119" s="398"/>
      <c r="J119" s="398"/>
      <c r="K119" s="398"/>
      <c r="L119" s="398"/>
      <c r="M119" s="398"/>
    </row>
    <row r="120" spans="1:13">
      <c r="A120" s="398"/>
      <c r="B120" s="398"/>
      <c r="C120" s="398"/>
      <c r="D120" s="398"/>
      <c r="E120" s="398"/>
      <c r="F120" s="398"/>
      <c r="G120" s="398"/>
      <c r="H120" s="398"/>
      <c r="I120" s="398"/>
      <c r="J120" s="398"/>
      <c r="K120" s="398"/>
      <c r="L120" s="398"/>
      <c r="M120" s="398"/>
    </row>
    <row r="121" spans="1:13">
      <c r="A121" s="398"/>
      <c r="B121" s="398"/>
      <c r="C121" s="398"/>
      <c r="D121" s="398"/>
      <c r="E121" s="398"/>
      <c r="F121" s="398"/>
      <c r="G121" s="398"/>
      <c r="H121" s="398"/>
      <c r="I121" s="398"/>
      <c r="J121" s="398"/>
      <c r="K121" s="398"/>
      <c r="L121" s="398"/>
      <c r="M121" s="398"/>
    </row>
    <row r="122" spans="1:13">
      <c r="A122" s="398"/>
      <c r="B122" s="398"/>
      <c r="C122" s="398"/>
      <c r="D122" s="398"/>
      <c r="E122" s="398"/>
      <c r="F122" s="398"/>
      <c r="G122" s="398"/>
      <c r="H122" s="398"/>
      <c r="I122" s="398"/>
      <c r="J122" s="398"/>
      <c r="K122" s="398"/>
      <c r="L122" s="398"/>
      <c r="M122" s="398"/>
    </row>
    <row r="123" spans="1:13">
      <c r="A123" s="398"/>
      <c r="B123" s="398"/>
      <c r="C123" s="398"/>
      <c r="D123" s="398"/>
      <c r="E123" s="398"/>
      <c r="F123" s="398"/>
      <c r="G123" s="398"/>
      <c r="H123" s="398"/>
      <c r="I123" s="398"/>
      <c r="J123" s="398"/>
      <c r="K123" s="398"/>
      <c r="L123" s="398"/>
      <c r="M123" s="398"/>
    </row>
    <row r="124" spans="1:13">
      <c r="A124" s="398"/>
      <c r="B124" s="398"/>
      <c r="C124" s="398"/>
      <c r="D124" s="398"/>
      <c r="E124" s="398"/>
      <c r="F124" s="398"/>
      <c r="G124" s="398"/>
      <c r="H124" s="398"/>
      <c r="I124" s="398"/>
      <c r="J124" s="398"/>
      <c r="K124" s="398"/>
      <c r="L124" s="398"/>
      <c r="M124" s="398"/>
    </row>
    <row r="125" spans="1:13">
      <c r="A125" s="398"/>
      <c r="B125" s="398"/>
      <c r="C125" s="398"/>
      <c r="D125" s="398"/>
      <c r="E125" s="398"/>
      <c r="F125" s="398"/>
      <c r="G125" s="398"/>
      <c r="H125" s="398"/>
      <c r="I125" s="398"/>
      <c r="J125" s="398"/>
      <c r="K125" s="398"/>
      <c r="L125" s="398"/>
      <c r="M125" s="398"/>
    </row>
    <row r="126" spans="1:13">
      <c r="A126" s="398"/>
      <c r="B126" s="398"/>
      <c r="C126" s="398"/>
      <c r="D126" s="398"/>
      <c r="E126" s="398"/>
      <c r="F126" s="398"/>
      <c r="G126" s="398"/>
      <c r="H126" s="398"/>
      <c r="I126" s="398"/>
      <c r="J126" s="398"/>
      <c r="K126" s="398"/>
      <c r="L126" s="398"/>
      <c r="M126" s="398"/>
    </row>
    <row r="127" spans="1:13">
      <c r="A127" s="398"/>
      <c r="B127" s="398"/>
      <c r="C127" s="398"/>
      <c r="D127" s="398"/>
      <c r="E127" s="398"/>
      <c r="F127" s="398"/>
      <c r="G127" s="398"/>
      <c r="H127" s="398"/>
      <c r="I127" s="398"/>
      <c r="J127" s="398"/>
      <c r="K127" s="398"/>
      <c r="L127" s="398"/>
      <c r="M127" s="398"/>
    </row>
    <row r="128" spans="1:13">
      <c r="A128" s="398"/>
      <c r="B128" s="398"/>
      <c r="C128" s="398"/>
      <c r="D128" s="398"/>
      <c r="E128" s="398"/>
      <c r="F128" s="398"/>
      <c r="G128" s="398"/>
      <c r="H128" s="398"/>
      <c r="I128" s="398"/>
      <c r="J128" s="398"/>
      <c r="K128" s="398"/>
      <c r="L128" s="398"/>
      <c r="M128" s="398"/>
    </row>
    <row r="129" spans="1:13">
      <c r="A129" s="398"/>
      <c r="B129" s="398"/>
      <c r="C129" s="398"/>
      <c r="D129" s="398"/>
      <c r="E129" s="398"/>
      <c r="F129" s="398"/>
      <c r="G129" s="398"/>
      <c r="H129" s="398"/>
      <c r="I129" s="398"/>
      <c r="J129" s="398"/>
      <c r="K129" s="398"/>
      <c r="L129" s="398"/>
      <c r="M129" s="398"/>
    </row>
    <row r="130" spans="1:13">
      <c r="A130" s="398"/>
      <c r="B130" s="398"/>
      <c r="C130" s="398"/>
      <c r="D130" s="398"/>
      <c r="E130" s="398"/>
      <c r="F130" s="398"/>
      <c r="G130" s="398"/>
      <c r="H130" s="398"/>
      <c r="I130" s="398"/>
      <c r="J130" s="398"/>
      <c r="K130" s="398"/>
      <c r="L130" s="398"/>
      <c r="M130" s="398"/>
    </row>
    <row r="131" spans="1:13">
      <c r="A131" s="398"/>
      <c r="B131" s="398"/>
      <c r="C131" s="398"/>
      <c r="D131" s="398"/>
      <c r="E131" s="398"/>
      <c r="F131" s="398"/>
      <c r="G131" s="398"/>
      <c r="H131" s="398"/>
      <c r="I131" s="398"/>
      <c r="J131" s="398"/>
      <c r="K131" s="398"/>
      <c r="L131" s="398"/>
      <c r="M131" s="398"/>
    </row>
    <row r="132" spans="1:13">
      <c r="A132" s="398"/>
      <c r="B132" s="398"/>
      <c r="C132" s="398"/>
      <c r="D132" s="398"/>
      <c r="E132" s="398"/>
      <c r="F132" s="398"/>
      <c r="G132" s="398"/>
      <c r="H132" s="398"/>
      <c r="I132" s="398"/>
      <c r="J132" s="398"/>
      <c r="K132" s="398"/>
      <c r="L132" s="398"/>
      <c r="M132" s="398"/>
    </row>
    <row r="133" spans="1:13">
      <c r="A133" s="398"/>
      <c r="B133" s="398"/>
      <c r="C133" s="398"/>
      <c r="D133" s="398"/>
      <c r="E133" s="398"/>
      <c r="F133" s="398"/>
      <c r="G133" s="398"/>
      <c r="H133" s="398"/>
      <c r="I133" s="398"/>
      <c r="J133" s="398"/>
      <c r="K133" s="398"/>
      <c r="L133" s="398"/>
      <c r="M133" s="398"/>
    </row>
    <row r="134" spans="1:13">
      <c r="A134" s="398"/>
      <c r="B134" s="398"/>
      <c r="C134" s="398"/>
      <c r="D134" s="398"/>
      <c r="E134" s="398"/>
      <c r="F134" s="398"/>
      <c r="G134" s="398"/>
      <c r="H134" s="398"/>
      <c r="I134" s="398"/>
      <c r="J134" s="398"/>
      <c r="K134" s="398"/>
      <c r="L134" s="398"/>
      <c r="M134" s="398"/>
    </row>
    <row r="135" spans="1:13">
      <c r="A135" s="398"/>
      <c r="B135" s="398"/>
      <c r="C135" s="398"/>
      <c r="D135" s="398"/>
      <c r="E135" s="398"/>
      <c r="F135" s="398"/>
      <c r="G135" s="398"/>
      <c r="H135" s="398"/>
      <c r="I135" s="398"/>
      <c r="J135" s="398"/>
      <c r="K135" s="398"/>
      <c r="L135" s="398"/>
      <c r="M135" s="398"/>
    </row>
    <row r="136" spans="1:13">
      <c r="A136" s="398"/>
      <c r="B136" s="398"/>
      <c r="C136" s="398"/>
      <c r="D136" s="398"/>
      <c r="E136" s="398"/>
      <c r="F136" s="398"/>
      <c r="G136" s="398"/>
      <c r="H136" s="398"/>
      <c r="I136" s="398"/>
      <c r="J136" s="398"/>
      <c r="K136" s="398"/>
      <c r="L136" s="398"/>
      <c r="M136" s="398"/>
    </row>
    <row r="137" spans="1:13">
      <c r="A137" s="398"/>
      <c r="B137" s="398"/>
      <c r="C137" s="398"/>
      <c r="D137" s="398"/>
      <c r="E137" s="398"/>
      <c r="F137" s="398"/>
      <c r="G137" s="398"/>
      <c r="H137" s="398"/>
      <c r="I137" s="398"/>
      <c r="J137" s="398"/>
      <c r="K137" s="398"/>
      <c r="L137" s="398"/>
      <c r="M137" s="398"/>
    </row>
    <row r="138" spans="1:13">
      <c r="A138" s="398"/>
      <c r="B138" s="398"/>
      <c r="C138" s="398"/>
      <c r="D138" s="398"/>
      <c r="E138" s="398"/>
      <c r="F138" s="398"/>
      <c r="G138" s="398"/>
      <c r="H138" s="398"/>
      <c r="I138" s="398"/>
      <c r="J138" s="398"/>
      <c r="K138" s="398"/>
      <c r="L138" s="398"/>
      <c r="M138" s="398"/>
    </row>
    <row r="139" spans="1:13">
      <c r="A139" s="398"/>
      <c r="B139" s="398"/>
      <c r="C139" s="398"/>
      <c r="D139" s="398"/>
      <c r="E139" s="398"/>
      <c r="F139" s="398"/>
      <c r="G139" s="398"/>
      <c r="H139" s="398"/>
      <c r="I139" s="398"/>
      <c r="J139" s="398"/>
      <c r="K139" s="398"/>
      <c r="L139" s="398"/>
      <c r="M139" s="398"/>
    </row>
    <row r="140" spans="1:13">
      <c r="A140" s="398"/>
      <c r="B140" s="398"/>
      <c r="C140" s="398"/>
      <c r="D140" s="398"/>
      <c r="E140" s="398"/>
      <c r="F140" s="398"/>
      <c r="G140" s="398"/>
      <c r="H140" s="398"/>
      <c r="I140" s="398"/>
      <c r="J140" s="398"/>
      <c r="K140" s="398"/>
      <c r="L140" s="398"/>
      <c r="M140" s="398"/>
    </row>
    <row r="141" spans="1:13">
      <c r="A141" s="398"/>
      <c r="B141" s="398"/>
      <c r="C141" s="398"/>
      <c r="D141" s="398"/>
      <c r="E141" s="398"/>
      <c r="F141" s="398"/>
      <c r="G141" s="398"/>
      <c r="H141" s="398"/>
      <c r="I141" s="398"/>
      <c r="J141" s="398"/>
      <c r="K141" s="398"/>
      <c r="L141" s="398"/>
      <c r="M141" s="398"/>
    </row>
    <row r="142" spans="1:13">
      <c r="A142" s="398"/>
      <c r="B142" s="398"/>
      <c r="C142" s="398"/>
      <c r="D142" s="398"/>
      <c r="E142" s="398"/>
      <c r="F142" s="398"/>
      <c r="G142" s="398"/>
      <c r="H142" s="398"/>
      <c r="I142" s="398"/>
      <c r="J142" s="398"/>
      <c r="K142" s="398"/>
      <c r="L142" s="398"/>
      <c r="M142" s="398"/>
    </row>
    <row r="143" spans="1:13">
      <c r="A143" s="398"/>
      <c r="B143" s="398"/>
      <c r="C143" s="398"/>
      <c r="D143" s="398"/>
      <c r="E143" s="398"/>
      <c r="F143" s="398"/>
      <c r="G143" s="398"/>
      <c r="H143" s="398"/>
      <c r="I143" s="398"/>
      <c r="J143" s="398"/>
      <c r="K143" s="398"/>
      <c r="L143" s="398"/>
      <c r="M143" s="398"/>
    </row>
    <row r="144" spans="1:13">
      <c r="A144" s="398"/>
      <c r="B144" s="398"/>
      <c r="C144" s="398"/>
      <c r="D144" s="398"/>
      <c r="E144" s="398"/>
      <c r="F144" s="398"/>
      <c r="G144" s="398"/>
      <c r="H144" s="398"/>
      <c r="I144" s="398"/>
      <c r="J144" s="398"/>
      <c r="K144" s="398"/>
      <c r="L144" s="398"/>
      <c r="M144" s="398"/>
    </row>
    <row r="145" spans="1:13">
      <c r="A145" s="398"/>
      <c r="B145" s="398"/>
      <c r="C145" s="398"/>
      <c r="D145" s="398"/>
      <c r="E145" s="398"/>
      <c r="F145" s="398"/>
      <c r="G145" s="398"/>
      <c r="H145" s="398"/>
      <c r="I145" s="398"/>
      <c r="J145" s="398"/>
      <c r="K145" s="398"/>
      <c r="L145" s="398"/>
      <c r="M145" s="398"/>
    </row>
    <row r="146" spans="1:13">
      <c r="A146" s="398"/>
      <c r="B146" s="398"/>
      <c r="C146" s="398"/>
      <c r="D146" s="398"/>
      <c r="E146" s="398"/>
      <c r="F146" s="398"/>
      <c r="G146" s="398"/>
      <c r="H146" s="398"/>
      <c r="I146" s="398"/>
      <c r="J146" s="398"/>
      <c r="K146" s="398"/>
      <c r="L146" s="398"/>
      <c r="M146" s="398"/>
    </row>
    <row r="147" spans="1:13">
      <c r="A147" s="398"/>
      <c r="B147" s="398"/>
      <c r="C147" s="398"/>
      <c r="D147" s="398"/>
      <c r="E147" s="398"/>
      <c r="F147" s="398"/>
      <c r="G147" s="398"/>
      <c r="H147" s="398"/>
      <c r="I147" s="398"/>
      <c r="J147" s="398"/>
      <c r="K147" s="398"/>
      <c r="L147" s="398"/>
      <c r="M147" s="398"/>
    </row>
    <row r="148" spans="1:13">
      <c r="A148" s="398"/>
      <c r="B148" s="398"/>
      <c r="C148" s="398"/>
      <c r="D148" s="398"/>
      <c r="E148" s="398"/>
      <c r="F148" s="398"/>
      <c r="G148" s="398"/>
      <c r="H148" s="398"/>
      <c r="I148" s="398"/>
      <c r="J148" s="398"/>
      <c r="K148" s="398"/>
      <c r="L148" s="398"/>
      <c r="M148" s="398"/>
    </row>
    <row r="149" spans="1:13">
      <c r="A149" s="398"/>
      <c r="B149" s="398"/>
      <c r="C149" s="398"/>
      <c r="D149" s="398"/>
      <c r="E149" s="398"/>
      <c r="F149" s="398"/>
      <c r="G149" s="398"/>
      <c r="H149" s="398"/>
      <c r="I149" s="398"/>
      <c r="J149" s="398"/>
      <c r="K149" s="398"/>
      <c r="L149" s="398"/>
      <c r="M149" s="398"/>
    </row>
    <row r="150" spans="1:13">
      <c r="A150" s="398"/>
      <c r="B150" s="398"/>
      <c r="C150" s="398"/>
      <c r="D150" s="398"/>
      <c r="E150" s="398"/>
      <c r="F150" s="398"/>
      <c r="G150" s="398"/>
      <c r="H150" s="398"/>
      <c r="I150" s="398"/>
      <c r="J150" s="398"/>
      <c r="K150" s="398"/>
      <c r="L150" s="398"/>
      <c r="M150" s="398"/>
    </row>
    <row r="151" spans="1:13">
      <c r="A151" s="398"/>
      <c r="B151" s="398"/>
      <c r="C151" s="398"/>
      <c r="D151" s="398"/>
      <c r="E151" s="398"/>
      <c r="F151" s="398"/>
      <c r="G151" s="398"/>
      <c r="H151" s="398"/>
      <c r="I151" s="398"/>
      <c r="J151" s="398"/>
      <c r="K151" s="398"/>
      <c r="L151" s="398"/>
      <c r="M151" s="398"/>
    </row>
    <row r="152" spans="1:13">
      <c r="A152" s="398"/>
      <c r="B152" s="398"/>
      <c r="C152" s="398"/>
      <c r="D152" s="398"/>
      <c r="E152" s="398"/>
      <c r="F152" s="398"/>
      <c r="G152" s="398"/>
      <c r="H152" s="398"/>
      <c r="I152" s="398"/>
      <c r="J152" s="398"/>
      <c r="K152" s="398"/>
      <c r="L152" s="398"/>
      <c r="M152" s="398"/>
    </row>
    <row r="153" spans="1:13">
      <c r="A153" s="398"/>
      <c r="B153" s="398"/>
      <c r="C153" s="398"/>
      <c r="D153" s="398"/>
      <c r="E153" s="398"/>
      <c r="F153" s="398"/>
      <c r="G153" s="398"/>
      <c r="H153" s="398"/>
      <c r="I153" s="398"/>
      <c r="J153" s="398"/>
      <c r="K153" s="398"/>
      <c r="L153" s="398"/>
      <c r="M153" s="398"/>
    </row>
    <row r="154" spans="1:13">
      <c r="A154" s="398"/>
      <c r="B154" s="398"/>
      <c r="C154" s="398"/>
      <c r="D154" s="398"/>
      <c r="E154" s="398"/>
      <c r="F154" s="398"/>
      <c r="G154" s="398"/>
      <c r="H154" s="398"/>
      <c r="I154" s="398"/>
      <c r="J154" s="398"/>
      <c r="K154" s="398"/>
      <c r="L154" s="398"/>
      <c r="M154" s="398"/>
    </row>
    <row r="155" spans="1:13">
      <c r="A155" s="398"/>
      <c r="B155" s="398"/>
      <c r="C155" s="398"/>
      <c r="D155" s="398"/>
      <c r="E155" s="398"/>
      <c r="F155" s="398"/>
      <c r="G155" s="398"/>
      <c r="H155" s="398"/>
      <c r="I155" s="398"/>
      <c r="J155" s="398"/>
      <c r="K155" s="398"/>
      <c r="L155" s="398"/>
      <c r="M155" s="398"/>
    </row>
    <row r="156" spans="1:13">
      <c r="A156" s="398"/>
      <c r="B156" s="398"/>
      <c r="C156" s="398"/>
      <c r="D156" s="398"/>
      <c r="E156" s="398"/>
      <c r="F156" s="398"/>
      <c r="G156" s="398"/>
      <c r="H156" s="398"/>
      <c r="I156" s="398"/>
      <c r="J156" s="398"/>
      <c r="K156" s="398"/>
      <c r="L156" s="398"/>
      <c r="M156" s="398"/>
    </row>
    <row r="157" spans="1:13">
      <c r="A157" s="398"/>
      <c r="B157" s="398"/>
      <c r="C157" s="398"/>
      <c r="D157" s="398"/>
      <c r="E157" s="398"/>
      <c r="F157" s="398"/>
      <c r="G157" s="398"/>
      <c r="H157" s="398"/>
      <c r="I157" s="398"/>
      <c r="J157" s="398"/>
      <c r="K157" s="398"/>
      <c r="L157" s="398"/>
      <c r="M157" s="398"/>
    </row>
    <row r="158" spans="1:13">
      <c r="A158" s="398"/>
      <c r="B158" s="398"/>
      <c r="C158" s="398"/>
      <c r="D158" s="398"/>
      <c r="E158" s="398"/>
      <c r="F158" s="398"/>
      <c r="G158" s="398"/>
      <c r="H158" s="398"/>
      <c r="I158" s="398"/>
      <c r="J158" s="398"/>
      <c r="K158" s="398"/>
      <c r="L158" s="398"/>
      <c r="M158" s="398"/>
    </row>
    <row r="159" spans="1:13">
      <c r="A159" s="398"/>
      <c r="B159" s="398"/>
      <c r="C159" s="398"/>
      <c r="D159" s="398"/>
      <c r="E159" s="398"/>
      <c r="F159" s="398"/>
      <c r="G159" s="398"/>
      <c r="H159" s="398"/>
      <c r="I159" s="398"/>
      <c r="J159" s="398"/>
      <c r="K159" s="398"/>
      <c r="L159" s="398"/>
      <c r="M159" s="398"/>
    </row>
    <row r="160" spans="1:13">
      <c r="A160" s="398"/>
      <c r="B160" s="398"/>
      <c r="C160" s="398"/>
      <c r="D160" s="398"/>
      <c r="E160" s="398"/>
      <c r="F160" s="398"/>
      <c r="G160" s="398"/>
      <c r="H160" s="398"/>
      <c r="I160" s="398"/>
      <c r="J160" s="398"/>
      <c r="K160" s="398"/>
      <c r="L160" s="398"/>
      <c r="M160" s="398"/>
    </row>
    <row r="161" spans="1:13">
      <c r="A161" s="398"/>
      <c r="B161" s="398"/>
      <c r="C161" s="398"/>
      <c r="D161" s="398"/>
      <c r="E161" s="398"/>
      <c r="F161" s="398"/>
      <c r="G161" s="398"/>
      <c r="H161" s="398"/>
      <c r="I161" s="398"/>
      <c r="J161" s="398"/>
      <c r="K161" s="398"/>
      <c r="L161" s="398"/>
      <c r="M161" s="398"/>
    </row>
    <row r="162" spans="1:13">
      <c r="A162" s="398"/>
      <c r="B162" s="398"/>
      <c r="C162" s="398"/>
      <c r="D162" s="398"/>
      <c r="E162" s="398"/>
      <c r="F162" s="398"/>
      <c r="G162" s="398"/>
      <c r="H162" s="398"/>
      <c r="I162" s="398"/>
      <c r="J162" s="398"/>
      <c r="K162" s="398"/>
      <c r="L162" s="398"/>
      <c r="M162" s="398"/>
    </row>
    <row r="163" spans="1:13">
      <c r="A163" s="398"/>
      <c r="B163" s="398"/>
      <c r="C163" s="398"/>
      <c r="D163" s="398"/>
      <c r="E163" s="398"/>
      <c r="F163" s="398"/>
      <c r="G163" s="398"/>
      <c r="H163" s="398"/>
      <c r="I163" s="398"/>
      <c r="J163" s="398"/>
      <c r="K163" s="398"/>
      <c r="L163" s="398"/>
      <c r="M163" s="398"/>
    </row>
    <row r="164" spans="1:13">
      <c r="A164" s="398"/>
      <c r="B164" s="398"/>
      <c r="C164" s="398"/>
      <c r="D164" s="398"/>
      <c r="E164" s="398"/>
      <c r="F164" s="398"/>
      <c r="G164" s="398"/>
      <c r="H164" s="398"/>
      <c r="I164" s="398"/>
      <c r="J164" s="398"/>
      <c r="K164" s="398"/>
      <c r="L164" s="398"/>
      <c r="M164" s="398"/>
    </row>
    <row r="165" spans="1:13">
      <c r="A165" s="398"/>
      <c r="B165" s="398"/>
      <c r="C165" s="398"/>
      <c r="D165" s="398"/>
      <c r="E165" s="398"/>
      <c r="F165" s="398"/>
      <c r="G165" s="398"/>
      <c r="H165" s="398"/>
      <c r="I165" s="398"/>
      <c r="J165" s="398"/>
      <c r="K165" s="398"/>
      <c r="L165" s="398"/>
      <c r="M165" s="398"/>
    </row>
    <row r="166" spans="1:13">
      <c r="A166" s="398"/>
      <c r="B166" s="398"/>
      <c r="C166" s="398"/>
      <c r="D166" s="398"/>
      <c r="E166" s="398"/>
      <c r="F166" s="398"/>
      <c r="G166" s="398"/>
      <c r="H166" s="398"/>
      <c r="I166" s="398"/>
      <c r="J166" s="398"/>
      <c r="K166" s="398"/>
      <c r="L166" s="398"/>
      <c r="M166" s="398"/>
    </row>
    <row r="167" spans="1:13">
      <c r="A167" s="398"/>
      <c r="B167" s="398"/>
      <c r="C167" s="398"/>
      <c r="D167" s="398"/>
      <c r="E167" s="398"/>
      <c r="F167" s="398"/>
      <c r="G167" s="398"/>
      <c r="H167" s="398"/>
      <c r="I167" s="398"/>
      <c r="J167" s="398"/>
      <c r="K167" s="398"/>
      <c r="L167" s="398"/>
      <c r="M167" s="398"/>
    </row>
    <row r="168" spans="1:13">
      <c r="A168" s="398"/>
      <c r="B168" s="398"/>
      <c r="C168" s="398"/>
      <c r="D168" s="398"/>
      <c r="E168" s="398"/>
      <c r="F168" s="398"/>
      <c r="G168" s="398"/>
      <c r="H168" s="398"/>
      <c r="I168" s="398"/>
      <c r="J168" s="398"/>
      <c r="K168" s="398"/>
      <c r="L168" s="398"/>
      <c r="M168" s="398"/>
    </row>
    <row r="169" spans="1:13">
      <c r="A169" s="398"/>
      <c r="B169" s="398"/>
      <c r="C169" s="398"/>
      <c r="D169" s="398"/>
      <c r="E169" s="398"/>
      <c r="F169" s="398"/>
      <c r="G169" s="398"/>
      <c r="H169" s="398"/>
      <c r="I169" s="398"/>
      <c r="J169" s="398"/>
      <c r="K169" s="398"/>
      <c r="L169" s="398"/>
      <c r="M169" s="398"/>
    </row>
    <row r="170" spans="1:13">
      <c r="A170" s="398"/>
      <c r="B170" s="398"/>
      <c r="C170" s="398"/>
      <c r="D170" s="398"/>
      <c r="E170" s="398"/>
      <c r="F170" s="398"/>
      <c r="G170" s="398"/>
      <c r="H170" s="398"/>
      <c r="I170" s="398"/>
      <c r="J170" s="398"/>
      <c r="K170" s="398"/>
      <c r="L170" s="398"/>
      <c r="M170" s="398"/>
    </row>
    <row r="171" spans="1:13">
      <c r="A171" s="398"/>
      <c r="B171" s="398"/>
      <c r="C171" s="398"/>
      <c r="D171" s="398"/>
      <c r="E171" s="398"/>
      <c r="F171" s="398"/>
      <c r="G171" s="398"/>
      <c r="H171" s="398"/>
      <c r="I171" s="398"/>
      <c r="J171" s="398"/>
      <c r="K171" s="398"/>
      <c r="L171" s="398"/>
      <c r="M171" s="398"/>
    </row>
    <row r="172" spans="1:13">
      <c r="A172" s="398"/>
      <c r="B172" s="398"/>
      <c r="C172" s="398"/>
      <c r="D172" s="398"/>
      <c r="E172" s="398"/>
      <c r="F172" s="398"/>
      <c r="G172" s="398"/>
      <c r="H172" s="398"/>
      <c r="I172" s="398"/>
      <c r="J172" s="398"/>
      <c r="K172" s="398"/>
      <c r="L172" s="398"/>
      <c r="M172" s="398"/>
    </row>
    <row r="173" spans="1:13">
      <c r="A173" s="398"/>
      <c r="B173" s="398"/>
      <c r="C173" s="398"/>
      <c r="D173" s="398"/>
      <c r="E173" s="398"/>
      <c r="F173" s="398"/>
      <c r="G173" s="398"/>
      <c r="H173" s="398"/>
      <c r="I173" s="398"/>
      <c r="J173" s="398"/>
      <c r="K173" s="398"/>
      <c r="L173" s="398"/>
      <c r="M173" s="398"/>
    </row>
    <row r="174" spans="1:13">
      <c r="A174" s="398"/>
      <c r="B174" s="398"/>
      <c r="C174" s="398"/>
      <c r="D174" s="398"/>
      <c r="E174" s="398"/>
      <c r="F174" s="398"/>
      <c r="G174" s="398"/>
      <c r="H174" s="398"/>
      <c r="I174" s="398"/>
      <c r="J174" s="398"/>
      <c r="K174" s="398"/>
      <c r="L174" s="398"/>
      <c r="M174" s="398"/>
    </row>
    <row r="175" spans="1:13">
      <c r="A175" s="398"/>
      <c r="B175" s="398"/>
      <c r="C175" s="398"/>
      <c r="D175" s="398"/>
      <c r="E175" s="398"/>
      <c r="F175" s="398"/>
      <c r="G175" s="398"/>
      <c r="H175" s="398"/>
      <c r="I175" s="398"/>
      <c r="J175" s="398"/>
      <c r="K175" s="398"/>
      <c r="L175" s="398"/>
      <c r="M175" s="398"/>
    </row>
    <row r="176" spans="1:13">
      <c r="A176" s="398"/>
      <c r="B176" s="398"/>
      <c r="C176" s="398"/>
      <c r="D176" s="398"/>
      <c r="E176" s="398"/>
      <c r="F176" s="398"/>
      <c r="G176" s="398"/>
      <c r="H176" s="398"/>
      <c r="I176" s="398"/>
      <c r="J176" s="398"/>
      <c r="K176" s="398"/>
      <c r="L176" s="398"/>
      <c r="M176" s="398"/>
    </row>
    <row r="177" spans="1:13">
      <c r="A177" s="398"/>
      <c r="B177" s="398"/>
      <c r="C177" s="398"/>
      <c r="D177" s="398"/>
      <c r="E177" s="398"/>
      <c r="F177" s="398"/>
      <c r="G177" s="398"/>
      <c r="H177" s="398"/>
      <c r="I177" s="398"/>
      <c r="J177" s="398"/>
      <c r="K177" s="398"/>
      <c r="L177" s="398"/>
      <c r="M177" s="398"/>
    </row>
    <row r="178" spans="1:13">
      <c r="A178" s="398"/>
      <c r="B178" s="398"/>
      <c r="C178" s="398"/>
      <c r="D178" s="398"/>
      <c r="E178" s="398"/>
      <c r="F178" s="398"/>
      <c r="G178" s="398"/>
      <c r="H178" s="398"/>
      <c r="I178" s="398"/>
      <c r="J178" s="398"/>
      <c r="K178" s="398"/>
      <c r="L178" s="398"/>
      <c r="M178" s="398"/>
    </row>
    <row r="179" spans="1:13">
      <c r="A179" s="398"/>
      <c r="B179" s="398"/>
      <c r="C179" s="398"/>
      <c r="D179" s="398"/>
      <c r="E179" s="398"/>
      <c r="F179" s="398"/>
      <c r="G179" s="398"/>
      <c r="H179" s="398"/>
      <c r="I179" s="398"/>
      <c r="J179" s="398"/>
      <c r="K179" s="398"/>
      <c r="L179" s="398"/>
      <c r="M179" s="398"/>
    </row>
    <row r="180" spans="1:13">
      <c r="A180" s="398"/>
      <c r="B180" s="398"/>
      <c r="C180" s="398"/>
      <c r="D180" s="398"/>
      <c r="E180" s="398"/>
      <c r="F180" s="398"/>
      <c r="G180" s="398"/>
      <c r="H180" s="398"/>
      <c r="I180" s="398"/>
      <c r="J180" s="398"/>
      <c r="K180" s="398"/>
      <c r="L180" s="398"/>
      <c r="M180" s="398"/>
    </row>
    <row r="181" spans="1:13">
      <c r="A181" s="398"/>
      <c r="B181" s="398"/>
      <c r="C181" s="398"/>
      <c r="D181" s="398"/>
      <c r="E181" s="398"/>
      <c r="F181" s="398"/>
      <c r="G181" s="398"/>
      <c r="H181" s="398"/>
      <c r="I181" s="398"/>
      <c r="J181" s="398"/>
      <c r="K181" s="398"/>
      <c r="L181" s="398"/>
      <c r="M181" s="398"/>
    </row>
    <row r="182" spans="1:13">
      <c r="A182" s="398"/>
      <c r="B182" s="398"/>
      <c r="C182" s="398"/>
      <c r="D182" s="398"/>
      <c r="E182" s="398"/>
      <c r="F182" s="398"/>
      <c r="G182" s="398"/>
      <c r="H182" s="398"/>
      <c r="I182" s="398"/>
      <c r="J182" s="398"/>
      <c r="K182" s="398"/>
      <c r="L182" s="398"/>
      <c r="M182" s="398"/>
    </row>
    <row r="183" spans="1:13">
      <c r="A183" s="398"/>
      <c r="B183" s="398"/>
      <c r="C183" s="398"/>
      <c r="D183" s="398"/>
      <c r="E183" s="398"/>
      <c r="F183" s="398"/>
      <c r="G183" s="398"/>
      <c r="H183" s="398"/>
      <c r="I183" s="398"/>
      <c r="J183" s="398"/>
      <c r="K183" s="398"/>
      <c r="L183" s="398"/>
      <c r="M183" s="398"/>
    </row>
    <row r="184" spans="1:13">
      <c r="A184" s="398"/>
      <c r="B184" s="398"/>
      <c r="C184" s="398"/>
      <c r="D184" s="398"/>
      <c r="E184" s="398"/>
      <c r="F184" s="398"/>
      <c r="G184" s="398"/>
      <c r="H184" s="398"/>
      <c r="I184" s="398"/>
      <c r="J184" s="398"/>
      <c r="K184" s="398"/>
      <c r="L184" s="398"/>
      <c r="M184" s="398"/>
    </row>
    <row r="185" spans="1:13">
      <c r="A185" s="398"/>
      <c r="B185" s="398"/>
      <c r="C185" s="398"/>
      <c r="D185" s="398"/>
      <c r="E185" s="398"/>
      <c r="F185" s="398"/>
      <c r="G185" s="398"/>
      <c r="H185" s="398"/>
      <c r="I185" s="398"/>
      <c r="J185" s="398"/>
      <c r="K185" s="398"/>
      <c r="L185" s="398"/>
      <c r="M185" s="398"/>
    </row>
    <row r="186" spans="1:13">
      <c r="A186" s="398"/>
      <c r="B186" s="398"/>
      <c r="C186" s="398"/>
      <c r="D186" s="398"/>
      <c r="E186" s="398"/>
      <c r="F186" s="398"/>
      <c r="G186" s="398"/>
      <c r="H186" s="398"/>
      <c r="I186" s="398"/>
      <c r="J186" s="398"/>
      <c r="K186" s="398"/>
      <c r="L186" s="398"/>
      <c r="M186" s="398"/>
    </row>
    <row r="187" spans="1:13">
      <c r="A187" s="398"/>
      <c r="B187" s="398"/>
      <c r="C187" s="398"/>
      <c r="D187" s="398"/>
      <c r="E187" s="398"/>
      <c r="F187" s="398"/>
      <c r="G187" s="398"/>
      <c r="H187" s="398"/>
      <c r="I187" s="398"/>
      <c r="J187" s="398"/>
      <c r="K187" s="398"/>
      <c r="L187" s="398"/>
      <c r="M187" s="398"/>
    </row>
    <row r="188" spans="1:13">
      <c r="A188" s="398"/>
      <c r="B188" s="398"/>
      <c r="C188" s="398"/>
      <c r="D188" s="398"/>
      <c r="E188" s="398"/>
      <c r="F188" s="398"/>
      <c r="G188" s="398"/>
      <c r="H188" s="398"/>
      <c r="I188" s="398"/>
      <c r="J188" s="398"/>
      <c r="K188" s="398"/>
      <c r="L188" s="398"/>
      <c r="M188" s="398"/>
    </row>
    <row r="189" spans="1:13">
      <c r="A189" s="398"/>
      <c r="B189" s="398"/>
      <c r="C189" s="398"/>
      <c r="D189" s="398"/>
      <c r="E189" s="398"/>
      <c r="F189" s="398"/>
      <c r="G189" s="398"/>
      <c r="H189" s="398"/>
      <c r="I189" s="398"/>
      <c r="J189" s="398"/>
      <c r="K189" s="398"/>
      <c r="L189" s="398"/>
      <c r="M189" s="398"/>
    </row>
    <row r="190" spans="1:13">
      <c r="A190" s="398"/>
      <c r="B190" s="398"/>
      <c r="C190" s="398"/>
      <c r="D190" s="398"/>
      <c r="E190" s="398"/>
      <c r="F190" s="398"/>
      <c r="G190" s="398"/>
      <c r="H190" s="398"/>
      <c r="I190" s="398"/>
      <c r="J190" s="398"/>
      <c r="K190" s="398"/>
      <c r="L190" s="398"/>
      <c r="M190" s="398"/>
    </row>
    <row r="191" spans="1:13">
      <c r="A191" s="398"/>
      <c r="B191" s="398"/>
      <c r="C191" s="398"/>
      <c r="D191" s="398"/>
      <c r="E191" s="398"/>
      <c r="F191" s="398"/>
      <c r="G191" s="398"/>
      <c r="H191" s="398"/>
      <c r="I191" s="398"/>
      <c r="J191" s="398"/>
      <c r="K191" s="398"/>
      <c r="L191" s="398"/>
      <c r="M191" s="398"/>
    </row>
    <row r="192" spans="1:13">
      <c r="A192" s="398"/>
      <c r="B192" s="398"/>
      <c r="C192" s="398"/>
      <c r="D192" s="398"/>
      <c r="E192" s="398"/>
      <c r="F192" s="398"/>
      <c r="G192" s="398"/>
      <c r="H192" s="398"/>
      <c r="I192" s="398"/>
      <c r="J192" s="398"/>
      <c r="K192" s="398"/>
      <c r="L192" s="398"/>
      <c r="M192" s="398"/>
    </row>
    <row r="193" spans="1:13">
      <c r="A193" s="398"/>
      <c r="B193" s="398"/>
      <c r="C193" s="398"/>
      <c r="D193" s="398"/>
      <c r="E193" s="398"/>
      <c r="F193" s="398"/>
      <c r="G193" s="398"/>
      <c r="H193" s="398"/>
      <c r="I193" s="398"/>
      <c r="J193" s="398"/>
      <c r="K193" s="398"/>
      <c r="L193" s="398"/>
      <c r="M193" s="398"/>
    </row>
    <row r="194" spans="1:13">
      <c r="A194" s="398"/>
      <c r="B194" s="398"/>
      <c r="C194" s="398"/>
      <c r="D194" s="398"/>
      <c r="E194" s="398"/>
      <c r="F194" s="398"/>
      <c r="G194" s="398"/>
      <c r="H194" s="398"/>
      <c r="I194" s="398"/>
      <c r="J194" s="398"/>
      <c r="K194" s="398"/>
      <c r="L194" s="398"/>
      <c r="M194" s="398"/>
    </row>
    <row r="195" spans="1:13">
      <c r="A195" s="398"/>
      <c r="B195" s="398"/>
      <c r="C195" s="398"/>
      <c r="D195" s="398"/>
      <c r="E195" s="398"/>
      <c r="F195" s="398"/>
      <c r="G195" s="398"/>
      <c r="H195" s="398"/>
      <c r="I195" s="398"/>
      <c r="J195" s="398"/>
      <c r="K195" s="398"/>
      <c r="L195" s="398"/>
      <c r="M195" s="398"/>
    </row>
    <row r="196" spans="1:13">
      <c r="A196" s="398"/>
      <c r="B196" s="398"/>
      <c r="C196" s="398"/>
      <c r="D196" s="398"/>
      <c r="E196" s="398"/>
      <c r="F196" s="398"/>
      <c r="G196" s="398"/>
      <c r="H196" s="398"/>
      <c r="I196" s="398"/>
      <c r="J196" s="398"/>
      <c r="K196" s="398"/>
      <c r="L196" s="398"/>
      <c r="M196" s="398"/>
    </row>
    <row r="197" spans="1:13">
      <c r="A197" s="398"/>
      <c r="B197" s="398"/>
      <c r="C197" s="398"/>
      <c r="D197" s="398"/>
      <c r="E197" s="398"/>
      <c r="F197" s="398"/>
      <c r="G197" s="398"/>
      <c r="H197" s="398"/>
      <c r="I197" s="398"/>
      <c r="J197" s="398"/>
      <c r="K197" s="398"/>
      <c r="L197" s="398"/>
      <c r="M197" s="398"/>
    </row>
    <row r="198" spans="1:13">
      <c r="A198" s="398"/>
      <c r="B198" s="398"/>
      <c r="C198" s="398"/>
      <c r="D198" s="398"/>
      <c r="E198" s="398"/>
      <c r="F198" s="398"/>
      <c r="G198" s="398"/>
      <c r="H198" s="398"/>
      <c r="I198" s="398"/>
      <c r="J198" s="398"/>
      <c r="K198" s="398"/>
      <c r="L198" s="398"/>
      <c r="M198" s="398"/>
    </row>
    <row r="199" spans="1:13">
      <c r="A199" s="398"/>
      <c r="B199" s="398"/>
      <c r="C199" s="398"/>
      <c r="D199" s="398"/>
      <c r="E199" s="398"/>
      <c r="F199" s="398"/>
      <c r="G199" s="398"/>
      <c r="H199" s="398"/>
      <c r="I199" s="398"/>
      <c r="J199" s="398"/>
      <c r="K199" s="398"/>
      <c r="L199" s="398"/>
      <c r="M199" s="398"/>
    </row>
    <row r="200" spans="1:13">
      <c r="A200" s="398"/>
      <c r="B200" s="398"/>
      <c r="C200" s="398"/>
      <c r="D200" s="398"/>
      <c r="E200" s="398"/>
      <c r="F200" s="398"/>
      <c r="G200" s="398"/>
      <c r="H200" s="398"/>
      <c r="I200" s="398"/>
      <c r="J200" s="398"/>
      <c r="K200" s="398"/>
      <c r="L200" s="398"/>
      <c r="M200" s="398"/>
    </row>
    <row r="201" spans="1:13">
      <c r="A201" s="398"/>
      <c r="B201" s="398"/>
      <c r="C201" s="398"/>
      <c r="D201" s="398"/>
      <c r="E201" s="398"/>
      <c r="F201" s="398"/>
      <c r="G201" s="398"/>
      <c r="H201" s="398"/>
      <c r="I201" s="398"/>
      <c r="J201" s="398"/>
      <c r="K201" s="398"/>
      <c r="L201" s="398"/>
      <c r="M201" s="398"/>
    </row>
    <row r="202" spans="1:13">
      <c r="A202" s="398"/>
      <c r="B202" s="398"/>
      <c r="C202" s="398"/>
      <c r="D202" s="398"/>
      <c r="E202" s="398"/>
      <c r="F202" s="398"/>
      <c r="G202" s="398"/>
      <c r="H202" s="398"/>
      <c r="I202" s="398"/>
      <c r="J202" s="398"/>
      <c r="K202" s="398"/>
      <c r="L202" s="398"/>
      <c r="M202" s="398"/>
    </row>
    <row r="203" spans="1:13">
      <c r="A203" s="398"/>
      <c r="B203" s="398"/>
      <c r="C203" s="398"/>
      <c r="D203" s="398"/>
      <c r="E203" s="398"/>
      <c r="F203" s="398"/>
      <c r="G203" s="398"/>
      <c r="H203" s="398"/>
      <c r="I203" s="398"/>
      <c r="J203" s="398"/>
      <c r="K203" s="398"/>
      <c r="L203" s="398"/>
      <c r="M203" s="398"/>
    </row>
    <row r="204" spans="1:13">
      <c r="A204" s="398"/>
      <c r="B204" s="398"/>
      <c r="C204" s="398"/>
      <c r="D204" s="398"/>
      <c r="E204" s="398"/>
      <c r="F204" s="398"/>
      <c r="G204" s="398"/>
      <c r="H204" s="398"/>
      <c r="I204" s="398"/>
      <c r="J204" s="398"/>
      <c r="K204" s="398"/>
      <c r="L204" s="398"/>
      <c r="M204" s="398"/>
    </row>
    <row r="205" spans="1:13">
      <c r="A205" s="398"/>
      <c r="B205" s="398"/>
      <c r="C205" s="398"/>
      <c r="D205" s="398"/>
      <c r="E205" s="398"/>
      <c r="F205" s="398"/>
      <c r="G205" s="398"/>
      <c r="H205" s="398"/>
      <c r="I205" s="398"/>
      <c r="J205" s="398"/>
      <c r="K205" s="398"/>
      <c r="L205" s="398"/>
      <c r="M205" s="398"/>
    </row>
    <row r="206" spans="1:13">
      <c r="A206" s="398"/>
      <c r="B206" s="398"/>
      <c r="C206" s="398"/>
      <c r="D206" s="398"/>
      <c r="E206" s="398"/>
      <c r="F206" s="398"/>
      <c r="G206" s="398"/>
      <c r="H206" s="398"/>
      <c r="I206" s="398"/>
      <c r="J206" s="398"/>
      <c r="K206" s="398"/>
      <c r="L206" s="398"/>
      <c r="M206" s="398"/>
    </row>
    <row r="207" spans="1:13">
      <c r="A207" s="398"/>
      <c r="B207" s="398"/>
      <c r="C207" s="398"/>
      <c r="D207" s="398"/>
      <c r="E207" s="398"/>
      <c r="F207" s="398"/>
      <c r="G207" s="398"/>
      <c r="H207" s="398"/>
      <c r="I207" s="398"/>
      <c r="J207" s="398"/>
      <c r="K207" s="398"/>
      <c r="L207" s="398"/>
      <c r="M207" s="398"/>
    </row>
    <row r="208" spans="1:13">
      <c r="A208" s="398"/>
      <c r="B208" s="398"/>
      <c r="C208" s="398"/>
      <c r="D208" s="398"/>
      <c r="E208" s="398"/>
      <c r="F208" s="398"/>
      <c r="G208" s="398"/>
      <c r="H208" s="398"/>
      <c r="I208" s="398"/>
      <c r="J208" s="398"/>
      <c r="K208" s="398"/>
      <c r="L208" s="398"/>
      <c r="M208" s="398"/>
    </row>
    <row r="209" spans="1:13">
      <c r="A209" s="398"/>
      <c r="B209" s="398"/>
      <c r="C209" s="398"/>
      <c r="D209" s="398"/>
      <c r="E209" s="398"/>
      <c r="F209" s="398"/>
      <c r="G209" s="398"/>
      <c r="H209" s="398"/>
      <c r="I209" s="398"/>
      <c r="J209" s="398"/>
      <c r="K209" s="398"/>
      <c r="L209" s="398"/>
      <c r="M209" s="398"/>
    </row>
    <row r="210" spans="1:13">
      <c r="A210" s="398"/>
      <c r="B210" s="398"/>
      <c r="C210" s="398"/>
      <c r="D210" s="398"/>
      <c r="E210" s="398"/>
      <c r="F210" s="398"/>
      <c r="G210" s="398"/>
      <c r="H210" s="398"/>
      <c r="I210" s="398"/>
      <c r="J210" s="398"/>
      <c r="K210" s="398"/>
      <c r="L210" s="398"/>
      <c r="M210" s="398"/>
    </row>
    <row r="211" spans="1:13">
      <c r="A211" s="398"/>
      <c r="B211" s="398"/>
      <c r="C211" s="398"/>
      <c r="D211" s="398"/>
      <c r="E211" s="398"/>
      <c r="F211" s="398"/>
      <c r="G211" s="398"/>
      <c r="H211" s="398"/>
      <c r="I211" s="398"/>
      <c r="J211" s="398"/>
      <c r="K211" s="398"/>
      <c r="L211" s="398"/>
      <c r="M211" s="398"/>
    </row>
    <row r="212" spans="1:13">
      <c r="A212" s="398"/>
      <c r="B212" s="398"/>
      <c r="C212" s="398"/>
      <c r="D212" s="398"/>
      <c r="E212" s="398"/>
      <c r="F212" s="398"/>
      <c r="G212" s="398"/>
      <c r="H212" s="398"/>
      <c r="I212" s="398"/>
      <c r="J212" s="398"/>
      <c r="K212" s="398"/>
      <c r="L212" s="398"/>
      <c r="M212" s="398"/>
    </row>
    <row r="213" spans="1:13">
      <c r="A213" s="398"/>
      <c r="B213" s="398"/>
      <c r="C213" s="398"/>
      <c r="D213" s="398"/>
      <c r="E213" s="398"/>
      <c r="F213" s="398"/>
      <c r="G213" s="398"/>
      <c r="H213" s="398"/>
      <c r="I213" s="398"/>
      <c r="J213" s="398"/>
      <c r="K213" s="398"/>
      <c r="L213" s="398"/>
      <c r="M213" s="398"/>
    </row>
    <row r="214" spans="1:13">
      <c r="A214" s="398"/>
      <c r="B214" s="398"/>
      <c r="C214" s="398"/>
      <c r="D214" s="398"/>
      <c r="E214" s="398"/>
      <c r="F214" s="398"/>
      <c r="G214" s="398"/>
      <c r="H214" s="398"/>
      <c r="I214" s="398"/>
      <c r="J214" s="398"/>
      <c r="K214" s="398"/>
      <c r="L214" s="398"/>
      <c r="M214" s="398"/>
    </row>
    <row r="215" spans="1:13">
      <c r="A215" s="398"/>
      <c r="B215" s="398"/>
      <c r="C215" s="398"/>
      <c r="D215" s="398"/>
      <c r="E215" s="398"/>
      <c r="F215" s="398"/>
      <c r="G215" s="398"/>
      <c r="H215" s="398"/>
      <c r="I215" s="398"/>
      <c r="J215" s="398"/>
      <c r="K215" s="398"/>
      <c r="L215" s="398"/>
      <c r="M215" s="398"/>
    </row>
    <row r="216" spans="1:13">
      <c r="A216" s="398"/>
      <c r="B216" s="398"/>
      <c r="C216" s="398"/>
      <c r="D216" s="398"/>
      <c r="E216" s="398"/>
      <c r="F216" s="398"/>
      <c r="G216" s="398"/>
      <c r="H216" s="398"/>
      <c r="I216" s="398"/>
      <c r="J216" s="398"/>
      <c r="K216" s="398"/>
      <c r="L216" s="398"/>
      <c r="M216" s="398"/>
    </row>
    <row r="217" spans="1:13">
      <c r="A217" s="398"/>
      <c r="B217" s="398"/>
      <c r="C217" s="398"/>
      <c r="D217" s="398"/>
      <c r="E217" s="398"/>
      <c r="F217" s="398"/>
      <c r="G217" s="398"/>
      <c r="H217" s="398"/>
      <c r="I217" s="398"/>
      <c r="J217" s="398"/>
      <c r="K217" s="398"/>
      <c r="L217" s="398"/>
      <c r="M217" s="398"/>
    </row>
    <row r="218" spans="1:13">
      <c r="A218" s="398"/>
      <c r="B218" s="398"/>
      <c r="C218" s="398"/>
      <c r="D218" s="398"/>
      <c r="E218" s="398"/>
      <c r="F218" s="398"/>
      <c r="G218" s="398"/>
      <c r="H218" s="398"/>
      <c r="I218" s="398"/>
      <c r="J218" s="398"/>
      <c r="K218" s="398"/>
      <c r="L218" s="398"/>
      <c r="M218" s="398"/>
    </row>
    <row r="219" spans="1:13">
      <c r="A219" s="398"/>
      <c r="B219" s="398"/>
      <c r="C219" s="398"/>
      <c r="D219" s="398"/>
      <c r="E219" s="398"/>
      <c r="F219" s="398"/>
      <c r="G219" s="398"/>
      <c r="H219" s="398"/>
      <c r="I219" s="398"/>
      <c r="J219" s="398"/>
      <c r="K219" s="398"/>
      <c r="L219" s="398"/>
      <c r="M219" s="398"/>
    </row>
    <row r="220" spans="1:13">
      <c r="A220" s="398"/>
      <c r="B220" s="398"/>
      <c r="C220" s="398"/>
      <c r="D220" s="398"/>
      <c r="E220" s="398"/>
      <c r="F220" s="398"/>
      <c r="G220" s="398"/>
      <c r="H220" s="398"/>
      <c r="I220" s="398"/>
      <c r="J220" s="398"/>
      <c r="K220" s="398"/>
      <c r="L220" s="398"/>
      <c r="M220" s="398"/>
    </row>
    <row r="221" spans="1:13">
      <c r="A221" s="398"/>
      <c r="B221" s="398"/>
      <c r="C221" s="398"/>
      <c r="D221" s="398"/>
      <c r="E221" s="398"/>
      <c r="F221" s="398"/>
      <c r="G221" s="398"/>
      <c r="H221" s="398"/>
      <c r="I221" s="398"/>
      <c r="J221" s="398"/>
      <c r="K221" s="398"/>
      <c r="L221" s="398"/>
      <c r="M221" s="398"/>
    </row>
    <row r="222" spans="1:13">
      <c r="A222" s="398"/>
      <c r="B222" s="398"/>
      <c r="C222" s="398"/>
      <c r="D222" s="398"/>
      <c r="E222" s="398"/>
      <c r="F222" s="398"/>
      <c r="G222" s="398"/>
      <c r="H222" s="398"/>
      <c r="I222" s="398"/>
      <c r="J222" s="398"/>
      <c r="K222" s="398"/>
      <c r="L222" s="398"/>
      <c r="M222" s="398"/>
    </row>
    <row r="223" spans="1:13">
      <c r="A223" s="398"/>
      <c r="B223" s="398"/>
      <c r="C223" s="398"/>
      <c r="D223" s="398"/>
      <c r="E223" s="398"/>
      <c r="F223" s="398"/>
      <c r="G223" s="398"/>
      <c r="H223" s="398"/>
      <c r="I223" s="398"/>
      <c r="J223" s="398"/>
      <c r="K223" s="398"/>
      <c r="L223" s="398"/>
      <c r="M223" s="398"/>
    </row>
    <row r="224" spans="1:13">
      <c r="A224" s="398"/>
      <c r="B224" s="398"/>
      <c r="C224" s="398"/>
      <c r="D224" s="398"/>
      <c r="E224" s="398"/>
      <c r="F224" s="398"/>
      <c r="G224" s="398"/>
      <c r="H224" s="398"/>
      <c r="I224" s="398"/>
      <c r="J224" s="398"/>
      <c r="K224" s="398"/>
      <c r="L224" s="398"/>
      <c r="M224" s="398"/>
    </row>
    <row r="225" spans="1:13">
      <c r="A225" s="398"/>
      <c r="B225" s="398"/>
      <c r="C225" s="398"/>
      <c r="D225" s="398"/>
      <c r="E225" s="398"/>
      <c r="F225" s="398"/>
      <c r="G225" s="398"/>
      <c r="H225" s="398"/>
      <c r="I225" s="398"/>
      <c r="J225" s="398"/>
      <c r="K225" s="398"/>
      <c r="L225" s="398"/>
      <c r="M225" s="398"/>
    </row>
    <row r="226" spans="1:13">
      <c r="A226" s="398"/>
      <c r="B226" s="398"/>
      <c r="C226" s="398"/>
      <c r="D226" s="398"/>
      <c r="E226" s="398"/>
      <c r="F226" s="398"/>
      <c r="G226" s="398"/>
      <c r="H226" s="398"/>
      <c r="I226" s="398"/>
      <c r="J226" s="398"/>
      <c r="K226" s="398"/>
      <c r="L226" s="398"/>
      <c r="M226" s="398"/>
    </row>
    <row r="227" spans="1:13">
      <c r="A227" s="398"/>
      <c r="B227" s="398"/>
      <c r="C227" s="398"/>
      <c r="D227" s="398"/>
      <c r="E227" s="398"/>
      <c r="F227" s="398"/>
      <c r="G227" s="398"/>
      <c r="H227" s="398"/>
      <c r="I227" s="398"/>
      <c r="J227" s="398"/>
      <c r="K227" s="398"/>
      <c r="L227" s="398"/>
      <c r="M227" s="398"/>
    </row>
    <row r="228" spans="1:13">
      <c r="A228" s="398"/>
      <c r="B228" s="398"/>
      <c r="C228" s="398"/>
      <c r="D228" s="398"/>
      <c r="E228" s="398"/>
      <c r="F228" s="398"/>
      <c r="G228" s="398"/>
      <c r="H228" s="398"/>
      <c r="I228" s="398"/>
      <c r="J228" s="398"/>
      <c r="K228" s="398"/>
      <c r="L228" s="398"/>
      <c r="M228" s="398"/>
    </row>
    <row r="229" spans="1:13">
      <c r="A229" s="398"/>
      <c r="B229" s="398"/>
      <c r="C229" s="398"/>
      <c r="D229" s="398"/>
      <c r="E229" s="398"/>
      <c r="F229" s="398"/>
      <c r="G229" s="398"/>
      <c r="H229" s="398"/>
      <c r="I229" s="398"/>
      <c r="J229" s="398"/>
      <c r="K229" s="398"/>
      <c r="L229" s="398"/>
      <c r="M229" s="398"/>
    </row>
    <row r="230" spans="1:13">
      <c r="A230" s="398"/>
      <c r="B230" s="398"/>
      <c r="C230" s="398"/>
      <c r="D230" s="398"/>
      <c r="E230" s="398"/>
      <c r="F230" s="398"/>
      <c r="G230" s="398"/>
      <c r="H230" s="398"/>
      <c r="I230" s="398"/>
      <c r="J230" s="398"/>
      <c r="K230" s="398"/>
      <c r="L230" s="398"/>
      <c r="M230" s="398"/>
    </row>
    <row r="231" spans="1:13">
      <c r="A231" s="398"/>
      <c r="B231" s="398"/>
      <c r="C231" s="398"/>
      <c r="D231" s="398"/>
      <c r="E231" s="398"/>
      <c r="F231" s="398"/>
      <c r="G231" s="398"/>
      <c r="H231" s="398"/>
      <c r="I231" s="398"/>
      <c r="J231" s="398"/>
      <c r="K231" s="398"/>
      <c r="L231" s="398"/>
      <c r="M231" s="398"/>
    </row>
    <row r="232" spans="1:13">
      <c r="A232" s="398"/>
      <c r="B232" s="398"/>
      <c r="C232" s="398"/>
      <c r="D232" s="398"/>
      <c r="E232" s="398"/>
      <c r="F232" s="398"/>
      <c r="G232" s="398"/>
      <c r="H232" s="398"/>
      <c r="I232" s="398"/>
      <c r="J232" s="398"/>
      <c r="K232" s="398"/>
      <c r="L232" s="398"/>
      <c r="M232" s="398"/>
    </row>
    <row r="233" spans="1:13">
      <c r="A233" s="398"/>
      <c r="B233" s="398"/>
      <c r="C233" s="398"/>
      <c r="D233" s="398"/>
      <c r="E233" s="398"/>
      <c r="F233" s="398"/>
      <c r="G233" s="398"/>
      <c r="H233" s="398"/>
      <c r="I233" s="398"/>
      <c r="J233" s="398"/>
      <c r="K233" s="398"/>
      <c r="L233" s="398"/>
      <c r="M233" s="398"/>
    </row>
    <row r="234" spans="1:13">
      <c r="A234" s="398"/>
      <c r="B234" s="398"/>
      <c r="C234" s="398"/>
      <c r="D234" s="398"/>
      <c r="E234" s="398"/>
      <c r="F234" s="398"/>
      <c r="G234" s="398"/>
      <c r="H234" s="398"/>
      <c r="I234" s="398"/>
      <c r="J234" s="398"/>
      <c r="K234" s="398"/>
      <c r="L234" s="398"/>
      <c r="M234" s="398"/>
    </row>
    <row r="235" spans="1:13">
      <c r="A235" s="398"/>
      <c r="B235" s="398"/>
      <c r="C235" s="398"/>
      <c r="D235" s="398"/>
      <c r="E235" s="398"/>
      <c r="F235" s="398"/>
      <c r="G235" s="398"/>
      <c r="H235" s="398"/>
      <c r="I235" s="398"/>
      <c r="J235" s="398"/>
      <c r="K235" s="398"/>
      <c r="L235" s="398"/>
      <c r="M235" s="398"/>
    </row>
    <row r="236" spans="1:13">
      <c r="A236" s="398"/>
      <c r="B236" s="398"/>
      <c r="C236" s="398"/>
      <c r="D236" s="398"/>
      <c r="E236" s="398"/>
      <c r="F236" s="398"/>
      <c r="G236" s="398"/>
      <c r="H236" s="398"/>
      <c r="I236" s="398"/>
      <c r="J236" s="398"/>
      <c r="K236" s="398"/>
      <c r="L236" s="398"/>
      <c r="M236" s="398"/>
    </row>
    <row r="237" spans="1:13">
      <c r="A237" s="398"/>
      <c r="B237" s="398"/>
      <c r="C237" s="398"/>
      <c r="D237" s="398"/>
      <c r="E237" s="398"/>
      <c r="F237" s="398"/>
      <c r="G237" s="398"/>
      <c r="H237" s="398"/>
      <c r="I237" s="398"/>
      <c r="J237" s="398"/>
      <c r="K237" s="398"/>
      <c r="L237" s="398"/>
      <c r="M237" s="398"/>
    </row>
    <row r="238" spans="1:13">
      <c r="A238" s="398"/>
      <c r="B238" s="398"/>
      <c r="C238" s="398"/>
      <c r="D238" s="398"/>
      <c r="E238" s="398"/>
      <c r="F238" s="398"/>
      <c r="G238" s="398"/>
      <c r="H238" s="398"/>
      <c r="I238" s="398"/>
      <c r="J238" s="398"/>
      <c r="K238" s="398"/>
      <c r="L238" s="398"/>
      <c r="M238" s="398"/>
    </row>
    <row r="239" spans="1:13">
      <c r="A239" s="398"/>
      <c r="B239" s="398"/>
      <c r="C239" s="398"/>
      <c r="D239" s="398"/>
      <c r="E239" s="398"/>
      <c r="F239" s="398"/>
      <c r="G239" s="398"/>
      <c r="H239" s="398"/>
      <c r="I239" s="398"/>
      <c r="J239" s="398"/>
      <c r="K239" s="398"/>
      <c r="L239" s="398"/>
      <c r="M239" s="398"/>
    </row>
    <row r="240" spans="1:13">
      <c r="A240" s="398"/>
      <c r="B240" s="398"/>
      <c r="C240" s="398"/>
      <c r="D240" s="398"/>
      <c r="E240" s="398"/>
      <c r="F240" s="398"/>
      <c r="G240" s="398"/>
      <c r="H240" s="398"/>
      <c r="I240" s="398"/>
      <c r="J240" s="398"/>
      <c r="K240" s="398"/>
      <c r="L240" s="398"/>
      <c r="M240" s="398"/>
    </row>
    <row r="241" spans="1:13">
      <c r="A241" s="398"/>
      <c r="B241" s="398"/>
      <c r="C241" s="398"/>
      <c r="D241" s="398"/>
      <c r="E241" s="398"/>
      <c r="F241" s="398"/>
      <c r="G241" s="398"/>
      <c r="H241" s="398"/>
      <c r="I241" s="398"/>
      <c r="J241" s="398"/>
      <c r="K241" s="398"/>
      <c r="L241" s="398"/>
      <c r="M241" s="398"/>
    </row>
    <row r="242" spans="1:13">
      <c r="A242" s="398"/>
      <c r="B242" s="398"/>
      <c r="C242" s="398"/>
      <c r="D242" s="398"/>
      <c r="E242" s="398"/>
      <c r="F242" s="398"/>
      <c r="G242" s="398"/>
      <c r="H242" s="398"/>
      <c r="I242" s="398"/>
      <c r="J242" s="398"/>
      <c r="K242" s="398"/>
      <c r="L242" s="398"/>
      <c r="M242" s="398"/>
    </row>
    <row r="243" spans="1:13">
      <c r="A243" s="398"/>
      <c r="B243" s="398"/>
      <c r="C243" s="398"/>
      <c r="D243" s="398"/>
      <c r="E243" s="398"/>
      <c r="F243" s="398"/>
      <c r="G243" s="398"/>
      <c r="H243" s="398"/>
      <c r="I243" s="398"/>
      <c r="J243" s="398"/>
      <c r="K243" s="398"/>
      <c r="L243" s="398"/>
      <c r="M243" s="398"/>
    </row>
    <row r="244" spans="1:13">
      <c r="A244" s="398"/>
      <c r="B244" s="398"/>
      <c r="C244" s="398"/>
      <c r="D244" s="398"/>
      <c r="E244" s="398"/>
      <c r="F244" s="398"/>
      <c r="G244" s="398"/>
      <c r="H244" s="398"/>
      <c r="I244" s="398"/>
      <c r="J244" s="398"/>
      <c r="K244" s="398"/>
      <c r="L244" s="398"/>
      <c r="M244" s="398"/>
    </row>
    <row r="245" spans="1:13">
      <c r="A245" s="398"/>
      <c r="B245" s="398"/>
      <c r="C245" s="398"/>
      <c r="D245" s="398"/>
      <c r="E245" s="398"/>
      <c r="F245" s="398"/>
      <c r="G245" s="398"/>
      <c r="H245" s="398"/>
      <c r="I245" s="398"/>
      <c r="J245" s="398"/>
      <c r="K245" s="398"/>
      <c r="L245" s="398"/>
      <c r="M245" s="398"/>
    </row>
    <row r="246" spans="1:13">
      <c r="A246" s="398"/>
      <c r="B246" s="398"/>
      <c r="C246" s="398"/>
      <c r="D246" s="398"/>
      <c r="E246" s="398"/>
      <c r="F246" s="398"/>
      <c r="G246" s="398"/>
      <c r="H246" s="398"/>
      <c r="I246" s="398"/>
      <c r="J246" s="398"/>
      <c r="K246" s="398"/>
      <c r="L246" s="398"/>
      <c r="M246" s="398"/>
    </row>
    <row r="247" spans="1:13">
      <c r="A247" s="398"/>
      <c r="B247" s="398"/>
      <c r="C247" s="398"/>
      <c r="D247" s="398"/>
      <c r="E247" s="398"/>
      <c r="F247" s="398"/>
      <c r="G247" s="398"/>
      <c r="H247" s="398"/>
      <c r="I247" s="398"/>
      <c r="J247" s="398"/>
      <c r="K247" s="398"/>
      <c r="L247" s="398"/>
      <c r="M247" s="398"/>
    </row>
    <row r="248" spans="1:13">
      <c r="A248" s="398"/>
      <c r="B248" s="398"/>
      <c r="C248" s="398"/>
      <c r="D248" s="398"/>
      <c r="E248" s="398"/>
      <c r="F248" s="398"/>
      <c r="G248" s="398"/>
      <c r="H248" s="398"/>
      <c r="I248" s="398"/>
      <c r="J248" s="398"/>
      <c r="K248" s="398"/>
      <c r="L248" s="398"/>
      <c r="M248" s="398"/>
    </row>
    <row r="249" spans="1:13">
      <c r="A249" s="398"/>
      <c r="B249" s="398"/>
      <c r="C249" s="398"/>
      <c r="D249" s="398"/>
      <c r="E249" s="398"/>
      <c r="F249" s="398"/>
      <c r="G249" s="398"/>
      <c r="H249" s="398"/>
      <c r="I249" s="398"/>
      <c r="J249" s="398"/>
      <c r="K249" s="398"/>
      <c r="L249" s="398"/>
      <c r="M249" s="398"/>
    </row>
    <row r="250" spans="1:13">
      <c r="A250" s="398"/>
      <c r="B250" s="398"/>
      <c r="C250" s="398"/>
      <c r="D250" s="398"/>
      <c r="E250" s="398"/>
      <c r="F250" s="398"/>
      <c r="G250" s="398"/>
      <c r="H250" s="398"/>
      <c r="I250" s="398"/>
      <c r="J250" s="398"/>
      <c r="K250" s="398"/>
      <c r="L250" s="398"/>
      <c r="M250" s="398"/>
    </row>
    <row r="251" spans="1:13">
      <c r="A251" s="398"/>
      <c r="B251" s="398"/>
      <c r="C251" s="398"/>
      <c r="D251" s="398"/>
      <c r="E251" s="398"/>
      <c r="F251" s="398"/>
      <c r="G251" s="398"/>
      <c r="H251" s="398"/>
      <c r="I251" s="398"/>
      <c r="J251" s="398"/>
      <c r="K251" s="398"/>
      <c r="L251" s="398"/>
      <c r="M251" s="398"/>
    </row>
    <row r="252" spans="1:13">
      <c r="A252" s="398"/>
      <c r="B252" s="398"/>
      <c r="C252" s="398"/>
      <c r="D252" s="398"/>
      <c r="E252" s="398"/>
      <c r="F252" s="398"/>
      <c r="G252" s="398"/>
      <c r="H252" s="398"/>
      <c r="I252" s="398"/>
      <c r="J252" s="398"/>
      <c r="K252" s="398"/>
      <c r="L252" s="398"/>
      <c r="M252" s="398"/>
    </row>
    <row r="253" spans="1:13">
      <c r="A253" s="398"/>
      <c r="B253" s="398"/>
      <c r="C253" s="398"/>
      <c r="D253" s="398"/>
      <c r="E253" s="398"/>
      <c r="F253" s="398"/>
      <c r="G253" s="398"/>
      <c r="H253" s="398"/>
      <c r="I253" s="398"/>
      <c r="J253" s="398"/>
      <c r="K253" s="398"/>
      <c r="L253" s="398"/>
      <c r="M253" s="398"/>
    </row>
    <row r="254" spans="1:13">
      <c r="A254" s="398"/>
      <c r="B254" s="398"/>
      <c r="C254" s="398"/>
      <c r="D254" s="398"/>
      <c r="E254" s="398"/>
      <c r="F254" s="398"/>
      <c r="G254" s="398"/>
      <c r="H254" s="398"/>
      <c r="I254" s="398"/>
      <c r="J254" s="398"/>
      <c r="K254" s="398"/>
      <c r="L254" s="398"/>
      <c r="M254" s="398"/>
    </row>
    <row r="255" spans="1:13">
      <c r="A255" s="398"/>
      <c r="B255" s="398"/>
      <c r="C255" s="398"/>
      <c r="D255" s="398"/>
      <c r="E255" s="398"/>
      <c r="F255" s="398"/>
      <c r="G255" s="398"/>
      <c r="H255" s="398"/>
      <c r="I255" s="398"/>
      <c r="J255" s="398"/>
      <c r="K255" s="398"/>
      <c r="L255" s="398"/>
      <c r="M255" s="398"/>
    </row>
    <row r="256" spans="1:13">
      <c r="A256" s="398"/>
      <c r="B256" s="398"/>
      <c r="C256" s="398"/>
      <c r="D256" s="398"/>
      <c r="E256" s="398"/>
      <c r="F256" s="398"/>
      <c r="G256" s="398"/>
      <c r="H256" s="398"/>
      <c r="I256" s="398"/>
      <c r="J256" s="398"/>
      <c r="K256" s="398"/>
      <c r="L256" s="398"/>
      <c r="M256" s="398"/>
    </row>
    <row r="257" spans="1:13">
      <c r="A257" s="398"/>
      <c r="B257" s="398"/>
      <c r="C257" s="398"/>
      <c r="D257" s="398"/>
      <c r="E257" s="398"/>
      <c r="F257" s="398"/>
      <c r="G257" s="398"/>
      <c r="H257" s="398"/>
      <c r="I257" s="398"/>
      <c r="J257" s="398"/>
      <c r="K257" s="398"/>
      <c r="L257" s="398"/>
      <c r="M257" s="398"/>
    </row>
    <row r="258" spans="1:13">
      <c r="A258" s="398"/>
      <c r="B258" s="398"/>
      <c r="C258" s="398"/>
      <c r="D258" s="398"/>
      <c r="E258" s="398"/>
      <c r="F258" s="398"/>
      <c r="G258" s="398"/>
      <c r="H258" s="398"/>
      <c r="I258" s="398"/>
      <c r="J258" s="398"/>
      <c r="K258" s="398"/>
      <c r="L258" s="398"/>
      <c r="M258" s="398"/>
    </row>
    <row r="259" spans="1:13">
      <c r="A259" s="398"/>
      <c r="B259" s="398"/>
      <c r="C259" s="398"/>
      <c r="D259" s="398"/>
      <c r="E259" s="398"/>
      <c r="F259" s="398"/>
      <c r="G259" s="398"/>
      <c r="H259" s="398"/>
      <c r="I259" s="398"/>
      <c r="J259" s="398"/>
      <c r="K259" s="398"/>
      <c r="L259" s="398"/>
      <c r="M259" s="398"/>
    </row>
    <row r="260" spans="1:13">
      <c r="A260" s="398"/>
      <c r="B260" s="398"/>
      <c r="C260" s="398"/>
      <c r="D260" s="398"/>
      <c r="E260" s="398"/>
      <c r="F260" s="398"/>
      <c r="G260" s="398"/>
      <c r="H260" s="398"/>
      <c r="I260" s="398"/>
      <c r="J260" s="398"/>
      <c r="K260" s="398"/>
      <c r="L260" s="398"/>
      <c r="M260" s="398"/>
    </row>
    <row r="261" spans="1:13">
      <c r="A261" s="398"/>
      <c r="B261" s="398"/>
      <c r="C261" s="398"/>
      <c r="D261" s="398"/>
      <c r="E261" s="398"/>
      <c r="F261" s="398"/>
      <c r="G261" s="398"/>
      <c r="H261" s="398"/>
      <c r="I261" s="398"/>
      <c r="J261" s="398"/>
      <c r="K261" s="398"/>
      <c r="L261" s="398"/>
      <c r="M261" s="398"/>
    </row>
    <row r="262" spans="1:13">
      <c r="A262" s="398"/>
      <c r="B262" s="398"/>
      <c r="C262" s="398"/>
      <c r="D262" s="398"/>
      <c r="E262" s="398"/>
      <c r="F262" s="398"/>
      <c r="G262" s="398"/>
      <c r="H262" s="398"/>
      <c r="I262" s="398"/>
      <c r="J262" s="398"/>
      <c r="K262" s="398"/>
      <c r="L262" s="398"/>
      <c r="M262" s="398"/>
    </row>
    <row r="263" spans="1:13">
      <c r="A263" s="398"/>
      <c r="B263" s="398"/>
      <c r="C263" s="398"/>
      <c r="D263" s="398"/>
      <c r="E263" s="398"/>
      <c r="F263" s="398"/>
      <c r="G263" s="398"/>
      <c r="H263" s="398"/>
      <c r="I263" s="398"/>
      <c r="J263" s="398"/>
      <c r="K263" s="398"/>
      <c r="L263" s="398"/>
      <c r="M263" s="398"/>
    </row>
    <row r="264" spans="1:13">
      <c r="A264" s="398"/>
      <c r="B264" s="398"/>
      <c r="C264" s="398"/>
      <c r="D264" s="398"/>
      <c r="E264" s="398"/>
      <c r="F264" s="398"/>
      <c r="G264" s="398"/>
      <c r="H264" s="398"/>
      <c r="I264" s="398"/>
      <c r="J264" s="398"/>
      <c r="K264" s="398"/>
      <c r="L264" s="398"/>
      <c r="M264" s="398"/>
    </row>
    <row r="265" spans="1:13">
      <c r="A265" s="398"/>
      <c r="B265" s="398"/>
      <c r="C265" s="398"/>
      <c r="D265" s="398"/>
      <c r="E265" s="398"/>
      <c r="F265" s="398"/>
      <c r="G265" s="398"/>
      <c r="H265" s="398"/>
      <c r="I265" s="398"/>
      <c r="J265" s="398"/>
      <c r="K265" s="398"/>
      <c r="L265" s="398"/>
      <c r="M265" s="398"/>
    </row>
    <row r="266" spans="1:13">
      <c r="A266" s="398"/>
      <c r="B266" s="398"/>
      <c r="C266" s="398"/>
      <c r="D266" s="398"/>
      <c r="E266" s="398"/>
      <c r="F266" s="398"/>
      <c r="G266" s="398"/>
      <c r="H266" s="398"/>
      <c r="I266" s="398"/>
      <c r="J266" s="398"/>
      <c r="K266" s="398"/>
      <c r="L266" s="398"/>
      <c r="M266" s="398"/>
    </row>
    <row r="267" spans="1:13">
      <c r="A267" s="398"/>
      <c r="B267" s="398"/>
      <c r="C267" s="398"/>
      <c r="D267" s="398"/>
      <c r="E267" s="398"/>
      <c r="F267" s="398"/>
      <c r="G267" s="398"/>
      <c r="H267" s="398"/>
      <c r="I267" s="398"/>
      <c r="J267" s="398"/>
      <c r="K267" s="398"/>
      <c r="L267" s="398"/>
      <c r="M267" s="398"/>
    </row>
    <row r="268" spans="1:13">
      <c r="A268" s="398"/>
      <c r="B268" s="398"/>
      <c r="C268" s="398"/>
      <c r="D268" s="398"/>
      <c r="E268" s="398"/>
      <c r="F268" s="398"/>
      <c r="G268" s="398"/>
      <c r="H268" s="398"/>
      <c r="I268" s="398"/>
      <c r="J268" s="398"/>
      <c r="K268" s="398"/>
      <c r="L268" s="398"/>
      <c r="M268" s="398"/>
    </row>
    <row r="269" spans="1:13">
      <c r="A269" s="398"/>
      <c r="B269" s="398"/>
      <c r="C269" s="398"/>
      <c r="D269" s="398"/>
      <c r="E269" s="398"/>
      <c r="F269" s="398"/>
      <c r="G269" s="398"/>
      <c r="H269" s="398"/>
      <c r="I269" s="398"/>
      <c r="J269" s="398"/>
      <c r="K269" s="398"/>
      <c r="L269" s="398"/>
      <c r="M269" s="398"/>
    </row>
    <row r="270" spans="1:13">
      <c r="A270" s="398"/>
      <c r="B270" s="398"/>
      <c r="C270" s="398"/>
      <c r="D270" s="398"/>
      <c r="E270" s="398"/>
      <c r="F270" s="398"/>
      <c r="G270" s="398"/>
      <c r="H270" s="398"/>
      <c r="I270" s="398"/>
      <c r="J270" s="398"/>
      <c r="K270" s="398"/>
      <c r="L270" s="398"/>
      <c r="M270" s="398"/>
    </row>
    <row r="271" spans="1:13">
      <c r="A271" s="398"/>
      <c r="B271" s="398"/>
      <c r="C271" s="398"/>
      <c r="D271" s="398"/>
      <c r="E271" s="398"/>
      <c r="F271" s="398"/>
      <c r="G271" s="398"/>
      <c r="H271" s="398"/>
      <c r="I271" s="398"/>
      <c r="J271" s="398"/>
      <c r="K271" s="398"/>
      <c r="L271" s="398"/>
      <c r="M271" s="398"/>
    </row>
    <row r="272" spans="1:13">
      <c r="A272" s="398"/>
      <c r="B272" s="398"/>
      <c r="C272" s="398"/>
      <c r="D272" s="398"/>
      <c r="E272" s="398"/>
      <c r="F272" s="398"/>
      <c r="G272" s="398"/>
      <c r="H272" s="398"/>
      <c r="I272" s="398"/>
      <c r="J272" s="398"/>
      <c r="K272" s="398"/>
      <c r="L272" s="398"/>
      <c r="M272" s="398"/>
    </row>
    <row r="273" spans="1:13">
      <c r="A273" s="398"/>
      <c r="B273" s="398"/>
      <c r="C273" s="398"/>
      <c r="D273" s="398"/>
      <c r="E273" s="398"/>
      <c r="F273" s="398"/>
      <c r="G273" s="398"/>
      <c r="H273" s="398"/>
      <c r="I273" s="398"/>
      <c r="J273" s="398"/>
      <c r="K273" s="398"/>
      <c r="L273" s="398"/>
      <c r="M273" s="398"/>
    </row>
    <row r="274" spans="1:13">
      <c r="A274" s="398"/>
      <c r="B274" s="398"/>
      <c r="C274" s="398"/>
      <c r="D274" s="398"/>
      <c r="E274" s="398"/>
      <c r="F274" s="398"/>
      <c r="G274" s="398"/>
      <c r="H274" s="398"/>
      <c r="I274" s="398"/>
      <c r="J274" s="398"/>
      <c r="K274" s="398"/>
      <c r="L274" s="398"/>
      <c r="M274" s="398"/>
    </row>
    <row r="275" spans="1:13">
      <c r="A275" s="398"/>
      <c r="B275" s="398"/>
      <c r="C275" s="398"/>
      <c r="D275" s="398"/>
      <c r="E275" s="398"/>
      <c r="F275" s="398"/>
      <c r="G275" s="398"/>
      <c r="H275" s="398"/>
      <c r="I275" s="398"/>
      <c r="J275" s="398"/>
      <c r="K275" s="398"/>
      <c r="L275" s="398"/>
      <c r="M275" s="398"/>
    </row>
    <row r="276" spans="1:13">
      <c r="A276" s="398"/>
      <c r="B276" s="398"/>
      <c r="C276" s="398"/>
      <c r="D276" s="398"/>
      <c r="E276" s="398"/>
      <c r="F276" s="398"/>
      <c r="G276" s="398"/>
      <c r="H276" s="398"/>
      <c r="I276" s="398"/>
      <c r="J276" s="398"/>
      <c r="K276" s="398"/>
      <c r="L276" s="398"/>
      <c r="M276" s="398"/>
    </row>
    <row r="277" spans="1:13">
      <c r="A277" s="398"/>
      <c r="B277" s="398"/>
      <c r="C277" s="398"/>
      <c r="D277" s="398"/>
      <c r="E277" s="398"/>
      <c r="F277" s="398"/>
      <c r="G277" s="398"/>
      <c r="H277" s="398"/>
      <c r="I277" s="398"/>
      <c r="J277" s="398"/>
      <c r="K277" s="398"/>
      <c r="L277" s="398"/>
      <c r="M277" s="398"/>
    </row>
    <row r="278" spans="1:13">
      <c r="A278" s="398"/>
      <c r="B278" s="398"/>
      <c r="C278" s="398"/>
      <c r="D278" s="398"/>
      <c r="E278" s="398"/>
      <c r="F278" s="398"/>
      <c r="G278" s="398"/>
      <c r="H278" s="398"/>
      <c r="I278" s="398"/>
      <c r="J278" s="398"/>
      <c r="K278" s="398"/>
      <c r="L278" s="398"/>
      <c r="M278" s="398"/>
    </row>
    <row r="279" spans="1:13">
      <c r="A279" s="398"/>
      <c r="B279" s="398"/>
      <c r="C279" s="398"/>
      <c r="D279" s="398"/>
      <c r="E279" s="398"/>
      <c r="F279" s="398"/>
      <c r="G279" s="398"/>
      <c r="H279" s="398"/>
      <c r="I279" s="398"/>
      <c r="J279" s="398"/>
      <c r="K279" s="398"/>
      <c r="L279" s="398"/>
      <c r="M279" s="398"/>
    </row>
    <row r="280" spans="1:13">
      <c r="A280" s="398"/>
      <c r="B280" s="398"/>
      <c r="C280" s="398"/>
      <c r="D280" s="398"/>
      <c r="E280" s="398"/>
      <c r="F280" s="398"/>
      <c r="G280" s="398"/>
      <c r="H280" s="398"/>
      <c r="I280" s="398"/>
      <c r="J280" s="398"/>
      <c r="K280" s="398"/>
      <c r="L280" s="398"/>
      <c r="M280" s="398"/>
    </row>
    <row r="281" spans="1:13">
      <c r="A281" s="398"/>
      <c r="B281" s="398"/>
      <c r="C281" s="398"/>
      <c r="D281" s="398"/>
      <c r="E281" s="398"/>
      <c r="F281" s="398"/>
      <c r="G281" s="398"/>
      <c r="H281" s="398"/>
      <c r="I281" s="398"/>
      <c r="J281" s="398"/>
      <c r="K281" s="398"/>
      <c r="L281" s="398"/>
      <c r="M281" s="398"/>
    </row>
    <row r="282" spans="1:13">
      <c r="A282" s="398"/>
      <c r="B282" s="398"/>
      <c r="C282" s="398"/>
      <c r="D282" s="398"/>
      <c r="E282" s="398"/>
      <c r="F282" s="398"/>
      <c r="G282" s="398"/>
      <c r="H282" s="398"/>
      <c r="I282" s="398"/>
      <c r="J282" s="398"/>
      <c r="K282" s="398"/>
      <c r="L282" s="398"/>
      <c r="M282" s="398"/>
    </row>
    <row r="283" spans="1:13">
      <c r="A283" s="398"/>
      <c r="B283" s="398"/>
      <c r="C283" s="398"/>
      <c r="D283" s="398"/>
      <c r="E283" s="398"/>
      <c r="F283" s="398"/>
      <c r="G283" s="398"/>
      <c r="H283" s="398"/>
      <c r="I283" s="398"/>
      <c r="J283" s="398"/>
      <c r="K283" s="398"/>
      <c r="L283" s="398"/>
      <c r="M283" s="398"/>
    </row>
    <row r="284" spans="1:13">
      <c r="A284" s="398"/>
      <c r="B284" s="398"/>
      <c r="C284" s="398"/>
      <c r="D284" s="398"/>
      <c r="E284" s="398"/>
      <c r="F284" s="398"/>
      <c r="G284" s="398"/>
      <c r="H284" s="398"/>
      <c r="I284" s="398"/>
      <c r="J284" s="398"/>
      <c r="K284" s="398"/>
      <c r="L284" s="398"/>
      <c r="M284" s="398"/>
    </row>
    <row r="285" spans="1:13">
      <c r="A285" s="398"/>
      <c r="B285" s="398"/>
      <c r="C285" s="398"/>
      <c r="D285" s="398"/>
      <c r="E285" s="398"/>
      <c r="F285" s="398"/>
      <c r="G285" s="398"/>
      <c r="H285" s="398"/>
      <c r="I285" s="398"/>
      <c r="J285" s="398"/>
      <c r="K285" s="398"/>
      <c r="L285" s="398"/>
      <c r="M285" s="398"/>
    </row>
    <row r="286" spans="1:13">
      <c r="A286" s="398"/>
      <c r="B286" s="398"/>
      <c r="C286" s="398"/>
      <c r="D286" s="398"/>
      <c r="E286" s="398"/>
      <c r="F286" s="398"/>
      <c r="G286" s="398"/>
      <c r="H286" s="398"/>
      <c r="I286" s="398"/>
      <c r="J286" s="398"/>
      <c r="K286" s="398"/>
      <c r="L286" s="398"/>
      <c r="M286" s="398"/>
    </row>
    <row r="287" spans="1:13">
      <c r="A287" s="398"/>
      <c r="B287" s="398"/>
      <c r="C287" s="398"/>
      <c r="D287" s="398"/>
      <c r="E287" s="398"/>
      <c r="F287" s="398"/>
      <c r="G287" s="398"/>
      <c r="H287" s="398"/>
      <c r="I287" s="398"/>
      <c r="J287" s="398"/>
      <c r="K287" s="398"/>
      <c r="L287" s="398"/>
      <c r="M287" s="398"/>
    </row>
    <row r="288" spans="1:13">
      <c r="A288" s="398"/>
      <c r="B288" s="398"/>
      <c r="C288" s="398"/>
      <c r="D288" s="398"/>
      <c r="E288" s="398"/>
      <c r="F288" s="398"/>
      <c r="G288" s="398"/>
      <c r="H288" s="398"/>
      <c r="I288" s="398"/>
      <c r="J288" s="398"/>
      <c r="K288" s="398"/>
      <c r="L288" s="398"/>
      <c r="M288" s="398"/>
    </row>
    <row r="289" spans="1:13">
      <c r="A289" s="398"/>
      <c r="B289" s="398"/>
      <c r="C289" s="398"/>
      <c r="D289" s="398"/>
      <c r="E289" s="398"/>
      <c r="F289" s="398"/>
      <c r="G289" s="398"/>
      <c r="H289" s="398"/>
      <c r="I289" s="398"/>
      <c r="J289" s="398"/>
      <c r="K289" s="398"/>
      <c r="L289" s="398"/>
      <c r="M289" s="398"/>
    </row>
    <row r="290" spans="1:13">
      <c r="A290" s="398"/>
      <c r="B290" s="398"/>
      <c r="C290" s="398"/>
      <c r="D290" s="398"/>
      <c r="E290" s="398"/>
      <c r="F290" s="398"/>
      <c r="G290" s="398"/>
      <c r="H290" s="398"/>
      <c r="I290" s="398"/>
      <c r="J290" s="398"/>
      <c r="K290" s="398"/>
      <c r="L290" s="398"/>
      <c r="M290" s="398"/>
    </row>
    <row r="291" spans="1:13">
      <c r="A291" s="398"/>
      <c r="B291" s="398"/>
      <c r="C291" s="398"/>
      <c r="D291" s="398"/>
      <c r="E291" s="398"/>
      <c r="F291" s="398"/>
      <c r="G291" s="398"/>
      <c r="H291" s="398"/>
      <c r="I291" s="398"/>
      <c r="J291" s="398"/>
      <c r="K291" s="398"/>
      <c r="L291" s="398"/>
      <c r="M291" s="398"/>
    </row>
    <row r="292" spans="1:13">
      <c r="A292" s="398"/>
      <c r="B292" s="398"/>
      <c r="C292" s="398"/>
      <c r="D292" s="398"/>
      <c r="E292" s="398"/>
      <c r="F292" s="398"/>
      <c r="G292" s="398"/>
      <c r="H292" s="398"/>
      <c r="I292" s="398"/>
      <c r="J292" s="398"/>
      <c r="K292" s="398"/>
      <c r="L292" s="398"/>
      <c r="M292" s="398"/>
    </row>
    <row r="293" spans="1:13">
      <c r="A293" s="398"/>
      <c r="B293" s="398"/>
      <c r="C293" s="398"/>
      <c r="D293" s="398"/>
      <c r="E293" s="398"/>
      <c r="F293" s="398"/>
      <c r="G293" s="398"/>
      <c r="H293" s="398"/>
      <c r="I293" s="398"/>
      <c r="J293" s="398"/>
      <c r="K293" s="398"/>
      <c r="L293" s="398"/>
      <c r="M293" s="398"/>
    </row>
    <row r="294" spans="1:13">
      <c r="A294" s="398"/>
      <c r="B294" s="398"/>
      <c r="C294" s="398"/>
      <c r="D294" s="398"/>
      <c r="E294" s="398"/>
      <c r="F294" s="398"/>
      <c r="G294" s="398"/>
      <c r="H294" s="398"/>
      <c r="I294" s="398"/>
      <c r="J294" s="398"/>
      <c r="K294" s="398"/>
      <c r="L294" s="398"/>
      <c r="M294" s="398"/>
    </row>
    <row r="295" spans="1:13">
      <c r="A295" s="398"/>
      <c r="B295" s="398"/>
      <c r="C295" s="398"/>
      <c r="D295" s="398"/>
      <c r="E295" s="398"/>
      <c r="F295" s="398"/>
      <c r="G295" s="398"/>
      <c r="H295" s="398"/>
      <c r="I295" s="398"/>
      <c r="J295" s="398"/>
      <c r="K295" s="398"/>
      <c r="L295" s="398"/>
      <c r="M295" s="398"/>
    </row>
    <row r="296" spans="1:13">
      <c r="A296" s="398"/>
      <c r="B296" s="398"/>
      <c r="C296" s="398"/>
      <c r="D296" s="398"/>
      <c r="E296" s="398"/>
      <c r="F296" s="398"/>
      <c r="G296" s="398"/>
      <c r="H296" s="398"/>
      <c r="I296" s="398"/>
      <c r="J296" s="398"/>
      <c r="K296" s="398"/>
      <c r="L296" s="398"/>
      <c r="M296" s="398"/>
    </row>
    <row r="297" spans="1:13">
      <c r="A297" s="398"/>
      <c r="B297" s="398"/>
      <c r="C297" s="398"/>
      <c r="D297" s="398"/>
      <c r="E297" s="398"/>
      <c r="F297" s="398"/>
      <c r="G297" s="398"/>
      <c r="H297" s="398"/>
      <c r="I297" s="398"/>
      <c r="J297" s="398"/>
      <c r="K297" s="398"/>
      <c r="L297" s="398"/>
      <c r="M297" s="398"/>
    </row>
    <row r="298" spans="1:13">
      <c r="A298" s="398"/>
      <c r="B298" s="398"/>
      <c r="C298" s="398"/>
      <c r="D298" s="398"/>
      <c r="E298" s="398"/>
      <c r="F298" s="398"/>
      <c r="G298" s="398"/>
      <c r="H298" s="398"/>
      <c r="I298" s="398"/>
      <c r="J298" s="398"/>
      <c r="K298" s="398"/>
      <c r="L298" s="398"/>
      <c r="M298" s="398"/>
    </row>
    <row r="299" spans="1:13">
      <c r="A299" s="398"/>
      <c r="B299" s="398"/>
      <c r="C299" s="398"/>
      <c r="D299" s="398"/>
      <c r="E299" s="398"/>
      <c r="F299" s="398"/>
      <c r="G299" s="398"/>
      <c r="H299" s="398"/>
      <c r="I299" s="398"/>
      <c r="J299" s="398"/>
      <c r="K299" s="398"/>
      <c r="L299" s="398"/>
      <c r="M299" s="398"/>
    </row>
    <row r="300" spans="1:13">
      <c r="A300" s="398"/>
      <c r="B300" s="398"/>
      <c r="C300" s="398"/>
      <c r="D300" s="398"/>
      <c r="E300" s="398"/>
      <c r="F300" s="398"/>
      <c r="G300" s="398"/>
      <c r="H300" s="398"/>
      <c r="I300" s="398"/>
      <c r="J300" s="398"/>
      <c r="K300" s="398"/>
      <c r="L300" s="398"/>
      <c r="M300" s="398"/>
    </row>
    <row r="301" spans="1:13">
      <c r="A301" s="398"/>
      <c r="B301" s="398"/>
      <c r="C301" s="398"/>
      <c r="D301" s="398"/>
      <c r="E301" s="398"/>
      <c r="F301" s="398"/>
      <c r="G301" s="398"/>
      <c r="H301" s="398"/>
      <c r="I301" s="398"/>
      <c r="J301" s="398"/>
      <c r="K301" s="398"/>
      <c r="L301" s="398"/>
      <c r="M301" s="398"/>
    </row>
    <row r="302" spans="1:13">
      <c r="A302" s="398"/>
      <c r="B302" s="398"/>
      <c r="C302" s="398"/>
      <c r="D302" s="398"/>
      <c r="E302" s="398"/>
      <c r="F302" s="398"/>
      <c r="G302" s="398"/>
      <c r="H302" s="398"/>
      <c r="I302" s="398"/>
      <c r="J302" s="398"/>
      <c r="K302" s="398"/>
      <c r="L302" s="398"/>
      <c r="M302" s="398"/>
    </row>
    <row r="303" spans="1:13">
      <c r="A303" s="398"/>
      <c r="B303" s="398"/>
      <c r="C303" s="398"/>
      <c r="D303" s="398"/>
      <c r="E303" s="398"/>
      <c r="F303" s="398"/>
      <c r="G303" s="398"/>
      <c r="H303" s="398"/>
      <c r="I303" s="398"/>
      <c r="J303" s="398"/>
      <c r="K303" s="398"/>
      <c r="L303" s="398"/>
      <c r="M303" s="398"/>
    </row>
    <row r="304" spans="1:13">
      <c r="A304" s="398"/>
      <c r="B304" s="398"/>
      <c r="C304" s="398"/>
      <c r="D304" s="398"/>
      <c r="E304" s="398"/>
      <c r="F304" s="398"/>
      <c r="G304" s="398"/>
      <c r="H304" s="398"/>
      <c r="I304" s="398"/>
      <c r="J304" s="398"/>
      <c r="K304" s="398"/>
      <c r="L304" s="398"/>
      <c r="M304" s="398"/>
    </row>
    <row r="305" spans="1:13">
      <c r="A305" s="398"/>
      <c r="B305" s="398"/>
      <c r="C305" s="398"/>
      <c r="D305" s="398"/>
      <c r="E305" s="398"/>
      <c r="F305" s="398"/>
      <c r="G305" s="398"/>
      <c r="H305" s="398"/>
      <c r="I305" s="398"/>
      <c r="J305" s="398"/>
      <c r="K305" s="398"/>
      <c r="L305" s="398"/>
      <c r="M305" s="398"/>
    </row>
    <row r="306" spans="1:13">
      <c r="A306" s="398"/>
      <c r="B306" s="398"/>
      <c r="C306" s="398"/>
      <c r="D306" s="398"/>
      <c r="E306" s="398"/>
      <c r="F306" s="398"/>
      <c r="G306" s="398"/>
      <c r="H306" s="398"/>
      <c r="I306" s="398"/>
      <c r="J306" s="398"/>
      <c r="K306" s="398"/>
      <c r="L306" s="398"/>
      <c r="M306" s="398"/>
    </row>
    <row r="307" spans="1:13">
      <c r="A307" s="398"/>
      <c r="B307" s="398"/>
      <c r="C307" s="398"/>
      <c r="D307" s="398"/>
      <c r="E307" s="398"/>
      <c r="F307" s="398"/>
      <c r="G307" s="398"/>
      <c r="H307" s="398"/>
      <c r="I307" s="398"/>
      <c r="J307" s="398"/>
      <c r="K307" s="398"/>
      <c r="L307" s="398"/>
      <c r="M307" s="398"/>
    </row>
    <row r="308" spans="1:13">
      <c r="A308" s="398"/>
      <c r="B308" s="398"/>
      <c r="C308" s="398"/>
      <c r="D308" s="398"/>
      <c r="E308" s="398"/>
      <c r="F308" s="398"/>
      <c r="G308" s="398"/>
      <c r="H308" s="398"/>
      <c r="I308" s="398"/>
      <c r="J308" s="398"/>
      <c r="K308" s="398"/>
      <c r="L308" s="398"/>
      <c r="M308" s="398"/>
    </row>
    <row r="309" spans="1:13">
      <c r="A309" s="398"/>
      <c r="B309" s="398"/>
      <c r="C309" s="398"/>
      <c r="D309" s="398"/>
      <c r="E309" s="398"/>
      <c r="F309" s="398"/>
      <c r="G309" s="398"/>
      <c r="H309" s="398"/>
      <c r="I309" s="398"/>
      <c r="J309" s="398"/>
      <c r="K309" s="398"/>
      <c r="L309" s="398"/>
      <c r="M309" s="398"/>
    </row>
    <row r="310" spans="1:13">
      <c r="A310" s="398"/>
      <c r="B310" s="398"/>
      <c r="C310" s="398"/>
      <c r="D310" s="398"/>
      <c r="E310" s="398"/>
      <c r="F310" s="398"/>
      <c r="G310" s="398"/>
      <c r="H310" s="398"/>
      <c r="I310" s="398"/>
      <c r="J310" s="398"/>
      <c r="K310" s="398"/>
      <c r="L310" s="398"/>
      <c r="M310" s="398"/>
    </row>
    <row r="311" spans="1:13">
      <c r="A311" s="398"/>
      <c r="B311" s="398"/>
      <c r="C311" s="398"/>
      <c r="D311" s="398"/>
      <c r="E311" s="398"/>
      <c r="F311" s="398"/>
      <c r="G311" s="398"/>
      <c r="H311" s="398"/>
      <c r="I311" s="398"/>
      <c r="J311" s="398"/>
      <c r="K311" s="398"/>
      <c r="L311" s="398"/>
      <c r="M311" s="398"/>
    </row>
    <row r="312" spans="1:13">
      <c r="A312" s="398"/>
      <c r="B312" s="398"/>
      <c r="C312" s="398"/>
      <c r="D312" s="398"/>
      <c r="E312" s="398"/>
      <c r="F312" s="398"/>
      <c r="G312" s="398"/>
      <c r="H312" s="398"/>
      <c r="I312" s="398"/>
      <c r="J312" s="398"/>
      <c r="K312" s="398"/>
      <c r="L312" s="398"/>
      <c r="M312" s="398"/>
    </row>
    <row r="313" spans="1:13">
      <c r="A313" s="398"/>
      <c r="B313" s="398"/>
      <c r="C313" s="398"/>
      <c r="D313" s="398"/>
      <c r="E313" s="398"/>
      <c r="F313" s="398"/>
      <c r="G313" s="398"/>
      <c r="H313" s="398"/>
      <c r="I313" s="398"/>
      <c r="J313" s="398"/>
      <c r="K313" s="398"/>
      <c r="L313" s="398"/>
      <c r="M313" s="398"/>
    </row>
    <row r="314" spans="1:13">
      <c r="A314" s="398"/>
      <c r="B314" s="398"/>
      <c r="C314" s="398"/>
      <c r="D314" s="398"/>
      <c r="E314" s="398"/>
      <c r="F314" s="398"/>
      <c r="G314" s="398"/>
      <c r="H314" s="398"/>
      <c r="I314" s="398"/>
      <c r="J314" s="398"/>
      <c r="K314" s="398"/>
      <c r="L314" s="398"/>
      <c r="M314" s="398"/>
    </row>
    <row r="315" spans="1:13">
      <c r="A315" s="398"/>
      <c r="B315" s="398"/>
      <c r="C315" s="398"/>
      <c r="D315" s="398"/>
      <c r="E315" s="398"/>
      <c r="F315" s="398"/>
      <c r="G315" s="398"/>
      <c r="H315" s="398"/>
      <c r="I315" s="398"/>
      <c r="J315" s="398"/>
      <c r="K315" s="398"/>
      <c r="L315" s="398"/>
      <c r="M315" s="398"/>
    </row>
    <row r="316" spans="1:13">
      <c r="A316" s="398"/>
      <c r="B316" s="398"/>
      <c r="C316" s="398"/>
      <c r="D316" s="398"/>
      <c r="E316" s="398"/>
      <c r="F316" s="398"/>
      <c r="G316" s="398"/>
      <c r="H316" s="398"/>
      <c r="I316" s="398"/>
      <c r="J316" s="398"/>
      <c r="K316" s="398"/>
      <c r="L316" s="398"/>
      <c r="M316" s="398"/>
    </row>
    <row r="317" spans="1:13">
      <c r="A317" s="398"/>
      <c r="B317" s="398"/>
      <c r="C317" s="398"/>
      <c r="D317" s="398"/>
      <c r="E317" s="398"/>
      <c r="F317" s="398"/>
      <c r="G317" s="398"/>
      <c r="H317" s="398"/>
      <c r="I317" s="398"/>
      <c r="J317" s="398"/>
      <c r="K317" s="398"/>
      <c r="L317" s="398"/>
      <c r="M317" s="398"/>
    </row>
    <row r="318" spans="1:13">
      <c r="A318" s="398"/>
      <c r="B318" s="398"/>
      <c r="C318" s="398"/>
      <c r="D318" s="398"/>
      <c r="E318" s="398"/>
      <c r="F318" s="398"/>
      <c r="G318" s="398"/>
      <c r="H318" s="398"/>
      <c r="I318" s="398"/>
      <c r="J318" s="398"/>
      <c r="K318" s="398"/>
      <c r="L318" s="398"/>
      <c r="M318" s="398"/>
    </row>
    <row r="319" spans="1:13">
      <c r="A319" s="398"/>
      <c r="B319" s="398"/>
      <c r="C319" s="398"/>
      <c r="D319" s="398"/>
      <c r="E319" s="398"/>
      <c r="F319" s="398"/>
      <c r="G319" s="398"/>
      <c r="H319" s="398"/>
      <c r="I319" s="398"/>
      <c r="J319" s="398"/>
      <c r="K319" s="398"/>
      <c r="L319" s="398"/>
      <c r="M319" s="398"/>
    </row>
    <row r="320" spans="1:13">
      <c r="A320" s="398"/>
      <c r="B320" s="398"/>
      <c r="C320" s="398"/>
      <c r="D320" s="398"/>
      <c r="E320" s="398"/>
      <c r="F320" s="398"/>
      <c r="G320" s="398"/>
      <c r="H320" s="398"/>
      <c r="I320" s="398"/>
      <c r="J320" s="398"/>
      <c r="K320" s="398"/>
      <c r="L320" s="398"/>
      <c r="M320" s="398"/>
    </row>
    <row r="321" spans="1:13">
      <c r="A321" s="398"/>
      <c r="B321" s="398"/>
      <c r="C321" s="398"/>
      <c r="D321" s="398"/>
      <c r="E321" s="398"/>
      <c r="F321" s="398"/>
      <c r="G321" s="398"/>
      <c r="H321" s="398"/>
      <c r="I321" s="398"/>
      <c r="J321" s="398"/>
      <c r="K321" s="398"/>
      <c r="L321" s="398"/>
      <c r="M321" s="398"/>
    </row>
    <row r="322" spans="1:13">
      <c r="A322" s="398"/>
      <c r="B322" s="398"/>
      <c r="C322" s="398"/>
      <c r="D322" s="398"/>
      <c r="E322" s="398"/>
      <c r="F322" s="398"/>
      <c r="G322" s="398"/>
      <c r="H322" s="398"/>
      <c r="I322" s="398"/>
      <c r="J322" s="398"/>
      <c r="K322" s="398"/>
      <c r="L322" s="398"/>
      <c r="M322" s="398"/>
    </row>
    <row r="323" spans="1:13">
      <c r="A323" s="398"/>
      <c r="B323" s="398"/>
      <c r="C323" s="398"/>
      <c r="D323" s="398"/>
      <c r="E323" s="398"/>
      <c r="F323" s="398"/>
      <c r="G323" s="398"/>
      <c r="H323" s="398"/>
      <c r="I323" s="398"/>
      <c r="J323" s="398"/>
      <c r="K323" s="398"/>
      <c r="L323" s="398"/>
      <c r="M323" s="398"/>
    </row>
    <row r="324" spans="1:13">
      <c r="A324" s="398"/>
      <c r="B324" s="398"/>
      <c r="C324" s="398"/>
      <c r="D324" s="398"/>
      <c r="E324" s="398"/>
      <c r="F324" s="398"/>
      <c r="G324" s="398"/>
      <c r="H324" s="398"/>
      <c r="I324" s="398"/>
      <c r="J324" s="398"/>
      <c r="K324" s="398"/>
      <c r="L324" s="398"/>
      <c r="M324" s="398"/>
    </row>
    <row r="325" spans="1:13">
      <c r="A325" s="398"/>
      <c r="B325" s="398"/>
      <c r="C325" s="398"/>
      <c r="D325" s="398"/>
      <c r="E325" s="398"/>
      <c r="F325" s="398"/>
      <c r="G325" s="398"/>
      <c r="H325" s="398"/>
      <c r="I325" s="398"/>
      <c r="J325" s="398"/>
      <c r="K325" s="398"/>
      <c r="L325" s="398"/>
      <c r="M325" s="398"/>
    </row>
    <row r="326" spans="1:13">
      <c r="A326" s="398"/>
      <c r="B326" s="398"/>
      <c r="C326" s="398"/>
      <c r="D326" s="398"/>
      <c r="E326" s="398"/>
      <c r="F326" s="398"/>
      <c r="G326" s="398"/>
      <c r="H326" s="398"/>
      <c r="I326" s="398"/>
      <c r="J326" s="398"/>
      <c r="K326" s="398"/>
      <c r="L326" s="398"/>
      <c r="M326" s="398"/>
    </row>
    <row r="327" spans="1:13">
      <c r="A327" s="398"/>
      <c r="B327" s="398"/>
      <c r="C327" s="398"/>
      <c r="D327" s="398"/>
      <c r="E327" s="398"/>
      <c r="F327" s="398"/>
      <c r="G327" s="398"/>
      <c r="H327" s="398"/>
      <c r="I327" s="398"/>
      <c r="J327" s="398"/>
      <c r="K327" s="398"/>
      <c r="L327" s="398"/>
      <c r="M327" s="398"/>
    </row>
    <row r="328" spans="1:13">
      <c r="A328" s="398"/>
      <c r="B328" s="398"/>
      <c r="C328" s="398"/>
      <c r="D328" s="398"/>
      <c r="E328" s="398"/>
      <c r="F328" s="398"/>
      <c r="G328" s="398"/>
      <c r="H328" s="398"/>
      <c r="I328" s="398"/>
      <c r="J328" s="398"/>
      <c r="K328" s="398"/>
      <c r="L328" s="398"/>
      <c r="M328" s="398"/>
    </row>
    <row r="329" spans="1:13">
      <c r="A329" s="398"/>
      <c r="B329" s="398"/>
      <c r="C329" s="398"/>
      <c r="D329" s="398"/>
      <c r="E329" s="398"/>
      <c r="F329" s="398"/>
      <c r="G329" s="398"/>
      <c r="H329" s="398"/>
      <c r="I329" s="398"/>
      <c r="J329" s="398"/>
      <c r="K329" s="398"/>
      <c r="L329" s="398"/>
      <c r="M329" s="398"/>
    </row>
    <row r="330" spans="1:13">
      <c r="A330" s="398"/>
      <c r="B330" s="398"/>
      <c r="C330" s="398"/>
      <c r="D330" s="398"/>
      <c r="E330" s="398"/>
      <c r="F330" s="398"/>
      <c r="G330" s="398"/>
      <c r="H330" s="398"/>
      <c r="I330" s="398"/>
      <c r="J330" s="398"/>
      <c r="K330" s="398"/>
      <c r="L330" s="398"/>
      <c r="M330" s="398"/>
    </row>
    <row r="331" spans="1:13">
      <c r="A331" s="398"/>
      <c r="B331" s="398"/>
      <c r="C331" s="398"/>
      <c r="D331" s="398"/>
      <c r="E331" s="398"/>
      <c r="F331" s="398"/>
      <c r="G331" s="398"/>
      <c r="H331" s="398"/>
      <c r="I331" s="398"/>
      <c r="J331" s="398"/>
      <c r="K331" s="398"/>
      <c r="L331" s="398"/>
      <c r="M331" s="398"/>
    </row>
    <row r="332" spans="1:13">
      <c r="A332" s="398"/>
      <c r="B332" s="398"/>
      <c r="C332" s="398"/>
      <c r="D332" s="398"/>
      <c r="E332" s="398"/>
      <c r="F332" s="398"/>
      <c r="G332" s="398"/>
      <c r="H332" s="398"/>
      <c r="I332" s="398"/>
      <c r="J332" s="398"/>
      <c r="K332" s="398"/>
      <c r="L332" s="398"/>
      <c r="M332" s="398"/>
    </row>
    <row r="333" spans="1:13">
      <c r="A333" s="398"/>
      <c r="B333" s="398"/>
      <c r="C333" s="398"/>
      <c r="D333" s="398"/>
      <c r="E333" s="398"/>
      <c r="F333" s="398"/>
      <c r="G333" s="398"/>
      <c r="H333" s="398"/>
      <c r="I333" s="398"/>
      <c r="J333" s="398"/>
      <c r="K333" s="398"/>
      <c r="L333" s="398"/>
      <c r="M333" s="398"/>
    </row>
    <row r="334" spans="1:13">
      <c r="A334" s="398"/>
      <c r="B334" s="398"/>
      <c r="C334" s="398"/>
      <c r="D334" s="398"/>
      <c r="E334" s="398"/>
      <c r="F334" s="398"/>
      <c r="G334" s="398"/>
      <c r="H334" s="398"/>
      <c r="I334" s="398"/>
      <c r="J334" s="398"/>
      <c r="K334" s="398"/>
      <c r="L334" s="398"/>
      <c r="M334" s="398"/>
    </row>
    <row r="335" spans="1:13">
      <c r="A335" s="398"/>
      <c r="B335" s="398"/>
      <c r="C335" s="398"/>
      <c r="D335" s="398"/>
      <c r="E335" s="398"/>
      <c r="F335" s="398"/>
      <c r="G335" s="398"/>
      <c r="H335" s="398"/>
      <c r="I335" s="398"/>
      <c r="J335" s="398"/>
      <c r="K335" s="398"/>
      <c r="L335" s="398"/>
      <c r="M335" s="398"/>
    </row>
    <row r="336" spans="1:13">
      <c r="A336" s="398"/>
      <c r="B336" s="398"/>
      <c r="C336" s="398"/>
      <c r="D336" s="398"/>
      <c r="E336" s="398"/>
      <c r="F336" s="398"/>
      <c r="G336" s="398"/>
      <c r="H336" s="398"/>
      <c r="I336" s="398"/>
      <c r="J336" s="398"/>
      <c r="K336" s="398"/>
      <c r="L336" s="398"/>
      <c r="M336" s="398"/>
    </row>
    <row r="337" spans="1:13">
      <c r="A337" s="398"/>
      <c r="B337" s="398"/>
      <c r="C337" s="398"/>
      <c r="D337" s="398"/>
      <c r="E337" s="398"/>
      <c r="F337" s="398"/>
      <c r="G337" s="398"/>
      <c r="H337" s="398"/>
      <c r="I337" s="398"/>
      <c r="J337" s="398"/>
      <c r="K337" s="398"/>
      <c r="L337" s="398"/>
      <c r="M337" s="398"/>
    </row>
    <row r="338" spans="1:13">
      <c r="A338" s="398"/>
      <c r="B338" s="398"/>
      <c r="C338" s="398"/>
      <c r="D338" s="398"/>
      <c r="E338" s="398"/>
      <c r="F338" s="398"/>
      <c r="G338" s="398"/>
      <c r="H338" s="398"/>
      <c r="I338" s="398"/>
      <c r="J338" s="398"/>
      <c r="K338" s="398"/>
      <c r="L338" s="398"/>
      <c r="M338" s="398"/>
    </row>
    <row r="339" spans="1:13">
      <c r="A339" s="398"/>
      <c r="B339" s="398"/>
      <c r="C339" s="398"/>
      <c r="D339" s="398"/>
      <c r="E339" s="398"/>
      <c r="F339" s="398"/>
      <c r="G339" s="398"/>
      <c r="H339" s="398"/>
      <c r="I339" s="398"/>
      <c r="J339" s="398"/>
      <c r="K339" s="398"/>
      <c r="L339" s="398"/>
      <c r="M339" s="398"/>
    </row>
    <row r="340" spans="1:13">
      <c r="A340" s="398"/>
      <c r="B340" s="398"/>
      <c r="C340" s="398"/>
      <c r="D340" s="398"/>
      <c r="E340" s="398"/>
      <c r="F340" s="398"/>
      <c r="G340" s="398"/>
      <c r="H340" s="398"/>
      <c r="I340" s="398"/>
      <c r="J340" s="398"/>
      <c r="K340" s="398"/>
      <c r="L340" s="398"/>
      <c r="M340" s="398"/>
    </row>
    <row r="341" spans="1:13">
      <c r="A341" s="398"/>
      <c r="B341" s="398"/>
      <c r="C341" s="398"/>
      <c r="D341" s="398"/>
      <c r="E341" s="398"/>
      <c r="F341" s="398"/>
      <c r="G341" s="398"/>
      <c r="H341" s="398"/>
      <c r="I341" s="398"/>
      <c r="J341" s="398"/>
      <c r="K341" s="398"/>
      <c r="L341" s="398"/>
      <c r="M341" s="398"/>
    </row>
    <row r="342" spans="1:13">
      <c r="A342" s="398"/>
      <c r="B342" s="398"/>
      <c r="C342" s="398"/>
      <c r="D342" s="398"/>
      <c r="E342" s="398"/>
      <c r="F342" s="398"/>
      <c r="G342" s="398"/>
      <c r="H342" s="398"/>
      <c r="I342" s="398"/>
      <c r="J342" s="398"/>
      <c r="K342" s="398"/>
      <c r="L342" s="398"/>
      <c r="M342" s="398"/>
    </row>
    <row r="343" spans="1:13">
      <c r="A343" s="398"/>
      <c r="B343" s="398"/>
      <c r="C343" s="398"/>
      <c r="D343" s="398"/>
      <c r="E343" s="398"/>
      <c r="F343" s="398"/>
      <c r="G343" s="398"/>
      <c r="H343" s="398"/>
      <c r="I343" s="398"/>
      <c r="J343" s="398"/>
      <c r="K343" s="398"/>
      <c r="L343" s="398"/>
      <c r="M343" s="398"/>
    </row>
    <row r="344" spans="1:13">
      <c r="A344" s="398"/>
      <c r="B344" s="398"/>
      <c r="C344" s="398"/>
      <c r="D344" s="398"/>
      <c r="E344" s="398"/>
      <c r="F344" s="398"/>
      <c r="G344" s="398"/>
      <c r="H344" s="398"/>
      <c r="I344" s="398"/>
      <c r="J344" s="398"/>
      <c r="K344" s="398"/>
      <c r="L344" s="398"/>
      <c r="M344" s="398"/>
    </row>
    <row r="345" spans="1:13">
      <c r="A345" s="398"/>
      <c r="B345" s="398"/>
      <c r="C345" s="398"/>
      <c r="D345" s="398"/>
      <c r="E345" s="398"/>
      <c r="F345" s="398"/>
      <c r="G345" s="398"/>
      <c r="H345" s="398"/>
      <c r="I345" s="398"/>
      <c r="J345" s="398"/>
      <c r="K345" s="398"/>
      <c r="L345" s="398"/>
      <c r="M345" s="398"/>
    </row>
    <row r="346" spans="1:13">
      <c r="A346" s="398"/>
      <c r="B346" s="398"/>
      <c r="C346" s="398"/>
      <c r="D346" s="398"/>
      <c r="E346" s="398"/>
      <c r="F346" s="398"/>
      <c r="G346" s="398"/>
      <c r="H346" s="398"/>
      <c r="I346" s="398"/>
      <c r="J346" s="398"/>
      <c r="K346" s="398"/>
      <c r="L346" s="398"/>
      <c r="M346" s="398"/>
    </row>
    <row r="347" spans="1:13">
      <c r="A347" s="398"/>
      <c r="B347" s="398"/>
      <c r="C347" s="398"/>
      <c r="D347" s="398"/>
      <c r="E347" s="398"/>
      <c r="F347" s="398"/>
      <c r="G347" s="398"/>
      <c r="H347" s="398"/>
      <c r="I347" s="398"/>
      <c r="J347" s="398"/>
      <c r="K347" s="398"/>
      <c r="L347" s="398"/>
      <c r="M347" s="398"/>
    </row>
    <row r="348" spans="1:13">
      <c r="A348" s="398"/>
      <c r="B348" s="398"/>
      <c r="C348" s="398"/>
      <c r="D348" s="398"/>
      <c r="E348" s="398"/>
      <c r="F348" s="398"/>
      <c r="G348" s="398"/>
      <c r="H348" s="398"/>
      <c r="I348" s="398"/>
      <c r="J348" s="398"/>
      <c r="K348" s="398"/>
      <c r="L348" s="398"/>
      <c r="M348" s="398"/>
    </row>
    <row r="349" spans="1:13">
      <c r="A349" s="398"/>
      <c r="B349" s="398"/>
      <c r="C349" s="398"/>
      <c r="D349" s="398"/>
      <c r="E349" s="398"/>
      <c r="F349" s="398"/>
      <c r="G349" s="398"/>
      <c r="H349" s="398"/>
      <c r="I349" s="398"/>
      <c r="J349" s="398"/>
      <c r="K349" s="398"/>
      <c r="L349" s="398"/>
      <c r="M349" s="398"/>
    </row>
    <row r="350" spans="1:13">
      <c r="A350" s="398"/>
      <c r="B350" s="398"/>
      <c r="C350" s="398"/>
      <c r="D350" s="398"/>
      <c r="E350" s="398"/>
      <c r="F350" s="398"/>
      <c r="G350" s="398"/>
      <c r="H350" s="398"/>
      <c r="I350" s="398"/>
      <c r="J350" s="398"/>
      <c r="K350" s="398"/>
      <c r="L350" s="398"/>
      <c r="M350" s="398"/>
    </row>
    <row r="351" spans="1:13">
      <c r="A351" s="398"/>
      <c r="B351" s="398"/>
      <c r="C351" s="398"/>
      <c r="D351" s="398"/>
      <c r="E351" s="398"/>
      <c r="F351" s="398"/>
      <c r="G351" s="398"/>
      <c r="H351" s="398"/>
      <c r="I351" s="398"/>
      <c r="J351" s="398"/>
      <c r="K351" s="398"/>
      <c r="L351" s="398"/>
      <c r="M351" s="398"/>
    </row>
    <row r="352" spans="1:13">
      <c r="A352" s="398"/>
      <c r="B352" s="398"/>
      <c r="C352" s="398"/>
      <c r="D352" s="398"/>
      <c r="E352" s="398"/>
      <c r="F352" s="398"/>
      <c r="G352" s="398"/>
      <c r="H352" s="398"/>
      <c r="I352" s="398"/>
      <c r="J352" s="398"/>
      <c r="K352" s="398"/>
      <c r="L352" s="398"/>
      <c r="M352" s="398"/>
    </row>
    <row r="353" spans="1:13">
      <c r="A353" s="398"/>
      <c r="B353" s="398"/>
      <c r="C353" s="398"/>
      <c r="D353" s="398"/>
      <c r="E353" s="398"/>
      <c r="F353" s="398"/>
      <c r="G353" s="398"/>
      <c r="H353" s="398"/>
      <c r="I353" s="398"/>
      <c r="J353" s="398"/>
      <c r="K353" s="398"/>
      <c r="L353" s="398"/>
      <c r="M353" s="398"/>
    </row>
    <row r="354" spans="1:13">
      <c r="A354" s="398"/>
      <c r="B354" s="398"/>
      <c r="C354" s="398"/>
      <c r="D354" s="398"/>
      <c r="E354" s="398"/>
      <c r="F354" s="398"/>
      <c r="G354" s="398"/>
      <c r="H354" s="398"/>
      <c r="I354" s="398"/>
      <c r="J354" s="398"/>
      <c r="K354" s="398"/>
      <c r="L354" s="398"/>
      <c r="M354" s="398"/>
    </row>
    <row r="355" spans="1:13">
      <c r="A355" s="398"/>
      <c r="B355" s="398"/>
      <c r="C355" s="398"/>
      <c r="D355" s="398"/>
      <c r="E355" s="398"/>
      <c r="F355" s="398"/>
      <c r="G355" s="398"/>
      <c r="H355" s="398"/>
      <c r="I355" s="398"/>
      <c r="J355" s="398"/>
      <c r="K355" s="398"/>
      <c r="L355" s="398"/>
      <c r="M355" s="398"/>
    </row>
    <row r="356" spans="1:13">
      <c r="A356" s="398"/>
      <c r="B356" s="398"/>
      <c r="C356" s="398"/>
      <c r="D356" s="398"/>
      <c r="E356" s="398"/>
      <c r="F356" s="398"/>
      <c r="G356" s="398"/>
      <c r="H356" s="398"/>
      <c r="I356" s="398"/>
      <c r="J356" s="398"/>
      <c r="K356" s="398"/>
      <c r="L356" s="398"/>
      <c r="M356" s="398"/>
    </row>
    <row r="357" spans="1:13">
      <c r="A357" s="398"/>
      <c r="B357" s="398"/>
      <c r="C357" s="398"/>
      <c r="D357" s="398"/>
      <c r="E357" s="398"/>
      <c r="F357" s="398"/>
      <c r="G357" s="398"/>
      <c r="H357" s="398"/>
      <c r="I357" s="398"/>
      <c r="J357" s="398"/>
      <c r="K357" s="398"/>
      <c r="L357" s="398"/>
      <c r="M357" s="398"/>
    </row>
    <row r="358" spans="1:13">
      <c r="A358" s="398"/>
      <c r="B358" s="398"/>
      <c r="C358" s="398"/>
      <c r="D358" s="398"/>
      <c r="E358" s="398"/>
      <c r="F358" s="398"/>
      <c r="G358" s="398"/>
      <c r="H358" s="398"/>
      <c r="I358" s="398"/>
      <c r="J358" s="398"/>
      <c r="K358" s="398"/>
      <c r="L358" s="398"/>
      <c r="M358" s="398"/>
    </row>
    <row r="359" spans="1:13">
      <c r="A359" s="398"/>
      <c r="B359" s="398"/>
      <c r="C359" s="398"/>
      <c r="D359" s="398"/>
      <c r="E359" s="398"/>
      <c r="F359" s="398"/>
      <c r="G359" s="398"/>
      <c r="H359" s="398"/>
      <c r="I359" s="398"/>
      <c r="J359" s="398"/>
      <c r="K359" s="398"/>
      <c r="L359" s="398"/>
      <c r="M359" s="398"/>
    </row>
    <row r="360" spans="1:13">
      <c r="A360" s="398"/>
      <c r="B360" s="398"/>
      <c r="C360" s="398"/>
      <c r="D360" s="398"/>
      <c r="E360" s="398"/>
      <c r="F360" s="398"/>
      <c r="G360" s="398"/>
      <c r="H360" s="398"/>
      <c r="I360" s="398"/>
      <c r="J360" s="398"/>
      <c r="K360" s="398"/>
      <c r="L360" s="398"/>
      <c r="M360" s="398"/>
    </row>
    <row r="361" spans="1:13">
      <c r="A361" s="398"/>
      <c r="B361" s="398"/>
      <c r="C361" s="398"/>
      <c r="D361" s="398"/>
      <c r="E361" s="398"/>
      <c r="F361" s="398"/>
      <c r="G361" s="398"/>
      <c r="H361" s="398"/>
      <c r="I361" s="398"/>
      <c r="J361" s="398"/>
      <c r="K361" s="398"/>
      <c r="L361" s="398"/>
      <c r="M361" s="398"/>
    </row>
    <row r="362" spans="1:13">
      <c r="A362" s="398"/>
      <c r="B362" s="398"/>
      <c r="C362" s="398"/>
      <c r="D362" s="398"/>
      <c r="E362" s="398"/>
      <c r="F362" s="398"/>
      <c r="G362" s="398"/>
      <c r="H362" s="398"/>
      <c r="I362" s="398"/>
      <c r="J362" s="398"/>
      <c r="K362" s="398"/>
      <c r="L362" s="398"/>
      <c r="M362" s="398"/>
    </row>
    <row r="363" spans="1:13">
      <c r="A363" s="398"/>
      <c r="B363" s="398"/>
      <c r="C363" s="398"/>
      <c r="D363" s="398"/>
      <c r="E363" s="398"/>
      <c r="F363" s="398"/>
      <c r="G363" s="398"/>
      <c r="H363" s="398"/>
      <c r="I363" s="398"/>
      <c r="J363" s="398"/>
      <c r="K363" s="398"/>
      <c r="L363" s="398"/>
      <c r="M363" s="398"/>
    </row>
    <row r="364" spans="1:13">
      <c r="A364" s="398"/>
      <c r="B364" s="398"/>
      <c r="C364" s="398"/>
      <c r="D364" s="398"/>
      <c r="E364" s="398"/>
      <c r="F364" s="398"/>
      <c r="G364" s="398"/>
      <c r="H364" s="398"/>
      <c r="I364" s="398"/>
      <c r="J364" s="398"/>
      <c r="K364" s="398"/>
      <c r="L364" s="398"/>
      <c r="M364" s="398"/>
    </row>
    <row r="365" spans="1:13">
      <c r="A365" s="398"/>
      <c r="B365" s="398"/>
      <c r="C365" s="398"/>
      <c r="D365" s="398"/>
      <c r="E365" s="398"/>
      <c r="F365" s="398"/>
      <c r="G365" s="398"/>
      <c r="H365" s="398"/>
      <c r="I365" s="398"/>
      <c r="J365" s="398"/>
      <c r="K365" s="398"/>
      <c r="L365" s="398"/>
      <c r="M365" s="398"/>
    </row>
    <row r="366" spans="1:13">
      <c r="A366" s="398"/>
      <c r="B366" s="398"/>
      <c r="C366" s="398"/>
      <c r="D366" s="398"/>
      <c r="E366" s="398"/>
      <c r="F366" s="398"/>
      <c r="G366" s="398"/>
      <c r="H366" s="398"/>
      <c r="I366" s="398"/>
      <c r="J366" s="398"/>
      <c r="K366" s="398"/>
      <c r="L366" s="398"/>
      <c r="M366" s="398"/>
    </row>
    <row r="367" spans="1:13">
      <c r="A367" s="398"/>
      <c r="B367" s="398"/>
      <c r="C367" s="398"/>
      <c r="D367" s="398"/>
      <c r="E367" s="398"/>
      <c r="F367" s="398"/>
      <c r="G367" s="398"/>
      <c r="H367" s="398"/>
      <c r="I367" s="398"/>
      <c r="J367" s="398"/>
      <c r="K367" s="398"/>
      <c r="L367" s="398"/>
      <c r="M367" s="398"/>
    </row>
    <row r="368" spans="1:13">
      <c r="A368" s="398"/>
      <c r="B368" s="398"/>
      <c r="C368" s="398"/>
      <c r="D368" s="398"/>
      <c r="E368" s="398"/>
      <c r="F368" s="398"/>
      <c r="G368" s="398"/>
      <c r="H368" s="398"/>
      <c r="I368" s="398"/>
      <c r="J368" s="398"/>
      <c r="K368" s="398"/>
      <c r="L368" s="398"/>
      <c r="M368" s="398"/>
    </row>
    <row r="369" spans="1:13">
      <c r="A369" s="398"/>
      <c r="B369" s="398"/>
      <c r="C369" s="398"/>
      <c r="D369" s="398"/>
      <c r="E369" s="398"/>
      <c r="F369" s="398"/>
      <c r="G369" s="398"/>
      <c r="H369" s="398"/>
      <c r="I369" s="398"/>
      <c r="J369" s="398"/>
      <c r="K369" s="398"/>
      <c r="L369" s="398"/>
      <c r="M369" s="398"/>
    </row>
    <row r="370" spans="1:13">
      <c r="A370" s="398"/>
      <c r="B370" s="398"/>
      <c r="C370" s="398"/>
      <c r="D370" s="398"/>
      <c r="E370" s="398"/>
      <c r="F370" s="398"/>
      <c r="G370" s="398"/>
      <c r="H370" s="398"/>
      <c r="I370" s="398"/>
      <c r="J370" s="398"/>
      <c r="K370" s="398"/>
      <c r="L370" s="398"/>
      <c r="M370" s="398"/>
    </row>
    <row r="371" spans="1:13">
      <c r="A371" s="398"/>
      <c r="B371" s="398"/>
      <c r="C371" s="398"/>
      <c r="D371" s="398"/>
      <c r="E371" s="398"/>
      <c r="F371" s="398"/>
      <c r="G371" s="398"/>
      <c r="H371" s="398"/>
      <c r="I371" s="398"/>
      <c r="J371" s="398"/>
      <c r="K371" s="398"/>
      <c r="L371" s="398"/>
      <c r="M371" s="398"/>
    </row>
    <row r="372" spans="1:13">
      <c r="A372" s="398"/>
      <c r="B372" s="398"/>
      <c r="C372" s="398"/>
      <c r="D372" s="398"/>
      <c r="E372" s="398"/>
      <c r="F372" s="398"/>
      <c r="G372" s="398"/>
      <c r="H372" s="398"/>
      <c r="I372" s="398"/>
      <c r="J372" s="398"/>
      <c r="K372" s="398"/>
      <c r="L372" s="398"/>
      <c r="M372" s="398"/>
    </row>
    <row r="373" spans="1:13">
      <c r="A373" s="398"/>
      <c r="B373" s="398"/>
      <c r="C373" s="398"/>
      <c r="D373" s="398"/>
      <c r="E373" s="398"/>
      <c r="F373" s="398"/>
      <c r="G373" s="398"/>
      <c r="H373" s="398"/>
      <c r="I373" s="398"/>
      <c r="J373" s="398"/>
      <c r="K373" s="398"/>
      <c r="L373" s="398"/>
      <c r="M373" s="398"/>
    </row>
    <row r="374" spans="1:13">
      <c r="A374" s="398"/>
      <c r="B374" s="398"/>
      <c r="C374" s="398"/>
      <c r="D374" s="398"/>
      <c r="E374" s="398"/>
      <c r="F374" s="398"/>
      <c r="G374" s="398"/>
      <c r="H374" s="398"/>
      <c r="I374" s="398"/>
      <c r="J374" s="398"/>
      <c r="K374" s="398"/>
      <c r="L374" s="398"/>
      <c r="M374" s="398"/>
    </row>
    <row r="375" spans="1:13">
      <c r="A375" s="398"/>
      <c r="B375" s="398"/>
      <c r="C375" s="398"/>
      <c r="D375" s="398"/>
      <c r="E375" s="398"/>
      <c r="F375" s="398"/>
      <c r="G375" s="398"/>
      <c r="H375" s="398"/>
      <c r="I375" s="398"/>
      <c r="J375" s="398"/>
      <c r="K375" s="398"/>
      <c r="L375" s="398"/>
      <c r="M375" s="398"/>
    </row>
    <row r="376" spans="1:13">
      <c r="A376" s="398"/>
      <c r="B376" s="398"/>
      <c r="C376" s="398"/>
      <c r="D376" s="398"/>
      <c r="E376" s="398"/>
      <c r="F376" s="398"/>
      <c r="G376" s="398"/>
      <c r="H376" s="398"/>
      <c r="I376" s="398"/>
      <c r="J376" s="398"/>
      <c r="K376" s="398"/>
      <c r="L376" s="398"/>
      <c r="M376" s="398"/>
    </row>
    <row r="377" spans="1:13">
      <c r="A377" s="398"/>
      <c r="B377" s="398"/>
      <c r="C377" s="398"/>
      <c r="D377" s="398"/>
      <c r="E377" s="398"/>
      <c r="F377" s="398"/>
      <c r="G377" s="398"/>
      <c r="H377" s="398"/>
      <c r="I377" s="398"/>
      <c r="J377" s="398"/>
      <c r="K377" s="398"/>
      <c r="L377" s="398"/>
      <c r="M377" s="398"/>
    </row>
    <row r="378" spans="1:13">
      <c r="A378" s="398"/>
      <c r="B378" s="398"/>
      <c r="C378" s="398"/>
      <c r="D378" s="398"/>
      <c r="E378" s="398"/>
      <c r="F378" s="398"/>
      <c r="G378" s="398"/>
      <c r="H378" s="398"/>
      <c r="I378" s="398"/>
      <c r="J378" s="398"/>
      <c r="K378" s="398"/>
      <c r="L378" s="398"/>
      <c r="M378" s="398"/>
    </row>
    <row r="379" spans="1:13">
      <c r="A379" s="398"/>
      <c r="B379" s="398"/>
      <c r="C379" s="398"/>
      <c r="D379" s="398"/>
      <c r="E379" s="398"/>
      <c r="F379" s="398"/>
      <c r="G379" s="398"/>
      <c r="H379" s="398"/>
      <c r="I379" s="398"/>
      <c r="J379" s="398"/>
      <c r="K379" s="398"/>
      <c r="L379" s="398"/>
      <c r="M379" s="398"/>
    </row>
    <row r="380" spans="1:13">
      <c r="A380" s="398"/>
      <c r="B380" s="398"/>
      <c r="C380" s="398"/>
      <c r="D380" s="398"/>
      <c r="E380" s="398"/>
      <c r="F380" s="398"/>
      <c r="G380" s="398"/>
      <c r="H380" s="398"/>
      <c r="I380" s="398"/>
      <c r="J380" s="398"/>
      <c r="K380" s="398"/>
      <c r="L380" s="398"/>
      <c r="M380" s="398"/>
    </row>
    <row r="381" spans="1:13">
      <c r="A381" s="398"/>
      <c r="B381" s="398"/>
      <c r="C381" s="398"/>
      <c r="D381" s="398"/>
      <c r="E381" s="398"/>
      <c r="F381" s="398"/>
      <c r="G381" s="398"/>
      <c r="H381" s="398"/>
      <c r="I381" s="398"/>
      <c r="J381" s="398"/>
      <c r="K381" s="398"/>
      <c r="L381" s="398"/>
      <c r="M381" s="398"/>
    </row>
    <row r="382" spans="1:13">
      <c r="A382" s="398"/>
      <c r="B382" s="398"/>
      <c r="C382" s="398"/>
      <c r="D382" s="398"/>
      <c r="E382" s="398"/>
      <c r="F382" s="398"/>
      <c r="G382" s="398"/>
      <c r="H382" s="398"/>
      <c r="I382" s="398"/>
      <c r="J382" s="398"/>
      <c r="K382" s="398"/>
      <c r="L382" s="398"/>
      <c r="M382" s="398"/>
    </row>
    <row r="383" spans="1:13">
      <c r="A383" s="398"/>
      <c r="B383" s="398"/>
      <c r="C383" s="398"/>
      <c r="D383" s="398"/>
      <c r="E383" s="398"/>
      <c r="F383" s="398"/>
      <c r="G383" s="398"/>
      <c r="H383" s="398"/>
      <c r="I383" s="398"/>
      <c r="J383" s="398"/>
      <c r="K383" s="398"/>
      <c r="L383" s="398"/>
      <c r="M383" s="398"/>
    </row>
    <row r="384" spans="1:13">
      <c r="A384" s="398"/>
      <c r="B384" s="398"/>
      <c r="C384" s="398"/>
      <c r="D384" s="398"/>
      <c r="E384" s="398"/>
      <c r="F384" s="398"/>
      <c r="G384" s="398"/>
      <c r="H384" s="398"/>
      <c r="I384" s="398"/>
      <c r="J384" s="398"/>
      <c r="K384" s="398"/>
      <c r="L384" s="398"/>
      <c r="M384" s="398"/>
    </row>
    <row r="385" spans="1:13">
      <c r="A385" s="398"/>
      <c r="B385" s="398"/>
      <c r="C385" s="398"/>
      <c r="D385" s="398"/>
      <c r="E385" s="398"/>
      <c r="F385" s="398"/>
      <c r="G385" s="398"/>
      <c r="H385" s="398"/>
      <c r="I385" s="398"/>
      <c r="J385" s="398"/>
      <c r="K385" s="398"/>
      <c r="L385" s="398"/>
      <c r="M385" s="398"/>
    </row>
    <row r="386" spans="1:13">
      <c r="A386" s="398"/>
      <c r="B386" s="398"/>
      <c r="C386" s="398"/>
      <c r="D386" s="398"/>
      <c r="E386" s="398"/>
      <c r="F386" s="398"/>
      <c r="G386" s="398"/>
      <c r="H386" s="398"/>
      <c r="I386" s="398"/>
      <c r="J386" s="398"/>
      <c r="K386" s="398"/>
      <c r="L386" s="398"/>
      <c r="M386" s="398"/>
    </row>
    <row r="387" spans="1:13">
      <c r="A387" s="398"/>
      <c r="B387" s="398"/>
      <c r="C387" s="398"/>
      <c r="D387" s="398"/>
      <c r="E387" s="398"/>
      <c r="F387" s="398"/>
      <c r="G387" s="398"/>
      <c r="H387" s="398"/>
      <c r="I387" s="398"/>
      <c r="J387" s="398"/>
      <c r="K387" s="398"/>
      <c r="L387" s="398"/>
      <c r="M387" s="398"/>
    </row>
    <row r="388" spans="1:13">
      <c r="A388" s="398"/>
      <c r="B388" s="398"/>
      <c r="C388" s="398"/>
      <c r="D388" s="398"/>
      <c r="E388" s="398"/>
      <c r="F388" s="398"/>
      <c r="G388" s="398"/>
      <c r="H388" s="398"/>
      <c r="I388" s="398"/>
      <c r="J388" s="398"/>
      <c r="K388" s="398"/>
      <c r="L388" s="398"/>
      <c r="M388" s="398"/>
    </row>
    <row r="389" spans="1:13">
      <c r="A389" s="398"/>
      <c r="B389" s="398"/>
      <c r="C389" s="398"/>
      <c r="D389" s="398"/>
      <c r="E389" s="398"/>
      <c r="F389" s="398"/>
      <c r="G389" s="398"/>
      <c r="H389" s="398"/>
      <c r="I389" s="398"/>
      <c r="J389" s="398"/>
      <c r="K389" s="398"/>
      <c r="L389" s="398"/>
      <c r="M389" s="398"/>
    </row>
    <row r="390" spans="1:13">
      <c r="A390" s="398"/>
      <c r="B390" s="398"/>
      <c r="C390" s="398"/>
      <c r="D390" s="398"/>
      <c r="E390" s="398"/>
      <c r="F390" s="398"/>
      <c r="G390" s="398"/>
      <c r="H390" s="398"/>
      <c r="I390" s="398"/>
      <c r="J390" s="398"/>
      <c r="K390" s="398"/>
      <c r="L390" s="398"/>
      <c r="M390" s="398"/>
    </row>
    <row r="391" spans="1:13">
      <c r="A391" s="398"/>
      <c r="B391" s="398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</row>
    <row r="392" spans="1:13">
      <c r="A392" s="398"/>
      <c r="B392" s="398"/>
      <c r="C392" s="398"/>
      <c r="D392" s="398"/>
      <c r="E392" s="398"/>
      <c r="F392" s="398"/>
      <c r="G392" s="398"/>
      <c r="H392" s="398"/>
      <c r="I392" s="398"/>
      <c r="J392" s="398"/>
      <c r="K392" s="398"/>
      <c r="L392" s="398"/>
      <c r="M392" s="398"/>
    </row>
    <row r="393" spans="1:13">
      <c r="A393" s="398"/>
      <c r="B393" s="398"/>
      <c r="C393" s="398"/>
      <c r="D393" s="398"/>
      <c r="E393" s="398"/>
      <c r="F393" s="398"/>
      <c r="G393" s="398"/>
      <c r="H393" s="398"/>
      <c r="I393" s="398"/>
      <c r="J393" s="398"/>
      <c r="K393" s="398"/>
      <c r="L393" s="398"/>
      <c r="M393" s="398"/>
    </row>
    <row r="394" spans="1:13">
      <c r="A394" s="398"/>
      <c r="B394" s="398"/>
      <c r="C394" s="398"/>
      <c r="D394" s="398"/>
      <c r="E394" s="398"/>
      <c r="F394" s="398"/>
      <c r="G394" s="398"/>
      <c r="H394" s="398"/>
      <c r="I394" s="398"/>
      <c r="J394" s="398"/>
      <c r="K394" s="398"/>
      <c r="L394" s="398"/>
      <c r="M394" s="398"/>
    </row>
    <row r="395" spans="1:13">
      <c r="A395" s="398"/>
      <c r="B395" s="398"/>
      <c r="C395" s="398"/>
      <c r="D395" s="398"/>
      <c r="E395" s="398"/>
      <c r="F395" s="398"/>
      <c r="G395" s="398"/>
      <c r="H395" s="398"/>
      <c r="I395" s="398"/>
      <c r="J395" s="398"/>
      <c r="K395" s="398"/>
      <c r="L395" s="398"/>
      <c r="M395" s="398"/>
    </row>
    <row r="396" spans="1:13">
      <c r="A396" s="398"/>
      <c r="B396" s="398"/>
      <c r="C396" s="398"/>
      <c r="D396" s="398"/>
      <c r="E396" s="398"/>
      <c r="F396" s="398"/>
      <c r="G396" s="398"/>
      <c r="H396" s="398"/>
      <c r="I396" s="398"/>
      <c r="J396" s="398"/>
      <c r="K396" s="398"/>
      <c r="L396" s="398"/>
      <c r="M396" s="398"/>
    </row>
    <row r="397" spans="1:13">
      <c r="A397" s="398"/>
      <c r="B397" s="398"/>
      <c r="C397" s="398"/>
      <c r="D397" s="398"/>
      <c r="E397" s="398"/>
      <c r="F397" s="398"/>
      <c r="G397" s="398"/>
      <c r="H397" s="398"/>
      <c r="I397" s="398"/>
      <c r="J397" s="398"/>
      <c r="K397" s="398"/>
      <c r="L397" s="398"/>
      <c r="M397" s="398"/>
    </row>
    <row r="398" spans="1:13">
      <c r="A398" s="398"/>
      <c r="B398" s="398"/>
      <c r="C398" s="398"/>
      <c r="D398" s="398"/>
      <c r="E398" s="398"/>
      <c r="F398" s="398"/>
      <c r="G398" s="398"/>
      <c r="H398" s="398"/>
      <c r="I398" s="398"/>
      <c r="J398" s="398"/>
      <c r="K398" s="398"/>
      <c r="L398" s="398"/>
      <c r="M398" s="398"/>
    </row>
    <row r="399" spans="1:13">
      <c r="A399" s="398"/>
      <c r="B399" s="398"/>
      <c r="C399" s="398"/>
      <c r="D399" s="398"/>
      <c r="E399" s="398"/>
      <c r="F399" s="398"/>
      <c r="G399" s="398"/>
      <c r="H399" s="398"/>
      <c r="I399" s="398"/>
      <c r="J399" s="398"/>
      <c r="K399" s="398"/>
      <c r="L399" s="398"/>
      <c r="M399" s="398"/>
    </row>
    <row r="400" spans="1:13">
      <c r="A400" s="398"/>
      <c r="B400" s="398"/>
      <c r="C400" s="398"/>
      <c r="D400" s="398"/>
      <c r="E400" s="398"/>
      <c r="F400" s="398"/>
      <c r="G400" s="398"/>
      <c r="H400" s="398"/>
      <c r="I400" s="398"/>
      <c r="J400" s="398"/>
      <c r="K400" s="398"/>
      <c r="L400" s="398"/>
      <c r="M400" s="398"/>
    </row>
    <row r="401" spans="1:13">
      <c r="A401" s="398"/>
      <c r="B401" s="398"/>
      <c r="C401" s="398"/>
      <c r="D401" s="398"/>
      <c r="E401" s="398"/>
      <c r="F401" s="398"/>
      <c r="G401" s="398"/>
      <c r="H401" s="398"/>
      <c r="I401" s="398"/>
      <c r="J401" s="398"/>
      <c r="K401" s="398"/>
      <c r="L401" s="398"/>
      <c r="M401" s="398"/>
    </row>
    <row r="402" spans="1:13">
      <c r="A402" s="398"/>
      <c r="B402" s="398"/>
      <c r="C402" s="398"/>
      <c r="D402" s="398"/>
      <c r="E402" s="398"/>
      <c r="F402" s="398"/>
      <c r="G402" s="398"/>
      <c r="H402" s="398"/>
      <c r="I402" s="398"/>
      <c r="J402" s="398"/>
      <c r="K402" s="398"/>
      <c r="L402" s="398"/>
      <c r="M402" s="398"/>
    </row>
    <row r="403" spans="1:13">
      <c r="A403" s="398"/>
      <c r="B403" s="398"/>
      <c r="C403" s="398"/>
      <c r="D403" s="398"/>
      <c r="E403" s="398"/>
      <c r="F403" s="398"/>
      <c r="G403" s="398"/>
      <c r="H403" s="398"/>
      <c r="I403" s="398"/>
      <c r="J403" s="398"/>
      <c r="K403" s="398"/>
      <c r="L403" s="398"/>
      <c r="M403" s="398"/>
    </row>
    <row r="404" spans="1:13">
      <c r="A404" s="398"/>
      <c r="B404" s="398"/>
      <c r="C404" s="398"/>
      <c r="D404" s="398"/>
      <c r="E404" s="398"/>
      <c r="F404" s="398"/>
      <c r="G404" s="398"/>
      <c r="H404" s="398"/>
      <c r="I404" s="398"/>
      <c r="J404" s="398"/>
      <c r="K404" s="398"/>
      <c r="L404" s="398"/>
      <c r="M404" s="398"/>
    </row>
    <row r="405" spans="1:13">
      <c r="A405" s="398"/>
      <c r="B405" s="398"/>
      <c r="C405" s="398"/>
      <c r="D405" s="398"/>
      <c r="E405" s="398"/>
      <c r="F405" s="398"/>
      <c r="G405" s="398"/>
      <c r="H405" s="398"/>
      <c r="I405" s="398"/>
      <c r="J405" s="398"/>
      <c r="K405" s="398"/>
      <c r="L405" s="398"/>
      <c r="M405" s="398"/>
    </row>
    <row r="406" spans="1:13">
      <c r="A406" s="398"/>
      <c r="B406" s="398"/>
      <c r="C406" s="398"/>
      <c r="D406" s="398"/>
      <c r="E406" s="398"/>
      <c r="F406" s="398"/>
      <c r="G406" s="398"/>
      <c r="H406" s="398"/>
      <c r="I406" s="398"/>
      <c r="J406" s="398"/>
      <c r="K406" s="398"/>
      <c r="L406" s="398"/>
      <c r="M406" s="398"/>
    </row>
    <row r="407" spans="1:13">
      <c r="A407" s="398"/>
      <c r="B407" s="398"/>
      <c r="C407" s="398"/>
      <c r="D407" s="398"/>
      <c r="E407" s="398"/>
      <c r="F407" s="398"/>
      <c r="G407" s="398"/>
      <c r="H407" s="398"/>
      <c r="I407" s="398"/>
      <c r="J407" s="398"/>
      <c r="K407" s="398"/>
      <c r="L407" s="398"/>
      <c r="M407" s="398"/>
    </row>
    <row r="408" spans="1:13">
      <c r="A408" s="398"/>
      <c r="B408" s="398"/>
      <c r="C408" s="398"/>
      <c r="D408" s="398"/>
      <c r="E408" s="398"/>
      <c r="F408" s="398"/>
      <c r="G408" s="398"/>
      <c r="H408" s="398"/>
      <c r="I408" s="398"/>
      <c r="J408" s="398"/>
      <c r="K408" s="398"/>
      <c r="L408" s="398"/>
      <c r="M408" s="398"/>
    </row>
    <row r="409" spans="1:13">
      <c r="A409" s="398"/>
      <c r="B409" s="398"/>
      <c r="C409" s="398"/>
      <c r="D409" s="398"/>
      <c r="E409" s="398"/>
      <c r="F409" s="398"/>
      <c r="G409" s="398"/>
      <c r="H409" s="398"/>
      <c r="I409" s="398"/>
      <c r="J409" s="398"/>
      <c r="K409" s="398"/>
      <c r="L409" s="398"/>
      <c r="M409" s="398"/>
    </row>
    <row r="410" spans="1:13">
      <c r="A410" s="398"/>
      <c r="B410" s="398"/>
      <c r="C410" s="398"/>
      <c r="D410" s="398"/>
      <c r="E410" s="398"/>
      <c r="F410" s="398"/>
      <c r="G410" s="398"/>
      <c r="H410" s="398"/>
      <c r="I410" s="398"/>
      <c r="J410" s="398"/>
      <c r="K410" s="398"/>
      <c r="L410" s="398"/>
      <c r="M410" s="398"/>
    </row>
    <row r="411" spans="1:13">
      <c r="A411" s="398"/>
      <c r="B411" s="398"/>
      <c r="C411" s="398"/>
      <c r="D411" s="398"/>
      <c r="E411" s="398"/>
      <c r="F411" s="398"/>
      <c r="G411" s="398"/>
      <c r="H411" s="398"/>
      <c r="I411" s="398"/>
      <c r="J411" s="398"/>
      <c r="K411" s="398"/>
      <c r="L411" s="398"/>
      <c r="M411" s="398"/>
    </row>
    <row r="412" spans="1:13">
      <c r="A412" s="398"/>
      <c r="B412" s="398"/>
      <c r="C412" s="398"/>
      <c r="D412" s="398"/>
      <c r="E412" s="398"/>
      <c r="F412" s="398"/>
      <c r="G412" s="398"/>
      <c r="H412" s="398"/>
      <c r="I412" s="398"/>
      <c r="J412" s="398"/>
      <c r="K412" s="398"/>
      <c r="L412" s="398"/>
      <c r="M412" s="398"/>
    </row>
    <row r="413" spans="1:13">
      <c r="A413" s="398"/>
      <c r="B413" s="398"/>
      <c r="C413" s="398"/>
      <c r="D413" s="398"/>
      <c r="E413" s="398"/>
      <c r="F413" s="398"/>
      <c r="G413" s="398"/>
      <c r="H413" s="398"/>
      <c r="I413" s="398"/>
      <c r="J413" s="398"/>
      <c r="K413" s="398"/>
      <c r="L413" s="398"/>
      <c r="M413" s="398"/>
    </row>
    <row r="414" spans="1:13">
      <c r="A414" s="398"/>
      <c r="B414" s="398"/>
      <c r="C414" s="398"/>
      <c r="D414" s="398"/>
      <c r="E414" s="398"/>
      <c r="F414" s="398"/>
      <c r="G414" s="398"/>
      <c r="H414" s="398"/>
      <c r="I414" s="398"/>
      <c r="J414" s="398"/>
      <c r="K414" s="398"/>
      <c r="L414" s="398"/>
      <c r="M414" s="398"/>
    </row>
    <row r="415" spans="1:13">
      <c r="A415" s="398"/>
      <c r="B415" s="398"/>
      <c r="C415" s="398"/>
      <c r="D415" s="398"/>
      <c r="E415" s="398"/>
      <c r="F415" s="398"/>
      <c r="G415" s="398"/>
      <c r="H415" s="398"/>
      <c r="I415" s="398"/>
      <c r="J415" s="398"/>
      <c r="K415" s="398"/>
      <c r="L415" s="398"/>
      <c r="M415" s="398"/>
    </row>
    <row r="416" spans="1:13">
      <c r="A416" s="398"/>
      <c r="B416" s="398"/>
      <c r="C416" s="398"/>
      <c r="D416" s="398"/>
      <c r="E416" s="398"/>
      <c r="F416" s="398"/>
      <c r="G416" s="398"/>
      <c r="H416" s="398"/>
      <c r="I416" s="398"/>
      <c r="J416" s="398"/>
      <c r="K416" s="398"/>
      <c r="L416" s="398"/>
      <c r="M416" s="398"/>
    </row>
    <row r="417" spans="1:13">
      <c r="A417" s="398"/>
      <c r="B417" s="398"/>
      <c r="C417" s="398"/>
      <c r="D417" s="398"/>
      <c r="E417" s="398"/>
      <c r="F417" s="398"/>
      <c r="G417" s="398"/>
      <c r="H417" s="398"/>
      <c r="I417" s="398"/>
      <c r="J417" s="398"/>
      <c r="K417" s="398"/>
      <c r="L417" s="398"/>
      <c r="M417" s="398"/>
    </row>
    <row r="418" spans="1:13">
      <c r="A418" s="398"/>
      <c r="B418" s="398"/>
      <c r="C418" s="398"/>
      <c r="D418" s="398"/>
      <c r="E418" s="398"/>
      <c r="F418" s="398"/>
      <c r="G418" s="398"/>
      <c r="H418" s="398"/>
      <c r="I418" s="398"/>
      <c r="J418" s="398"/>
      <c r="K418" s="398"/>
      <c r="L418" s="398"/>
      <c r="M418" s="398"/>
    </row>
    <row r="419" spans="1:13">
      <c r="A419" s="398"/>
      <c r="B419" s="398"/>
      <c r="C419" s="398"/>
      <c r="D419" s="398"/>
      <c r="E419" s="398"/>
      <c r="F419" s="398"/>
      <c r="G419" s="398"/>
      <c r="H419" s="398"/>
      <c r="I419" s="398"/>
      <c r="J419" s="398"/>
      <c r="K419" s="398"/>
      <c r="L419" s="398"/>
      <c r="M419" s="398"/>
    </row>
    <row r="420" spans="1:13">
      <c r="A420" s="398"/>
      <c r="B420" s="398"/>
      <c r="C420" s="398"/>
      <c r="D420" s="398"/>
      <c r="E420" s="398"/>
      <c r="F420" s="398"/>
      <c r="G420" s="398"/>
      <c r="H420" s="398"/>
      <c r="I420" s="398"/>
      <c r="J420" s="398"/>
      <c r="K420" s="398"/>
      <c r="L420" s="398"/>
      <c r="M420" s="398"/>
    </row>
    <row r="421" spans="1:13">
      <c r="A421" s="398"/>
      <c r="B421" s="398"/>
      <c r="C421" s="398"/>
      <c r="D421" s="398"/>
      <c r="E421" s="398"/>
      <c r="F421" s="398"/>
      <c r="G421" s="398"/>
      <c r="H421" s="398"/>
      <c r="I421" s="398"/>
      <c r="J421" s="398"/>
      <c r="K421" s="398"/>
      <c r="L421" s="398"/>
      <c r="M421" s="398"/>
    </row>
    <row r="422" spans="1:13">
      <c r="A422" s="398"/>
      <c r="B422" s="398"/>
      <c r="C422" s="398"/>
      <c r="D422" s="398"/>
      <c r="E422" s="398"/>
      <c r="F422" s="398"/>
      <c r="G422" s="398"/>
      <c r="H422" s="398"/>
      <c r="I422" s="398"/>
      <c r="J422" s="398"/>
      <c r="K422" s="398"/>
      <c r="L422" s="398"/>
      <c r="M422" s="398"/>
    </row>
    <row r="423" spans="1:13">
      <c r="A423" s="398"/>
      <c r="B423" s="398"/>
      <c r="C423" s="398"/>
      <c r="D423" s="398"/>
      <c r="E423" s="398"/>
      <c r="F423" s="398"/>
      <c r="G423" s="398"/>
      <c r="H423" s="398"/>
      <c r="I423" s="398"/>
      <c r="J423" s="398"/>
      <c r="K423" s="398"/>
      <c r="L423" s="398"/>
      <c r="M423" s="398"/>
    </row>
    <row r="424" spans="1:13">
      <c r="A424" s="398"/>
      <c r="B424" s="398"/>
      <c r="C424" s="398"/>
      <c r="D424" s="398"/>
      <c r="E424" s="398"/>
      <c r="F424" s="398"/>
      <c r="G424" s="398"/>
      <c r="H424" s="398"/>
      <c r="I424" s="398"/>
      <c r="J424" s="398"/>
      <c r="K424" s="398"/>
      <c r="L424" s="398"/>
      <c r="M424" s="398"/>
    </row>
    <row r="425" spans="1:13">
      <c r="A425" s="398"/>
      <c r="B425" s="398"/>
      <c r="C425" s="398"/>
      <c r="D425" s="398"/>
      <c r="E425" s="398"/>
      <c r="F425" s="398"/>
      <c r="G425" s="398"/>
      <c r="H425" s="398"/>
      <c r="I425" s="398"/>
      <c r="J425" s="398"/>
      <c r="K425" s="398"/>
      <c r="L425" s="398"/>
      <c r="M425" s="398"/>
    </row>
    <row r="426" spans="1:13">
      <c r="A426" s="398"/>
      <c r="B426" s="398"/>
      <c r="C426" s="398"/>
      <c r="D426" s="398"/>
      <c r="E426" s="398"/>
      <c r="F426" s="398"/>
      <c r="G426" s="398"/>
      <c r="H426" s="398"/>
      <c r="I426" s="398"/>
      <c r="J426" s="398"/>
      <c r="K426" s="398"/>
      <c r="L426" s="398"/>
      <c r="M426" s="398"/>
    </row>
    <row r="427" spans="1:13">
      <c r="A427" s="398"/>
      <c r="B427" s="398"/>
      <c r="C427" s="398"/>
      <c r="D427" s="398"/>
      <c r="E427" s="398"/>
      <c r="F427" s="398"/>
      <c r="G427" s="398"/>
      <c r="H427" s="398"/>
      <c r="I427" s="398"/>
      <c r="J427" s="398"/>
      <c r="K427" s="398"/>
      <c r="L427" s="398"/>
      <c r="M427" s="398"/>
    </row>
    <row r="428" spans="1:13">
      <c r="A428" s="398"/>
      <c r="B428" s="398"/>
      <c r="C428" s="398"/>
      <c r="D428" s="398"/>
      <c r="E428" s="398"/>
      <c r="F428" s="398"/>
      <c r="G428" s="398"/>
      <c r="H428" s="398"/>
      <c r="I428" s="398"/>
      <c r="J428" s="398"/>
      <c r="K428" s="398"/>
      <c r="L428" s="398"/>
      <c r="M428" s="398"/>
    </row>
    <row r="429" spans="1:13">
      <c r="A429" s="398"/>
      <c r="B429" s="398"/>
      <c r="C429" s="398"/>
      <c r="D429" s="398"/>
      <c r="E429" s="398"/>
      <c r="F429" s="398"/>
      <c r="G429" s="398"/>
      <c r="H429" s="398"/>
      <c r="I429" s="398"/>
      <c r="J429" s="398"/>
      <c r="K429" s="398"/>
      <c r="L429" s="398"/>
      <c r="M429" s="398"/>
    </row>
    <row r="430" spans="1:13">
      <c r="A430" s="398"/>
      <c r="B430" s="398"/>
      <c r="C430" s="398"/>
      <c r="D430" s="398"/>
      <c r="E430" s="398"/>
      <c r="F430" s="398"/>
      <c r="G430" s="398"/>
      <c r="H430" s="398"/>
      <c r="I430" s="398"/>
      <c r="J430" s="398"/>
      <c r="K430" s="398"/>
      <c r="L430" s="398"/>
      <c r="M430" s="398"/>
    </row>
    <row r="431" spans="1:13">
      <c r="A431" s="398"/>
      <c r="B431" s="398"/>
      <c r="C431" s="398"/>
      <c r="D431" s="398"/>
      <c r="E431" s="398"/>
      <c r="F431" s="398"/>
      <c r="G431" s="398"/>
      <c r="H431" s="398"/>
      <c r="I431" s="398"/>
      <c r="J431" s="398"/>
      <c r="K431" s="398"/>
      <c r="L431" s="398"/>
      <c r="M431" s="398"/>
    </row>
    <row r="432" spans="1:13">
      <c r="A432" s="398"/>
      <c r="B432" s="398"/>
      <c r="C432" s="398"/>
      <c r="D432" s="398"/>
      <c r="E432" s="398"/>
      <c r="F432" s="398"/>
      <c r="G432" s="398"/>
      <c r="H432" s="398"/>
      <c r="I432" s="398"/>
      <c r="J432" s="398"/>
      <c r="K432" s="398"/>
      <c r="L432" s="398"/>
      <c r="M432" s="398"/>
    </row>
    <row r="433" spans="1:13">
      <c r="A433" s="398"/>
      <c r="B433" s="398"/>
      <c r="C433" s="398"/>
      <c r="D433" s="398"/>
      <c r="E433" s="398"/>
      <c r="F433" s="398"/>
      <c r="G433" s="398"/>
      <c r="H433" s="398"/>
      <c r="I433" s="398"/>
      <c r="J433" s="398"/>
      <c r="K433" s="398"/>
      <c r="L433" s="398"/>
      <c r="M433" s="398"/>
    </row>
    <row r="434" spans="1:13">
      <c r="A434" s="398"/>
      <c r="B434" s="398"/>
      <c r="C434" s="398"/>
      <c r="D434" s="398"/>
      <c r="E434" s="398"/>
      <c r="F434" s="398"/>
      <c r="G434" s="398"/>
      <c r="H434" s="398"/>
      <c r="I434" s="398"/>
      <c r="J434" s="398"/>
      <c r="K434" s="398"/>
      <c r="L434" s="398"/>
      <c r="M434" s="398"/>
    </row>
    <row r="435" spans="1:13">
      <c r="A435" s="398"/>
      <c r="B435" s="398"/>
      <c r="C435" s="398"/>
      <c r="D435" s="398"/>
      <c r="E435" s="398"/>
      <c r="F435" s="398"/>
      <c r="G435" s="398"/>
      <c r="H435" s="398"/>
      <c r="I435" s="398"/>
      <c r="J435" s="398"/>
      <c r="K435" s="398"/>
      <c r="L435" s="398"/>
      <c r="M435" s="398"/>
    </row>
    <row r="436" spans="1:13">
      <c r="A436" s="398"/>
      <c r="B436" s="398"/>
      <c r="C436" s="398"/>
      <c r="D436" s="398"/>
      <c r="E436" s="398"/>
      <c r="F436" s="398"/>
      <c r="G436" s="398"/>
      <c r="H436" s="398"/>
      <c r="I436" s="398"/>
      <c r="J436" s="398"/>
      <c r="K436" s="398"/>
      <c r="L436" s="398"/>
      <c r="M436" s="398"/>
    </row>
    <row r="437" spans="1:13">
      <c r="A437" s="398"/>
      <c r="B437" s="398"/>
      <c r="C437" s="398"/>
      <c r="D437" s="398"/>
      <c r="E437" s="398"/>
      <c r="F437" s="398"/>
      <c r="G437" s="398"/>
      <c r="H437" s="398"/>
      <c r="I437" s="398"/>
      <c r="J437" s="398"/>
      <c r="K437" s="398"/>
      <c r="L437" s="398"/>
      <c r="M437" s="398"/>
    </row>
    <row r="438" spans="1:13">
      <c r="A438" s="398"/>
      <c r="B438" s="398"/>
      <c r="C438" s="398"/>
      <c r="D438" s="398"/>
      <c r="E438" s="398"/>
      <c r="F438" s="398"/>
      <c r="G438" s="398"/>
      <c r="H438" s="398"/>
      <c r="I438" s="398"/>
      <c r="J438" s="398"/>
      <c r="K438" s="398"/>
      <c r="L438" s="398"/>
      <c r="M438" s="398"/>
    </row>
    <row r="439" spans="1:13">
      <c r="A439" s="398"/>
      <c r="B439" s="398"/>
      <c r="C439" s="398"/>
      <c r="D439" s="398"/>
      <c r="E439" s="398"/>
      <c r="F439" s="398"/>
      <c r="G439" s="398"/>
      <c r="H439" s="398"/>
      <c r="I439" s="398"/>
      <c r="J439" s="398"/>
      <c r="K439" s="398"/>
      <c r="L439" s="398"/>
      <c r="M439" s="398"/>
    </row>
    <row r="440" spans="1:13">
      <c r="A440" s="398"/>
      <c r="B440" s="398"/>
      <c r="C440" s="398"/>
      <c r="D440" s="398"/>
      <c r="E440" s="398"/>
      <c r="F440" s="398"/>
      <c r="G440" s="398"/>
      <c r="H440" s="398"/>
      <c r="I440" s="398"/>
      <c r="J440" s="398"/>
      <c r="K440" s="398"/>
      <c r="L440" s="398"/>
      <c r="M440" s="398"/>
    </row>
    <row r="441" spans="1:13">
      <c r="A441" s="398"/>
      <c r="B441" s="398"/>
      <c r="C441" s="398"/>
      <c r="D441" s="398"/>
      <c r="E441" s="398"/>
      <c r="F441" s="398"/>
      <c r="G441" s="398"/>
      <c r="H441" s="398"/>
      <c r="I441" s="398"/>
      <c r="J441" s="398"/>
      <c r="K441" s="398"/>
      <c r="L441" s="398"/>
      <c r="M441" s="398"/>
    </row>
    <row r="442" spans="1:13">
      <c r="A442" s="398"/>
      <c r="B442" s="398"/>
      <c r="C442" s="398"/>
      <c r="D442" s="398"/>
      <c r="E442" s="398"/>
      <c r="F442" s="398"/>
      <c r="G442" s="398"/>
      <c r="H442" s="398"/>
      <c r="I442" s="398"/>
      <c r="J442" s="398"/>
      <c r="K442" s="398"/>
      <c r="L442" s="398"/>
      <c r="M442" s="398"/>
    </row>
    <row r="443" spans="1:13">
      <c r="A443" s="398"/>
      <c r="B443" s="398"/>
      <c r="C443" s="398"/>
      <c r="D443" s="398"/>
      <c r="E443" s="398"/>
      <c r="F443" s="398"/>
      <c r="G443" s="398"/>
      <c r="H443" s="398"/>
      <c r="I443" s="398"/>
      <c r="J443" s="398"/>
      <c r="K443" s="398"/>
      <c r="L443" s="398"/>
      <c r="M443" s="398"/>
    </row>
    <row r="444" spans="1:13">
      <c r="A444" s="398"/>
      <c r="B444" s="398"/>
      <c r="C444" s="398"/>
      <c r="D444" s="398"/>
      <c r="E444" s="398"/>
      <c r="F444" s="398"/>
      <c r="G444" s="398"/>
      <c r="H444" s="398"/>
      <c r="I444" s="398"/>
      <c r="J444" s="398"/>
      <c r="K444" s="398"/>
      <c r="L444" s="398"/>
      <c r="M444" s="398"/>
    </row>
    <row r="445" spans="1:13">
      <c r="A445" s="398"/>
      <c r="B445" s="398"/>
      <c r="C445" s="398"/>
      <c r="D445" s="398"/>
      <c r="E445" s="398"/>
      <c r="F445" s="398"/>
      <c r="G445" s="398"/>
      <c r="H445" s="398"/>
      <c r="I445" s="398"/>
      <c r="J445" s="398"/>
      <c r="K445" s="398"/>
      <c r="L445" s="398"/>
      <c r="M445" s="398"/>
    </row>
    <row r="446" spans="1:13">
      <c r="A446" s="398"/>
      <c r="B446" s="398"/>
      <c r="C446" s="398"/>
      <c r="D446" s="398"/>
      <c r="E446" s="398"/>
      <c r="F446" s="398"/>
      <c r="G446" s="398"/>
      <c r="H446" s="398"/>
      <c r="I446" s="398"/>
      <c r="J446" s="398"/>
      <c r="K446" s="398"/>
      <c r="L446" s="398"/>
      <c r="M446" s="398"/>
    </row>
    <row r="447" spans="1:13">
      <c r="A447" s="398"/>
      <c r="B447" s="398"/>
      <c r="C447" s="398"/>
      <c r="D447" s="398"/>
      <c r="E447" s="398"/>
      <c r="F447" s="398"/>
      <c r="G447" s="398"/>
      <c r="H447" s="398"/>
      <c r="I447" s="398"/>
      <c r="J447" s="398"/>
      <c r="K447" s="398"/>
      <c r="L447" s="398"/>
      <c r="M447" s="398"/>
    </row>
    <row r="448" spans="1:13">
      <c r="A448" s="398"/>
      <c r="B448" s="398"/>
      <c r="C448" s="398"/>
      <c r="D448" s="398"/>
      <c r="E448" s="398"/>
      <c r="F448" s="398"/>
      <c r="G448" s="398"/>
      <c r="H448" s="398"/>
      <c r="I448" s="398"/>
      <c r="J448" s="398"/>
      <c r="K448" s="398"/>
      <c r="L448" s="398"/>
      <c r="M448" s="398"/>
    </row>
    <row r="449" spans="1:13">
      <c r="A449" s="398"/>
      <c r="B449" s="398"/>
      <c r="C449" s="398"/>
      <c r="D449" s="398"/>
      <c r="E449" s="398"/>
      <c r="F449" s="398"/>
      <c r="G449" s="398"/>
      <c r="H449" s="398"/>
      <c r="I449" s="398"/>
      <c r="J449" s="398"/>
      <c r="K449" s="398"/>
      <c r="L449" s="398"/>
      <c r="M449" s="398"/>
    </row>
    <row r="450" spans="1:13">
      <c r="A450" s="398"/>
      <c r="B450" s="398"/>
      <c r="C450" s="398"/>
      <c r="D450" s="398"/>
      <c r="E450" s="398"/>
      <c r="F450" s="398"/>
      <c r="G450" s="398"/>
      <c r="H450" s="398"/>
      <c r="I450" s="398"/>
      <c r="J450" s="398"/>
      <c r="K450" s="398"/>
      <c r="L450" s="398"/>
      <c r="M450" s="398"/>
    </row>
    <row r="451" spans="1:13">
      <c r="A451" s="398"/>
      <c r="B451" s="398"/>
      <c r="C451" s="398"/>
      <c r="D451" s="398"/>
      <c r="E451" s="398"/>
      <c r="F451" s="398"/>
      <c r="G451" s="398"/>
      <c r="H451" s="398"/>
      <c r="I451" s="398"/>
      <c r="J451" s="398"/>
      <c r="K451" s="398"/>
      <c r="L451" s="398"/>
      <c r="M451" s="398"/>
    </row>
    <row r="452" spans="1:13">
      <c r="A452" s="398"/>
      <c r="B452" s="398"/>
      <c r="C452" s="398"/>
      <c r="D452" s="398"/>
      <c r="E452" s="398"/>
      <c r="F452" s="398"/>
      <c r="G452" s="398"/>
      <c r="H452" s="398"/>
      <c r="I452" s="398"/>
      <c r="J452" s="398"/>
      <c r="K452" s="398"/>
      <c r="L452" s="398"/>
      <c r="M452" s="398"/>
    </row>
    <row r="453" spans="1:13">
      <c r="A453" s="398"/>
      <c r="B453" s="398"/>
      <c r="C453" s="398"/>
      <c r="D453" s="398"/>
      <c r="E453" s="398"/>
      <c r="F453" s="398"/>
      <c r="G453" s="398"/>
      <c r="H453" s="398"/>
      <c r="I453" s="398"/>
      <c r="J453" s="398"/>
      <c r="K453" s="398"/>
      <c r="L453" s="398"/>
      <c r="M453" s="398"/>
    </row>
    <row r="454" spans="1:13">
      <c r="A454" s="398"/>
      <c r="B454" s="398"/>
      <c r="C454" s="398"/>
      <c r="D454" s="398"/>
      <c r="E454" s="398"/>
      <c r="F454" s="398"/>
      <c r="G454" s="398"/>
      <c r="H454" s="398"/>
      <c r="I454" s="398"/>
      <c r="J454" s="398"/>
      <c r="K454" s="398"/>
      <c r="L454" s="398"/>
      <c r="M454" s="398"/>
    </row>
    <row r="455" spans="1:13">
      <c r="A455" s="398"/>
      <c r="B455" s="398"/>
      <c r="C455" s="398"/>
      <c r="D455" s="398"/>
      <c r="E455" s="398"/>
      <c r="F455" s="398"/>
      <c r="G455" s="398"/>
      <c r="H455" s="398"/>
      <c r="I455" s="398"/>
      <c r="J455" s="398"/>
      <c r="K455" s="398"/>
      <c r="L455" s="398"/>
      <c r="M455" s="398"/>
    </row>
    <row r="456" spans="1:13">
      <c r="A456" s="398"/>
      <c r="B456" s="398"/>
      <c r="C456" s="398"/>
      <c r="D456" s="398"/>
      <c r="E456" s="398"/>
      <c r="F456" s="398"/>
      <c r="G456" s="398"/>
      <c r="H456" s="398"/>
      <c r="I456" s="398"/>
      <c r="J456" s="398"/>
      <c r="K456" s="398"/>
      <c r="L456" s="398"/>
      <c r="M456" s="398"/>
    </row>
    <row r="457" spans="1:13">
      <c r="A457" s="398"/>
      <c r="B457" s="398"/>
      <c r="C457" s="398"/>
      <c r="D457" s="398"/>
      <c r="E457" s="398"/>
      <c r="F457" s="398"/>
      <c r="G457" s="398"/>
      <c r="H457" s="398"/>
      <c r="I457" s="398"/>
      <c r="J457" s="398"/>
      <c r="K457" s="398"/>
      <c r="L457" s="398"/>
      <c r="M457" s="398"/>
    </row>
    <row r="458" spans="1:13">
      <c r="A458" s="398"/>
      <c r="B458" s="398"/>
      <c r="C458" s="398"/>
      <c r="D458" s="398"/>
      <c r="E458" s="398"/>
      <c r="F458" s="398"/>
      <c r="G458" s="398"/>
      <c r="H458" s="398"/>
      <c r="I458" s="398"/>
      <c r="J458" s="398"/>
      <c r="K458" s="398"/>
      <c r="L458" s="398"/>
      <c r="M458" s="398"/>
    </row>
    <row r="459" spans="1:13">
      <c r="A459" s="398"/>
      <c r="B459" s="398"/>
      <c r="C459" s="398"/>
      <c r="D459" s="398"/>
      <c r="E459" s="398"/>
      <c r="F459" s="398"/>
      <c r="G459" s="398"/>
      <c r="H459" s="398"/>
      <c r="I459" s="398"/>
      <c r="J459" s="398"/>
      <c r="K459" s="398"/>
      <c r="L459" s="398"/>
      <c r="M459" s="398"/>
    </row>
    <row r="460" spans="1:13">
      <c r="A460" s="398"/>
      <c r="B460" s="398"/>
      <c r="C460" s="398"/>
      <c r="D460" s="398"/>
      <c r="E460" s="398"/>
      <c r="F460" s="398"/>
      <c r="G460" s="398"/>
      <c r="H460" s="398"/>
      <c r="I460" s="398"/>
      <c r="J460" s="398"/>
      <c r="K460" s="398"/>
      <c r="L460" s="398"/>
      <c r="M460" s="398"/>
    </row>
    <row r="461" spans="1:13">
      <c r="A461" s="398"/>
      <c r="B461" s="398"/>
      <c r="C461" s="398"/>
      <c r="D461" s="398"/>
      <c r="E461" s="398"/>
      <c r="F461" s="398"/>
      <c r="G461" s="398"/>
      <c r="H461" s="398"/>
      <c r="I461" s="398"/>
      <c r="J461" s="398"/>
      <c r="K461" s="398"/>
      <c r="L461" s="398"/>
      <c r="M461" s="398"/>
    </row>
    <row r="462" spans="1:13">
      <c r="A462" s="398"/>
      <c r="B462" s="398"/>
      <c r="C462" s="398"/>
      <c r="D462" s="398"/>
      <c r="E462" s="398"/>
      <c r="F462" s="398"/>
      <c r="G462" s="398"/>
      <c r="H462" s="398"/>
      <c r="I462" s="398"/>
      <c r="J462" s="398"/>
      <c r="K462" s="398"/>
      <c r="L462" s="398"/>
      <c r="M462" s="398"/>
    </row>
    <row r="463" spans="1:13">
      <c r="A463" s="398"/>
      <c r="B463" s="398"/>
      <c r="C463" s="398"/>
      <c r="D463" s="398"/>
      <c r="E463" s="398"/>
      <c r="F463" s="398"/>
      <c r="G463" s="398"/>
      <c r="H463" s="398"/>
      <c r="I463" s="398"/>
      <c r="J463" s="398"/>
      <c r="K463" s="398"/>
      <c r="L463" s="398"/>
      <c r="M463" s="398"/>
    </row>
    <row r="464" spans="1:13">
      <c r="A464" s="398"/>
      <c r="B464" s="398"/>
      <c r="C464" s="398"/>
      <c r="D464" s="398"/>
      <c r="E464" s="398"/>
      <c r="F464" s="398"/>
      <c r="G464" s="398"/>
      <c r="H464" s="398"/>
      <c r="I464" s="398"/>
      <c r="J464" s="398"/>
      <c r="K464" s="398"/>
      <c r="L464" s="398"/>
      <c r="M464" s="398"/>
    </row>
    <row r="465" spans="1:13">
      <c r="A465" s="398"/>
      <c r="B465" s="398"/>
      <c r="C465" s="398"/>
      <c r="D465" s="398"/>
      <c r="E465" s="398"/>
      <c r="F465" s="398"/>
      <c r="G465" s="398"/>
      <c r="H465" s="398"/>
      <c r="I465" s="398"/>
      <c r="J465" s="398"/>
      <c r="K465" s="398"/>
      <c r="L465" s="398"/>
      <c r="M465" s="398"/>
    </row>
    <row r="466" spans="1:13">
      <c r="A466" s="398"/>
      <c r="B466" s="398"/>
      <c r="C466" s="398"/>
      <c r="D466" s="398"/>
      <c r="E466" s="398"/>
      <c r="F466" s="398"/>
      <c r="G466" s="398"/>
      <c r="H466" s="398"/>
      <c r="I466" s="398"/>
      <c r="J466" s="398"/>
      <c r="K466" s="398"/>
      <c r="L466" s="398"/>
      <c r="M466" s="398"/>
    </row>
    <row r="467" spans="1:13">
      <c r="A467" s="398"/>
      <c r="B467" s="398"/>
      <c r="C467" s="398"/>
      <c r="D467" s="398"/>
      <c r="E467" s="398"/>
      <c r="F467" s="398"/>
      <c r="G467" s="398"/>
      <c r="H467" s="398"/>
      <c r="I467" s="398"/>
      <c r="J467" s="398"/>
      <c r="K467" s="398"/>
      <c r="L467" s="398"/>
      <c r="M467" s="398"/>
    </row>
    <row r="468" spans="1:13">
      <c r="A468" s="398"/>
      <c r="B468" s="398"/>
      <c r="C468" s="398"/>
      <c r="D468" s="398"/>
      <c r="E468" s="398"/>
      <c r="F468" s="398"/>
      <c r="G468" s="398"/>
      <c r="H468" s="398"/>
      <c r="I468" s="398"/>
      <c r="J468" s="398"/>
      <c r="K468" s="398"/>
      <c r="L468" s="398"/>
      <c r="M468" s="398"/>
    </row>
    <row r="469" spans="1:13">
      <c r="A469" s="398"/>
      <c r="B469" s="398"/>
      <c r="C469" s="398"/>
      <c r="D469" s="398"/>
      <c r="E469" s="398"/>
      <c r="F469" s="398"/>
      <c r="G469" s="398"/>
      <c r="H469" s="398"/>
      <c r="I469" s="398"/>
      <c r="J469" s="398"/>
      <c r="K469" s="398"/>
      <c r="L469" s="398"/>
      <c r="M469" s="398"/>
    </row>
    <row r="470" spans="1:13">
      <c r="A470" s="398"/>
      <c r="B470" s="398"/>
      <c r="C470" s="398"/>
      <c r="D470" s="398"/>
      <c r="E470" s="398"/>
      <c r="F470" s="398"/>
      <c r="G470" s="398"/>
      <c r="H470" s="398"/>
      <c r="I470" s="398"/>
      <c r="J470" s="398"/>
      <c r="K470" s="398"/>
      <c r="L470" s="398"/>
      <c r="M470" s="398"/>
    </row>
    <row r="471" spans="1:13">
      <c r="A471" s="398"/>
      <c r="B471" s="398"/>
      <c r="C471" s="398"/>
      <c r="D471" s="398"/>
      <c r="E471" s="398"/>
      <c r="F471" s="398"/>
      <c r="G471" s="398"/>
      <c r="H471" s="398"/>
      <c r="I471" s="398"/>
      <c r="J471" s="398"/>
      <c r="K471" s="398"/>
      <c r="L471" s="398"/>
      <c r="M471" s="398"/>
    </row>
    <row r="472" spans="1:13">
      <c r="A472" s="398"/>
      <c r="B472" s="398"/>
      <c r="C472" s="398"/>
      <c r="D472" s="398"/>
      <c r="E472" s="398"/>
      <c r="F472" s="398"/>
      <c r="G472" s="398"/>
      <c r="H472" s="398"/>
      <c r="I472" s="398"/>
      <c r="J472" s="398"/>
      <c r="K472" s="398"/>
      <c r="L472" s="398"/>
      <c r="M472" s="398"/>
    </row>
    <row r="473" spans="1:13">
      <c r="A473" s="398"/>
      <c r="B473" s="398"/>
      <c r="C473" s="398"/>
      <c r="D473" s="398"/>
      <c r="E473" s="398"/>
      <c r="F473" s="398"/>
      <c r="G473" s="398"/>
      <c r="H473" s="398"/>
      <c r="I473" s="398"/>
      <c r="J473" s="398"/>
      <c r="K473" s="398"/>
      <c r="L473" s="398"/>
      <c r="M473" s="398"/>
    </row>
    <row r="474" spans="1:13">
      <c r="A474" s="398"/>
      <c r="B474" s="398"/>
      <c r="C474" s="398"/>
      <c r="D474" s="398"/>
      <c r="E474" s="398"/>
      <c r="F474" s="398"/>
      <c r="G474" s="398"/>
      <c r="H474" s="398"/>
      <c r="I474" s="398"/>
      <c r="J474" s="398"/>
      <c r="K474" s="398"/>
      <c r="L474" s="398"/>
      <c r="M474" s="398"/>
    </row>
    <row r="475" spans="1:13">
      <c r="A475" s="398"/>
      <c r="B475" s="398"/>
      <c r="C475" s="398"/>
      <c r="D475" s="398"/>
      <c r="E475" s="398"/>
      <c r="F475" s="398"/>
      <c r="G475" s="398"/>
      <c r="H475" s="398"/>
      <c r="I475" s="398"/>
      <c r="J475" s="398"/>
      <c r="K475" s="398"/>
      <c r="L475" s="398"/>
      <c r="M475" s="398"/>
    </row>
    <row r="476" spans="1:13">
      <c r="A476" s="398"/>
      <c r="B476" s="398"/>
      <c r="C476" s="398"/>
      <c r="D476" s="398"/>
      <c r="E476" s="398"/>
      <c r="F476" s="398"/>
      <c r="G476" s="398"/>
      <c r="H476" s="398"/>
      <c r="I476" s="398"/>
      <c r="J476" s="398"/>
      <c r="K476" s="398"/>
      <c r="L476" s="398"/>
      <c r="M476" s="398"/>
    </row>
    <row r="477" spans="1:13">
      <c r="A477" s="398"/>
      <c r="B477" s="398"/>
      <c r="C477" s="398"/>
      <c r="D477" s="398"/>
      <c r="E477" s="398"/>
      <c r="F477" s="398"/>
      <c r="G477" s="398"/>
      <c r="H477" s="398"/>
      <c r="I477" s="398"/>
      <c r="J477" s="398"/>
      <c r="K477" s="398"/>
      <c r="L477" s="398"/>
      <c r="M477" s="398"/>
    </row>
    <row r="478" spans="1:13">
      <c r="A478" s="398"/>
      <c r="B478" s="398"/>
      <c r="C478" s="398"/>
      <c r="D478" s="398"/>
      <c r="E478" s="398"/>
      <c r="F478" s="398"/>
      <c r="G478" s="398"/>
      <c r="H478" s="398"/>
      <c r="I478" s="398"/>
      <c r="J478" s="398"/>
      <c r="K478" s="398"/>
      <c r="L478" s="398"/>
      <c r="M478" s="398"/>
    </row>
    <row r="479" spans="1:13">
      <c r="A479" s="398"/>
      <c r="B479" s="398"/>
      <c r="C479" s="398"/>
      <c r="D479" s="398"/>
      <c r="E479" s="398"/>
      <c r="F479" s="398"/>
      <c r="G479" s="398"/>
      <c r="H479" s="398"/>
      <c r="I479" s="398"/>
      <c r="J479" s="398"/>
      <c r="K479" s="398"/>
      <c r="L479" s="398"/>
      <c r="M479" s="398"/>
    </row>
    <row r="480" spans="1:13">
      <c r="A480" s="398"/>
      <c r="B480" s="398"/>
      <c r="C480" s="398"/>
      <c r="D480" s="398"/>
      <c r="E480" s="398"/>
      <c r="F480" s="398"/>
      <c r="G480" s="398"/>
      <c r="H480" s="398"/>
      <c r="I480" s="398"/>
      <c r="J480" s="398"/>
      <c r="K480" s="398"/>
      <c r="L480" s="398"/>
      <c r="M480" s="398"/>
    </row>
    <row r="481" spans="1:13">
      <c r="A481" s="398"/>
      <c r="B481" s="398"/>
      <c r="C481" s="398"/>
      <c r="D481" s="398"/>
      <c r="E481" s="398"/>
      <c r="F481" s="398"/>
      <c r="G481" s="398"/>
      <c r="H481" s="398"/>
      <c r="I481" s="398"/>
      <c r="J481" s="398"/>
      <c r="K481" s="398"/>
      <c r="L481" s="398"/>
      <c r="M481" s="398"/>
    </row>
    <row r="482" spans="1:13">
      <c r="A482" s="398"/>
      <c r="B482" s="398"/>
      <c r="C482" s="398"/>
      <c r="D482" s="398"/>
      <c r="E482" s="398"/>
      <c r="F482" s="398"/>
      <c r="G482" s="398"/>
      <c r="H482" s="398"/>
      <c r="I482" s="398"/>
      <c r="J482" s="398"/>
      <c r="K482" s="398"/>
      <c r="L482" s="398"/>
      <c r="M482" s="398"/>
    </row>
    <row r="483" spans="1:13">
      <c r="A483" s="398"/>
      <c r="B483" s="398"/>
      <c r="C483" s="398"/>
      <c r="D483" s="398"/>
      <c r="E483" s="398"/>
      <c r="F483" s="398"/>
      <c r="G483" s="398"/>
      <c r="H483" s="398"/>
      <c r="I483" s="398"/>
      <c r="J483" s="398"/>
      <c r="K483" s="398"/>
      <c r="L483" s="398"/>
      <c r="M483" s="398"/>
    </row>
    <row r="484" spans="1:13">
      <c r="A484" s="398"/>
      <c r="B484" s="398"/>
      <c r="C484" s="398"/>
      <c r="D484" s="398"/>
      <c r="E484" s="398"/>
      <c r="F484" s="398"/>
      <c r="G484" s="398"/>
      <c r="H484" s="398"/>
      <c r="I484" s="398"/>
      <c r="J484" s="398"/>
      <c r="K484" s="398"/>
      <c r="L484" s="398"/>
      <c r="M484" s="398"/>
    </row>
    <row r="485" spans="1:13">
      <c r="A485" s="398"/>
      <c r="B485" s="398"/>
      <c r="C485" s="398"/>
      <c r="D485" s="398"/>
      <c r="E485" s="398"/>
      <c r="F485" s="398"/>
      <c r="G485" s="398"/>
      <c r="H485" s="398"/>
      <c r="I485" s="398"/>
      <c r="J485" s="398"/>
      <c r="K485" s="398"/>
      <c r="L485" s="398"/>
      <c r="M485" s="398"/>
    </row>
    <row r="486" spans="1:13">
      <c r="A486" s="398"/>
      <c r="B486" s="398"/>
      <c r="C486" s="398"/>
      <c r="D486" s="398"/>
      <c r="E486" s="398"/>
      <c r="F486" s="398"/>
      <c r="G486" s="398"/>
      <c r="H486" s="398"/>
      <c r="I486" s="398"/>
      <c r="J486" s="398"/>
      <c r="K486" s="398"/>
      <c r="L486" s="398"/>
      <c r="M486" s="398"/>
    </row>
    <row r="487" spans="1:13">
      <c r="A487" s="398"/>
      <c r="B487" s="398"/>
      <c r="C487" s="398"/>
      <c r="D487" s="398"/>
      <c r="E487" s="398"/>
      <c r="F487" s="398"/>
      <c r="G487" s="398"/>
      <c r="H487" s="398"/>
      <c r="I487" s="398"/>
      <c r="J487" s="398"/>
      <c r="K487" s="398"/>
      <c r="L487" s="398"/>
      <c r="M487" s="398"/>
    </row>
    <row r="488" spans="1:13">
      <c r="A488" s="398"/>
      <c r="B488" s="398"/>
      <c r="C488" s="398"/>
      <c r="D488" s="398"/>
      <c r="E488" s="398"/>
      <c r="F488" s="398"/>
      <c r="G488" s="398"/>
      <c r="H488" s="398"/>
      <c r="I488" s="398"/>
      <c r="J488" s="398"/>
      <c r="K488" s="398"/>
      <c r="L488" s="398"/>
      <c r="M488" s="398"/>
    </row>
    <row r="489" spans="1:13">
      <c r="A489" s="398"/>
      <c r="B489" s="398"/>
      <c r="C489" s="398"/>
      <c r="D489" s="398"/>
      <c r="E489" s="398"/>
      <c r="F489" s="398"/>
      <c r="G489" s="398"/>
      <c r="H489" s="398"/>
      <c r="I489" s="398"/>
      <c r="J489" s="398"/>
      <c r="K489" s="398"/>
      <c r="L489" s="398"/>
      <c r="M489" s="398"/>
    </row>
    <row r="490" spans="1:13">
      <c r="A490" s="398"/>
      <c r="B490" s="398"/>
      <c r="C490" s="398"/>
      <c r="D490" s="398"/>
      <c r="E490" s="398"/>
      <c r="F490" s="398"/>
      <c r="G490" s="398"/>
      <c r="H490" s="398"/>
      <c r="I490" s="398"/>
      <c r="J490" s="398"/>
      <c r="K490" s="398"/>
      <c r="L490" s="398"/>
      <c r="M490" s="398"/>
    </row>
    <row r="491" spans="1:13">
      <c r="A491" s="398"/>
      <c r="B491" s="398"/>
      <c r="C491" s="398"/>
      <c r="D491" s="398"/>
      <c r="E491" s="398"/>
      <c r="F491" s="398"/>
      <c r="G491" s="398"/>
      <c r="H491" s="398"/>
      <c r="I491" s="398"/>
      <c r="J491" s="398"/>
      <c r="K491" s="398"/>
      <c r="L491" s="398"/>
      <c r="M491" s="398"/>
    </row>
    <row r="492" spans="1:13">
      <c r="A492" s="398"/>
      <c r="B492" s="398"/>
      <c r="C492" s="398"/>
      <c r="D492" s="398"/>
      <c r="E492" s="398"/>
      <c r="F492" s="398"/>
      <c r="G492" s="398"/>
      <c r="H492" s="398"/>
      <c r="I492" s="398"/>
      <c r="J492" s="398"/>
      <c r="K492" s="398"/>
      <c r="L492" s="398"/>
      <c r="M492" s="398"/>
    </row>
    <row r="493" spans="1:13">
      <c r="A493" s="398"/>
      <c r="B493" s="398"/>
      <c r="C493" s="398"/>
      <c r="D493" s="398"/>
      <c r="E493" s="398"/>
      <c r="F493" s="398"/>
      <c r="G493" s="398"/>
      <c r="H493" s="398"/>
      <c r="I493" s="398"/>
      <c r="J493" s="398"/>
      <c r="K493" s="398"/>
      <c r="L493" s="398"/>
      <c r="M493" s="398"/>
    </row>
    <row r="494" spans="1:13">
      <c r="A494" s="398"/>
      <c r="B494" s="398"/>
      <c r="C494" s="398"/>
      <c r="D494" s="398"/>
      <c r="E494" s="398"/>
      <c r="F494" s="398"/>
      <c r="G494" s="398"/>
      <c r="H494" s="398"/>
      <c r="I494" s="398"/>
      <c r="J494" s="398"/>
      <c r="K494" s="398"/>
      <c r="L494" s="398"/>
      <c r="M494" s="398"/>
    </row>
    <row r="495" spans="1:13">
      <c r="A495" s="398"/>
      <c r="B495" s="398"/>
      <c r="C495" s="398"/>
      <c r="D495" s="398"/>
      <c r="E495" s="398"/>
      <c r="F495" s="398"/>
      <c r="G495" s="398"/>
      <c r="H495" s="398"/>
      <c r="I495" s="398"/>
      <c r="J495" s="398"/>
      <c r="K495" s="398"/>
      <c r="L495" s="398"/>
      <c r="M495" s="398"/>
    </row>
    <row r="496" spans="1:13">
      <c r="A496" s="398"/>
      <c r="B496" s="398"/>
      <c r="C496" s="398"/>
      <c r="D496" s="398"/>
      <c r="E496" s="398"/>
      <c r="F496" s="398"/>
      <c r="G496" s="398"/>
      <c r="H496" s="398"/>
      <c r="I496" s="398"/>
      <c r="J496" s="398"/>
      <c r="K496" s="398"/>
      <c r="L496" s="398"/>
      <c r="M496" s="398"/>
    </row>
    <row r="497" spans="1:13">
      <c r="A497" s="398"/>
      <c r="B497" s="398"/>
      <c r="C497" s="398"/>
      <c r="D497" s="398"/>
      <c r="E497" s="398"/>
      <c r="F497" s="398"/>
      <c r="G497" s="398"/>
      <c r="H497" s="398"/>
      <c r="I497" s="398"/>
      <c r="J497" s="398"/>
      <c r="K497" s="398"/>
      <c r="L497" s="398"/>
      <c r="M497" s="398"/>
    </row>
    <row r="498" spans="1:13">
      <c r="A498" s="398"/>
      <c r="B498" s="398"/>
      <c r="C498" s="398"/>
      <c r="D498" s="398"/>
      <c r="E498" s="398"/>
      <c r="F498" s="398"/>
      <c r="G498" s="398"/>
      <c r="H498" s="398"/>
      <c r="I498" s="398"/>
      <c r="J498" s="398"/>
      <c r="K498" s="398"/>
      <c r="L498" s="398"/>
      <c r="M498" s="398"/>
    </row>
    <row r="499" spans="1:13">
      <c r="A499" s="398"/>
      <c r="B499" s="398"/>
      <c r="C499" s="398"/>
      <c r="D499" s="398"/>
      <c r="E499" s="398"/>
      <c r="F499" s="398"/>
      <c r="G499" s="398"/>
      <c r="H499" s="398"/>
      <c r="I499" s="398"/>
      <c r="J499" s="398"/>
      <c r="K499" s="398"/>
      <c r="L499" s="398"/>
      <c r="M499" s="398"/>
    </row>
    <row r="500" spans="1:13">
      <c r="A500" s="398"/>
      <c r="B500" s="398"/>
      <c r="C500" s="398"/>
      <c r="D500" s="398"/>
      <c r="E500" s="398"/>
      <c r="F500" s="398"/>
      <c r="G500" s="398"/>
      <c r="H500" s="398"/>
      <c r="I500" s="398"/>
      <c r="J500" s="398"/>
      <c r="K500" s="398"/>
      <c r="L500" s="398"/>
      <c r="M500" s="398"/>
    </row>
    <row r="501" spans="1:13">
      <c r="A501" s="398"/>
      <c r="B501" s="398"/>
      <c r="C501" s="398"/>
      <c r="D501" s="398"/>
      <c r="E501" s="398"/>
      <c r="F501" s="398"/>
      <c r="G501" s="398"/>
      <c r="H501" s="398"/>
      <c r="I501" s="398"/>
      <c r="J501" s="398"/>
      <c r="K501" s="398"/>
      <c r="L501" s="398"/>
      <c r="M501" s="398"/>
    </row>
    <row r="502" spans="1:13">
      <c r="A502" s="398"/>
      <c r="B502" s="398"/>
      <c r="C502" s="398"/>
      <c r="D502" s="398"/>
      <c r="E502" s="398"/>
      <c r="F502" s="398"/>
      <c r="G502" s="398"/>
      <c r="H502" s="398"/>
      <c r="I502" s="398"/>
      <c r="J502" s="398"/>
      <c r="K502" s="398"/>
      <c r="L502" s="398"/>
      <c r="M502" s="398"/>
    </row>
    <row r="503" spans="1:13">
      <c r="A503" s="398"/>
      <c r="B503" s="398"/>
      <c r="C503" s="398"/>
      <c r="D503" s="398"/>
      <c r="E503" s="398"/>
      <c r="F503" s="398"/>
      <c r="G503" s="398"/>
      <c r="H503" s="398"/>
      <c r="I503" s="398"/>
      <c r="J503" s="398"/>
      <c r="K503" s="398"/>
      <c r="L503" s="398"/>
      <c r="M503" s="398"/>
    </row>
    <row r="504" spans="1:13">
      <c r="A504" s="398"/>
      <c r="B504" s="398"/>
      <c r="C504" s="398"/>
      <c r="D504" s="398"/>
      <c r="E504" s="398"/>
      <c r="F504" s="398"/>
      <c r="G504" s="398"/>
      <c r="H504" s="398"/>
      <c r="I504" s="398"/>
      <c r="J504" s="398"/>
      <c r="K504" s="398"/>
      <c r="L504" s="398"/>
      <c r="M504" s="398"/>
    </row>
    <row r="505" spans="1:13">
      <c r="A505" s="398"/>
      <c r="B505" s="398"/>
      <c r="C505" s="398"/>
      <c r="D505" s="398"/>
      <c r="E505" s="398"/>
      <c r="F505" s="398"/>
      <c r="G505" s="398"/>
      <c r="H505" s="398"/>
      <c r="I505" s="398"/>
      <c r="J505" s="398"/>
      <c r="K505" s="398"/>
      <c r="L505" s="398"/>
      <c r="M505" s="398"/>
    </row>
    <row r="506" spans="1:13">
      <c r="A506" s="398"/>
      <c r="B506" s="398"/>
      <c r="C506" s="398"/>
      <c r="D506" s="398"/>
      <c r="E506" s="398"/>
      <c r="F506" s="398"/>
      <c r="G506" s="398"/>
      <c r="H506" s="398"/>
      <c r="I506" s="398"/>
      <c r="J506" s="398"/>
      <c r="K506" s="398"/>
      <c r="L506" s="398"/>
      <c r="M506" s="398"/>
    </row>
    <row r="507" spans="1:13">
      <c r="A507" s="398"/>
      <c r="B507" s="398"/>
      <c r="C507" s="398"/>
      <c r="D507" s="398"/>
      <c r="E507" s="398"/>
      <c r="F507" s="398"/>
      <c r="G507" s="398"/>
      <c r="H507" s="398"/>
      <c r="I507" s="398"/>
      <c r="J507" s="398"/>
      <c r="K507" s="398"/>
      <c r="L507" s="398"/>
      <c r="M507" s="398"/>
    </row>
    <row r="508" spans="1:13">
      <c r="A508" s="398"/>
      <c r="B508" s="398"/>
      <c r="C508" s="398"/>
      <c r="D508" s="398"/>
      <c r="E508" s="398"/>
      <c r="F508" s="398"/>
      <c r="G508" s="398"/>
      <c r="H508" s="398"/>
      <c r="I508" s="398"/>
      <c r="J508" s="398"/>
      <c r="K508" s="398"/>
      <c r="L508" s="398"/>
      <c r="M508" s="398"/>
    </row>
    <row r="509" spans="1:13">
      <c r="A509" s="398"/>
      <c r="B509" s="398"/>
      <c r="C509" s="398"/>
      <c r="D509" s="398"/>
      <c r="E509" s="398"/>
      <c r="F509" s="398"/>
      <c r="G509" s="398"/>
      <c r="H509" s="398"/>
      <c r="I509" s="398"/>
      <c r="J509" s="398"/>
      <c r="K509" s="398"/>
      <c r="L509" s="398"/>
      <c r="M509" s="398"/>
    </row>
    <row r="510" spans="1:13">
      <c r="A510" s="398"/>
      <c r="B510" s="398"/>
      <c r="C510" s="398"/>
      <c r="D510" s="398"/>
      <c r="E510" s="398"/>
      <c r="F510" s="398"/>
      <c r="G510" s="398"/>
      <c r="H510" s="398"/>
      <c r="I510" s="398"/>
      <c r="J510" s="398"/>
      <c r="K510" s="398"/>
      <c r="L510" s="398"/>
      <c r="M510" s="398"/>
    </row>
    <row r="511" spans="1:13">
      <c r="A511" s="398"/>
      <c r="B511" s="398"/>
      <c r="C511" s="398"/>
      <c r="D511" s="398"/>
      <c r="E511" s="398"/>
      <c r="F511" s="398"/>
      <c r="G511" s="398"/>
      <c r="H511" s="398"/>
      <c r="I511" s="398"/>
      <c r="J511" s="398"/>
      <c r="K511" s="398"/>
      <c r="L511" s="398"/>
      <c r="M511" s="398"/>
    </row>
    <row r="512" spans="1:13">
      <c r="A512" s="398"/>
      <c r="B512" s="398"/>
      <c r="C512" s="398"/>
      <c r="D512" s="398"/>
      <c r="E512" s="398"/>
      <c r="F512" s="398"/>
      <c r="G512" s="398"/>
      <c r="H512" s="398"/>
      <c r="I512" s="398"/>
      <c r="J512" s="398"/>
      <c r="K512" s="398"/>
      <c r="L512" s="398"/>
      <c r="M512" s="398"/>
    </row>
    <row r="513" spans="1:13">
      <c r="A513" s="398"/>
      <c r="B513" s="398"/>
      <c r="C513" s="398"/>
      <c r="D513" s="398"/>
      <c r="E513" s="398"/>
      <c r="F513" s="398"/>
      <c r="G513" s="398"/>
      <c r="H513" s="398"/>
      <c r="I513" s="398"/>
      <c r="J513" s="398"/>
      <c r="K513" s="398"/>
      <c r="L513" s="398"/>
      <c r="M513" s="398"/>
    </row>
    <row r="514" spans="1:13">
      <c r="A514" s="398"/>
      <c r="B514" s="398"/>
      <c r="C514" s="398"/>
      <c r="D514" s="398"/>
      <c r="E514" s="398"/>
      <c r="F514" s="398"/>
      <c r="G514" s="398"/>
      <c r="H514" s="398"/>
      <c r="I514" s="398"/>
      <c r="J514" s="398"/>
      <c r="K514" s="398"/>
      <c r="L514" s="398"/>
      <c r="M514" s="398"/>
    </row>
    <row r="515" spans="1:13">
      <c r="A515" s="398"/>
      <c r="B515" s="398"/>
      <c r="C515" s="398"/>
      <c r="D515" s="398"/>
      <c r="E515" s="398"/>
      <c r="F515" s="398"/>
      <c r="G515" s="398"/>
      <c r="H515" s="398"/>
      <c r="I515" s="398"/>
      <c r="J515" s="398"/>
      <c r="K515" s="398"/>
      <c r="L515" s="398"/>
      <c r="M515" s="398"/>
    </row>
    <row r="516" spans="1:13">
      <c r="A516" s="398"/>
      <c r="B516" s="398"/>
      <c r="C516" s="398"/>
      <c r="D516" s="398"/>
      <c r="E516" s="398"/>
      <c r="F516" s="398"/>
      <c r="G516" s="398"/>
      <c r="H516" s="398"/>
      <c r="I516" s="398"/>
      <c r="J516" s="398"/>
      <c r="K516" s="398"/>
      <c r="L516" s="398"/>
      <c r="M516" s="398"/>
    </row>
    <row r="517" spans="1:13">
      <c r="A517" s="398"/>
      <c r="B517" s="398"/>
      <c r="C517" s="398"/>
      <c r="D517" s="398"/>
      <c r="E517" s="398"/>
      <c r="F517" s="398"/>
      <c r="G517" s="398"/>
      <c r="H517" s="398"/>
      <c r="I517" s="398"/>
      <c r="J517" s="398"/>
      <c r="K517" s="398"/>
      <c r="L517" s="398"/>
      <c r="M517" s="398"/>
    </row>
    <row r="518" spans="1:13">
      <c r="A518" s="398"/>
      <c r="B518" s="398"/>
      <c r="C518" s="398"/>
      <c r="D518" s="398"/>
      <c r="E518" s="398"/>
      <c r="F518" s="398"/>
      <c r="G518" s="398"/>
      <c r="H518" s="398"/>
      <c r="I518" s="398"/>
      <c r="J518" s="398"/>
      <c r="K518" s="398"/>
      <c r="L518" s="398"/>
      <c r="M518" s="398"/>
    </row>
    <row r="519" spans="1:13">
      <c r="A519" s="398"/>
      <c r="B519" s="398"/>
      <c r="C519" s="398"/>
      <c r="D519" s="398"/>
      <c r="E519" s="398"/>
      <c r="F519" s="398"/>
      <c r="G519" s="398"/>
      <c r="H519" s="398"/>
      <c r="I519" s="398"/>
      <c r="J519" s="398"/>
      <c r="K519" s="398"/>
      <c r="L519" s="398"/>
      <c r="M519" s="398"/>
    </row>
    <row r="520" spans="1:13">
      <c r="A520" s="398"/>
      <c r="B520" s="398"/>
      <c r="C520" s="398"/>
      <c r="D520" s="398"/>
      <c r="E520" s="398"/>
      <c r="F520" s="398"/>
      <c r="G520" s="398"/>
      <c r="H520" s="398"/>
      <c r="I520" s="398"/>
      <c r="J520" s="398"/>
      <c r="K520" s="398"/>
      <c r="L520" s="398"/>
      <c r="M520" s="398"/>
    </row>
    <row r="521" spans="1:13">
      <c r="A521" s="398"/>
      <c r="B521" s="398"/>
      <c r="C521" s="398"/>
      <c r="D521" s="398"/>
      <c r="E521" s="398"/>
      <c r="F521" s="398"/>
      <c r="G521" s="398"/>
      <c r="H521" s="398"/>
      <c r="I521" s="398"/>
      <c r="J521" s="398"/>
      <c r="K521" s="398"/>
      <c r="L521" s="398"/>
      <c r="M521" s="398"/>
    </row>
    <row r="522" spans="1:13">
      <c r="A522" s="398"/>
      <c r="B522" s="398"/>
      <c r="C522" s="398"/>
      <c r="D522" s="398"/>
      <c r="E522" s="398"/>
      <c r="F522" s="398"/>
      <c r="G522" s="398"/>
      <c r="H522" s="398"/>
      <c r="I522" s="398"/>
      <c r="J522" s="398"/>
      <c r="K522" s="398"/>
      <c r="L522" s="398"/>
      <c r="M522" s="398"/>
    </row>
    <row r="523" spans="1:13">
      <c r="A523" s="398"/>
      <c r="B523" s="398"/>
      <c r="C523" s="398"/>
      <c r="D523" s="398"/>
      <c r="E523" s="398"/>
      <c r="F523" s="398"/>
      <c r="G523" s="398"/>
      <c r="H523" s="398"/>
      <c r="I523" s="398"/>
      <c r="J523" s="398"/>
      <c r="K523" s="398"/>
      <c r="L523" s="398"/>
      <c r="M523" s="398"/>
    </row>
    <row r="524" spans="1:13">
      <c r="A524" s="398"/>
      <c r="B524" s="398"/>
      <c r="C524" s="398"/>
      <c r="D524" s="398"/>
      <c r="E524" s="398"/>
      <c r="F524" s="398"/>
      <c r="G524" s="398"/>
      <c r="H524" s="398"/>
      <c r="I524" s="398"/>
      <c r="J524" s="398"/>
      <c r="K524" s="398"/>
      <c r="L524" s="398"/>
      <c r="M524" s="398"/>
    </row>
    <row r="525" spans="1:13">
      <c r="A525" s="398"/>
      <c r="B525" s="398"/>
      <c r="C525" s="398"/>
      <c r="D525" s="398"/>
      <c r="E525" s="398"/>
      <c r="F525" s="398"/>
      <c r="G525" s="398"/>
      <c r="H525" s="398"/>
      <c r="I525" s="398"/>
      <c r="J525" s="398"/>
      <c r="K525" s="398"/>
      <c r="L525" s="398"/>
      <c r="M525" s="398"/>
    </row>
    <row r="526" spans="1:13">
      <c r="A526" s="398"/>
      <c r="B526" s="398"/>
      <c r="C526" s="398"/>
      <c r="D526" s="398"/>
      <c r="E526" s="398"/>
      <c r="F526" s="398"/>
      <c r="G526" s="398"/>
      <c r="H526" s="398"/>
      <c r="I526" s="398"/>
      <c r="J526" s="398"/>
      <c r="K526" s="398"/>
      <c r="L526" s="398"/>
      <c r="M526" s="398"/>
    </row>
    <row r="527" spans="1:13">
      <c r="A527" s="398"/>
      <c r="B527" s="398"/>
      <c r="C527" s="398"/>
      <c r="D527" s="398"/>
      <c r="E527" s="398"/>
      <c r="F527" s="398"/>
      <c r="G527" s="398"/>
      <c r="H527" s="398"/>
      <c r="I527" s="398"/>
      <c r="J527" s="398"/>
      <c r="K527" s="398"/>
      <c r="L527" s="398"/>
      <c r="M527" s="398"/>
    </row>
    <row r="528" spans="1:13">
      <c r="A528" s="398"/>
      <c r="B528" s="398"/>
      <c r="C528" s="398"/>
      <c r="D528" s="398"/>
      <c r="E528" s="398"/>
      <c r="F528" s="398"/>
      <c r="G528" s="398"/>
      <c r="H528" s="398"/>
      <c r="I528" s="398"/>
      <c r="J528" s="398"/>
      <c r="K528" s="398"/>
      <c r="L528" s="398"/>
      <c r="M528" s="398"/>
    </row>
    <row r="529" spans="1:13">
      <c r="A529" s="398"/>
      <c r="B529" s="398"/>
      <c r="C529" s="398"/>
      <c r="D529" s="398"/>
      <c r="E529" s="398"/>
      <c r="F529" s="398"/>
      <c r="G529" s="398"/>
      <c r="H529" s="398"/>
      <c r="I529" s="398"/>
      <c r="J529" s="398"/>
      <c r="K529" s="398"/>
      <c r="L529" s="398"/>
      <c r="M529" s="398"/>
    </row>
    <row r="530" spans="1:13">
      <c r="A530" s="398"/>
      <c r="B530" s="398"/>
      <c r="C530" s="398"/>
      <c r="D530" s="398"/>
      <c r="E530" s="398"/>
      <c r="F530" s="398"/>
      <c r="G530" s="398"/>
      <c r="H530" s="398"/>
      <c r="I530" s="398"/>
      <c r="J530" s="398"/>
      <c r="K530" s="398"/>
      <c r="L530" s="398"/>
      <c r="M530" s="398"/>
    </row>
    <row r="531" spans="1:13">
      <c r="A531" s="398"/>
      <c r="B531" s="398"/>
      <c r="C531" s="398"/>
      <c r="D531" s="398"/>
      <c r="E531" s="398"/>
      <c r="F531" s="398"/>
      <c r="G531" s="398"/>
      <c r="H531" s="398"/>
      <c r="I531" s="398"/>
      <c r="J531" s="398"/>
      <c r="K531" s="398"/>
      <c r="L531" s="398"/>
      <c r="M531" s="398"/>
    </row>
    <row r="532" spans="1:13">
      <c r="A532" s="398"/>
      <c r="B532" s="398"/>
      <c r="C532" s="398"/>
      <c r="D532" s="398"/>
      <c r="E532" s="398"/>
      <c r="F532" s="398"/>
      <c r="G532" s="398"/>
      <c r="H532" s="398"/>
      <c r="I532" s="398"/>
      <c r="J532" s="398"/>
      <c r="K532" s="398"/>
      <c r="L532" s="398"/>
      <c r="M532" s="398"/>
    </row>
    <row r="533" spans="1:13">
      <c r="A533" s="398"/>
      <c r="B533" s="398"/>
      <c r="C533" s="398"/>
      <c r="D533" s="398"/>
      <c r="E533" s="398"/>
      <c r="F533" s="398"/>
      <c r="G533" s="398"/>
      <c r="H533" s="398"/>
      <c r="I533" s="398"/>
      <c r="J533" s="398"/>
      <c r="K533" s="398"/>
      <c r="L533" s="398"/>
      <c r="M533" s="398"/>
    </row>
    <row r="534" spans="1:13">
      <c r="A534" s="398"/>
      <c r="B534" s="398"/>
      <c r="C534" s="398"/>
      <c r="D534" s="398"/>
      <c r="E534" s="398"/>
      <c r="F534" s="398"/>
      <c r="G534" s="398"/>
      <c r="H534" s="398"/>
      <c r="I534" s="398"/>
      <c r="J534" s="398"/>
      <c r="K534" s="398"/>
      <c r="L534" s="398"/>
      <c r="M534" s="398"/>
    </row>
    <row r="535" spans="1:13">
      <c r="A535" s="398"/>
      <c r="B535" s="398"/>
      <c r="C535" s="398"/>
      <c r="D535" s="398"/>
      <c r="E535" s="398"/>
      <c r="F535" s="398"/>
      <c r="G535" s="398"/>
      <c r="H535" s="398"/>
      <c r="I535" s="398"/>
      <c r="J535" s="398"/>
      <c r="K535" s="398"/>
      <c r="L535" s="398"/>
      <c r="M535" s="398"/>
    </row>
    <row r="536" spans="1:13">
      <c r="A536" s="398"/>
      <c r="B536" s="398"/>
      <c r="C536" s="398"/>
      <c r="D536" s="398"/>
      <c r="E536" s="398"/>
      <c r="F536" s="398"/>
      <c r="G536" s="398"/>
      <c r="H536" s="398"/>
      <c r="I536" s="398"/>
      <c r="J536" s="398"/>
      <c r="K536" s="398"/>
      <c r="L536" s="398"/>
      <c r="M536" s="398"/>
    </row>
    <row r="537" spans="1:13">
      <c r="A537" s="398"/>
      <c r="B537" s="398"/>
      <c r="C537" s="398"/>
      <c r="D537" s="398"/>
      <c r="E537" s="398"/>
      <c r="F537" s="398"/>
      <c r="G537" s="398"/>
      <c r="H537" s="398"/>
      <c r="I537" s="398"/>
      <c r="J537" s="398"/>
      <c r="K537" s="398"/>
      <c r="L537" s="398"/>
      <c r="M537" s="398"/>
    </row>
    <row r="538" spans="1:13">
      <c r="A538" s="398"/>
      <c r="B538" s="398"/>
      <c r="C538" s="398"/>
      <c r="D538" s="398"/>
      <c r="E538" s="398"/>
      <c r="F538" s="398"/>
      <c r="G538" s="398"/>
      <c r="H538" s="398"/>
      <c r="I538" s="398"/>
      <c r="J538" s="398"/>
      <c r="K538" s="398"/>
      <c r="L538" s="398"/>
      <c r="M538" s="398"/>
    </row>
    <row r="539" spans="1:13">
      <c r="A539" s="398"/>
      <c r="B539" s="398"/>
      <c r="C539" s="398"/>
      <c r="D539" s="398"/>
      <c r="E539" s="398"/>
      <c r="F539" s="398"/>
      <c r="G539" s="398"/>
      <c r="H539" s="398"/>
      <c r="I539" s="398"/>
      <c r="J539" s="398"/>
      <c r="K539" s="398"/>
      <c r="L539" s="398"/>
      <c r="M539" s="398"/>
    </row>
    <row r="540" spans="1:13">
      <c r="A540" s="398"/>
      <c r="B540" s="398"/>
      <c r="C540" s="398"/>
      <c r="D540" s="398"/>
      <c r="E540" s="398"/>
      <c r="F540" s="398"/>
      <c r="G540" s="398"/>
      <c r="H540" s="398"/>
      <c r="I540" s="398"/>
      <c r="J540" s="398"/>
      <c r="K540" s="398"/>
      <c r="L540" s="398"/>
      <c r="M540" s="398"/>
    </row>
    <row r="541" spans="1:13">
      <c r="A541" s="398"/>
      <c r="B541" s="398"/>
      <c r="C541" s="398"/>
      <c r="D541" s="398"/>
      <c r="E541" s="398"/>
      <c r="F541" s="398"/>
      <c r="G541" s="398"/>
      <c r="H541" s="398"/>
      <c r="I541" s="398"/>
      <c r="J541" s="398"/>
      <c r="K541" s="398"/>
      <c r="L541" s="398"/>
      <c r="M541" s="398"/>
    </row>
    <row r="542" spans="1:13">
      <c r="A542" s="398"/>
      <c r="B542" s="398"/>
      <c r="C542" s="398"/>
      <c r="D542" s="398"/>
      <c r="E542" s="398"/>
      <c r="F542" s="398"/>
      <c r="G542" s="398"/>
      <c r="H542" s="398"/>
      <c r="I542" s="398"/>
      <c r="J542" s="398"/>
      <c r="K542" s="398"/>
      <c r="L542" s="398"/>
      <c r="M542" s="398"/>
    </row>
    <row r="543" spans="1:13">
      <c r="A543" s="398"/>
      <c r="B543" s="398"/>
      <c r="C543" s="398"/>
      <c r="D543" s="398"/>
      <c r="E543" s="398"/>
      <c r="F543" s="398"/>
      <c r="G543" s="398"/>
      <c r="H543" s="398"/>
      <c r="I543" s="398"/>
      <c r="J543" s="398"/>
      <c r="K543" s="398"/>
      <c r="L543" s="398"/>
      <c r="M543" s="398"/>
    </row>
    <row r="544" spans="1:13">
      <c r="A544" s="398"/>
      <c r="B544" s="398"/>
      <c r="C544" s="398"/>
      <c r="D544" s="398"/>
      <c r="E544" s="398"/>
      <c r="F544" s="398"/>
      <c r="G544" s="398"/>
      <c r="H544" s="398"/>
      <c r="I544" s="398"/>
      <c r="J544" s="398"/>
      <c r="K544" s="398"/>
      <c r="L544" s="398"/>
      <c r="M544" s="398"/>
    </row>
    <row r="545" spans="1:13">
      <c r="A545" s="398"/>
      <c r="B545" s="398"/>
      <c r="C545" s="398"/>
      <c r="D545" s="398"/>
      <c r="E545" s="398"/>
      <c r="F545" s="398"/>
      <c r="G545" s="398"/>
      <c r="H545" s="398"/>
      <c r="I545" s="398"/>
      <c r="J545" s="398"/>
      <c r="K545" s="398"/>
      <c r="L545" s="398"/>
      <c r="M545" s="398"/>
    </row>
    <row r="546" spans="1:13">
      <c r="A546" s="398"/>
      <c r="B546" s="398"/>
      <c r="C546" s="398"/>
      <c r="D546" s="398"/>
      <c r="E546" s="398"/>
      <c r="F546" s="398"/>
      <c r="G546" s="398"/>
      <c r="H546" s="398"/>
      <c r="I546" s="398"/>
      <c r="J546" s="398"/>
      <c r="K546" s="398"/>
      <c r="L546" s="398"/>
      <c r="M546" s="398"/>
    </row>
    <row r="547" spans="1:13">
      <c r="A547" s="398"/>
      <c r="B547" s="398"/>
      <c r="C547" s="398"/>
      <c r="D547" s="398"/>
      <c r="E547" s="398"/>
      <c r="F547" s="398"/>
      <c r="G547" s="398"/>
      <c r="H547" s="398"/>
      <c r="I547" s="398"/>
      <c r="J547" s="398"/>
      <c r="K547" s="398"/>
      <c r="L547" s="398"/>
      <c r="M547" s="398"/>
    </row>
    <row r="548" spans="1:13">
      <c r="A548" s="398"/>
      <c r="B548" s="398"/>
      <c r="C548" s="398"/>
      <c r="D548" s="398"/>
      <c r="E548" s="398"/>
      <c r="F548" s="398"/>
      <c r="G548" s="398"/>
      <c r="H548" s="398"/>
      <c r="I548" s="398"/>
      <c r="J548" s="398"/>
      <c r="K548" s="398"/>
      <c r="L548" s="398"/>
      <c r="M548" s="398"/>
    </row>
    <row r="549" spans="1:13">
      <c r="A549" s="398"/>
      <c r="B549" s="398"/>
      <c r="C549" s="398"/>
      <c r="D549" s="398"/>
      <c r="E549" s="398"/>
      <c r="F549" s="398"/>
      <c r="G549" s="398"/>
      <c r="H549" s="398"/>
      <c r="I549" s="398"/>
      <c r="J549" s="398"/>
      <c r="K549" s="398"/>
      <c r="L549" s="398"/>
      <c r="M549" s="398"/>
    </row>
    <row r="550" spans="1:13">
      <c r="A550" s="398"/>
      <c r="B550" s="398"/>
      <c r="C550" s="398"/>
      <c r="D550" s="398"/>
      <c r="E550" s="398"/>
      <c r="F550" s="398"/>
      <c r="G550" s="398"/>
      <c r="H550" s="398"/>
      <c r="I550" s="398"/>
      <c r="J550" s="398"/>
      <c r="K550" s="398"/>
      <c r="L550" s="398"/>
      <c r="M550" s="398"/>
    </row>
    <row r="551" spans="1:13">
      <c r="A551" s="398"/>
      <c r="B551" s="398"/>
      <c r="C551" s="398"/>
      <c r="D551" s="398"/>
      <c r="E551" s="398"/>
      <c r="F551" s="398"/>
      <c r="G551" s="398"/>
      <c r="H551" s="398"/>
      <c r="I551" s="398"/>
      <c r="J551" s="398"/>
      <c r="K551" s="398"/>
      <c r="L551" s="398"/>
      <c r="M551" s="398"/>
    </row>
    <row r="552" spans="1:13">
      <c r="A552" s="398"/>
      <c r="B552" s="398"/>
      <c r="C552" s="398"/>
      <c r="D552" s="398"/>
      <c r="E552" s="398"/>
      <c r="F552" s="398"/>
      <c r="G552" s="398"/>
      <c r="H552" s="398"/>
      <c r="I552" s="398"/>
      <c r="J552" s="398"/>
      <c r="K552" s="398"/>
      <c r="L552" s="398"/>
      <c r="M552" s="398"/>
    </row>
    <row r="553" spans="1:13">
      <c r="A553" s="398"/>
      <c r="B553" s="398"/>
      <c r="C553" s="398"/>
      <c r="D553" s="398"/>
      <c r="E553" s="398"/>
      <c r="F553" s="398"/>
      <c r="G553" s="398"/>
      <c r="H553" s="398"/>
      <c r="I553" s="398"/>
      <c r="J553" s="398"/>
      <c r="K553" s="398"/>
      <c r="L553" s="398"/>
      <c r="M553" s="398"/>
    </row>
    <row r="554" spans="1:13">
      <c r="A554" s="398"/>
      <c r="B554" s="398"/>
      <c r="C554" s="398"/>
      <c r="D554" s="398"/>
      <c r="E554" s="398"/>
      <c r="F554" s="398"/>
      <c r="G554" s="398"/>
      <c r="H554" s="398"/>
      <c r="I554" s="398"/>
      <c r="J554" s="398"/>
      <c r="K554" s="398"/>
      <c r="L554" s="398"/>
      <c r="M554" s="398"/>
    </row>
    <row r="555" spans="1:13">
      <c r="A555" s="398"/>
      <c r="B555" s="398"/>
      <c r="C555" s="398"/>
      <c r="D555" s="398"/>
      <c r="E555" s="398"/>
      <c r="F555" s="398"/>
      <c r="G555" s="398"/>
      <c r="H555" s="398"/>
      <c r="I555" s="398"/>
      <c r="J555" s="398"/>
      <c r="K555" s="398"/>
      <c r="L555" s="398"/>
      <c r="M555" s="398"/>
    </row>
    <row r="556" spans="1:13">
      <c r="A556" s="398"/>
      <c r="B556" s="398"/>
      <c r="C556" s="398"/>
      <c r="D556" s="398"/>
      <c r="E556" s="398"/>
      <c r="F556" s="398"/>
      <c r="G556" s="398"/>
      <c r="H556" s="398"/>
      <c r="I556" s="398"/>
      <c r="J556" s="398"/>
      <c r="K556" s="398"/>
      <c r="L556" s="398"/>
      <c r="M556" s="398"/>
    </row>
    <row r="557" spans="1:13">
      <c r="A557" s="398"/>
      <c r="B557" s="398"/>
      <c r="C557" s="398"/>
      <c r="D557" s="398"/>
      <c r="E557" s="398"/>
      <c r="F557" s="398"/>
      <c r="G557" s="398"/>
      <c r="H557" s="398"/>
      <c r="I557" s="398"/>
      <c r="J557" s="398"/>
      <c r="K557" s="398"/>
      <c r="L557" s="398"/>
      <c r="M557" s="398"/>
    </row>
    <row r="558" spans="1:13">
      <c r="A558" s="398"/>
      <c r="B558" s="398"/>
      <c r="C558" s="398"/>
      <c r="D558" s="398"/>
      <c r="E558" s="398"/>
      <c r="F558" s="398"/>
      <c r="G558" s="398"/>
      <c r="H558" s="398"/>
      <c r="I558" s="398"/>
      <c r="J558" s="398"/>
      <c r="K558" s="398"/>
      <c r="L558" s="398"/>
      <c r="M558" s="398"/>
    </row>
    <row r="559" spans="1:13">
      <c r="A559" s="398"/>
      <c r="B559" s="398"/>
      <c r="C559" s="398"/>
      <c r="D559" s="398"/>
      <c r="E559" s="398"/>
      <c r="F559" s="398"/>
      <c r="G559" s="398"/>
      <c r="H559" s="398"/>
      <c r="I559" s="398"/>
      <c r="J559" s="398"/>
      <c r="K559" s="398"/>
      <c r="L559" s="398"/>
      <c r="M559" s="398"/>
    </row>
    <row r="560" spans="1:13">
      <c r="A560" s="398"/>
      <c r="B560" s="398"/>
      <c r="C560" s="398"/>
      <c r="D560" s="398"/>
      <c r="E560" s="398"/>
      <c r="F560" s="398"/>
      <c r="G560" s="398"/>
      <c r="H560" s="398"/>
      <c r="I560" s="398"/>
      <c r="J560" s="398"/>
      <c r="K560" s="398"/>
      <c r="L560" s="398"/>
      <c r="M560" s="398"/>
    </row>
    <row r="561" spans="1:13">
      <c r="A561" s="398"/>
      <c r="B561" s="398"/>
      <c r="C561" s="398"/>
      <c r="D561" s="398"/>
      <c r="E561" s="398"/>
      <c r="F561" s="398"/>
      <c r="G561" s="398"/>
      <c r="H561" s="398"/>
      <c r="I561" s="398"/>
      <c r="J561" s="398"/>
      <c r="K561" s="398"/>
      <c r="L561" s="398"/>
      <c r="M561" s="398"/>
    </row>
    <row r="562" spans="1:13">
      <c r="A562" s="398"/>
      <c r="B562" s="398"/>
      <c r="C562" s="398"/>
      <c r="D562" s="398"/>
      <c r="E562" s="398"/>
      <c r="F562" s="398"/>
      <c r="G562" s="398"/>
      <c r="H562" s="398"/>
      <c r="I562" s="398"/>
      <c r="J562" s="398"/>
      <c r="K562" s="398"/>
      <c r="L562" s="398"/>
      <c r="M562" s="398"/>
    </row>
    <row r="563" spans="1:13">
      <c r="A563" s="398"/>
      <c r="B563" s="398"/>
      <c r="C563" s="398"/>
      <c r="D563" s="398"/>
      <c r="E563" s="398"/>
      <c r="F563" s="398"/>
      <c r="G563" s="398"/>
      <c r="H563" s="398"/>
      <c r="I563" s="398"/>
      <c r="J563" s="398"/>
      <c r="K563" s="398"/>
      <c r="L563" s="398"/>
      <c r="M563" s="398"/>
    </row>
    <row r="564" spans="1:13">
      <c r="A564" s="398"/>
      <c r="B564" s="398"/>
      <c r="C564" s="398"/>
      <c r="D564" s="398"/>
      <c r="E564" s="398"/>
      <c r="F564" s="398"/>
      <c r="G564" s="398"/>
      <c r="H564" s="398"/>
      <c r="I564" s="398"/>
      <c r="J564" s="398"/>
      <c r="K564" s="398"/>
      <c r="L564" s="398"/>
      <c r="M564" s="398"/>
    </row>
    <row r="565" spans="1:13">
      <c r="A565" s="398"/>
      <c r="B565" s="398"/>
      <c r="C565" s="398"/>
      <c r="D565" s="398"/>
      <c r="E565" s="398"/>
      <c r="F565" s="398"/>
      <c r="G565" s="398"/>
      <c r="H565" s="398"/>
      <c r="I565" s="398"/>
      <c r="J565" s="398"/>
      <c r="K565" s="398"/>
      <c r="L565" s="398"/>
      <c r="M565" s="398"/>
    </row>
    <row r="566" spans="1:13">
      <c r="A566" s="398"/>
      <c r="B566" s="398"/>
      <c r="C566" s="398"/>
      <c r="D566" s="398"/>
      <c r="E566" s="398"/>
      <c r="F566" s="398"/>
      <c r="G566" s="398"/>
      <c r="H566" s="398"/>
      <c r="I566" s="398"/>
      <c r="J566" s="398"/>
      <c r="K566" s="398"/>
      <c r="L566" s="398"/>
      <c r="M566" s="398"/>
    </row>
    <row r="567" spans="1:13">
      <c r="A567" s="398"/>
      <c r="B567" s="398"/>
      <c r="C567" s="398"/>
      <c r="D567" s="398"/>
      <c r="E567" s="398"/>
      <c r="F567" s="398"/>
      <c r="G567" s="398"/>
      <c r="H567" s="398"/>
      <c r="I567" s="398"/>
      <c r="J567" s="398"/>
      <c r="K567" s="398"/>
      <c r="L567" s="398"/>
      <c r="M567" s="398"/>
    </row>
    <row r="568" spans="1:13">
      <c r="A568" s="398"/>
      <c r="B568" s="398"/>
      <c r="C568" s="398"/>
      <c r="D568" s="398"/>
      <c r="E568" s="398"/>
      <c r="F568" s="398"/>
      <c r="G568" s="398"/>
      <c r="H568" s="398"/>
      <c r="I568" s="398"/>
      <c r="J568" s="398"/>
      <c r="K568" s="398"/>
      <c r="L568" s="398"/>
      <c r="M568" s="398"/>
    </row>
    <row r="569" spans="1:13">
      <c r="A569" s="398"/>
      <c r="B569" s="398"/>
      <c r="C569" s="398"/>
      <c r="D569" s="398"/>
      <c r="E569" s="398"/>
      <c r="F569" s="398"/>
      <c r="G569" s="398"/>
      <c r="H569" s="398"/>
      <c r="I569" s="398"/>
      <c r="J569" s="398"/>
      <c r="K569" s="398"/>
      <c r="L569" s="398"/>
      <c r="M569" s="398"/>
    </row>
    <row r="570" spans="1:13">
      <c r="A570" s="398"/>
      <c r="B570" s="398"/>
      <c r="C570" s="398"/>
      <c r="D570" s="398"/>
      <c r="E570" s="398"/>
      <c r="F570" s="398"/>
      <c r="G570" s="398"/>
      <c r="H570" s="398"/>
      <c r="I570" s="398"/>
      <c r="J570" s="398"/>
      <c r="K570" s="398"/>
      <c r="L570" s="398"/>
      <c r="M570" s="398"/>
    </row>
    <row r="571" spans="1:13">
      <c r="A571" s="398"/>
      <c r="B571" s="398"/>
      <c r="C571" s="398"/>
      <c r="D571" s="398"/>
      <c r="E571" s="398"/>
      <c r="F571" s="398"/>
      <c r="G571" s="398"/>
      <c r="H571" s="398"/>
      <c r="I571" s="398"/>
      <c r="J571" s="398"/>
      <c r="K571" s="398"/>
      <c r="L571" s="398"/>
      <c r="M571" s="398"/>
    </row>
    <row r="572" spans="1:13">
      <c r="A572" s="398"/>
      <c r="B572" s="398"/>
      <c r="C572" s="398"/>
      <c r="D572" s="398"/>
      <c r="E572" s="398"/>
      <c r="F572" s="398"/>
      <c r="G572" s="398"/>
      <c r="H572" s="398"/>
      <c r="I572" s="398"/>
      <c r="J572" s="398"/>
      <c r="K572" s="398"/>
      <c r="L572" s="398"/>
      <c r="M572" s="398"/>
    </row>
    <row r="573" spans="1:13">
      <c r="A573" s="398"/>
      <c r="B573" s="398"/>
      <c r="C573" s="398"/>
      <c r="D573" s="398"/>
      <c r="E573" s="398"/>
      <c r="F573" s="398"/>
      <c r="G573" s="398"/>
      <c r="H573" s="398"/>
      <c r="I573" s="398"/>
      <c r="J573" s="398"/>
      <c r="K573" s="398"/>
      <c r="L573" s="398"/>
      <c r="M573" s="398"/>
    </row>
    <row r="574" spans="1:13">
      <c r="A574" s="398"/>
      <c r="B574" s="398"/>
      <c r="C574" s="398"/>
      <c r="D574" s="398"/>
      <c r="E574" s="398"/>
      <c r="F574" s="398"/>
      <c r="G574" s="398"/>
      <c r="H574" s="398"/>
      <c r="I574" s="398"/>
      <c r="J574" s="398"/>
      <c r="K574" s="398"/>
      <c r="L574" s="398"/>
      <c r="M574" s="398"/>
    </row>
    <row r="575" spans="1:13">
      <c r="A575" s="398"/>
      <c r="B575" s="398"/>
      <c r="C575" s="398"/>
      <c r="D575" s="398"/>
      <c r="E575" s="398"/>
      <c r="F575" s="398"/>
      <c r="G575" s="398"/>
      <c r="H575" s="398"/>
      <c r="I575" s="398"/>
      <c r="J575" s="398"/>
      <c r="K575" s="398"/>
      <c r="L575" s="398"/>
      <c r="M575" s="398"/>
    </row>
    <row r="576" spans="1:13">
      <c r="A576" s="398"/>
      <c r="B576" s="398"/>
      <c r="C576" s="398"/>
      <c r="D576" s="398"/>
      <c r="E576" s="398"/>
      <c r="F576" s="398"/>
      <c r="G576" s="398"/>
      <c r="H576" s="398"/>
      <c r="I576" s="398"/>
      <c r="J576" s="398"/>
      <c r="K576" s="398"/>
      <c r="L576" s="398"/>
      <c r="M576" s="398"/>
    </row>
    <row r="577" spans="1:13">
      <c r="A577" s="398"/>
      <c r="B577" s="398"/>
      <c r="C577" s="398"/>
      <c r="D577" s="398"/>
      <c r="E577" s="398"/>
      <c r="F577" s="398"/>
      <c r="G577" s="398"/>
      <c r="H577" s="398"/>
      <c r="I577" s="398"/>
      <c r="J577" s="398"/>
      <c r="K577" s="398"/>
      <c r="L577" s="398"/>
      <c r="M577" s="398"/>
    </row>
    <row r="578" spans="1:13">
      <c r="A578" s="398"/>
      <c r="B578" s="398"/>
      <c r="C578" s="398"/>
      <c r="D578" s="398"/>
      <c r="E578" s="398"/>
      <c r="F578" s="398"/>
      <c r="G578" s="398"/>
      <c r="H578" s="398"/>
      <c r="I578" s="398"/>
      <c r="J578" s="398"/>
      <c r="K578" s="398"/>
      <c r="L578" s="398"/>
      <c r="M578" s="398"/>
    </row>
    <row r="579" spans="1:13">
      <c r="A579" s="398"/>
      <c r="B579" s="398"/>
      <c r="C579" s="398"/>
      <c r="D579" s="398"/>
      <c r="E579" s="398"/>
      <c r="F579" s="398"/>
      <c r="G579" s="398"/>
      <c r="H579" s="398"/>
      <c r="I579" s="398"/>
      <c r="J579" s="398"/>
      <c r="K579" s="398"/>
      <c r="L579" s="398"/>
      <c r="M579" s="398"/>
    </row>
    <row r="580" spans="1:13">
      <c r="A580" s="398"/>
      <c r="B580" s="398"/>
      <c r="C580" s="398"/>
      <c r="D580" s="398"/>
      <c r="E580" s="398"/>
      <c r="F580" s="398"/>
      <c r="G580" s="398"/>
      <c r="H580" s="398"/>
      <c r="I580" s="398"/>
      <c r="J580" s="398"/>
      <c r="K580" s="398"/>
      <c r="L580" s="398"/>
      <c r="M580" s="398"/>
    </row>
    <row r="581" spans="1:13">
      <c r="A581" s="398"/>
      <c r="B581" s="398"/>
      <c r="C581" s="398"/>
      <c r="D581" s="398"/>
      <c r="E581" s="398"/>
      <c r="F581" s="398"/>
      <c r="G581" s="398"/>
      <c r="H581" s="398"/>
      <c r="I581" s="398"/>
      <c r="J581" s="398"/>
      <c r="K581" s="398"/>
      <c r="L581" s="398"/>
      <c r="M581" s="398"/>
    </row>
    <row r="582" spans="1:13">
      <c r="A582" s="398"/>
      <c r="B582" s="398"/>
      <c r="C582" s="398"/>
      <c r="D582" s="398"/>
      <c r="E582" s="398"/>
      <c r="F582" s="398"/>
      <c r="G582" s="398"/>
      <c r="H582" s="398"/>
      <c r="I582" s="398"/>
      <c r="J582" s="398"/>
      <c r="K582" s="398"/>
      <c r="L582" s="398"/>
      <c r="M582" s="398"/>
    </row>
    <row r="583" spans="1:13">
      <c r="A583" s="398"/>
      <c r="B583" s="398"/>
      <c r="C583" s="398"/>
      <c r="D583" s="398"/>
      <c r="E583" s="398"/>
      <c r="F583" s="398"/>
      <c r="G583" s="398"/>
      <c r="H583" s="398"/>
      <c r="I583" s="398"/>
      <c r="J583" s="398"/>
      <c r="K583" s="398"/>
      <c r="L583" s="398"/>
      <c r="M583" s="398"/>
    </row>
    <row r="584" spans="1:13">
      <c r="A584" s="398"/>
      <c r="B584" s="398"/>
      <c r="C584" s="398"/>
      <c r="D584" s="398"/>
      <c r="E584" s="398"/>
      <c r="F584" s="398"/>
      <c r="G584" s="398"/>
      <c r="H584" s="398"/>
      <c r="I584" s="398"/>
      <c r="J584" s="398"/>
      <c r="K584" s="398"/>
      <c r="L584" s="398"/>
      <c r="M584" s="398"/>
    </row>
    <row r="585" spans="1:13">
      <c r="A585" s="398"/>
      <c r="B585" s="398"/>
      <c r="C585" s="398"/>
      <c r="D585" s="398"/>
      <c r="E585" s="398"/>
      <c r="F585" s="398"/>
      <c r="G585" s="398"/>
      <c r="H585" s="398"/>
      <c r="I585" s="398"/>
      <c r="J585" s="398"/>
      <c r="K585" s="398"/>
      <c r="L585" s="398"/>
      <c r="M585" s="398"/>
    </row>
    <row r="586" spans="1:13">
      <c r="A586" s="398"/>
      <c r="B586" s="398"/>
      <c r="C586" s="398"/>
      <c r="D586" s="398"/>
      <c r="E586" s="398"/>
      <c r="F586" s="398"/>
      <c r="G586" s="398"/>
      <c r="H586" s="398"/>
      <c r="I586" s="398"/>
      <c r="J586" s="398"/>
      <c r="K586" s="398"/>
      <c r="L586" s="398"/>
      <c r="M586" s="398"/>
    </row>
    <row r="587" spans="1:13">
      <c r="A587" s="398"/>
      <c r="B587" s="398"/>
      <c r="C587" s="398"/>
      <c r="D587" s="398"/>
      <c r="E587" s="398"/>
      <c r="F587" s="398"/>
      <c r="G587" s="398"/>
      <c r="H587" s="398"/>
      <c r="I587" s="398"/>
      <c r="J587" s="398"/>
      <c r="K587" s="398"/>
      <c r="L587" s="398"/>
      <c r="M587" s="398"/>
    </row>
    <row r="588" spans="1:13">
      <c r="A588" s="398"/>
      <c r="B588" s="398"/>
      <c r="C588" s="398"/>
      <c r="D588" s="398"/>
      <c r="E588" s="398"/>
      <c r="F588" s="398"/>
      <c r="G588" s="398"/>
      <c r="H588" s="398"/>
      <c r="I588" s="398"/>
      <c r="J588" s="398"/>
      <c r="K588" s="398"/>
      <c r="L588" s="398"/>
      <c r="M588" s="398"/>
    </row>
    <row r="589" spans="1:13">
      <c r="A589" s="398"/>
      <c r="B589" s="398"/>
      <c r="C589" s="398"/>
      <c r="D589" s="398"/>
      <c r="E589" s="398"/>
      <c r="F589" s="398"/>
      <c r="G589" s="398"/>
      <c r="H589" s="398"/>
      <c r="I589" s="398"/>
      <c r="J589" s="398"/>
      <c r="K589" s="398"/>
      <c r="L589" s="398"/>
      <c r="M589" s="398"/>
    </row>
    <row r="590" spans="1:13">
      <c r="A590" s="398"/>
      <c r="B590" s="398"/>
      <c r="C590" s="398"/>
      <c r="D590" s="398"/>
      <c r="E590" s="398"/>
      <c r="F590" s="398"/>
      <c r="G590" s="398"/>
      <c r="H590" s="398"/>
      <c r="I590" s="398"/>
      <c r="J590" s="398"/>
      <c r="K590" s="398"/>
      <c r="L590" s="398"/>
      <c r="M590" s="398"/>
    </row>
    <row r="591" spans="1:13">
      <c r="A591" s="398"/>
      <c r="B591" s="398"/>
      <c r="C591" s="398"/>
      <c r="D591" s="398"/>
      <c r="E591" s="398"/>
      <c r="F591" s="398"/>
      <c r="G591" s="398"/>
      <c r="H591" s="398"/>
      <c r="I591" s="398"/>
      <c r="J591" s="398"/>
      <c r="K591" s="398"/>
      <c r="L591" s="398"/>
      <c r="M591" s="398"/>
    </row>
    <row r="592" spans="1:13">
      <c r="A592" s="398"/>
      <c r="B592" s="398"/>
      <c r="C592" s="398"/>
      <c r="D592" s="398"/>
      <c r="E592" s="398"/>
      <c r="F592" s="398"/>
      <c r="G592" s="398"/>
      <c r="H592" s="398"/>
      <c r="I592" s="398"/>
      <c r="J592" s="398"/>
      <c r="K592" s="398"/>
      <c r="L592" s="398"/>
      <c r="M592" s="398"/>
    </row>
    <row r="593" spans="1:13">
      <c r="A593" s="398"/>
      <c r="B593" s="398"/>
      <c r="C593" s="398"/>
      <c r="D593" s="398"/>
      <c r="E593" s="398"/>
      <c r="F593" s="398"/>
      <c r="G593" s="398"/>
      <c r="H593" s="398"/>
      <c r="I593" s="398"/>
      <c r="J593" s="398"/>
      <c r="K593" s="398"/>
      <c r="L593" s="398"/>
      <c r="M593" s="398"/>
    </row>
    <row r="594" spans="1:13">
      <c r="A594" s="398"/>
      <c r="B594" s="398"/>
      <c r="C594" s="398"/>
      <c r="D594" s="398"/>
      <c r="E594" s="398"/>
      <c r="F594" s="398"/>
      <c r="G594" s="398"/>
      <c r="H594" s="398"/>
      <c r="I594" s="398"/>
      <c r="J594" s="398"/>
      <c r="K594" s="398"/>
      <c r="L594" s="398"/>
      <c r="M594" s="398"/>
    </row>
    <row r="595" spans="1:13">
      <c r="A595" s="398"/>
      <c r="B595" s="398"/>
      <c r="C595" s="398"/>
      <c r="D595" s="398"/>
      <c r="E595" s="398"/>
      <c r="F595" s="398"/>
      <c r="G595" s="398"/>
      <c r="H595" s="398"/>
      <c r="I595" s="398"/>
      <c r="J595" s="398"/>
      <c r="K595" s="398"/>
      <c r="L595" s="398"/>
      <c r="M595" s="398"/>
    </row>
    <row r="596" spans="1:13">
      <c r="A596" s="398"/>
      <c r="B596" s="398"/>
      <c r="C596" s="398"/>
      <c r="D596" s="398"/>
      <c r="E596" s="398"/>
      <c r="F596" s="398"/>
      <c r="G596" s="398"/>
      <c r="H596" s="398"/>
      <c r="I596" s="398"/>
      <c r="J596" s="398"/>
      <c r="K596" s="398"/>
      <c r="L596" s="398"/>
      <c r="M596" s="398"/>
    </row>
    <row r="597" spans="1:13">
      <c r="A597" s="398"/>
      <c r="B597" s="398"/>
      <c r="C597" s="398"/>
      <c r="D597" s="398"/>
      <c r="E597" s="398"/>
      <c r="F597" s="398"/>
      <c r="G597" s="398"/>
      <c r="H597" s="398"/>
      <c r="I597" s="398"/>
      <c r="J597" s="398"/>
      <c r="K597" s="398"/>
      <c r="L597" s="398"/>
      <c r="M597" s="398"/>
    </row>
    <row r="598" spans="1:13">
      <c r="A598" s="398"/>
      <c r="B598" s="398"/>
      <c r="C598" s="398"/>
      <c r="D598" s="398"/>
      <c r="E598" s="398"/>
      <c r="F598" s="398"/>
      <c r="G598" s="398"/>
      <c r="H598" s="398"/>
      <c r="I598" s="398"/>
      <c r="J598" s="398"/>
      <c r="K598" s="398"/>
      <c r="L598" s="398"/>
      <c r="M598" s="398"/>
    </row>
    <row r="599" spans="1:13">
      <c r="A599" s="398"/>
      <c r="B599" s="398"/>
      <c r="C599" s="398"/>
      <c r="D599" s="398"/>
      <c r="E599" s="398"/>
      <c r="F599" s="398"/>
      <c r="G599" s="398"/>
      <c r="H599" s="398"/>
      <c r="I599" s="398"/>
      <c r="J599" s="398"/>
      <c r="K599" s="398"/>
      <c r="L599" s="398"/>
      <c r="M599" s="398"/>
    </row>
    <row r="600" spans="1:13">
      <c r="A600" s="398"/>
      <c r="B600" s="398"/>
      <c r="C600" s="398"/>
      <c r="D600" s="398"/>
      <c r="E600" s="398"/>
      <c r="F600" s="398"/>
      <c r="G600" s="398"/>
      <c r="H600" s="398"/>
      <c r="I600" s="398"/>
      <c r="J600" s="398"/>
      <c r="K600" s="398"/>
      <c r="L600" s="398"/>
      <c r="M600" s="398"/>
    </row>
    <row r="601" spans="1:13">
      <c r="A601" s="398"/>
      <c r="B601" s="398"/>
      <c r="C601" s="398"/>
      <c r="D601" s="398"/>
      <c r="E601" s="398"/>
      <c r="F601" s="398"/>
      <c r="G601" s="398"/>
      <c r="H601" s="398"/>
      <c r="I601" s="398"/>
      <c r="J601" s="398"/>
      <c r="K601" s="398"/>
      <c r="L601" s="398"/>
      <c r="M601" s="398"/>
    </row>
    <row r="602" spans="1:13">
      <c r="A602" s="398"/>
      <c r="B602" s="398"/>
      <c r="C602" s="398"/>
      <c r="D602" s="398"/>
      <c r="E602" s="398"/>
      <c r="F602" s="398"/>
      <c r="G602" s="398"/>
      <c r="H602" s="398"/>
      <c r="I602" s="398"/>
      <c r="J602" s="398"/>
      <c r="K602" s="398"/>
      <c r="L602" s="398"/>
      <c r="M602" s="398"/>
    </row>
    <row r="603" spans="1:13">
      <c r="A603" s="398"/>
      <c r="B603" s="398"/>
      <c r="C603" s="398"/>
      <c r="D603" s="398"/>
      <c r="E603" s="398"/>
      <c r="F603" s="398"/>
      <c r="G603" s="398"/>
      <c r="H603" s="398"/>
      <c r="I603" s="398"/>
      <c r="J603" s="398"/>
      <c r="K603" s="398"/>
      <c r="L603" s="398"/>
      <c r="M603" s="398"/>
    </row>
    <row r="604" spans="1:13">
      <c r="A604" s="398"/>
      <c r="B604" s="398"/>
      <c r="C604" s="398"/>
      <c r="D604" s="398"/>
      <c r="E604" s="398"/>
      <c r="F604" s="398"/>
      <c r="G604" s="398"/>
      <c r="H604" s="398"/>
      <c r="I604" s="398"/>
      <c r="J604" s="398"/>
      <c r="K604" s="398"/>
      <c r="L604" s="398"/>
      <c r="M604" s="398"/>
    </row>
    <row r="605" spans="1:13">
      <c r="A605" s="398"/>
      <c r="B605" s="398"/>
      <c r="C605" s="398"/>
      <c r="D605" s="398"/>
      <c r="E605" s="398"/>
      <c r="F605" s="398"/>
      <c r="G605" s="398"/>
      <c r="H605" s="398"/>
      <c r="I605" s="398"/>
      <c r="J605" s="398"/>
      <c r="K605" s="398"/>
      <c r="L605" s="398"/>
      <c r="M605" s="398"/>
    </row>
    <row r="606" spans="1:13">
      <c r="A606" s="398"/>
      <c r="B606" s="398"/>
      <c r="C606" s="398"/>
      <c r="D606" s="398"/>
      <c r="E606" s="398"/>
      <c r="F606" s="398"/>
      <c r="G606" s="398"/>
      <c r="H606" s="398"/>
      <c r="I606" s="398"/>
      <c r="J606" s="398"/>
      <c r="K606" s="398"/>
      <c r="L606" s="398"/>
      <c r="M606" s="398"/>
    </row>
    <row r="607" spans="1:13">
      <c r="A607" s="398"/>
      <c r="B607" s="398"/>
      <c r="C607" s="398"/>
      <c r="D607" s="398"/>
      <c r="E607" s="398"/>
      <c r="F607" s="398"/>
      <c r="G607" s="398"/>
      <c r="H607" s="398"/>
      <c r="I607" s="398"/>
      <c r="J607" s="398"/>
      <c r="K607" s="398"/>
      <c r="L607" s="398"/>
      <c r="M607" s="398"/>
    </row>
    <row r="608" spans="1:13">
      <c r="A608" s="398"/>
      <c r="B608" s="398"/>
      <c r="C608" s="398"/>
      <c r="D608" s="398"/>
      <c r="E608" s="398"/>
      <c r="F608" s="398"/>
      <c r="G608" s="398"/>
      <c r="H608" s="398"/>
      <c r="I608" s="398"/>
      <c r="J608" s="398"/>
      <c r="K608" s="398"/>
      <c r="L608" s="398"/>
      <c r="M608" s="398"/>
    </row>
    <row r="609" spans="1:13">
      <c r="A609" s="398"/>
      <c r="B609" s="398"/>
      <c r="C609" s="398"/>
      <c r="D609" s="398"/>
      <c r="E609" s="398"/>
      <c r="F609" s="398"/>
      <c r="G609" s="398"/>
      <c r="H609" s="398"/>
      <c r="I609" s="398"/>
      <c r="J609" s="398"/>
      <c r="K609" s="398"/>
      <c r="L609" s="398"/>
      <c r="M609" s="398"/>
    </row>
    <row r="610" spans="1:13">
      <c r="A610" s="398"/>
      <c r="B610" s="398"/>
      <c r="C610" s="398"/>
      <c r="D610" s="398"/>
      <c r="E610" s="398"/>
      <c r="F610" s="398"/>
      <c r="G610" s="398"/>
      <c r="H610" s="398"/>
      <c r="I610" s="398"/>
      <c r="J610" s="398"/>
      <c r="K610" s="398"/>
      <c r="L610" s="398"/>
      <c r="M610" s="398"/>
    </row>
    <row r="611" spans="1:13">
      <c r="A611" s="398"/>
      <c r="B611" s="398"/>
      <c r="C611" s="398"/>
      <c r="D611" s="398"/>
      <c r="E611" s="398"/>
      <c r="F611" s="398"/>
      <c r="G611" s="398"/>
      <c r="H611" s="398"/>
      <c r="I611" s="398"/>
      <c r="J611" s="398"/>
      <c r="K611" s="398"/>
      <c r="L611" s="398"/>
      <c r="M611" s="398"/>
    </row>
    <row r="612" spans="1:13">
      <c r="A612" s="398"/>
      <c r="B612" s="398"/>
      <c r="C612" s="398"/>
      <c r="D612" s="398"/>
      <c r="E612" s="398"/>
      <c r="F612" s="398"/>
      <c r="G612" s="398"/>
      <c r="H612" s="398"/>
      <c r="I612" s="398"/>
      <c r="J612" s="398"/>
      <c r="K612" s="398"/>
      <c r="L612" s="398"/>
      <c r="M612" s="398"/>
    </row>
    <row r="613" spans="1:13">
      <c r="A613" s="398"/>
      <c r="B613" s="398"/>
      <c r="C613" s="398"/>
      <c r="D613" s="398"/>
      <c r="E613" s="398"/>
      <c r="F613" s="398"/>
      <c r="G613" s="398"/>
      <c r="H613" s="398"/>
      <c r="I613" s="398"/>
      <c r="J613" s="398"/>
      <c r="K613" s="398"/>
      <c r="L613" s="398"/>
      <c r="M613" s="398"/>
    </row>
    <row r="614" spans="1:13">
      <c r="A614" s="398"/>
      <c r="B614" s="398"/>
      <c r="C614" s="398"/>
      <c r="D614" s="398"/>
      <c r="E614" s="398"/>
      <c r="F614" s="398"/>
      <c r="G614" s="398"/>
      <c r="H614" s="398"/>
      <c r="I614" s="398"/>
      <c r="J614" s="398"/>
      <c r="K614" s="398"/>
      <c r="L614" s="398"/>
      <c r="M614" s="398"/>
    </row>
    <row r="615" spans="1:13">
      <c r="A615" s="398"/>
      <c r="B615" s="398"/>
      <c r="C615" s="398"/>
      <c r="D615" s="398"/>
      <c r="E615" s="398"/>
      <c r="F615" s="398"/>
      <c r="G615" s="398"/>
      <c r="H615" s="398"/>
      <c r="I615" s="398"/>
      <c r="J615" s="398"/>
      <c r="K615" s="398"/>
      <c r="L615" s="398"/>
      <c r="M615" s="398"/>
    </row>
    <row r="616" spans="1:13">
      <c r="A616" s="398"/>
      <c r="B616" s="398"/>
      <c r="C616" s="398"/>
      <c r="D616" s="398"/>
      <c r="E616" s="398"/>
      <c r="F616" s="398"/>
      <c r="G616" s="398"/>
      <c r="H616" s="398"/>
      <c r="I616" s="398"/>
      <c r="J616" s="398"/>
      <c r="K616" s="398"/>
      <c r="L616" s="398"/>
      <c r="M616" s="398"/>
    </row>
    <row r="617" spans="1:13">
      <c r="A617" s="398"/>
      <c r="B617" s="398"/>
      <c r="C617" s="398"/>
      <c r="D617" s="398"/>
      <c r="E617" s="398"/>
      <c r="F617" s="398"/>
      <c r="G617" s="398"/>
      <c r="H617" s="398"/>
      <c r="I617" s="398"/>
      <c r="J617" s="398"/>
      <c r="K617" s="398"/>
      <c r="L617" s="398"/>
      <c r="M617" s="398"/>
    </row>
    <row r="618" spans="1:13">
      <c r="A618" s="398"/>
      <c r="B618" s="398"/>
      <c r="C618" s="398"/>
      <c r="D618" s="398"/>
      <c r="E618" s="398"/>
      <c r="F618" s="398"/>
      <c r="G618" s="398"/>
      <c r="H618" s="398"/>
      <c r="I618" s="398"/>
      <c r="J618" s="398"/>
      <c r="K618" s="398"/>
      <c r="L618" s="398"/>
      <c r="M618" s="398"/>
    </row>
    <row r="619" spans="1:13">
      <c r="A619" s="398"/>
      <c r="B619" s="398"/>
      <c r="C619" s="398"/>
      <c r="D619" s="398"/>
      <c r="E619" s="398"/>
      <c r="F619" s="398"/>
      <c r="G619" s="398"/>
      <c r="H619" s="398"/>
      <c r="I619" s="398"/>
      <c r="J619" s="398"/>
      <c r="K619" s="398"/>
      <c r="L619" s="398"/>
      <c r="M619" s="398"/>
    </row>
    <row r="620" spans="1:13">
      <c r="A620" s="398"/>
      <c r="B620" s="398"/>
      <c r="C620" s="398"/>
      <c r="D620" s="398"/>
      <c r="E620" s="398"/>
      <c r="F620" s="398"/>
      <c r="G620" s="398"/>
      <c r="H620" s="398"/>
      <c r="I620" s="398"/>
      <c r="J620" s="398"/>
      <c r="K620" s="398"/>
      <c r="L620" s="398"/>
      <c r="M620" s="398"/>
    </row>
    <row r="621" spans="1:13">
      <c r="A621" s="398"/>
      <c r="B621" s="398"/>
      <c r="C621" s="398"/>
      <c r="D621" s="398"/>
      <c r="E621" s="398"/>
      <c r="F621" s="398"/>
      <c r="G621" s="398"/>
      <c r="H621" s="398"/>
      <c r="I621" s="398"/>
      <c r="J621" s="398"/>
      <c r="K621" s="398"/>
      <c r="L621" s="398"/>
      <c r="M621" s="398"/>
    </row>
    <row r="622" spans="1:13">
      <c r="A622" s="398"/>
      <c r="B622" s="398"/>
      <c r="C622" s="398"/>
      <c r="D622" s="398"/>
      <c r="E622" s="398"/>
      <c r="F622" s="398"/>
      <c r="G622" s="398"/>
      <c r="H622" s="398"/>
      <c r="I622" s="398"/>
      <c r="J622" s="398"/>
      <c r="K622" s="398"/>
      <c r="L622" s="398"/>
      <c r="M622" s="398"/>
    </row>
    <row r="623" spans="1:13">
      <c r="A623" s="398"/>
      <c r="B623" s="398"/>
      <c r="C623" s="398"/>
      <c r="D623" s="398"/>
      <c r="E623" s="398"/>
      <c r="F623" s="398"/>
      <c r="G623" s="398"/>
      <c r="H623" s="398"/>
      <c r="I623" s="398"/>
      <c r="J623" s="398"/>
      <c r="K623" s="398"/>
      <c r="L623" s="398"/>
      <c r="M623" s="398"/>
    </row>
    <row r="624" spans="1:13">
      <c r="A624" s="398"/>
      <c r="B624" s="398"/>
      <c r="C624" s="398"/>
      <c r="D624" s="398"/>
      <c r="E624" s="398"/>
      <c r="F624" s="398"/>
      <c r="G624" s="398"/>
      <c r="H624" s="398"/>
      <c r="I624" s="398"/>
      <c r="J624" s="398"/>
      <c r="K624" s="398"/>
      <c r="L624" s="398"/>
      <c r="M624" s="398"/>
    </row>
    <row r="625" spans="1:13">
      <c r="A625" s="398"/>
      <c r="B625" s="398"/>
      <c r="C625" s="398"/>
      <c r="D625" s="398"/>
      <c r="E625" s="398"/>
      <c r="F625" s="398"/>
      <c r="G625" s="398"/>
      <c r="H625" s="398"/>
      <c r="I625" s="398"/>
      <c r="J625" s="398"/>
      <c r="K625" s="398"/>
      <c r="L625" s="398"/>
      <c r="M625" s="398"/>
    </row>
    <row r="626" spans="1:13">
      <c r="A626" s="398"/>
      <c r="B626" s="398"/>
      <c r="C626" s="398"/>
      <c r="D626" s="398"/>
      <c r="E626" s="398"/>
      <c r="F626" s="398"/>
      <c r="G626" s="398"/>
      <c r="H626" s="398"/>
      <c r="I626" s="398"/>
      <c r="J626" s="398"/>
      <c r="K626" s="398"/>
      <c r="L626" s="398"/>
      <c r="M626" s="398"/>
    </row>
    <row r="627" spans="1:13">
      <c r="A627" s="398"/>
      <c r="B627" s="398"/>
      <c r="C627" s="398"/>
      <c r="D627" s="398"/>
      <c r="E627" s="398"/>
      <c r="F627" s="398"/>
      <c r="G627" s="398"/>
      <c r="H627" s="398"/>
      <c r="I627" s="398"/>
      <c r="J627" s="398"/>
      <c r="K627" s="398"/>
      <c r="L627" s="398"/>
      <c r="M627" s="398"/>
    </row>
    <row r="628" spans="1:13">
      <c r="A628" s="398"/>
      <c r="B628" s="398"/>
      <c r="C628" s="398"/>
      <c r="D628" s="398"/>
      <c r="E628" s="398"/>
      <c r="F628" s="398"/>
      <c r="G628" s="398"/>
      <c r="H628" s="398"/>
      <c r="I628" s="398"/>
      <c r="J628" s="398"/>
      <c r="K628" s="398"/>
      <c r="L628" s="398"/>
      <c r="M628" s="398"/>
    </row>
    <row r="629" spans="1:13">
      <c r="A629" s="398"/>
      <c r="B629" s="398"/>
      <c r="C629" s="398"/>
      <c r="D629" s="398"/>
      <c r="E629" s="398"/>
      <c r="F629" s="398"/>
      <c r="G629" s="398"/>
      <c r="H629" s="398"/>
      <c r="I629" s="398"/>
      <c r="J629" s="398"/>
      <c r="K629" s="398"/>
      <c r="L629" s="398"/>
      <c r="M629" s="398"/>
    </row>
    <row r="630" spans="1:13">
      <c r="A630" s="398"/>
      <c r="B630" s="398"/>
      <c r="C630" s="398"/>
      <c r="D630" s="398"/>
      <c r="E630" s="398"/>
      <c r="F630" s="398"/>
      <c r="G630" s="398"/>
      <c r="H630" s="398"/>
      <c r="I630" s="398"/>
      <c r="J630" s="398"/>
      <c r="K630" s="398"/>
      <c r="L630" s="398"/>
      <c r="M630" s="398"/>
    </row>
    <row r="631" spans="1:13">
      <c r="A631" s="398"/>
      <c r="B631" s="398"/>
      <c r="C631" s="398"/>
      <c r="D631" s="398"/>
      <c r="E631" s="398"/>
      <c r="F631" s="398"/>
      <c r="G631" s="398"/>
      <c r="H631" s="398"/>
      <c r="I631" s="398"/>
      <c r="J631" s="398"/>
      <c r="K631" s="398"/>
      <c r="L631" s="398"/>
      <c r="M631" s="398"/>
    </row>
    <row r="632" spans="1:13">
      <c r="A632" s="398"/>
      <c r="B632" s="398"/>
      <c r="C632" s="398"/>
      <c r="D632" s="398"/>
      <c r="E632" s="398"/>
      <c r="F632" s="398"/>
      <c r="G632" s="398"/>
      <c r="H632" s="398"/>
      <c r="I632" s="398"/>
      <c r="J632" s="398"/>
      <c r="K632" s="398"/>
      <c r="L632" s="398"/>
      <c r="M632" s="398"/>
    </row>
    <row r="633" spans="1:13">
      <c r="A633" s="398"/>
      <c r="B633" s="398"/>
      <c r="C633" s="398"/>
      <c r="D633" s="398"/>
      <c r="E633" s="398"/>
      <c r="F633" s="398"/>
      <c r="G633" s="398"/>
      <c r="H633" s="398"/>
      <c r="I633" s="398"/>
      <c r="J633" s="398"/>
      <c r="K633" s="398"/>
      <c r="L633" s="398"/>
      <c r="M633" s="398"/>
    </row>
    <row r="634" spans="1:13">
      <c r="A634" s="398"/>
      <c r="B634" s="398"/>
      <c r="C634" s="398"/>
      <c r="D634" s="398"/>
      <c r="E634" s="398"/>
      <c r="F634" s="398"/>
      <c r="G634" s="398"/>
      <c r="H634" s="398"/>
      <c r="I634" s="398"/>
      <c r="J634" s="398"/>
      <c r="K634" s="398"/>
      <c r="L634" s="398"/>
      <c r="M634" s="398"/>
    </row>
    <row r="635" spans="1:13">
      <c r="A635" s="398"/>
      <c r="B635" s="398"/>
      <c r="C635" s="398"/>
      <c r="D635" s="398"/>
      <c r="E635" s="398"/>
      <c r="F635" s="398"/>
      <c r="G635" s="398"/>
      <c r="H635" s="398"/>
      <c r="I635" s="398"/>
      <c r="J635" s="398"/>
      <c r="K635" s="398"/>
      <c r="L635" s="398"/>
      <c r="M635" s="398"/>
    </row>
    <row r="636" spans="1:13">
      <c r="A636" s="398"/>
      <c r="B636" s="398"/>
      <c r="C636" s="398"/>
      <c r="D636" s="398"/>
      <c r="E636" s="398"/>
      <c r="F636" s="398"/>
      <c r="G636" s="398"/>
      <c r="H636" s="398"/>
      <c r="I636" s="398"/>
      <c r="J636" s="398"/>
      <c r="K636" s="398"/>
      <c r="L636" s="398"/>
      <c r="M636" s="398"/>
    </row>
    <row r="637" spans="1:13">
      <c r="A637" s="398"/>
      <c r="B637" s="398"/>
      <c r="C637" s="398"/>
      <c r="D637" s="398"/>
      <c r="E637" s="398"/>
      <c r="F637" s="398"/>
      <c r="G637" s="398"/>
      <c r="H637" s="398"/>
      <c r="I637" s="398"/>
      <c r="J637" s="398"/>
      <c r="K637" s="398"/>
      <c r="L637" s="398"/>
      <c r="M637" s="398"/>
    </row>
    <row r="638" spans="1:13">
      <c r="A638" s="398"/>
      <c r="B638" s="398"/>
      <c r="C638" s="398"/>
      <c r="D638" s="398"/>
      <c r="E638" s="398"/>
      <c r="F638" s="398"/>
      <c r="G638" s="398"/>
      <c r="H638" s="398"/>
      <c r="I638" s="398"/>
      <c r="J638" s="398"/>
      <c r="K638" s="398"/>
      <c r="L638" s="398"/>
      <c r="M638" s="398"/>
    </row>
    <row r="639" spans="1:13">
      <c r="A639" s="398"/>
      <c r="B639" s="398"/>
      <c r="C639" s="398"/>
      <c r="D639" s="398"/>
      <c r="E639" s="398"/>
      <c r="F639" s="398"/>
      <c r="G639" s="398"/>
      <c r="H639" s="398"/>
      <c r="I639" s="398"/>
      <c r="J639" s="398"/>
      <c r="K639" s="398"/>
      <c r="L639" s="398"/>
      <c r="M639" s="398"/>
    </row>
    <row r="640" spans="1:13">
      <c r="A640" s="398"/>
      <c r="B640" s="398"/>
      <c r="C640" s="398"/>
      <c r="D640" s="398"/>
      <c r="E640" s="398"/>
      <c r="F640" s="398"/>
      <c r="G640" s="398"/>
      <c r="H640" s="398"/>
      <c r="I640" s="398"/>
      <c r="J640" s="398"/>
      <c r="K640" s="398"/>
      <c r="L640" s="398"/>
      <c r="M640" s="398"/>
    </row>
    <row r="641" spans="1:13">
      <c r="A641" s="398"/>
      <c r="B641" s="398"/>
      <c r="C641" s="398"/>
      <c r="D641" s="398"/>
      <c r="E641" s="398"/>
      <c r="F641" s="398"/>
      <c r="G641" s="398"/>
      <c r="H641" s="398"/>
      <c r="I641" s="398"/>
      <c r="J641" s="398"/>
      <c r="K641" s="398"/>
      <c r="L641" s="398"/>
      <c r="M641" s="398"/>
    </row>
    <row r="642" spans="1:13">
      <c r="A642" s="398"/>
      <c r="B642" s="398"/>
      <c r="C642" s="398"/>
      <c r="D642" s="398"/>
      <c r="E642" s="398"/>
      <c r="F642" s="398"/>
      <c r="G642" s="398"/>
      <c r="H642" s="398"/>
      <c r="I642" s="398"/>
      <c r="J642" s="398"/>
      <c r="K642" s="398"/>
      <c r="L642" s="398"/>
      <c r="M642" s="398"/>
    </row>
    <row r="643" spans="1:13">
      <c r="A643" s="398"/>
      <c r="B643" s="398"/>
      <c r="C643" s="398"/>
      <c r="D643" s="398"/>
      <c r="E643" s="398"/>
      <c r="F643" s="398"/>
      <c r="G643" s="398"/>
      <c r="H643" s="398"/>
      <c r="I643" s="398"/>
      <c r="J643" s="398"/>
      <c r="K643" s="398"/>
      <c r="L643" s="398"/>
      <c r="M643" s="398"/>
    </row>
    <row r="644" spans="1:13">
      <c r="A644" s="398"/>
      <c r="B644" s="398"/>
      <c r="C644" s="398"/>
      <c r="D644" s="398"/>
      <c r="E644" s="398"/>
      <c r="F644" s="398"/>
      <c r="G644" s="398"/>
      <c r="H644" s="398"/>
      <c r="I644" s="398"/>
      <c r="J644" s="398"/>
      <c r="K644" s="398"/>
      <c r="L644" s="398"/>
      <c r="M644" s="398"/>
    </row>
    <row r="645" spans="1:13">
      <c r="A645" s="398"/>
      <c r="B645" s="398"/>
      <c r="C645" s="398"/>
      <c r="D645" s="398"/>
      <c r="E645" s="398"/>
      <c r="F645" s="398"/>
      <c r="G645" s="398"/>
      <c r="H645" s="398"/>
      <c r="I645" s="398"/>
      <c r="J645" s="398"/>
      <c r="K645" s="398"/>
      <c r="L645" s="398"/>
      <c r="M645" s="398"/>
    </row>
    <row r="646" spans="1:13">
      <c r="A646" s="398"/>
      <c r="B646" s="398"/>
      <c r="C646" s="398"/>
      <c r="D646" s="398"/>
      <c r="E646" s="398"/>
      <c r="F646" s="398"/>
      <c r="G646" s="398"/>
      <c r="H646" s="398"/>
      <c r="I646" s="398"/>
      <c r="J646" s="398"/>
      <c r="K646" s="398"/>
      <c r="L646" s="398"/>
      <c r="M646" s="398"/>
    </row>
    <row r="647" spans="1:13">
      <c r="A647" s="398"/>
      <c r="B647" s="398"/>
      <c r="C647" s="398"/>
      <c r="D647" s="398"/>
      <c r="E647" s="398"/>
      <c r="F647" s="398"/>
      <c r="G647" s="398"/>
      <c r="H647" s="398"/>
      <c r="I647" s="398"/>
      <c r="J647" s="398"/>
      <c r="K647" s="398"/>
      <c r="L647" s="398"/>
      <c r="M647" s="398"/>
    </row>
    <row r="648" spans="1:13">
      <c r="A648" s="398"/>
      <c r="B648" s="398"/>
      <c r="C648" s="398"/>
      <c r="D648" s="398"/>
      <c r="E648" s="398"/>
      <c r="F648" s="398"/>
      <c r="G648" s="398"/>
      <c r="H648" s="398"/>
      <c r="I648" s="398"/>
      <c r="J648" s="398"/>
      <c r="K648" s="398"/>
      <c r="L648" s="398"/>
      <c r="M648" s="398"/>
    </row>
    <row r="649" spans="1:13">
      <c r="A649" s="398"/>
      <c r="B649" s="398"/>
      <c r="C649" s="398"/>
      <c r="D649" s="398"/>
      <c r="E649" s="398"/>
      <c r="F649" s="398"/>
      <c r="G649" s="398"/>
      <c r="H649" s="398"/>
      <c r="I649" s="398"/>
      <c r="J649" s="398"/>
      <c r="K649" s="398"/>
      <c r="L649" s="398"/>
      <c r="M649" s="398"/>
    </row>
    <row r="650" spans="1:13">
      <c r="A650" s="398"/>
      <c r="B650" s="398"/>
      <c r="C650" s="398"/>
      <c r="D650" s="398"/>
      <c r="E650" s="398"/>
      <c r="F650" s="398"/>
      <c r="G650" s="398"/>
      <c r="H650" s="398"/>
      <c r="I650" s="398"/>
      <c r="J650" s="398"/>
      <c r="K650" s="398"/>
      <c r="L650" s="398"/>
      <c r="M650" s="398"/>
    </row>
    <row r="651" spans="1:13">
      <c r="A651" s="398"/>
      <c r="B651" s="398"/>
      <c r="C651" s="398"/>
      <c r="D651" s="398"/>
      <c r="E651" s="398"/>
      <c r="F651" s="398"/>
      <c r="G651" s="398"/>
      <c r="H651" s="398"/>
      <c r="I651" s="398"/>
      <c r="J651" s="398"/>
      <c r="K651" s="398"/>
      <c r="L651" s="398"/>
      <c r="M651" s="398"/>
    </row>
    <row r="652" spans="1:13">
      <c r="A652" s="398"/>
      <c r="B652" s="398"/>
      <c r="C652" s="398"/>
      <c r="D652" s="398"/>
      <c r="E652" s="398"/>
      <c r="F652" s="398"/>
      <c r="G652" s="398"/>
      <c r="H652" s="398"/>
      <c r="I652" s="398"/>
      <c r="J652" s="398"/>
      <c r="K652" s="398"/>
      <c r="L652" s="398"/>
      <c r="M652" s="398"/>
    </row>
    <row r="653" spans="1:13">
      <c r="A653" s="398"/>
      <c r="B653" s="398"/>
      <c r="C653" s="398"/>
      <c r="D653" s="398"/>
      <c r="E653" s="398"/>
      <c r="F653" s="398"/>
      <c r="G653" s="398"/>
      <c r="H653" s="398"/>
      <c r="I653" s="398"/>
      <c r="J653" s="398"/>
      <c r="K653" s="398"/>
      <c r="L653" s="398"/>
      <c r="M653" s="398"/>
    </row>
    <row r="654" spans="1:13">
      <c r="A654" s="398"/>
      <c r="B654" s="398"/>
      <c r="C654" s="398"/>
      <c r="D654" s="398"/>
      <c r="E654" s="398"/>
      <c r="F654" s="398"/>
      <c r="G654" s="398"/>
      <c r="H654" s="398"/>
      <c r="I654" s="398"/>
      <c r="J654" s="398"/>
      <c r="K654" s="398"/>
      <c r="L654" s="398"/>
      <c r="M654" s="398"/>
    </row>
    <row r="655" spans="1:13">
      <c r="A655" s="398"/>
      <c r="B655" s="398"/>
      <c r="C655" s="398"/>
      <c r="D655" s="398"/>
      <c r="E655" s="398"/>
      <c r="F655" s="398"/>
      <c r="G655" s="398"/>
      <c r="H655" s="398"/>
      <c r="I655" s="398"/>
      <c r="J655" s="398"/>
      <c r="K655" s="398"/>
      <c r="L655" s="398"/>
      <c r="M655" s="398"/>
    </row>
    <row r="656" spans="1:13">
      <c r="A656" s="398"/>
      <c r="B656" s="398"/>
      <c r="C656" s="398"/>
      <c r="D656" s="398"/>
      <c r="E656" s="398"/>
      <c r="F656" s="398"/>
      <c r="G656" s="398"/>
      <c r="H656" s="398"/>
      <c r="I656" s="398"/>
      <c r="J656" s="398"/>
      <c r="K656" s="398"/>
      <c r="L656" s="398"/>
      <c r="M656" s="398"/>
    </row>
    <row r="657" spans="1:13">
      <c r="A657" s="398"/>
      <c r="B657" s="398"/>
      <c r="C657" s="398"/>
      <c r="D657" s="398"/>
      <c r="E657" s="398"/>
      <c r="F657" s="398"/>
      <c r="G657" s="398"/>
      <c r="H657" s="398"/>
      <c r="I657" s="398"/>
      <c r="J657" s="398"/>
      <c r="K657" s="398"/>
      <c r="L657" s="398"/>
      <c r="M657" s="398"/>
    </row>
    <row r="658" spans="1:13">
      <c r="A658" s="398"/>
      <c r="B658" s="398"/>
      <c r="C658" s="398"/>
      <c r="D658" s="398"/>
      <c r="E658" s="398"/>
      <c r="F658" s="398"/>
      <c r="G658" s="398"/>
      <c r="H658" s="398"/>
      <c r="I658" s="398"/>
      <c r="J658" s="398"/>
      <c r="K658" s="398"/>
      <c r="L658" s="398"/>
      <c r="M658" s="398"/>
    </row>
    <row r="659" spans="1:13">
      <c r="A659" s="398"/>
      <c r="B659" s="398"/>
      <c r="C659" s="398"/>
      <c r="D659" s="398"/>
      <c r="E659" s="398"/>
      <c r="F659" s="398"/>
      <c r="G659" s="398"/>
      <c r="H659" s="398"/>
      <c r="I659" s="398"/>
      <c r="J659" s="398"/>
      <c r="K659" s="398"/>
      <c r="L659" s="398"/>
      <c r="M659" s="398"/>
    </row>
    <row r="660" spans="1:13">
      <c r="A660" s="398"/>
      <c r="B660" s="398"/>
      <c r="C660" s="398"/>
      <c r="D660" s="398"/>
      <c r="E660" s="398"/>
      <c r="F660" s="398"/>
      <c r="G660" s="398"/>
      <c r="H660" s="398"/>
      <c r="I660" s="398"/>
      <c r="J660" s="398"/>
      <c r="K660" s="398"/>
      <c r="L660" s="398"/>
      <c r="M660" s="398"/>
    </row>
    <row r="661" spans="1:13">
      <c r="A661" s="398"/>
      <c r="B661" s="398"/>
      <c r="C661" s="398"/>
      <c r="D661" s="398"/>
      <c r="E661" s="398"/>
      <c r="F661" s="398"/>
      <c r="G661" s="398"/>
      <c r="H661" s="398"/>
      <c r="I661" s="398"/>
      <c r="J661" s="398"/>
      <c r="K661" s="398"/>
      <c r="L661" s="398"/>
      <c r="M661" s="398"/>
    </row>
    <row r="662" spans="1:13">
      <c r="A662" s="398"/>
      <c r="B662" s="398"/>
      <c r="C662" s="398"/>
      <c r="D662" s="398"/>
      <c r="E662" s="398"/>
      <c r="F662" s="398"/>
      <c r="G662" s="398"/>
      <c r="H662" s="398"/>
      <c r="I662" s="398"/>
      <c r="J662" s="398"/>
      <c r="K662" s="398"/>
      <c r="L662" s="398"/>
      <c r="M662" s="398"/>
    </row>
    <row r="663" spans="1:13">
      <c r="A663" s="398"/>
      <c r="B663" s="398"/>
      <c r="C663" s="398"/>
      <c r="D663" s="398"/>
      <c r="E663" s="398"/>
      <c r="F663" s="398"/>
      <c r="G663" s="398"/>
      <c r="H663" s="398"/>
      <c r="I663" s="398"/>
      <c r="J663" s="398"/>
      <c r="K663" s="398"/>
      <c r="L663" s="398"/>
      <c r="M663" s="398"/>
    </row>
    <row r="664" spans="1:13">
      <c r="A664" s="398"/>
      <c r="B664" s="398"/>
      <c r="C664" s="398"/>
      <c r="D664" s="398"/>
      <c r="E664" s="398"/>
      <c r="F664" s="398"/>
      <c r="G664" s="398"/>
      <c r="H664" s="398"/>
      <c r="I664" s="398"/>
      <c r="J664" s="398"/>
      <c r="K664" s="398"/>
      <c r="L664" s="398"/>
      <c r="M664" s="398"/>
    </row>
    <row r="665" spans="1:13">
      <c r="A665" s="398"/>
      <c r="B665" s="398"/>
      <c r="C665" s="398"/>
      <c r="D665" s="398"/>
      <c r="E665" s="398"/>
      <c r="F665" s="398"/>
      <c r="G665" s="398"/>
      <c r="H665" s="398"/>
      <c r="I665" s="398"/>
      <c r="J665" s="398"/>
      <c r="K665" s="398"/>
      <c r="L665" s="398"/>
      <c r="M665" s="398"/>
    </row>
    <row r="666" spans="1:13">
      <c r="A666" s="398"/>
      <c r="B666" s="398"/>
      <c r="C666" s="398"/>
      <c r="D666" s="398"/>
      <c r="E666" s="398"/>
      <c r="F666" s="398"/>
      <c r="G666" s="398"/>
      <c r="H666" s="398"/>
      <c r="I666" s="398"/>
      <c r="J666" s="398"/>
      <c r="K666" s="398"/>
      <c r="L666" s="398"/>
      <c r="M666" s="398"/>
    </row>
    <row r="667" spans="1:13">
      <c r="A667" s="398"/>
      <c r="B667" s="398"/>
      <c r="C667" s="398"/>
      <c r="D667" s="398"/>
      <c r="E667" s="398"/>
      <c r="F667" s="398"/>
      <c r="G667" s="398"/>
      <c r="H667" s="398"/>
      <c r="I667" s="398"/>
      <c r="J667" s="398"/>
      <c r="K667" s="398"/>
      <c r="L667" s="398"/>
      <c r="M667" s="398"/>
    </row>
    <row r="668" spans="1:13">
      <c r="A668" s="398"/>
      <c r="B668" s="398"/>
      <c r="C668" s="398"/>
      <c r="D668" s="398"/>
      <c r="E668" s="398"/>
      <c r="F668" s="398"/>
      <c r="G668" s="398"/>
      <c r="H668" s="398"/>
      <c r="I668" s="398"/>
      <c r="J668" s="398"/>
      <c r="K668" s="398"/>
      <c r="L668" s="398"/>
      <c r="M668" s="398"/>
    </row>
    <row r="669" spans="1:13">
      <c r="A669" s="398"/>
      <c r="B669" s="398"/>
      <c r="C669" s="398"/>
      <c r="D669" s="398"/>
      <c r="E669" s="398"/>
      <c r="F669" s="398"/>
      <c r="G669" s="398"/>
      <c r="H669" s="398"/>
      <c r="I669" s="398"/>
      <c r="J669" s="398"/>
      <c r="K669" s="398"/>
      <c r="L669" s="398"/>
      <c r="M669" s="398"/>
    </row>
    <row r="670" spans="1:13">
      <c r="A670" s="398"/>
      <c r="B670" s="398"/>
      <c r="C670" s="398"/>
      <c r="D670" s="398"/>
      <c r="E670" s="398"/>
      <c r="F670" s="398"/>
      <c r="G670" s="398"/>
      <c r="H670" s="398"/>
      <c r="I670" s="398"/>
      <c r="J670" s="398"/>
      <c r="K670" s="398"/>
      <c r="L670" s="398"/>
      <c r="M670" s="398"/>
    </row>
    <row r="671" spans="1:13">
      <c r="A671" s="398"/>
      <c r="B671" s="398"/>
      <c r="C671" s="398"/>
      <c r="D671" s="398"/>
      <c r="E671" s="398"/>
      <c r="F671" s="398"/>
      <c r="G671" s="398"/>
      <c r="H671" s="398"/>
      <c r="I671" s="398"/>
      <c r="J671" s="398"/>
      <c r="K671" s="398"/>
      <c r="L671" s="398"/>
      <c r="M671" s="398"/>
    </row>
    <row r="672" spans="1:13">
      <c r="A672" s="398"/>
      <c r="B672" s="398"/>
      <c r="C672" s="398"/>
      <c r="D672" s="398"/>
      <c r="E672" s="398"/>
      <c r="F672" s="398"/>
      <c r="G672" s="398"/>
      <c r="H672" s="398"/>
      <c r="I672" s="398"/>
      <c r="J672" s="398"/>
      <c r="K672" s="398"/>
      <c r="L672" s="398"/>
      <c r="M672" s="398"/>
    </row>
    <row r="673" spans="1:13">
      <c r="A673" s="398"/>
      <c r="B673" s="398"/>
      <c r="C673" s="398"/>
      <c r="D673" s="398"/>
      <c r="E673" s="398"/>
      <c r="F673" s="398"/>
      <c r="G673" s="398"/>
      <c r="H673" s="398"/>
      <c r="I673" s="398"/>
      <c r="J673" s="398"/>
      <c r="K673" s="398"/>
      <c r="L673" s="398"/>
      <c r="M673" s="398"/>
    </row>
    <row r="674" spans="1:13">
      <c r="A674" s="398"/>
      <c r="B674" s="398"/>
      <c r="C674" s="398"/>
      <c r="D674" s="398"/>
      <c r="E674" s="398"/>
      <c r="F674" s="398"/>
      <c r="G674" s="398"/>
      <c r="H674" s="398"/>
      <c r="I674" s="398"/>
      <c r="J674" s="398"/>
      <c r="K674" s="398"/>
      <c r="L674" s="398"/>
      <c r="M674" s="398"/>
    </row>
    <row r="675" spans="1:13">
      <c r="A675" s="398"/>
      <c r="B675" s="398"/>
      <c r="C675" s="398"/>
      <c r="D675" s="398"/>
      <c r="E675" s="398"/>
      <c r="F675" s="398"/>
      <c r="G675" s="398"/>
      <c r="H675" s="398"/>
      <c r="I675" s="398"/>
      <c r="J675" s="398"/>
      <c r="K675" s="398"/>
      <c r="L675" s="398"/>
      <c r="M675" s="398"/>
    </row>
    <row r="676" spans="1:13">
      <c r="A676" s="398"/>
      <c r="B676" s="398"/>
      <c r="C676" s="398"/>
      <c r="D676" s="398"/>
      <c r="E676" s="398"/>
      <c r="F676" s="398"/>
      <c r="G676" s="398"/>
      <c r="H676" s="398"/>
      <c r="I676" s="398"/>
      <c r="J676" s="398"/>
      <c r="K676" s="398"/>
      <c r="L676" s="398"/>
      <c r="M676" s="398"/>
    </row>
    <row r="677" spans="1:13">
      <c r="A677" s="398"/>
      <c r="B677" s="398"/>
      <c r="C677" s="398"/>
      <c r="D677" s="398"/>
      <c r="E677" s="398"/>
      <c r="F677" s="398"/>
      <c r="G677" s="398"/>
      <c r="H677" s="398"/>
      <c r="I677" s="398"/>
      <c r="J677" s="398"/>
      <c r="K677" s="398"/>
      <c r="L677" s="398"/>
      <c r="M677" s="398"/>
    </row>
    <row r="678" spans="1:13">
      <c r="A678" s="398"/>
      <c r="B678" s="398"/>
      <c r="C678" s="398"/>
      <c r="D678" s="398"/>
      <c r="E678" s="398"/>
      <c r="F678" s="398"/>
      <c r="G678" s="398"/>
      <c r="H678" s="398"/>
      <c r="I678" s="398"/>
      <c r="J678" s="398"/>
      <c r="K678" s="398"/>
      <c r="L678" s="398"/>
      <c r="M678" s="398"/>
    </row>
    <row r="679" spans="1:13">
      <c r="A679" s="398"/>
      <c r="B679" s="398"/>
      <c r="C679" s="398"/>
      <c r="D679" s="398"/>
      <c r="E679" s="398"/>
      <c r="F679" s="398"/>
      <c r="G679" s="398"/>
      <c r="H679" s="398"/>
      <c r="I679" s="398"/>
      <c r="J679" s="398"/>
      <c r="K679" s="398"/>
      <c r="L679" s="398"/>
      <c r="M679" s="398"/>
    </row>
    <row r="680" spans="1:13">
      <c r="A680" s="398"/>
      <c r="B680" s="398"/>
      <c r="C680" s="398"/>
      <c r="D680" s="398"/>
      <c r="E680" s="398"/>
      <c r="F680" s="398"/>
      <c r="G680" s="398"/>
      <c r="H680" s="398"/>
      <c r="I680" s="398"/>
      <c r="J680" s="398"/>
      <c r="K680" s="398"/>
      <c r="L680" s="398"/>
      <c r="M680" s="398"/>
    </row>
    <row r="681" spans="1:13">
      <c r="A681" s="398"/>
      <c r="B681" s="398"/>
      <c r="C681" s="398"/>
      <c r="D681" s="398"/>
      <c r="E681" s="398"/>
      <c r="F681" s="398"/>
      <c r="G681" s="398"/>
      <c r="H681" s="398"/>
      <c r="I681" s="398"/>
      <c r="J681" s="398"/>
      <c r="K681" s="398"/>
      <c r="L681" s="398"/>
      <c r="M681" s="398"/>
    </row>
    <row r="682" spans="1:13">
      <c r="A682" s="398"/>
      <c r="B682" s="398"/>
      <c r="C682" s="398"/>
      <c r="D682" s="398"/>
      <c r="E682" s="398"/>
      <c r="F682" s="398"/>
      <c r="G682" s="398"/>
      <c r="H682" s="398"/>
      <c r="I682" s="398"/>
      <c r="J682" s="398"/>
      <c r="K682" s="398"/>
      <c r="L682" s="398"/>
      <c r="M682" s="398"/>
    </row>
    <row r="683" spans="1:13">
      <c r="A683" s="398"/>
      <c r="B683" s="398"/>
      <c r="C683" s="398"/>
      <c r="D683" s="398"/>
      <c r="E683" s="398"/>
      <c r="F683" s="398"/>
      <c r="G683" s="398"/>
      <c r="H683" s="398"/>
      <c r="I683" s="398"/>
      <c r="J683" s="398"/>
      <c r="K683" s="398"/>
      <c r="L683" s="398"/>
      <c r="M683" s="398"/>
    </row>
    <row r="684" spans="1:13">
      <c r="A684" s="398"/>
      <c r="B684" s="398"/>
      <c r="C684" s="398"/>
      <c r="D684" s="398"/>
      <c r="E684" s="398"/>
      <c r="F684" s="398"/>
      <c r="G684" s="398"/>
      <c r="H684" s="398"/>
      <c r="I684" s="398"/>
      <c r="J684" s="398"/>
      <c r="K684" s="398"/>
      <c r="L684" s="398"/>
      <c r="M684" s="398"/>
    </row>
    <row r="685" spans="1:13">
      <c r="A685" s="398"/>
      <c r="B685" s="398"/>
      <c r="C685" s="398"/>
      <c r="D685" s="398"/>
      <c r="E685" s="398"/>
      <c r="F685" s="398"/>
      <c r="G685" s="398"/>
      <c r="H685" s="398"/>
      <c r="I685" s="398"/>
      <c r="J685" s="398"/>
      <c r="K685" s="398"/>
      <c r="L685" s="398"/>
      <c r="M685" s="398"/>
    </row>
    <row r="686" spans="1:13">
      <c r="A686" s="398"/>
      <c r="B686" s="398"/>
      <c r="C686" s="398"/>
      <c r="D686" s="398"/>
      <c r="E686" s="398"/>
      <c r="F686" s="398"/>
      <c r="G686" s="398"/>
      <c r="H686" s="398"/>
      <c r="I686" s="398"/>
      <c r="J686" s="398"/>
      <c r="K686" s="398"/>
      <c r="L686" s="398"/>
      <c r="M686" s="398"/>
    </row>
    <row r="687" spans="1:13">
      <c r="A687" s="398"/>
      <c r="B687" s="398"/>
      <c r="C687" s="398"/>
      <c r="D687" s="398"/>
      <c r="E687" s="398"/>
      <c r="F687" s="398"/>
      <c r="G687" s="398"/>
      <c r="H687" s="398"/>
      <c r="I687" s="398"/>
      <c r="J687" s="398"/>
      <c r="K687" s="398"/>
      <c r="L687" s="398"/>
      <c r="M687" s="398"/>
    </row>
    <row r="688" spans="1:13">
      <c r="A688" s="398"/>
      <c r="B688" s="398"/>
      <c r="C688" s="398"/>
      <c r="D688" s="398"/>
      <c r="E688" s="398"/>
      <c r="F688" s="398"/>
      <c r="G688" s="398"/>
      <c r="H688" s="398"/>
      <c r="I688" s="398"/>
      <c r="J688" s="398"/>
      <c r="K688" s="398"/>
      <c r="L688" s="398"/>
      <c r="M688" s="398"/>
    </row>
    <row r="689" spans="1:13">
      <c r="A689" s="398"/>
      <c r="B689" s="398"/>
      <c r="C689" s="398"/>
      <c r="D689" s="398"/>
      <c r="E689" s="398"/>
      <c r="F689" s="398"/>
      <c r="G689" s="398"/>
      <c r="H689" s="398"/>
      <c r="I689" s="398"/>
      <c r="J689" s="398"/>
      <c r="K689" s="398"/>
      <c r="L689" s="398"/>
      <c r="M689" s="398"/>
    </row>
    <row r="690" spans="1:13">
      <c r="A690" s="398"/>
      <c r="B690" s="398"/>
      <c r="C690" s="398"/>
      <c r="D690" s="398"/>
      <c r="E690" s="398"/>
      <c r="F690" s="398"/>
      <c r="G690" s="398"/>
      <c r="H690" s="398"/>
      <c r="I690" s="398"/>
      <c r="J690" s="398"/>
      <c r="K690" s="398"/>
      <c r="L690" s="398"/>
      <c r="M690" s="398"/>
    </row>
    <row r="691" spans="1:13">
      <c r="A691" s="398"/>
      <c r="B691" s="398"/>
      <c r="C691" s="398"/>
      <c r="D691" s="398"/>
      <c r="E691" s="398"/>
      <c r="F691" s="398"/>
      <c r="G691" s="398"/>
      <c r="H691" s="398"/>
      <c r="I691" s="398"/>
      <c r="J691" s="398"/>
      <c r="K691" s="398"/>
      <c r="L691" s="398"/>
      <c r="M691" s="398"/>
    </row>
    <row r="692" spans="1:13">
      <c r="A692" s="398"/>
      <c r="B692" s="398"/>
      <c r="C692" s="398"/>
      <c r="D692" s="398"/>
      <c r="E692" s="398"/>
      <c r="F692" s="398"/>
      <c r="G692" s="398"/>
      <c r="H692" s="398"/>
      <c r="I692" s="398"/>
      <c r="J692" s="398"/>
      <c r="K692" s="398"/>
      <c r="L692" s="398"/>
      <c r="M692" s="398"/>
    </row>
    <row r="693" spans="1:13">
      <c r="A693" s="398"/>
      <c r="B693" s="398"/>
      <c r="C693" s="398"/>
      <c r="D693" s="398"/>
      <c r="E693" s="398"/>
      <c r="F693" s="398"/>
      <c r="G693" s="398"/>
      <c r="H693" s="398"/>
      <c r="I693" s="398"/>
      <c r="J693" s="398"/>
      <c r="K693" s="398"/>
      <c r="L693" s="398"/>
      <c r="M693" s="398"/>
    </row>
    <row r="694" spans="1:13">
      <c r="A694" s="398"/>
      <c r="B694" s="398"/>
      <c r="C694" s="398"/>
      <c r="D694" s="398"/>
      <c r="E694" s="398"/>
      <c r="F694" s="398"/>
      <c r="G694" s="398"/>
      <c r="H694" s="398"/>
      <c r="I694" s="398"/>
      <c r="J694" s="398"/>
      <c r="K694" s="398"/>
      <c r="L694" s="398"/>
      <c r="M694" s="398"/>
    </row>
    <row r="695" spans="1:13">
      <c r="A695" s="398"/>
      <c r="B695" s="398"/>
      <c r="C695" s="398"/>
      <c r="D695" s="398"/>
      <c r="E695" s="398"/>
      <c r="F695" s="398"/>
      <c r="G695" s="398"/>
      <c r="H695" s="398"/>
      <c r="I695" s="398"/>
      <c r="J695" s="398"/>
      <c r="K695" s="398"/>
      <c r="L695" s="398"/>
      <c r="M695" s="398"/>
    </row>
    <row r="696" spans="1:13">
      <c r="A696" s="398"/>
      <c r="B696" s="398"/>
      <c r="C696" s="398"/>
      <c r="D696" s="398"/>
      <c r="E696" s="398"/>
      <c r="F696" s="398"/>
      <c r="G696" s="398"/>
      <c r="H696" s="398"/>
      <c r="I696" s="398"/>
      <c r="J696" s="398"/>
      <c r="K696" s="398"/>
      <c r="L696" s="398"/>
      <c r="M696" s="398"/>
    </row>
    <row r="697" spans="1:13">
      <c r="A697" s="398"/>
      <c r="B697" s="398"/>
      <c r="C697" s="398"/>
      <c r="D697" s="398"/>
      <c r="E697" s="398"/>
      <c r="F697" s="398"/>
      <c r="G697" s="398"/>
      <c r="H697" s="398"/>
      <c r="I697" s="398"/>
      <c r="J697" s="398"/>
      <c r="K697" s="398"/>
      <c r="L697" s="398"/>
      <c r="M697" s="398"/>
    </row>
    <row r="698" spans="1:13">
      <c r="A698" s="398"/>
      <c r="B698" s="398"/>
      <c r="C698" s="398"/>
      <c r="D698" s="398"/>
      <c r="E698" s="398"/>
      <c r="F698" s="398"/>
      <c r="G698" s="398"/>
      <c r="H698" s="398"/>
      <c r="I698" s="398"/>
      <c r="J698" s="398"/>
      <c r="K698" s="398"/>
      <c r="L698" s="398"/>
      <c r="M698" s="398"/>
    </row>
    <row r="699" spans="1:13">
      <c r="A699" s="398"/>
      <c r="B699" s="398"/>
      <c r="C699" s="398"/>
      <c r="D699" s="398"/>
      <c r="E699" s="398"/>
      <c r="F699" s="398"/>
      <c r="G699" s="398"/>
      <c r="H699" s="398"/>
      <c r="I699" s="398"/>
      <c r="J699" s="398"/>
      <c r="K699" s="398"/>
      <c r="L699" s="398"/>
      <c r="M699" s="398"/>
    </row>
    <row r="700" spans="1:13">
      <c r="A700" s="398"/>
      <c r="B700" s="398"/>
      <c r="C700" s="398"/>
      <c r="D700" s="398"/>
      <c r="E700" s="398"/>
      <c r="F700" s="398"/>
      <c r="G700" s="398"/>
      <c r="H700" s="398"/>
      <c r="I700" s="398"/>
      <c r="J700" s="398"/>
      <c r="K700" s="398"/>
      <c r="L700" s="398"/>
      <c r="M700" s="398"/>
    </row>
    <row r="701" spans="1:13">
      <c r="A701" s="398"/>
      <c r="B701" s="398"/>
      <c r="C701" s="398"/>
      <c r="D701" s="398"/>
      <c r="E701" s="398"/>
      <c r="F701" s="398"/>
      <c r="G701" s="398"/>
      <c r="H701" s="398"/>
      <c r="I701" s="398"/>
      <c r="J701" s="398"/>
      <c r="K701" s="398"/>
      <c r="L701" s="398"/>
      <c r="M701" s="398"/>
    </row>
    <row r="702" spans="1:13">
      <c r="A702" s="398"/>
      <c r="B702" s="398"/>
      <c r="C702" s="398"/>
      <c r="D702" s="398"/>
      <c r="E702" s="398"/>
      <c r="F702" s="398"/>
      <c r="G702" s="398"/>
      <c r="H702" s="398"/>
      <c r="I702" s="398"/>
      <c r="J702" s="398"/>
      <c r="K702" s="398"/>
      <c r="L702" s="398"/>
      <c r="M702" s="398"/>
    </row>
    <row r="703" spans="1:13">
      <c r="A703" s="398"/>
      <c r="B703" s="398"/>
      <c r="C703" s="398"/>
      <c r="D703" s="398"/>
      <c r="E703" s="398"/>
      <c r="F703" s="398"/>
      <c r="G703" s="398"/>
      <c r="H703" s="398"/>
      <c r="I703" s="398"/>
      <c r="J703" s="398"/>
      <c r="K703" s="398"/>
      <c r="L703" s="398"/>
      <c r="M703" s="398"/>
    </row>
    <row r="704" spans="1:13">
      <c r="A704" s="398"/>
      <c r="B704" s="398"/>
      <c r="C704" s="398"/>
      <c r="D704" s="398"/>
      <c r="E704" s="398"/>
      <c r="F704" s="398"/>
      <c r="G704" s="398"/>
      <c r="H704" s="398"/>
      <c r="I704" s="398"/>
      <c r="J704" s="398"/>
      <c r="K704" s="398"/>
      <c r="L704" s="398"/>
      <c r="M704" s="398"/>
    </row>
    <row r="705" spans="1:13">
      <c r="A705" s="398"/>
      <c r="B705" s="398"/>
      <c r="C705" s="398"/>
      <c r="D705" s="398"/>
      <c r="E705" s="398"/>
      <c r="F705" s="398"/>
      <c r="G705" s="398"/>
      <c r="H705" s="398"/>
      <c r="I705" s="398"/>
      <c r="J705" s="398"/>
      <c r="K705" s="398"/>
      <c r="L705" s="398"/>
      <c r="M705" s="398"/>
    </row>
    <row r="706" spans="1:13">
      <c r="A706" s="398"/>
      <c r="B706" s="398"/>
      <c r="C706" s="398"/>
      <c r="D706" s="398"/>
      <c r="E706" s="398"/>
      <c r="F706" s="398"/>
      <c r="G706" s="398"/>
      <c r="H706" s="398"/>
      <c r="I706" s="398"/>
      <c r="J706" s="398"/>
      <c r="K706" s="398"/>
      <c r="L706" s="398"/>
      <c r="M706" s="398"/>
    </row>
    <row r="707" spans="1:13">
      <c r="A707" s="398"/>
      <c r="B707" s="398"/>
      <c r="C707" s="398"/>
      <c r="D707" s="398"/>
      <c r="E707" s="398"/>
      <c r="F707" s="398"/>
      <c r="G707" s="398"/>
      <c r="H707" s="398"/>
      <c r="I707" s="398"/>
      <c r="J707" s="398"/>
      <c r="K707" s="398"/>
      <c r="L707" s="398"/>
      <c r="M707" s="398"/>
    </row>
    <row r="708" spans="1:13">
      <c r="A708" s="398"/>
      <c r="B708" s="398"/>
      <c r="C708" s="398"/>
      <c r="D708" s="398"/>
      <c r="E708" s="398"/>
      <c r="F708" s="398"/>
      <c r="G708" s="398"/>
      <c r="H708" s="398"/>
      <c r="I708" s="398"/>
      <c r="J708" s="398"/>
      <c r="K708" s="398"/>
      <c r="L708" s="398"/>
      <c r="M708" s="398"/>
    </row>
    <row r="709" spans="1:13">
      <c r="A709" s="398"/>
      <c r="B709" s="398"/>
      <c r="C709" s="398"/>
      <c r="D709" s="398"/>
      <c r="E709" s="398"/>
      <c r="F709" s="398"/>
      <c r="G709" s="398"/>
      <c r="H709" s="398"/>
      <c r="I709" s="398"/>
      <c r="J709" s="398"/>
      <c r="K709" s="398"/>
      <c r="L709" s="398"/>
      <c r="M709" s="398"/>
    </row>
    <row r="710" spans="1:13">
      <c r="A710" s="398"/>
      <c r="B710" s="398"/>
      <c r="C710" s="398"/>
      <c r="D710" s="398"/>
      <c r="E710" s="398"/>
      <c r="F710" s="398"/>
      <c r="G710" s="398"/>
      <c r="H710" s="398"/>
      <c r="I710" s="398"/>
      <c r="J710" s="398"/>
      <c r="K710" s="398"/>
      <c r="L710" s="398"/>
      <c r="M710" s="398"/>
    </row>
    <row r="711" spans="1:13">
      <c r="A711" s="398"/>
      <c r="B711" s="398"/>
      <c r="C711" s="398"/>
      <c r="D711" s="398"/>
      <c r="E711" s="398"/>
      <c r="F711" s="398"/>
      <c r="G711" s="398"/>
      <c r="H711" s="398"/>
      <c r="I711" s="398"/>
      <c r="J711" s="398"/>
      <c r="K711" s="398"/>
      <c r="L711" s="398"/>
      <c r="M711" s="398"/>
    </row>
    <row r="712" spans="1:13">
      <c r="A712" s="398"/>
      <c r="B712" s="398"/>
      <c r="C712" s="398"/>
      <c r="D712" s="398"/>
      <c r="E712" s="398"/>
      <c r="F712" s="398"/>
      <c r="G712" s="398"/>
      <c r="H712" s="398"/>
      <c r="I712" s="398"/>
      <c r="J712" s="398"/>
      <c r="K712" s="398"/>
      <c r="L712" s="398"/>
      <c r="M712" s="398"/>
    </row>
    <row r="713" spans="1:13">
      <c r="A713" s="398"/>
      <c r="B713" s="398"/>
      <c r="C713" s="398"/>
      <c r="D713" s="398"/>
      <c r="E713" s="398"/>
      <c r="F713" s="398"/>
      <c r="G713" s="398"/>
      <c r="H713" s="398"/>
      <c r="I713" s="398"/>
      <c r="J713" s="398"/>
      <c r="K713" s="398"/>
      <c r="L713" s="398"/>
      <c r="M713" s="398"/>
    </row>
    <row r="714" spans="1:13">
      <c r="A714" s="398"/>
      <c r="B714" s="398"/>
      <c r="C714" s="398"/>
      <c r="D714" s="398"/>
      <c r="E714" s="398"/>
      <c r="F714" s="398"/>
      <c r="G714" s="398"/>
      <c r="H714" s="398"/>
      <c r="I714" s="398"/>
      <c r="J714" s="398"/>
      <c r="K714" s="398"/>
      <c r="L714" s="398"/>
      <c r="M714" s="398"/>
    </row>
    <row r="715" spans="1:13">
      <c r="A715" s="398"/>
      <c r="B715" s="398"/>
      <c r="C715" s="398"/>
      <c r="D715" s="398"/>
      <c r="E715" s="398"/>
      <c r="F715" s="398"/>
      <c r="G715" s="398"/>
      <c r="H715" s="398"/>
      <c r="I715" s="398"/>
      <c r="J715" s="398"/>
      <c r="K715" s="398"/>
      <c r="L715" s="398"/>
      <c r="M715" s="398"/>
    </row>
    <row r="716" spans="1:13">
      <c r="A716" s="398"/>
      <c r="B716" s="398"/>
      <c r="C716" s="398"/>
      <c r="D716" s="398"/>
      <c r="E716" s="398"/>
      <c r="F716" s="398"/>
      <c r="G716" s="398"/>
      <c r="H716" s="398"/>
      <c r="I716" s="398"/>
      <c r="J716" s="398"/>
      <c r="K716" s="398"/>
      <c r="L716" s="398"/>
      <c r="M716" s="398"/>
    </row>
    <row r="717" spans="1:13">
      <c r="A717" s="398"/>
      <c r="B717" s="398"/>
      <c r="C717" s="398"/>
      <c r="D717" s="398"/>
      <c r="E717" s="398"/>
      <c r="F717" s="398"/>
      <c r="G717" s="398"/>
      <c r="H717" s="398"/>
      <c r="I717" s="398"/>
      <c r="J717" s="398"/>
      <c r="K717" s="398"/>
      <c r="L717" s="398"/>
      <c r="M717" s="398"/>
    </row>
    <row r="718" spans="1:13">
      <c r="A718" s="398"/>
      <c r="B718" s="398"/>
      <c r="C718" s="398"/>
      <c r="D718" s="398"/>
      <c r="E718" s="398"/>
      <c r="F718" s="398"/>
      <c r="G718" s="398"/>
      <c r="H718" s="398"/>
      <c r="I718" s="398"/>
      <c r="J718" s="398"/>
      <c r="K718" s="398"/>
      <c r="L718" s="398"/>
      <c r="M718" s="398"/>
    </row>
    <row r="719" spans="1:13">
      <c r="A719" s="398"/>
      <c r="B719" s="398"/>
      <c r="C719" s="398"/>
      <c r="D719" s="398"/>
      <c r="E719" s="398"/>
      <c r="F719" s="398"/>
      <c r="G719" s="398"/>
      <c r="H719" s="398"/>
      <c r="I719" s="398"/>
      <c r="J719" s="398"/>
      <c r="K719" s="398"/>
      <c r="L719" s="398"/>
      <c r="M719" s="398"/>
    </row>
    <row r="720" spans="1:13">
      <c r="A720" s="398"/>
      <c r="B720" s="398"/>
      <c r="C720" s="398"/>
      <c r="D720" s="398"/>
      <c r="E720" s="398"/>
      <c r="F720" s="398"/>
      <c r="G720" s="398"/>
      <c r="H720" s="398"/>
      <c r="I720" s="398"/>
      <c r="J720" s="398"/>
      <c r="K720" s="398"/>
      <c r="L720" s="398"/>
      <c r="M720" s="398"/>
    </row>
    <row r="721" spans="1:13">
      <c r="A721" s="398"/>
      <c r="B721" s="398"/>
      <c r="C721" s="398"/>
      <c r="D721" s="398"/>
      <c r="E721" s="398"/>
      <c r="F721" s="398"/>
      <c r="G721" s="398"/>
      <c r="H721" s="398"/>
      <c r="I721" s="398"/>
      <c r="J721" s="398"/>
      <c r="K721" s="398"/>
      <c r="L721" s="398"/>
      <c r="M721" s="398"/>
    </row>
    <row r="722" spans="1:13">
      <c r="A722" s="398"/>
      <c r="B722" s="398"/>
      <c r="C722" s="398"/>
      <c r="D722" s="398"/>
      <c r="E722" s="398"/>
      <c r="F722" s="398"/>
      <c r="G722" s="398"/>
      <c r="H722" s="398"/>
      <c r="I722" s="398"/>
      <c r="J722" s="398"/>
      <c r="K722" s="398"/>
      <c r="L722" s="398"/>
      <c r="M722" s="398"/>
    </row>
    <row r="723" spans="1:13">
      <c r="A723" s="398"/>
      <c r="B723" s="398"/>
      <c r="C723" s="398"/>
      <c r="D723" s="398"/>
      <c r="E723" s="398"/>
      <c r="F723" s="398"/>
      <c r="G723" s="398"/>
      <c r="H723" s="398"/>
      <c r="I723" s="398"/>
      <c r="J723" s="398"/>
      <c r="K723" s="398"/>
      <c r="L723" s="398"/>
      <c r="M723" s="398"/>
    </row>
    <row r="724" spans="1:13">
      <c r="A724" s="398"/>
      <c r="B724" s="398"/>
      <c r="C724" s="398"/>
      <c r="D724" s="398"/>
      <c r="E724" s="398"/>
      <c r="F724" s="398"/>
      <c r="G724" s="398"/>
      <c r="H724" s="398"/>
      <c r="I724" s="398"/>
      <c r="J724" s="398"/>
      <c r="K724" s="398"/>
      <c r="L724" s="398"/>
      <c r="M724" s="398"/>
    </row>
    <row r="725" spans="1:13">
      <c r="A725" s="398"/>
      <c r="B725" s="398"/>
      <c r="C725" s="398"/>
      <c r="D725" s="398"/>
      <c r="E725" s="398"/>
      <c r="F725" s="398"/>
      <c r="G725" s="398"/>
      <c r="H725" s="398"/>
      <c r="I725" s="398"/>
      <c r="J725" s="398"/>
      <c r="K725" s="398"/>
      <c r="L725" s="398"/>
      <c r="M725" s="398"/>
    </row>
    <row r="726" spans="1:13">
      <c r="A726" s="398"/>
      <c r="B726" s="398"/>
      <c r="C726" s="398"/>
      <c r="D726" s="398"/>
      <c r="E726" s="398"/>
      <c r="F726" s="398"/>
      <c r="G726" s="398"/>
      <c r="H726" s="398"/>
      <c r="I726" s="398"/>
      <c r="J726" s="398"/>
      <c r="K726" s="398"/>
      <c r="L726" s="398"/>
      <c r="M726" s="398"/>
    </row>
    <row r="727" spans="1:13">
      <c r="A727" s="398"/>
      <c r="B727" s="398"/>
      <c r="C727" s="398"/>
      <c r="D727" s="398"/>
      <c r="E727" s="398"/>
      <c r="F727" s="398"/>
      <c r="G727" s="398"/>
      <c r="H727" s="398"/>
      <c r="I727" s="398"/>
      <c r="J727" s="398"/>
      <c r="K727" s="398"/>
      <c r="L727" s="398"/>
      <c r="M727" s="398"/>
    </row>
    <row r="728" spans="1:13">
      <c r="A728" s="398"/>
      <c r="B728" s="398"/>
      <c r="C728" s="398"/>
      <c r="D728" s="398"/>
      <c r="E728" s="398"/>
      <c r="F728" s="398"/>
      <c r="G728" s="398"/>
      <c r="H728" s="398"/>
      <c r="I728" s="398"/>
      <c r="J728" s="398"/>
      <c r="K728" s="398"/>
      <c r="L728" s="398"/>
      <c r="M728" s="398"/>
    </row>
    <row r="729" spans="1:13">
      <c r="A729" s="398"/>
      <c r="B729" s="398"/>
      <c r="C729" s="398"/>
      <c r="D729" s="398"/>
      <c r="E729" s="398"/>
      <c r="F729" s="398"/>
      <c r="G729" s="398"/>
      <c r="H729" s="398"/>
      <c r="I729" s="398"/>
      <c r="J729" s="398"/>
      <c r="K729" s="398"/>
      <c r="L729" s="398"/>
      <c r="M729" s="398"/>
    </row>
    <row r="730" spans="1:13">
      <c r="A730" s="398"/>
      <c r="B730" s="398"/>
      <c r="C730" s="398"/>
      <c r="D730" s="398"/>
      <c r="E730" s="398"/>
      <c r="F730" s="398"/>
      <c r="G730" s="398"/>
      <c r="H730" s="398"/>
      <c r="I730" s="398"/>
      <c r="J730" s="398"/>
      <c r="K730" s="398"/>
      <c r="L730" s="398"/>
      <c r="M730" s="398"/>
    </row>
    <row r="731" spans="1:13">
      <c r="A731" s="398"/>
      <c r="B731" s="398"/>
      <c r="C731" s="398"/>
      <c r="D731" s="398"/>
      <c r="E731" s="398"/>
      <c r="F731" s="398"/>
      <c r="G731" s="398"/>
      <c r="H731" s="398"/>
      <c r="I731" s="398"/>
      <c r="J731" s="398"/>
      <c r="K731" s="398"/>
      <c r="L731" s="398"/>
      <c r="M731" s="398"/>
    </row>
    <row r="732" spans="1:13">
      <c r="A732" s="398"/>
      <c r="B732" s="398"/>
      <c r="C732" s="398"/>
      <c r="D732" s="398"/>
      <c r="E732" s="398"/>
      <c r="F732" s="398"/>
      <c r="G732" s="398"/>
      <c r="H732" s="398"/>
      <c r="I732" s="398"/>
      <c r="J732" s="398"/>
      <c r="K732" s="398"/>
      <c r="L732" s="398"/>
      <c r="M732" s="398"/>
    </row>
    <row r="733" spans="1:13">
      <c r="A733" s="398"/>
      <c r="B733" s="398"/>
      <c r="C733" s="398"/>
      <c r="D733" s="398"/>
      <c r="E733" s="398"/>
      <c r="F733" s="398"/>
      <c r="G733" s="398"/>
      <c r="H733" s="398"/>
      <c r="I733" s="398"/>
      <c r="J733" s="398"/>
      <c r="K733" s="398"/>
      <c r="L733" s="398"/>
      <c r="M733" s="398"/>
    </row>
    <row r="734" spans="1:13">
      <c r="A734" s="398"/>
      <c r="B734" s="398"/>
      <c r="C734" s="398"/>
      <c r="D734" s="398"/>
      <c r="E734" s="398"/>
      <c r="F734" s="398"/>
      <c r="G734" s="398"/>
      <c r="H734" s="398"/>
      <c r="I734" s="398"/>
      <c r="J734" s="398"/>
      <c r="K734" s="398"/>
      <c r="L734" s="398"/>
      <c r="M734" s="398"/>
    </row>
    <row r="735" spans="1:13">
      <c r="A735" s="398"/>
      <c r="B735" s="398"/>
      <c r="C735" s="398"/>
      <c r="D735" s="398"/>
      <c r="E735" s="398"/>
      <c r="F735" s="398"/>
      <c r="G735" s="398"/>
      <c r="H735" s="398"/>
      <c r="I735" s="398"/>
      <c r="J735" s="398"/>
      <c r="K735" s="398"/>
      <c r="L735" s="398"/>
      <c r="M735" s="398"/>
    </row>
    <row r="736" spans="1:13">
      <c r="A736" s="398"/>
      <c r="B736" s="398"/>
      <c r="C736" s="398"/>
      <c r="D736" s="398"/>
      <c r="E736" s="398"/>
      <c r="F736" s="398"/>
      <c r="G736" s="398"/>
      <c r="H736" s="398"/>
      <c r="I736" s="398"/>
      <c r="J736" s="398"/>
      <c r="K736" s="398"/>
      <c r="L736" s="398"/>
      <c r="M736" s="398"/>
    </row>
    <row r="737" spans="1:13">
      <c r="A737" s="398"/>
      <c r="B737" s="398"/>
      <c r="C737" s="398"/>
      <c r="D737" s="398"/>
      <c r="E737" s="398"/>
      <c r="F737" s="398"/>
      <c r="G737" s="398"/>
      <c r="H737" s="398"/>
      <c r="I737" s="398"/>
      <c r="J737" s="398"/>
      <c r="K737" s="398"/>
      <c r="L737" s="398"/>
      <c r="M737" s="398"/>
    </row>
    <row r="738" spans="1:13">
      <c r="A738" s="398"/>
      <c r="B738" s="398"/>
      <c r="C738" s="398"/>
      <c r="D738" s="398"/>
      <c r="E738" s="398"/>
      <c r="F738" s="398"/>
      <c r="G738" s="398"/>
      <c r="H738" s="398"/>
      <c r="I738" s="398"/>
      <c r="J738" s="398"/>
      <c r="K738" s="398"/>
      <c r="L738" s="398"/>
      <c r="M738" s="398"/>
    </row>
    <row r="739" spans="1:13">
      <c r="A739" s="398"/>
      <c r="B739" s="398"/>
      <c r="C739" s="398"/>
      <c r="D739" s="398"/>
      <c r="E739" s="398"/>
      <c r="F739" s="398"/>
      <c r="G739" s="398"/>
      <c r="H739" s="398"/>
      <c r="I739" s="398"/>
      <c r="J739" s="398"/>
      <c r="K739" s="398"/>
      <c r="L739" s="398"/>
      <c r="M739" s="398"/>
    </row>
    <row r="740" spans="1:13">
      <c r="A740" s="398"/>
      <c r="B740" s="398"/>
      <c r="C740" s="398"/>
      <c r="D740" s="398"/>
      <c r="E740" s="398"/>
      <c r="F740" s="398"/>
      <c r="G740" s="398"/>
      <c r="H740" s="398"/>
      <c r="I740" s="398"/>
      <c r="J740" s="398"/>
      <c r="K740" s="398"/>
      <c r="L740" s="398"/>
      <c r="M740" s="398"/>
    </row>
    <row r="741" spans="1:13">
      <c r="A741" s="398"/>
      <c r="B741" s="398"/>
      <c r="C741" s="398"/>
      <c r="D741" s="398"/>
      <c r="E741" s="398"/>
      <c r="F741" s="398"/>
      <c r="G741" s="398"/>
      <c r="H741" s="398"/>
      <c r="I741" s="398"/>
      <c r="J741" s="398"/>
      <c r="K741" s="398"/>
      <c r="L741" s="398"/>
      <c r="M741" s="398"/>
    </row>
    <row r="742" spans="1:13">
      <c r="A742" s="398"/>
      <c r="B742" s="398"/>
      <c r="C742" s="398"/>
      <c r="D742" s="398"/>
      <c r="E742" s="398"/>
      <c r="F742" s="398"/>
      <c r="G742" s="398"/>
      <c r="H742" s="398"/>
      <c r="I742" s="398"/>
      <c r="J742" s="398"/>
      <c r="K742" s="398"/>
      <c r="L742" s="398"/>
      <c r="M742" s="398"/>
    </row>
    <row r="743" spans="1:13">
      <c r="A743" s="398"/>
      <c r="B743" s="398"/>
      <c r="C743" s="398"/>
      <c r="D743" s="398"/>
      <c r="E743" s="398"/>
      <c r="F743" s="398"/>
      <c r="G743" s="398"/>
      <c r="H743" s="398"/>
      <c r="I743" s="398"/>
      <c r="J743" s="398"/>
      <c r="K743" s="398"/>
      <c r="L743" s="398"/>
      <c r="M743" s="398"/>
    </row>
    <row r="744" spans="1:13">
      <c r="A744" s="398"/>
      <c r="B744" s="398"/>
      <c r="C744" s="398"/>
      <c r="D744" s="398"/>
      <c r="E744" s="398"/>
      <c r="F744" s="398"/>
      <c r="G744" s="398"/>
      <c r="H744" s="398"/>
      <c r="I744" s="398"/>
      <c r="J744" s="398"/>
      <c r="K744" s="398"/>
      <c r="L744" s="398"/>
      <c r="M744" s="398"/>
    </row>
    <row r="745" spans="1:13">
      <c r="A745" s="398"/>
      <c r="B745" s="398"/>
      <c r="C745" s="398"/>
      <c r="D745" s="398"/>
      <c r="E745" s="398"/>
      <c r="F745" s="398"/>
      <c r="G745" s="398"/>
      <c r="H745" s="398"/>
      <c r="I745" s="398"/>
      <c r="J745" s="398"/>
      <c r="K745" s="398"/>
      <c r="L745" s="398"/>
      <c r="M745" s="398"/>
    </row>
    <row r="746" spans="1:13">
      <c r="A746" s="398"/>
      <c r="B746" s="398"/>
      <c r="C746" s="398"/>
      <c r="D746" s="398"/>
      <c r="E746" s="398"/>
      <c r="F746" s="398"/>
      <c r="G746" s="398"/>
      <c r="H746" s="398"/>
      <c r="I746" s="398"/>
      <c r="J746" s="398"/>
      <c r="K746" s="398"/>
      <c r="L746" s="398"/>
      <c r="M746" s="398"/>
    </row>
    <row r="747" spans="1:13">
      <c r="A747" s="398"/>
      <c r="B747" s="398"/>
      <c r="C747" s="398"/>
      <c r="D747" s="398"/>
      <c r="E747" s="398"/>
      <c r="F747" s="398"/>
      <c r="G747" s="398"/>
      <c r="H747" s="398"/>
      <c r="I747" s="398"/>
      <c r="J747" s="398"/>
      <c r="K747" s="398"/>
      <c r="L747" s="398"/>
      <c r="M747" s="398"/>
    </row>
    <row r="748" spans="1:13">
      <c r="A748" s="398"/>
      <c r="B748" s="398"/>
      <c r="C748" s="398"/>
      <c r="D748" s="398"/>
      <c r="E748" s="398"/>
      <c r="F748" s="398"/>
      <c r="G748" s="398"/>
      <c r="H748" s="398"/>
      <c r="I748" s="398"/>
      <c r="J748" s="398"/>
      <c r="K748" s="398"/>
      <c r="L748" s="398"/>
      <c r="M748" s="398"/>
    </row>
    <row r="749" spans="1:13">
      <c r="A749" s="398"/>
      <c r="B749" s="398"/>
      <c r="C749" s="398"/>
      <c r="D749" s="398"/>
      <c r="E749" s="398"/>
      <c r="F749" s="398"/>
      <c r="G749" s="398"/>
      <c r="H749" s="398"/>
      <c r="I749" s="398"/>
      <c r="J749" s="398"/>
      <c r="K749" s="398"/>
      <c r="L749" s="398"/>
      <c r="M749" s="398"/>
    </row>
    <row r="750" spans="1:13">
      <c r="A750" s="398"/>
      <c r="B750" s="398"/>
      <c r="C750" s="398"/>
      <c r="D750" s="398"/>
      <c r="E750" s="398"/>
      <c r="F750" s="398"/>
      <c r="G750" s="398"/>
      <c r="H750" s="398"/>
      <c r="I750" s="398"/>
      <c r="J750" s="398"/>
      <c r="K750" s="398"/>
      <c r="L750" s="398"/>
      <c r="M750" s="398"/>
    </row>
    <row r="751" spans="1:13">
      <c r="A751" s="398"/>
      <c r="B751" s="398"/>
      <c r="C751" s="398"/>
      <c r="D751" s="398"/>
      <c r="E751" s="398"/>
      <c r="F751" s="398"/>
      <c r="G751" s="398"/>
      <c r="H751" s="398"/>
      <c r="I751" s="398"/>
      <c r="J751" s="398"/>
      <c r="K751" s="398"/>
      <c r="L751" s="398"/>
      <c r="M751" s="398"/>
    </row>
    <row r="752" spans="1:13">
      <c r="A752" s="398"/>
      <c r="B752" s="398"/>
      <c r="C752" s="398"/>
      <c r="D752" s="398"/>
      <c r="E752" s="398"/>
      <c r="F752" s="398"/>
      <c r="G752" s="398"/>
      <c r="H752" s="398"/>
      <c r="I752" s="398"/>
      <c r="J752" s="398"/>
      <c r="K752" s="398"/>
      <c r="L752" s="398"/>
      <c r="M752" s="398"/>
    </row>
    <row r="753" spans="1:13">
      <c r="A753" s="398"/>
      <c r="B753" s="398"/>
      <c r="C753" s="398"/>
      <c r="D753" s="398"/>
      <c r="E753" s="398"/>
      <c r="F753" s="398"/>
      <c r="G753" s="398"/>
      <c r="H753" s="398"/>
      <c r="I753" s="398"/>
      <c r="J753" s="398"/>
      <c r="K753" s="398"/>
      <c r="L753" s="398"/>
      <c r="M753" s="398"/>
    </row>
    <row r="754" spans="1:13">
      <c r="A754" s="398"/>
      <c r="B754" s="398"/>
      <c r="C754" s="398"/>
      <c r="D754" s="398"/>
      <c r="E754" s="398"/>
      <c r="F754" s="398"/>
      <c r="G754" s="398"/>
      <c r="H754" s="398"/>
      <c r="I754" s="398"/>
      <c r="J754" s="398"/>
      <c r="K754" s="398"/>
      <c r="L754" s="398"/>
      <c r="M754" s="398"/>
    </row>
    <row r="755" spans="1:13">
      <c r="A755" s="398"/>
      <c r="B755" s="398"/>
      <c r="C755" s="398"/>
      <c r="D755" s="398"/>
      <c r="E755" s="398"/>
      <c r="F755" s="398"/>
      <c r="G755" s="398"/>
      <c r="H755" s="398"/>
      <c r="I755" s="398"/>
      <c r="J755" s="398"/>
      <c r="K755" s="398"/>
      <c r="L755" s="398"/>
      <c r="M755" s="398"/>
    </row>
    <row r="756" spans="1:13">
      <c r="A756" s="398"/>
      <c r="B756" s="398"/>
      <c r="C756" s="398"/>
      <c r="D756" s="398"/>
      <c r="E756" s="398"/>
      <c r="F756" s="398"/>
      <c r="G756" s="398"/>
      <c r="H756" s="398"/>
      <c r="I756" s="398"/>
      <c r="J756" s="398"/>
      <c r="K756" s="398"/>
      <c r="L756" s="398"/>
      <c r="M756" s="398"/>
    </row>
    <row r="757" spans="1:13">
      <c r="A757" s="398"/>
      <c r="B757" s="398"/>
      <c r="C757" s="398"/>
      <c r="D757" s="398"/>
      <c r="E757" s="398"/>
      <c r="F757" s="398"/>
      <c r="G757" s="398"/>
      <c r="H757" s="398"/>
      <c r="I757" s="398"/>
      <c r="J757" s="398"/>
      <c r="K757" s="398"/>
      <c r="L757" s="398"/>
      <c r="M757" s="398"/>
    </row>
    <row r="758" spans="1:13">
      <c r="A758" s="398"/>
      <c r="B758" s="398"/>
      <c r="C758" s="398"/>
      <c r="D758" s="398"/>
      <c r="E758" s="398"/>
      <c r="F758" s="398"/>
      <c r="G758" s="398"/>
      <c r="H758" s="398"/>
      <c r="I758" s="398"/>
      <c r="J758" s="398"/>
      <c r="K758" s="398"/>
      <c r="L758" s="398"/>
      <c r="M758" s="398"/>
    </row>
    <row r="759" spans="1:13">
      <c r="A759" s="398"/>
      <c r="B759" s="398"/>
      <c r="C759" s="398"/>
      <c r="D759" s="398"/>
      <c r="E759" s="398"/>
      <c r="F759" s="398"/>
      <c r="G759" s="398"/>
      <c r="H759" s="398"/>
      <c r="I759" s="398"/>
      <c r="J759" s="398"/>
      <c r="K759" s="398"/>
      <c r="L759" s="398"/>
      <c r="M759" s="398"/>
    </row>
    <row r="760" spans="1:13">
      <c r="A760" s="398"/>
      <c r="B760" s="398"/>
      <c r="C760" s="398"/>
      <c r="D760" s="398"/>
      <c r="E760" s="398"/>
      <c r="F760" s="398"/>
      <c r="G760" s="398"/>
      <c r="H760" s="398"/>
      <c r="I760" s="398"/>
      <c r="J760" s="398"/>
      <c r="K760" s="398"/>
      <c r="L760" s="398"/>
      <c r="M760" s="398"/>
    </row>
    <row r="761" spans="1:13">
      <c r="A761" s="398"/>
      <c r="B761" s="398"/>
      <c r="C761" s="398"/>
      <c r="D761" s="398"/>
      <c r="E761" s="398"/>
      <c r="F761" s="398"/>
      <c r="G761" s="398"/>
      <c r="H761" s="398"/>
      <c r="I761" s="398"/>
      <c r="J761" s="398"/>
      <c r="K761" s="398"/>
      <c r="L761" s="398"/>
      <c r="M761" s="398"/>
    </row>
    <row r="762" spans="1:13">
      <c r="A762" s="398"/>
      <c r="B762" s="398"/>
      <c r="C762" s="398"/>
      <c r="D762" s="398"/>
      <c r="E762" s="398"/>
      <c r="F762" s="398"/>
      <c r="G762" s="398"/>
      <c r="H762" s="398"/>
      <c r="I762" s="398"/>
      <c r="J762" s="398"/>
      <c r="K762" s="398"/>
      <c r="L762" s="398"/>
      <c r="M762" s="398"/>
    </row>
    <row r="763" spans="1:13">
      <c r="A763" s="398"/>
      <c r="B763" s="398"/>
      <c r="C763" s="398"/>
      <c r="D763" s="398"/>
      <c r="E763" s="398"/>
      <c r="F763" s="398"/>
      <c r="G763" s="398"/>
      <c r="H763" s="398"/>
      <c r="I763" s="398"/>
      <c r="J763" s="398"/>
      <c r="K763" s="398"/>
      <c r="L763" s="398"/>
      <c r="M763" s="398"/>
    </row>
    <row r="764" spans="1:13">
      <c r="A764" s="398"/>
      <c r="B764" s="398"/>
      <c r="C764" s="398"/>
      <c r="D764" s="398"/>
      <c r="E764" s="398"/>
      <c r="F764" s="398"/>
      <c r="G764" s="398"/>
      <c r="H764" s="398"/>
      <c r="I764" s="398"/>
      <c r="J764" s="398"/>
      <c r="K764" s="398"/>
      <c r="L764" s="398"/>
      <c r="M764" s="398"/>
    </row>
    <row r="765" spans="1:13">
      <c r="A765" s="398"/>
      <c r="B765" s="398"/>
      <c r="C765" s="398"/>
      <c r="D765" s="398"/>
      <c r="E765" s="398"/>
      <c r="F765" s="398"/>
      <c r="G765" s="398"/>
      <c r="H765" s="398"/>
      <c r="I765" s="398"/>
      <c r="J765" s="398"/>
      <c r="K765" s="398"/>
      <c r="L765" s="398"/>
      <c r="M765" s="398"/>
    </row>
    <row r="766" spans="1:13">
      <c r="A766" s="398"/>
      <c r="B766" s="398"/>
      <c r="C766" s="398"/>
      <c r="D766" s="398"/>
      <c r="E766" s="398"/>
      <c r="F766" s="398"/>
      <c r="G766" s="398"/>
      <c r="H766" s="398"/>
      <c r="I766" s="398"/>
      <c r="J766" s="398"/>
      <c r="K766" s="398"/>
      <c r="L766" s="398"/>
      <c r="M766" s="398"/>
    </row>
    <row r="767" spans="1:13">
      <c r="A767" s="398"/>
      <c r="B767" s="398"/>
      <c r="C767" s="398"/>
      <c r="D767" s="398"/>
      <c r="E767" s="398"/>
      <c r="F767" s="398"/>
      <c r="G767" s="398"/>
      <c r="H767" s="398"/>
      <c r="I767" s="398"/>
      <c r="J767" s="398"/>
      <c r="K767" s="398"/>
      <c r="L767" s="398"/>
      <c r="M767" s="398"/>
    </row>
    <row r="768" spans="1:13">
      <c r="A768" s="398"/>
      <c r="B768" s="398"/>
      <c r="C768" s="398"/>
      <c r="D768" s="398"/>
      <c r="E768" s="398"/>
      <c r="F768" s="398"/>
      <c r="G768" s="398"/>
      <c r="H768" s="398"/>
      <c r="I768" s="398"/>
      <c r="J768" s="398"/>
      <c r="K768" s="398"/>
      <c r="L768" s="398"/>
      <c r="M768" s="398"/>
    </row>
    <row r="769" spans="1:13">
      <c r="A769" s="398"/>
      <c r="B769" s="398"/>
      <c r="C769" s="398"/>
      <c r="D769" s="398"/>
      <c r="E769" s="398"/>
      <c r="F769" s="398"/>
      <c r="G769" s="398"/>
      <c r="H769" s="398"/>
      <c r="I769" s="398"/>
      <c r="J769" s="398"/>
      <c r="K769" s="398"/>
      <c r="L769" s="398"/>
      <c r="M769" s="398"/>
    </row>
    <row r="770" spans="1:13">
      <c r="A770" s="398"/>
      <c r="B770" s="398"/>
      <c r="C770" s="398"/>
      <c r="D770" s="398"/>
      <c r="E770" s="398"/>
      <c r="F770" s="398"/>
      <c r="G770" s="398"/>
      <c r="H770" s="398"/>
      <c r="I770" s="398"/>
      <c r="J770" s="398"/>
      <c r="K770" s="398"/>
      <c r="L770" s="398"/>
      <c r="M770" s="398"/>
    </row>
    <row r="771" spans="1:13">
      <c r="A771" s="398"/>
      <c r="B771" s="398"/>
      <c r="C771" s="398"/>
      <c r="D771" s="398"/>
      <c r="E771" s="398"/>
      <c r="F771" s="398"/>
      <c r="G771" s="398"/>
      <c r="H771" s="398"/>
      <c r="I771" s="398"/>
      <c r="J771" s="398"/>
      <c r="K771" s="398"/>
      <c r="L771" s="398"/>
      <c r="M771" s="398"/>
    </row>
    <row r="772" spans="1:13">
      <c r="A772" s="398"/>
      <c r="B772" s="398"/>
      <c r="C772" s="398"/>
      <c r="D772" s="398"/>
      <c r="E772" s="398"/>
      <c r="F772" s="398"/>
      <c r="G772" s="398"/>
      <c r="H772" s="398"/>
      <c r="I772" s="398"/>
      <c r="J772" s="398"/>
      <c r="K772" s="398"/>
      <c r="L772" s="398"/>
      <c r="M772" s="398"/>
    </row>
    <row r="773" spans="1:13">
      <c r="A773" s="398"/>
      <c r="B773" s="398"/>
      <c r="C773" s="398"/>
      <c r="D773" s="398"/>
      <c r="E773" s="398"/>
      <c r="F773" s="398"/>
      <c r="G773" s="398"/>
      <c r="H773" s="398"/>
      <c r="I773" s="398"/>
      <c r="J773" s="398"/>
      <c r="K773" s="398"/>
      <c r="L773" s="398"/>
      <c r="M773" s="398"/>
    </row>
    <row r="774" spans="1:13">
      <c r="A774" s="398"/>
      <c r="B774" s="398"/>
      <c r="C774" s="398"/>
      <c r="D774" s="398"/>
      <c r="E774" s="398"/>
      <c r="F774" s="398"/>
      <c r="G774" s="398"/>
      <c r="H774" s="398"/>
      <c r="I774" s="398"/>
      <c r="J774" s="398"/>
      <c r="K774" s="398"/>
      <c r="L774" s="398"/>
      <c r="M774" s="398"/>
    </row>
    <row r="775" spans="1:13">
      <c r="A775" s="398"/>
      <c r="B775" s="398"/>
      <c r="C775" s="398"/>
      <c r="D775" s="398"/>
      <c r="E775" s="398"/>
      <c r="F775" s="398"/>
      <c r="G775" s="398"/>
      <c r="H775" s="398"/>
      <c r="I775" s="398"/>
      <c r="J775" s="398"/>
      <c r="K775" s="398"/>
      <c r="L775" s="398"/>
      <c r="M775" s="398"/>
    </row>
    <row r="776" spans="1:13">
      <c r="A776" s="398"/>
      <c r="B776" s="398"/>
      <c r="C776" s="398"/>
      <c r="D776" s="398"/>
      <c r="E776" s="398"/>
      <c r="F776" s="398"/>
      <c r="G776" s="398"/>
      <c r="H776" s="398"/>
      <c r="I776" s="398"/>
      <c r="J776" s="398"/>
      <c r="K776" s="398"/>
      <c r="L776" s="398"/>
      <c r="M776" s="398"/>
    </row>
    <row r="777" spans="1:13">
      <c r="A777" s="398"/>
      <c r="B777" s="398"/>
      <c r="C777" s="398"/>
      <c r="D777" s="398"/>
      <c r="E777" s="398"/>
      <c r="F777" s="398"/>
      <c r="G777" s="398"/>
      <c r="H777" s="398"/>
      <c r="I777" s="398"/>
      <c r="J777" s="398"/>
      <c r="K777" s="398"/>
      <c r="L777" s="398"/>
      <c r="M777" s="398"/>
    </row>
    <row r="778" spans="1:13">
      <c r="A778" s="398"/>
      <c r="B778" s="398"/>
      <c r="C778" s="398"/>
      <c r="D778" s="398"/>
      <c r="E778" s="398"/>
      <c r="F778" s="398"/>
      <c r="G778" s="398"/>
      <c r="H778" s="398"/>
      <c r="I778" s="398"/>
      <c r="J778" s="398"/>
      <c r="K778" s="398"/>
      <c r="L778" s="398"/>
      <c r="M778" s="398"/>
    </row>
    <row r="779" spans="1:13">
      <c r="A779" s="398"/>
      <c r="B779" s="398"/>
      <c r="C779" s="398"/>
      <c r="D779" s="398"/>
      <c r="E779" s="398"/>
      <c r="F779" s="398"/>
      <c r="G779" s="398"/>
      <c r="H779" s="398"/>
      <c r="I779" s="398"/>
      <c r="J779" s="398"/>
      <c r="K779" s="398"/>
      <c r="L779" s="398"/>
      <c r="M779" s="398"/>
    </row>
    <row r="780" spans="1:13">
      <c r="A780" s="398"/>
      <c r="B780" s="398"/>
      <c r="C780" s="398"/>
      <c r="D780" s="398"/>
      <c r="E780" s="398"/>
      <c r="F780" s="398"/>
      <c r="G780" s="398"/>
      <c r="H780" s="398"/>
      <c r="I780" s="398"/>
      <c r="J780" s="398"/>
      <c r="K780" s="398"/>
      <c r="L780" s="398"/>
      <c r="M780" s="398"/>
    </row>
    <row r="781" spans="1:13">
      <c r="A781" s="398"/>
      <c r="B781" s="398"/>
      <c r="C781" s="398"/>
      <c r="D781" s="398"/>
      <c r="E781" s="398"/>
      <c r="F781" s="398"/>
      <c r="G781" s="398"/>
      <c r="H781" s="398"/>
      <c r="I781" s="398"/>
      <c r="J781" s="398"/>
      <c r="K781" s="398"/>
      <c r="L781" s="398"/>
      <c r="M781" s="398"/>
    </row>
    <row r="782" spans="1:13">
      <c r="A782" s="398"/>
      <c r="B782" s="398"/>
      <c r="C782" s="398"/>
      <c r="D782" s="398"/>
      <c r="E782" s="398"/>
      <c r="F782" s="398"/>
      <c r="G782" s="398"/>
      <c r="H782" s="398"/>
      <c r="I782" s="398"/>
      <c r="J782" s="398"/>
      <c r="K782" s="398"/>
      <c r="L782" s="398"/>
      <c r="M782" s="398"/>
    </row>
    <row r="783" spans="1:13">
      <c r="A783" s="398"/>
      <c r="B783" s="398"/>
      <c r="C783" s="398"/>
      <c r="D783" s="398"/>
      <c r="E783" s="398"/>
      <c r="F783" s="398"/>
      <c r="G783" s="398"/>
      <c r="H783" s="398"/>
      <c r="I783" s="398"/>
      <c r="J783" s="398"/>
      <c r="K783" s="398"/>
      <c r="L783" s="398"/>
      <c r="M783" s="398"/>
    </row>
    <row r="784" spans="1:13">
      <c r="A784" s="398"/>
      <c r="B784" s="398"/>
      <c r="C784" s="398"/>
      <c r="D784" s="398"/>
      <c r="E784" s="398"/>
      <c r="F784" s="398"/>
      <c r="G784" s="398"/>
      <c r="H784" s="398"/>
      <c r="I784" s="398"/>
      <c r="J784" s="398"/>
      <c r="K784" s="398"/>
      <c r="L784" s="398"/>
      <c r="M784" s="398"/>
    </row>
    <row r="785" spans="1:13">
      <c r="A785" s="398"/>
      <c r="B785" s="398"/>
      <c r="C785" s="398"/>
      <c r="D785" s="398"/>
      <c r="E785" s="398"/>
      <c r="F785" s="398"/>
      <c r="G785" s="398"/>
      <c r="H785" s="398"/>
      <c r="I785" s="398"/>
      <c r="J785" s="398"/>
      <c r="K785" s="398"/>
      <c r="L785" s="398"/>
      <c r="M785" s="398"/>
    </row>
    <row r="786" spans="1:13">
      <c r="A786" s="398"/>
      <c r="B786" s="398"/>
      <c r="C786" s="398"/>
      <c r="D786" s="398"/>
      <c r="E786" s="398"/>
      <c r="F786" s="398"/>
      <c r="G786" s="398"/>
      <c r="H786" s="398"/>
      <c r="I786" s="398"/>
      <c r="J786" s="398"/>
      <c r="K786" s="398"/>
      <c r="L786" s="398"/>
      <c r="M786" s="398"/>
    </row>
    <row r="787" spans="1:13">
      <c r="A787" s="398"/>
      <c r="B787" s="398"/>
      <c r="C787" s="398"/>
      <c r="D787" s="398"/>
      <c r="E787" s="398"/>
      <c r="F787" s="398"/>
      <c r="G787" s="398"/>
      <c r="H787" s="398"/>
      <c r="I787" s="398"/>
      <c r="J787" s="398"/>
      <c r="K787" s="398"/>
      <c r="L787" s="398"/>
      <c r="M787" s="398"/>
    </row>
    <row r="788" spans="1:13">
      <c r="A788" s="398"/>
      <c r="B788" s="398"/>
      <c r="C788" s="398"/>
      <c r="D788" s="398"/>
      <c r="E788" s="398"/>
      <c r="F788" s="398"/>
      <c r="G788" s="398"/>
      <c r="H788" s="398"/>
      <c r="I788" s="398"/>
      <c r="J788" s="398"/>
      <c r="K788" s="398"/>
      <c r="L788" s="398"/>
      <c r="M788" s="398"/>
    </row>
    <row r="789" spans="1:13">
      <c r="A789" s="398"/>
      <c r="B789" s="398"/>
      <c r="C789" s="398"/>
      <c r="D789" s="398"/>
      <c r="E789" s="398"/>
      <c r="F789" s="398"/>
      <c r="G789" s="398"/>
      <c r="H789" s="398"/>
      <c r="I789" s="398"/>
      <c r="J789" s="398"/>
      <c r="K789" s="398"/>
      <c r="L789" s="398"/>
      <c r="M789" s="398"/>
    </row>
    <row r="790" spans="1:13">
      <c r="A790" s="398"/>
      <c r="B790" s="398"/>
      <c r="C790" s="398"/>
      <c r="D790" s="398"/>
      <c r="E790" s="398"/>
      <c r="F790" s="398"/>
      <c r="G790" s="398"/>
      <c r="H790" s="398"/>
      <c r="I790" s="398"/>
      <c r="J790" s="398"/>
      <c r="K790" s="398"/>
      <c r="L790" s="398"/>
      <c r="M790" s="398"/>
    </row>
    <row r="791" spans="1:13">
      <c r="A791" s="398"/>
      <c r="B791" s="398"/>
      <c r="C791" s="398"/>
      <c r="D791" s="398"/>
      <c r="E791" s="398"/>
      <c r="F791" s="398"/>
      <c r="G791" s="398"/>
      <c r="H791" s="398"/>
      <c r="I791" s="398"/>
      <c r="J791" s="398"/>
      <c r="K791" s="398"/>
      <c r="L791" s="398"/>
      <c r="M791" s="398"/>
    </row>
    <row r="792" spans="1:13">
      <c r="A792" s="398"/>
      <c r="B792" s="398"/>
      <c r="C792" s="398"/>
      <c r="D792" s="398"/>
      <c r="E792" s="398"/>
      <c r="F792" s="398"/>
      <c r="G792" s="398"/>
      <c r="H792" s="398"/>
      <c r="I792" s="398"/>
      <c r="J792" s="398"/>
      <c r="K792" s="398"/>
      <c r="L792" s="398"/>
      <c r="M792" s="398"/>
    </row>
    <row r="793" spans="1:13">
      <c r="A793" s="398"/>
      <c r="B793" s="398"/>
      <c r="C793" s="398"/>
      <c r="D793" s="398"/>
      <c r="E793" s="398"/>
      <c r="F793" s="398"/>
      <c r="G793" s="398"/>
      <c r="H793" s="398"/>
      <c r="I793" s="398"/>
      <c r="J793" s="398"/>
      <c r="K793" s="398"/>
      <c r="L793" s="398"/>
      <c r="M793" s="398"/>
    </row>
    <row r="794" spans="1:13">
      <c r="A794" s="398"/>
      <c r="B794" s="398"/>
      <c r="C794" s="398"/>
      <c r="D794" s="398"/>
      <c r="E794" s="398"/>
      <c r="F794" s="398"/>
      <c r="G794" s="398"/>
      <c r="H794" s="398"/>
      <c r="I794" s="398"/>
      <c r="J794" s="398"/>
      <c r="K794" s="398"/>
      <c r="L794" s="398"/>
      <c r="M794" s="398"/>
    </row>
    <row r="795" spans="1:13">
      <c r="A795" s="398"/>
      <c r="B795" s="398"/>
      <c r="C795" s="398"/>
      <c r="D795" s="398"/>
      <c r="E795" s="398"/>
      <c r="F795" s="398"/>
      <c r="G795" s="398"/>
      <c r="H795" s="398"/>
      <c r="I795" s="398"/>
      <c r="J795" s="398"/>
      <c r="K795" s="398"/>
      <c r="L795" s="398"/>
      <c r="M795" s="398"/>
    </row>
    <row r="796" spans="1:13">
      <c r="A796" s="398"/>
      <c r="B796" s="398"/>
      <c r="C796" s="398"/>
      <c r="D796" s="398"/>
      <c r="E796" s="398"/>
      <c r="F796" s="398"/>
      <c r="G796" s="398"/>
      <c r="H796" s="398"/>
      <c r="I796" s="398"/>
      <c r="J796" s="398"/>
      <c r="K796" s="398"/>
      <c r="L796" s="398"/>
      <c r="M796" s="398"/>
    </row>
    <row r="797" spans="1:13">
      <c r="A797" s="398"/>
      <c r="B797" s="398"/>
      <c r="C797" s="398"/>
      <c r="D797" s="398"/>
      <c r="E797" s="398"/>
      <c r="F797" s="398"/>
      <c r="G797" s="398"/>
      <c r="H797" s="398"/>
      <c r="I797" s="398"/>
      <c r="J797" s="398"/>
      <c r="K797" s="398"/>
      <c r="L797" s="398"/>
      <c r="M797" s="398"/>
    </row>
    <row r="798" spans="1:13">
      <c r="A798" s="398"/>
      <c r="B798" s="398"/>
      <c r="C798" s="398"/>
      <c r="D798" s="398"/>
      <c r="E798" s="398"/>
      <c r="F798" s="398"/>
      <c r="G798" s="398"/>
      <c r="H798" s="398"/>
      <c r="I798" s="398"/>
      <c r="J798" s="398"/>
      <c r="K798" s="398"/>
      <c r="L798" s="398"/>
      <c r="M798" s="398"/>
    </row>
    <row r="799" spans="1:13">
      <c r="A799" s="398"/>
      <c r="B799" s="398"/>
      <c r="C799" s="398"/>
      <c r="D799" s="398"/>
      <c r="E799" s="398"/>
      <c r="F799" s="398"/>
      <c r="G799" s="398"/>
      <c r="H799" s="398"/>
      <c r="I799" s="398"/>
      <c r="J799" s="398"/>
      <c r="K799" s="398"/>
      <c r="L799" s="398"/>
      <c r="M799" s="398"/>
    </row>
    <row r="800" spans="1:13">
      <c r="A800" s="398"/>
      <c r="B800" s="398"/>
      <c r="C800" s="398"/>
      <c r="D800" s="398"/>
      <c r="E800" s="398"/>
      <c r="F800" s="398"/>
      <c r="G800" s="398"/>
      <c r="H800" s="398"/>
      <c r="I800" s="398"/>
      <c r="J800" s="398"/>
      <c r="K800" s="398"/>
      <c r="L800" s="398"/>
      <c r="M800" s="398"/>
    </row>
    <row r="801" spans="1:13">
      <c r="A801" s="398"/>
      <c r="B801" s="398"/>
      <c r="C801" s="398"/>
      <c r="D801" s="398"/>
      <c r="E801" s="398"/>
      <c r="F801" s="398"/>
      <c r="G801" s="398"/>
      <c r="H801" s="398"/>
      <c r="I801" s="398"/>
      <c r="J801" s="398"/>
      <c r="K801" s="398"/>
      <c r="L801" s="398"/>
      <c r="M801" s="398"/>
    </row>
    <row r="802" spans="1:13">
      <c r="A802" s="398"/>
      <c r="B802" s="398"/>
      <c r="C802" s="398"/>
      <c r="D802" s="398"/>
      <c r="E802" s="398"/>
      <c r="F802" s="398"/>
      <c r="G802" s="398"/>
      <c r="H802" s="398"/>
      <c r="I802" s="398"/>
      <c r="J802" s="398"/>
      <c r="K802" s="398"/>
      <c r="L802" s="398"/>
      <c r="M802" s="398"/>
    </row>
    <row r="803" spans="1:13">
      <c r="A803" s="398"/>
      <c r="B803" s="398"/>
      <c r="C803" s="398"/>
      <c r="D803" s="398"/>
      <c r="E803" s="398"/>
      <c r="F803" s="398"/>
      <c r="G803" s="398"/>
      <c r="H803" s="398"/>
      <c r="I803" s="398"/>
      <c r="J803" s="398"/>
      <c r="K803" s="398"/>
      <c r="L803" s="398"/>
      <c r="M803" s="398"/>
    </row>
    <row r="804" spans="1:13">
      <c r="A804" s="398"/>
      <c r="B804" s="398"/>
      <c r="C804" s="398"/>
      <c r="D804" s="398"/>
      <c r="E804" s="398"/>
      <c r="F804" s="398"/>
      <c r="G804" s="398"/>
      <c r="H804" s="398"/>
      <c r="I804" s="398"/>
      <c r="J804" s="398"/>
      <c r="K804" s="398"/>
      <c r="L804" s="398"/>
      <c r="M804" s="398"/>
    </row>
    <row r="805" spans="1:13">
      <c r="A805" s="398"/>
      <c r="B805" s="398"/>
      <c r="C805" s="398"/>
      <c r="D805" s="398"/>
      <c r="E805" s="398"/>
      <c r="F805" s="398"/>
      <c r="G805" s="398"/>
      <c r="H805" s="398"/>
      <c r="I805" s="398"/>
      <c r="J805" s="398"/>
      <c r="K805" s="398"/>
      <c r="L805" s="398"/>
      <c r="M805" s="398"/>
    </row>
    <row r="806" spans="1:13">
      <c r="A806" s="398"/>
      <c r="B806" s="398"/>
      <c r="C806" s="398"/>
      <c r="D806" s="398"/>
      <c r="E806" s="398"/>
      <c r="F806" s="398"/>
      <c r="G806" s="398"/>
      <c r="H806" s="398"/>
      <c r="I806" s="398"/>
      <c r="J806" s="398"/>
      <c r="K806" s="398"/>
      <c r="L806" s="398"/>
      <c r="M806" s="398"/>
    </row>
    <row r="807" spans="1:13">
      <c r="A807" s="398"/>
      <c r="B807" s="398"/>
      <c r="C807" s="398"/>
      <c r="D807" s="398"/>
      <c r="E807" s="398"/>
      <c r="F807" s="398"/>
      <c r="G807" s="398"/>
      <c r="H807" s="398"/>
      <c r="I807" s="398"/>
      <c r="J807" s="398"/>
      <c r="K807" s="398"/>
      <c r="L807" s="398"/>
      <c r="M807" s="398"/>
    </row>
    <row r="808" spans="1:13">
      <c r="A808" s="398"/>
      <c r="B808" s="398"/>
      <c r="C808" s="398"/>
      <c r="D808" s="398"/>
      <c r="E808" s="398"/>
      <c r="F808" s="398"/>
      <c r="G808" s="398"/>
      <c r="H808" s="398"/>
      <c r="I808" s="398"/>
      <c r="J808" s="398"/>
      <c r="K808" s="398"/>
      <c r="L808" s="398"/>
      <c r="M808" s="398"/>
    </row>
    <row r="809" spans="1:13">
      <c r="A809" s="398"/>
      <c r="B809" s="398"/>
      <c r="C809" s="398"/>
      <c r="D809" s="398"/>
      <c r="E809" s="398"/>
      <c r="F809" s="398"/>
      <c r="G809" s="398"/>
      <c r="H809" s="398"/>
      <c r="I809" s="398"/>
      <c r="J809" s="398"/>
      <c r="K809" s="398"/>
      <c r="L809" s="398"/>
      <c r="M809" s="398"/>
    </row>
    <row r="810" spans="1:13">
      <c r="A810" s="398"/>
      <c r="B810" s="398"/>
      <c r="C810" s="398"/>
      <c r="D810" s="398"/>
      <c r="E810" s="398"/>
      <c r="F810" s="398"/>
      <c r="G810" s="398"/>
      <c r="H810" s="398"/>
      <c r="I810" s="398"/>
      <c r="J810" s="398"/>
      <c r="K810" s="398"/>
      <c r="L810" s="398"/>
      <c r="M810" s="398"/>
    </row>
    <row r="811" spans="1:13">
      <c r="A811" s="398"/>
      <c r="B811" s="398"/>
      <c r="C811" s="398"/>
      <c r="D811" s="398"/>
      <c r="E811" s="398"/>
      <c r="F811" s="398"/>
      <c r="G811" s="398"/>
      <c r="H811" s="398"/>
      <c r="I811" s="398"/>
      <c r="J811" s="398"/>
      <c r="K811" s="398"/>
      <c r="L811" s="398"/>
      <c r="M811" s="398"/>
    </row>
    <row r="812" spans="1:13">
      <c r="A812" s="398"/>
      <c r="B812" s="398"/>
      <c r="C812" s="398"/>
      <c r="D812" s="398"/>
      <c r="E812" s="398"/>
      <c r="F812" s="398"/>
      <c r="G812" s="398"/>
      <c r="H812" s="398"/>
      <c r="I812" s="398"/>
      <c r="J812" s="398"/>
      <c r="K812" s="398"/>
      <c r="L812" s="398"/>
      <c r="M812" s="398"/>
    </row>
    <row r="813" spans="1:13">
      <c r="A813" s="398"/>
      <c r="B813" s="398"/>
      <c r="C813" s="398"/>
      <c r="D813" s="398"/>
      <c r="E813" s="398"/>
      <c r="F813" s="398"/>
      <c r="G813" s="398"/>
      <c r="H813" s="398"/>
      <c r="I813" s="398"/>
      <c r="J813" s="398"/>
      <c r="K813" s="398"/>
      <c r="L813" s="398"/>
      <c r="M813" s="398"/>
    </row>
    <row r="814" spans="1:13">
      <c r="A814" s="398"/>
      <c r="B814" s="398"/>
      <c r="C814" s="398"/>
      <c r="D814" s="398"/>
      <c r="E814" s="398"/>
      <c r="F814" s="398"/>
      <c r="G814" s="398"/>
      <c r="H814" s="398"/>
      <c r="I814" s="398"/>
      <c r="J814" s="398"/>
      <c r="K814" s="398"/>
      <c r="L814" s="398"/>
      <c r="M814" s="398"/>
    </row>
    <row r="815" spans="1:13">
      <c r="A815" s="398"/>
      <c r="B815" s="398"/>
      <c r="C815" s="398"/>
      <c r="D815" s="398"/>
      <c r="E815" s="398"/>
      <c r="F815" s="398"/>
      <c r="G815" s="398"/>
      <c r="H815" s="398"/>
      <c r="I815" s="398"/>
      <c r="J815" s="398"/>
      <c r="K815" s="398"/>
      <c r="L815" s="398"/>
      <c r="M815" s="398"/>
    </row>
    <row r="816" spans="1:13">
      <c r="A816" s="398"/>
      <c r="B816" s="398"/>
      <c r="C816" s="398"/>
      <c r="D816" s="398"/>
      <c r="E816" s="398"/>
      <c r="F816" s="398"/>
      <c r="G816" s="398"/>
      <c r="H816" s="398"/>
      <c r="I816" s="398"/>
      <c r="J816" s="398"/>
      <c r="K816" s="398"/>
      <c r="L816" s="398"/>
      <c r="M816" s="398"/>
    </row>
    <row r="817" spans="1:13">
      <c r="A817" s="398"/>
      <c r="B817" s="398"/>
      <c r="C817" s="398"/>
      <c r="D817" s="398"/>
      <c r="E817" s="398"/>
      <c r="F817" s="398"/>
      <c r="G817" s="398"/>
      <c r="H817" s="398"/>
      <c r="I817" s="398"/>
      <c r="J817" s="398"/>
      <c r="K817" s="398"/>
      <c r="L817" s="398"/>
      <c r="M817" s="398"/>
    </row>
    <row r="818" spans="1:13">
      <c r="A818" s="398"/>
      <c r="B818" s="398"/>
      <c r="C818" s="398"/>
      <c r="D818" s="398"/>
      <c r="E818" s="398"/>
      <c r="F818" s="398"/>
      <c r="G818" s="398"/>
      <c r="H818" s="398"/>
      <c r="I818" s="398"/>
      <c r="J818" s="398"/>
      <c r="K818" s="398"/>
      <c r="L818" s="398"/>
      <c r="M818" s="398"/>
    </row>
    <row r="819" spans="1:13">
      <c r="A819" s="398"/>
      <c r="B819" s="398"/>
      <c r="C819" s="398"/>
      <c r="D819" s="398"/>
      <c r="E819" s="398"/>
      <c r="F819" s="398"/>
      <c r="G819" s="398"/>
      <c r="H819" s="398"/>
      <c r="I819" s="398"/>
      <c r="J819" s="398"/>
      <c r="K819" s="398"/>
      <c r="L819" s="398"/>
      <c r="M819" s="398"/>
    </row>
    <row r="820" spans="1:13">
      <c r="A820" s="398"/>
      <c r="B820" s="398"/>
      <c r="C820" s="398"/>
      <c r="D820" s="398"/>
      <c r="E820" s="398"/>
      <c r="F820" s="398"/>
      <c r="G820" s="398"/>
      <c r="H820" s="398"/>
      <c r="I820" s="398"/>
      <c r="J820" s="398"/>
      <c r="K820" s="398"/>
      <c r="L820" s="398"/>
      <c r="M820" s="398"/>
    </row>
    <row r="821" spans="1:13">
      <c r="A821" s="398"/>
      <c r="B821" s="398"/>
      <c r="C821" s="398"/>
      <c r="D821" s="398"/>
      <c r="E821" s="398"/>
      <c r="F821" s="398"/>
      <c r="G821" s="398"/>
      <c r="H821" s="398"/>
      <c r="I821" s="398"/>
      <c r="J821" s="398"/>
      <c r="K821" s="398"/>
      <c r="L821" s="398"/>
      <c r="M821" s="398"/>
    </row>
    <row r="822" spans="1:13">
      <c r="A822" s="398"/>
      <c r="B822" s="398"/>
      <c r="C822" s="398"/>
      <c r="D822" s="398"/>
      <c r="E822" s="398"/>
      <c r="F822" s="398"/>
      <c r="G822" s="398"/>
      <c r="H822" s="398"/>
      <c r="I822" s="398"/>
      <c r="J822" s="398"/>
      <c r="K822" s="398"/>
      <c r="L822" s="398"/>
      <c r="M822" s="398"/>
    </row>
    <row r="823" spans="1:13">
      <c r="A823" s="398"/>
      <c r="B823" s="398"/>
      <c r="C823" s="398"/>
      <c r="D823" s="398"/>
      <c r="E823" s="398"/>
      <c r="F823" s="398"/>
      <c r="G823" s="398"/>
      <c r="H823" s="398"/>
      <c r="I823" s="398"/>
      <c r="J823" s="398"/>
      <c r="K823" s="398"/>
      <c r="L823" s="398"/>
      <c r="M823" s="398"/>
    </row>
    <row r="824" spans="1:13">
      <c r="A824" s="398"/>
      <c r="B824" s="398"/>
      <c r="C824" s="398"/>
      <c r="D824" s="398"/>
      <c r="E824" s="398"/>
      <c r="F824" s="398"/>
      <c r="G824" s="398"/>
      <c r="H824" s="398"/>
      <c r="I824" s="398"/>
      <c r="J824" s="398"/>
      <c r="K824" s="398"/>
      <c r="L824" s="398"/>
      <c r="M824" s="398"/>
    </row>
    <row r="825" spans="1:13">
      <c r="A825" s="398"/>
      <c r="B825" s="398"/>
      <c r="C825" s="398"/>
      <c r="D825" s="398"/>
      <c r="E825" s="398"/>
      <c r="F825" s="398"/>
      <c r="G825" s="398"/>
      <c r="H825" s="398"/>
      <c r="I825" s="398"/>
      <c r="J825" s="398"/>
      <c r="K825" s="398"/>
      <c r="L825" s="398"/>
      <c r="M825" s="398"/>
    </row>
    <row r="826" spans="1:13">
      <c r="A826" s="398"/>
      <c r="B826" s="398"/>
      <c r="C826" s="398"/>
      <c r="D826" s="398"/>
      <c r="E826" s="398"/>
      <c r="F826" s="398"/>
      <c r="G826" s="398"/>
      <c r="H826" s="398"/>
      <c r="I826" s="398"/>
      <c r="J826" s="398"/>
      <c r="K826" s="398"/>
      <c r="L826" s="398"/>
      <c r="M826" s="398"/>
    </row>
    <row r="827" spans="1:13">
      <c r="A827" s="398"/>
      <c r="B827" s="398"/>
      <c r="C827" s="398"/>
      <c r="D827" s="398"/>
      <c r="E827" s="398"/>
      <c r="F827" s="398"/>
      <c r="G827" s="398"/>
      <c r="H827" s="398"/>
      <c r="I827" s="398"/>
      <c r="J827" s="398"/>
      <c r="K827" s="398"/>
      <c r="L827" s="398"/>
      <c r="M827" s="398"/>
    </row>
    <row r="828" spans="1:13">
      <c r="A828" s="398"/>
      <c r="B828" s="398"/>
      <c r="C828" s="398"/>
      <c r="D828" s="398"/>
      <c r="E828" s="398"/>
      <c r="F828" s="398"/>
      <c r="G828" s="398"/>
      <c r="H828" s="398"/>
      <c r="I828" s="398"/>
      <c r="J828" s="398"/>
      <c r="K828" s="398"/>
      <c r="L828" s="398"/>
      <c r="M828" s="398"/>
    </row>
    <row r="829" spans="1:13">
      <c r="A829" s="398"/>
      <c r="B829" s="398"/>
      <c r="C829" s="398"/>
      <c r="D829" s="398"/>
      <c r="E829" s="398"/>
      <c r="F829" s="398"/>
      <c r="G829" s="398"/>
      <c r="H829" s="398"/>
      <c r="I829" s="398"/>
      <c r="J829" s="398"/>
      <c r="K829" s="398"/>
      <c r="L829" s="398"/>
      <c r="M829" s="398"/>
    </row>
    <row r="830" spans="1:13">
      <c r="A830" s="398"/>
      <c r="B830" s="398"/>
      <c r="C830" s="398"/>
      <c r="D830" s="398"/>
      <c r="E830" s="398"/>
      <c r="F830" s="398"/>
      <c r="G830" s="398"/>
      <c r="H830" s="398"/>
      <c r="I830" s="398"/>
      <c r="J830" s="398"/>
      <c r="K830" s="398"/>
      <c r="L830" s="398"/>
      <c r="M830" s="398"/>
    </row>
    <row r="831" spans="1:13">
      <c r="A831" s="398"/>
      <c r="B831" s="398"/>
      <c r="C831" s="398"/>
      <c r="D831" s="398"/>
      <c r="E831" s="398"/>
      <c r="F831" s="398"/>
      <c r="G831" s="398"/>
      <c r="H831" s="398"/>
      <c r="I831" s="398"/>
      <c r="J831" s="398"/>
      <c r="K831" s="398"/>
      <c r="L831" s="398"/>
      <c r="M831" s="398"/>
    </row>
    <row r="832" spans="1:13">
      <c r="A832" s="398"/>
      <c r="B832" s="398"/>
      <c r="C832" s="398"/>
      <c r="D832" s="398"/>
      <c r="E832" s="398"/>
      <c r="F832" s="398"/>
      <c r="G832" s="398"/>
      <c r="H832" s="398"/>
      <c r="I832" s="398"/>
      <c r="J832" s="398"/>
      <c r="K832" s="398"/>
      <c r="L832" s="398"/>
      <c r="M832" s="398"/>
    </row>
    <row r="833" spans="1:13">
      <c r="A833" s="398"/>
      <c r="B833" s="398"/>
      <c r="C833" s="398"/>
      <c r="D833" s="398"/>
      <c r="E833" s="398"/>
      <c r="F833" s="398"/>
      <c r="G833" s="398"/>
      <c r="H833" s="398"/>
      <c r="I833" s="398"/>
      <c r="J833" s="398"/>
      <c r="K833" s="398"/>
      <c r="L833" s="398"/>
      <c r="M833" s="398"/>
    </row>
    <row r="834" spans="1:13">
      <c r="A834" s="398"/>
      <c r="B834" s="398"/>
      <c r="C834" s="398"/>
      <c r="D834" s="398"/>
      <c r="E834" s="398"/>
      <c r="F834" s="398"/>
      <c r="G834" s="398"/>
      <c r="H834" s="398"/>
      <c r="I834" s="398"/>
      <c r="J834" s="398"/>
      <c r="K834" s="398"/>
      <c r="L834" s="398"/>
      <c r="M834" s="398"/>
    </row>
    <row r="835" spans="1:13">
      <c r="A835" s="398"/>
      <c r="B835" s="398"/>
      <c r="C835" s="398"/>
      <c r="D835" s="398"/>
      <c r="E835" s="398"/>
      <c r="F835" s="398"/>
      <c r="G835" s="398"/>
      <c r="H835" s="398"/>
      <c r="I835" s="398"/>
      <c r="J835" s="398"/>
      <c r="K835" s="398"/>
      <c r="L835" s="398"/>
      <c r="M835" s="398"/>
    </row>
    <row r="836" spans="1:13">
      <c r="A836" s="398"/>
      <c r="B836" s="398"/>
      <c r="C836" s="398"/>
      <c r="D836" s="398"/>
      <c r="E836" s="398"/>
      <c r="F836" s="398"/>
      <c r="G836" s="398"/>
      <c r="H836" s="398"/>
      <c r="I836" s="398"/>
      <c r="J836" s="398"/>
      <c r="K836" s="398"/>
      <c r="L836" s="398"/>
      <c r="M836" s="398"/>
    </row>
    <row r="837" spans="1:13">
      <c r="A837" s="398"/>
      <c r="B837" s="398"/>
      <c r="C837" s="398"/>
      <c r="D837" s="398"/>
      <c r="E837" s="398"/>
      <c r="F837" s="398"/>
      <c r="G837" s="398"/>
      <c r="H837" s="398"/>
      <c r="I837" s="398"/>
      <c r="J837" s="398"/>
      <c r="K837" s="398"/>
      <c r="L837" s="398"/>
      <c r="M837" s="398"/>
    </row>
    <row r="838" spans="1:13">
      <c r="A838" s="398"/>
      <c r="B838" s="398"/>
      <c r="C838" s="398"/>
      <c r="D838" s="398"/>
      <c r="E838" s="398"/>
      <c r="F838" s="398"/>
      <c r="G838" s="398"/>
      <c r="H838" s="398"/>
      <c r="I838" s="398"/>
      <c r="J838" s="398"/>
      <c r="K838" s="398"/>
      <c r="L838" s="398"/>
      <c r="M838" s="398"/>
    </row>
    <row r="839" spans="1:13">
      <c r="A839" s="398"/>
      <c r="B839" s="398"/>
      <c r="C839" s="398"/>
      <c r="D839" s="398"/>
      <c r="E839" s="398"/>
      <c r="F839" s="398"/>
      <c r="G839" s="398"/>
      <c r="H839" s="398"/>
      <c r="I839" s="398"/>
      <c r="J839" s="398"/>
      <c r="K839" s="398"/>
      <c r="L839" s="398"/>
      <c r="M839" s="398"/>
    </row>
    <row r="840" spans="1:13">
      <c r="A840" s="398"/>
      <c r="B840" s="398"/>
      <c r="C840" s="398"/>
      <c r="D840" s="398"/>
      <c r="E840" s="398"/>
      <c r="F840" s="398"/>
      <c r="G840" s="398"/>
      <c r="H840" s="398"/>
      <c r="I840" s="398"/>
      <c r="J840" s="398"/>
      <c r="K840" s="398"/>
      <c r="L840" s="398"/>
      <c r="M840" s="398"/>
    </row>
    <row r="841" spans="1:13">
      <c r="A841" s="398"/>
      <c r="B841" s="398"/>
      <c r="C841" s="398"/>
      <c r="D841" s="398"/>
      <c r="E841" s="398"/>
      <c r="F841" s="398"/>
      <c r="G841" s="398"/>
      <c r="H841" s="398"/>
      <c r="I841" s="398"/>
      <c r="J841" s="398"/>
      <c r="K841" s="398"/>
      <c r="L841" s="398"/>
      <c r="M841" s="398"/>
    </row>
    <row r="842" spans="1:13">
      <c r="A842" s="398"/>
      <c r="B842" s="398"/>
      <c r="C842" s="398"/>
      <c r="D842" s="398"/>
      <c r="E842" s="398"/>
      <c r="F842" s="398"/>
      <c r="G842" s="398"/>
      <c r="H842" s="398"/>
      <c r="I842" s="398"/>
      <c r="J842" s="398"/>
      <c r="K842" s="398"/>
      <c r="L842" s="398"/>
      <c r="M842" s="398"/>
    </row>
    <row r="843" spans="1:13">
      <c r="A843" s="398"/>
      <c r="B843" s="398"/>
      <c r="C843" s="398"/>
      <c r="D843" s="398"/>
      <c r="E843" s="398"/>
      <c r="F843" s="398"/>
      <c r="G843" s="398"/>
      <c r="H843" s="398"/>
      <c r="I843" s="398"/>
      <c r="J843" s="398"/>
      <c r="K843" s="398"/>
      <c r="L843" s="398"/>
      <c r="M843" s="398"/>
    </row>
    <row r="844" spans="1:13">
      <c r="A844" s="398"/>
      <c r="B844" s="398"/>
      <c r="C844" s="398"/>
      <c r="D844" s="398"/>
      <c r="E844" s="398"/>
      <c r="F844" s="398"/>
      <c r="G844" s="398"/>
      <c r="H844" s="398"/>
      <c r="I844" s="398"/>
      <c r="J844" s="398"/>
      <c r="K844" s="398"/>
      <c r="L844" s="398"/>
      <c r="M844" s="398"/>
    </row>
    <row r="845" spans="1:13">
      <c r="A845" s="398"/>
      <c r="B845" s="398"/>
      <c r="C845" s="398"/>
      <c r="D845" s="398"/>
      <c r="E845" s="398"/>
      <c r="F845" s="398"/>
      <c r="G845" s="398"/>
      <c r="H845" s="398"/>
      <c r="I845" s="398"/>
      <c r="J845" s="398"/>
      <c r="K845" s="398"/>
      <c r="L845" s="398"/>
      <c r="M845" s="398"/>
    </row>
    <row r="846" spans="1:13">
      <c r="A846" s="398"/>
      <c r="B846" s="398"/>
      <c r="C846" s="398"/>
      <c r="D846" s="398"/>
      <c r="E846" s="398"/>
      <c r="F846" s="398"/>
      <c r="G846" s="398"/>
      <c r="H846" s="398"/>
      <c r="I846" s="398"/>
      <c r="J846" s="398"/>
      <c r="K846" s="398"/>
      <c r="L846" s="398"/>
      <c r="M846" s="398"/>
    </row>
    <row r="847" spans="1:13">
      <c r="A847" s="398"/>
      <c r="B847" s="398"/>
      <c r="C847" s="398"/>
      <c r="D847" s="398"/>
      <c r="E847" s="398"/>
      <c r="F847" s="398"/>
      <c r="G847" s="398"/>
      <c r="H847" s="398"/>
      <c r="I847" s="398"/>
      <c r="J847" s="398"/>
      <c r="K847" s="398"/>
      <c r="L847" s="398"/>
      <c r="M847" s="398"/>
    </row>
    <row r="848" spans="1:13">
      <c r="A848" s="398"/>
      <c r="B848" s="398"/>
      <c r="C848" s="398"/>
      <c r="D848" s="398"/>
      <c r="E848" s="398"/>
      <c r="F848" s="398"/>
      <c r="G848" s="398"/>
      <c r="H848" s="398"/>
      <c r="I848" s="398"/>
      <c r="J848" s="398"/>
      <c r="K848" s="398"/>
      <c r="L848" s="398"/>
      <c r="M848" s="398"/>
    </row>
    <row r="849" spans="1:13">
      <c r="A849" s="398"/>
      <c r="B849" s="398"/>
      <c r="C849" s="398"/>
      <c r="D849" s="398"/>
      <c r="E849" s="398"/>
      <c r="F849" s="398"/>
      <c r="G849" s="398"/>
      <c r="H849" s="398"/>
      <c r="I849" s="398"/>
      <c r="J849" s="398"/>
      <c r="K849" s="398"/>
      <c r="L849" s="398"/>
      <c r="M849" s="398"/>
    </row>
    <row r="850" spans="1:13">
      <c r="A850" s="398"/>
      <c r="B850" s="398"/>
      <c r="C850" s="398"/>
      <c r="D850" s="398"/>
      <c r="E850" s="398"/>
      <c r="F850" s="398"/>
      <c r="G850" s="398"/>
      <c r="H850" s="398"/>
      <c r="I850" s="398"/>
      <c r="J850" s="398"/>
      <c r="K850" s="398"/>
      <c r="L850" s="398"/>
      <c r="M850" s="398"/>
    </row>
    <row r="851" spans="1:13">
      <c r="A851" s="398"/>
      <c r="B851" s="398"/>
      <c r="C851" s="398"/>
      <c r="D851" s="398"/>
      <c r="E851" s="398"/>
      <c r="F851" s="398"/>
      <c r="G851" s="398"/>
      <c r="H851" s="398"/>
      <c r="I851" s="398"/>
      <c r="J851" s="398"/>
      <c r="K851" s="398"/>
      <c r="L851" s="398"/>
      <c r="M851" s="398"/>
    </row>
    <row r="852" spans="1:13">
      <c r="A852" s="398"/>
      <c r="B852" s="398"/>
      <c r="C852" s="398"/>
      <c r="D852" s="398"/>
      <c r="E852" s="398"/>
      <c r="F852" s="398"/>
      <c r="G852" s="398"/>
      <c r="H852" s="398"/>
      <c r="I852" s="398"/>
      <c r="J852" s="398"/>
      <c r="K852" s="398"/>
      <c r="L852" s="398"/>
      <c r="M852" s="398"/>
    </row>
    <row r="853" spans="1:13">
      <c r="A853" s="398"/>
      <c r="B853" s="398"/>
      <c r="C853" s="398"/>
      <c r="D853" s="398"/>
      <c r="E853" s="398"/>
      <c r="F853" s="398"/>
      <c r="G853" s="398"/>
      <c r="H853" s="398"/>
      <c r="I853" s="398"/>
      <c r="J853" s="398"/>
      <c r="K853" s="398"/>
      <c r="L853" s="398"/>
      <c r="M853" s="398"/>
    </row>
    <row r="854" spans="1:13">
      <c r="A854" s="398"/>
      <c r="B854" s="398"/>
      <c r="C854" s="398"/>
      <c r="D854" s="398"/>
      <c r="E854" s="398"/>
      <c r="F854" s="398"/>
      <c r="G854" s="398"/>
      <c r="H854" s="398"/>
      <c r="I854" s="398"/>
      <c r="J854" s="398"/>
      <c r="K854" s="398"/>
      <c r="L854" s="398"/>
      <c r="M854" s="398"/>
    </row>
    <row r="855" spans="1:13">
      <c r="A855" s="398"/>
      <c r="B855" s="398"/>
      <c r="C855" s="398"/>
      <c r="D855" s="398"/>
      <c r="E855" s="398"/>
      <c r="F855" s="398"/>
      <c r="G855" s="398"/>
      <c r="H855" s="398"/>
      <c r="I855" s="398"/>
      <c r="J855" s="398"/>
      <c r="K855" s="398"/>
      <c r="L855" s="398"/>
      <c r="M855" s="398"/>
    </row>
    <row r="856" spans="1:13">
      <c r="A856" s="398"/>
      <c r="B856" s="398"/>
      <c r="C856" s="398"/>
      <c r="D856" s="398"/>
      <c r="E856" s="398"/>
      <c r="F856" s="398"/>
      <c r="G856" s="398"/>
      <c r="H856" s="398"/>
      <c r="I856" s="398"/>
      <c r="J856" s="398"/>
      <c r="K856" s="398"/>
      <c r="L856" s="398"/>
      <c r="M856" s="398"/>
    </row>
    <row r="857" spans="1:13">
      <c r="A857" s="398"/>
      <c r="B857" s="398"/>
      <c r="C857" s="398"/>
      <c r="D857" s="398"/>
      <c r="E857" s="398"/>
      <c r="F857" s="398"/>
      <c r="G857" s="398"/>
      <c r="H857" s="398"/>
      <c r="I857" s="398"/>
      <c r="J857" s="398"/>
      <c r="K857" s="398"/>
      <c r="L857" s="398"/>
      <c r="M857" s="398"/>
    </row>
    <row r="858" spans="1:13">
      <c r="A858" s="398"/>
      <c r="B858" s="398"/>
      <c r="C858" s="398"/>
      <c r="D858" s="398"/>
      <c r="E858" s="398"/>
      <c r="F858" s="398"/>
      <c r="G858" s="398"/>
      <c r="H858" s="398"/>
      <c r="I858" s="398"/>
      <c r="J858" s="398"/>
      <c r="K858" s="398"/>
      <c r="L858" s="398"/>
      <c r="M858" s="398"/>
    </row>
    <row r="859" spans="1:13">
      <c r="A859" s="398"/>
      <c r="B859" s="398"/>
      <c r="C859" s="398"/>
      <c r="D859" s="398"/>
      <c r="E859" s="398"/>
      <c r="F859" s="398"/>
      <c r="G859" s="398"/>
      <c r="H859" s="398"/>
      <c r="I859" s="398"/>
      <c r="J859" s="398"/>
      <c r="K859" s="398"/>
      <c r="L859" s="398"/>
      <c r="M859" s="398"/>
    </row>
    <row r="860" spans="1:13">
      <c r="A860" s="398"/>
      <c r="B860" s="398"/>
      <c r="C860" s="398"/>
      <c r="D860" s="398"/>
      <c r="E860" s="398"/>
      <c r="F860" s="398"/>
      <c r="G860" s="398"/>
      <c r="H860" s="398"/>
      <c r="I860" s="398"/>
      <c r="J860" s="398"/>
      <c r="K860" s="398"/>
      <c r="L860" s="398"/>
      <c r="M860" s="398"/>
    </row>
    <row r="861" spans="1:13">
      <c r="A861" s="398"/>
      <c r="B861" s="398"/>
      <c r="C861" s="398"/>
      <c r="D861" s="398"/>
      <c r="E861" s="398"/>
      <c r="F861" s="398"/>
      <c r="G861" s="398"/>
      <c r="H861" s="398"/>
      <c r="I861" s="398"/>
      <c r="J861" s="398"/>
      <c r="K861" s="398"/>
      <c r="L861" s="398"/>
      <c r="M861" s="398"/>
    </row>
    <row r="862" spans="1:13">
      <c r="A862" s="398"/>
      <c r="B862" s="398"/>
      <c r="C862" s="398"/>
      <c r="D862" s="398"/>
      <c r="E862" s="398"/>
      <c r="F862" s="398"/>
      <c r="G862" s="398"/>
      <c r="H862" s="398"/>
      <c r="I862" s="398"/>
      <c r="J862" s="398"/>
      <c r="K862" s="398"/>
      <c r="L862" s="398"/>
      <c r="M862" s="398"/>
    </row>
    <row r="863" spans="1:13">
      <c r="A863" s="398"/>
      <c r="B863" s="398"/>
      <c r="C863" s="398"/>
      <c r="D863" s="398"/>
      <c r="E863" s="398"/>
      <c r="F863" s="398"/>
      <c r="G863" s="398"/>
      <c r="H863" s="398"/>
      <c r="I863" s="398"/>
      <c r="J863" s="398"/>
      <c r="K863" s="398"/>
      <c r="L863" s="398"/>
      <c r="M863" s="398"/>
    </row>
    <row r="864" spans="1:13">
      <c r="A864" s="398"/>
      <c r="B864" s="398"/>
      <c r="C864" s="398"/>
      <c r="D864" s="398"/>
      <c r="E864" s="398"/>
      <c r="F864" s="398"/>
      <c r="G864" s="398"/>
      <c r="H864" s="398"/>
      <c r="I864" s="398"/>
      <c r="J864" s="398"/>
      <c r="K864" s="398"/>
      <c r="L864" s="398"/>
      <c r="M864" s="398"/>
    </row>
    <row r="865" spans="1:13">
      <c r="A865" s="398"/>
      <c r="B865" s="398"/>
      <c r="C865" s="398"/>
      <c r="D865" s="398"/>
      <c r="E865" s="398"/>
      <c r="F865" s="398"/>
      <c r="G865" s="398"/>
      <c r="H865" s="398"/>
      <c r="I865" s="398"/>
      <c r="J865" s="398"/>
      <c r="K865" s="398"/>
      <c r="L865" s="398"/>
      <c r="M865" s="398"/>
    </row>
    <row r="866" spans="1:13">
      <c r="A866" s="398"/>
      <c r="B866" s="398"/>
      <c r="C866" s="398"/>
      <c r="D866" s="398"/>
      <c r="E866" s="398"/>
      <c r="F866" s="398"/>
      <c r="G866" s="398"/>
      <c r="H866" s="398"/>
      <c r="I866" s="398"/>
      <c r="J866" s="398"/>
      <c r="K866" s="398"/>
      <c r="L866" s="398"/>
      <c r="M866" s="398"/>
    </row>
    <row r="867" spans="1:13">
      <c r="A867" s="398"/>
      <c r="B867" s="398"/>
      <c r="C867" s="398"/>
      <c r="D867" s="398"/>
      <c r="E867" s="398"/>
      <c r="F867" s="398"/>
      <c r="G867" s="398"/>
      <c r="H867" s="398"/>
      <c r="I867" s="398"/>
      <c r="J867" s="398"/>
      <c r="K867" s="398"/>
      <c r="L867" s="398"/>
      <c r="M867" s="398"/>
    </row>
    <row r="868" spans="1:13">
      <c r="A868" s="398"/>
      <c r="B868" s="398"/>
      <c r="C868" s="398"/>
      <c r="D868" s="398"/>
      <c r="E868" s="398"/>
      <c r="F868" s="398"/>
      <c r="G868" s="398"/>
      <c r="H868" s="398"/>
      <c r="I868" s="398"/>
      <c r="J868" s="398"/>
      <c r="K868" s="398"/>
      <c r="L868" s="398"/>
      <c r="M868" s="398"/>
    </row>
    <row r="869" spans="1:13">
      <c r="A869" s="398"/>
      <c r="B869" s="398"/>
      <c r="C869" s="398"/>
      <c r="D869" s="398"/>
      <c r="E869" s="398"/>
      <c r="F869" s="398"/>
      <c r="G869" s="398"/>
      <c r="H869" s="398"/>
      <c r="I869" s="398"/>
      <c r="J869" s="398"/>
      <c r="K869" s="398"/>
      <c r="L869" s="398"/>
      <c r="M869" s="398"/>
    </row>
    <row r="870" spans="1:13">
      <c r="A870" s="398"/>
      <c r="B870" s="398"/>
      <c r="C870" s="398"/>
      <c r="D870" s="398"/>
      <c r="E870" s="398"/>
      <c r="F870" s="398"/>
      <c r="G870" s="398"/>
      <c r="H870" s="398"/>
      <c r="I870" s="398"/>
      <c r="J870" s="398"/>
      <c r="K870" s="398"/>
      <c r="L870" s="398"/>
      <c r="M870" s="398"/>
    </row>
    <row r="871" spans="1:13">
      <c r="A871" s="398"/>
      <c r="B871" s="398"/>
      <c r="C871" s="398"/>
      <c r="D871" s="398"/>
      <c r="E871" s="398"/>
      <c r="F871" s="398"/>
      <c r="G871" s="398"/>
      <c r="H871" s="398"/>
      <c r="I871" s="398"/>
      <c r="J871" s="398"/>
      <c r="K871" s="398"/>
      <c r="L871" s="398"/>
      <c r="M871" s="398"/>
    </row>
    <row r="872" spans="1:13">
      <c r="A872" s="398"/>
      <c r="B872" s="398"/>
      <c r="C872" s="398"/>
      <c r="D872" s="398"/>
      <c r="E872" s="398"/>
      <c r="F872" s="398"/>
      <c r="G872" s="398"/>
      <c r="H872" s="398"/>
      <c r="I872" s="398"/>
      <c r="J872" s="398"/>
      <c r="K872" s="398"/>
      <c r="L872" s="398"/>
      <c r="M872" s="398"/>
    </row>
    <row r="873" spans="1:13">
      <c r="A873" s="398"/>
      <c r="B873" s="398"/>
      <c r="C873" s="398"/>
      <c r="D873" s="398"/>
      <c r="E873" s="398"/>
      <c r="F873" s="398"/>
      <c r="G873" s="398"/>
      <c r="H873" s="398"/>
      <c r="I873" s="398"/>
      <c r="J873" s="398"/>
      <c r="K873" s="398"/>
      <c r="L873" s="398"/>
      <c r="M873" s="398"/>
    </row>
    <row r="874" spans="1:13">
      <c r="A874" s="398"/>
      <c r="B874" s="398"/>
      <c r="C874" s="398"/>
      <c r="D874" s="398"/>
      <c r="E874" s="398"/>
      <c r="F874" s="398"/>
      <c r="G874" s="398"/>
      <c r="H874" s="398"/>
      <c r="I874" s="398"/>
      <c r="J874" s="398"/>
      <c r="K874" s="398"/>
      <c r="L874" s="398"/>
      <c r="M874" s="398"/>
    </row>
    <row r="875" spans="1:13">
      <c r="A875" s="398"/>
      <c r="B875" s="398"/>
      <c r="C875" s="398"/>
      <c r="D875" s="398"/>
      <c r="E875" s="398"/>
      <c r="F875" s="398"/>
      <c r="G875" s="398"/>
      <c r="H875" s="398"/>
      <c r="I875" s="398"/>
      <c r="J875" s="398"/>
      <c r="K875" s="398"/>
      <c r="L875" s="398"/>
      <c r="M875" s="398"/>
    </row>
    <row r="876" spans="1:13">
      <c r="A876" s="398"/>
      <c r="B876" s="398"/>
      <c r="C876" s="398"/>
      <c r="D876" s="398"/>
      <c r="E876" s="398"/>
      <c r="F876" s="398"/>
      <c r="G876" s="398"/>
      <c r="H876" s="398"/>
      <c r="I876" s="398"/>
      <c r="J876" s="398"/>
      <c r="K876" s="398"/>
      <c r="L876" s="398"/>
      <c r="M876" s="398"/>
    </row>
    <row r="877" spans="1:13">
      <c r="A877" s="398"/>
      <c r="B877" s="398"/>
      <c r="C877" s="398"/>
      <c r="D877" s="398"/>
      <c r="E877" s="398"/>
      <c r="F877" s="398"/>
      <c r="G877" s="398"/>
      <c r="H877" s="398"/>
      <c r="I877" s="398"/>
      <c r="J877" s="398"/>
      <c r="K877" s="398"/>
      <c r="L877" s="398"/>
      <c r="M877" s="398"/>
    </row>
    <row r="878" spans="1:13">
      <c r="A878" s="398"/>
      <c r="B878" s="398"/>
      <c r="C878" s="398"/>
      <c r="D878" s="398"/>
      <c r="E878" s="398"/>
      <c r="F878" s="398"/>
      <c r="G878" s="398"/>
      <c r="H878" s="398"/>
      <c r="I878" s="398"/>
      <c r="J878" s="398"/>
      <c r="K878" s="398"/>
      <c r="L878" s="398"/>
      <c r="M878" s="398"/>
    </row>
    <row r="879" spans="1:13">
      <c r="A879" s="398"/>
      <c r="B879" s="398"/>
      <c r="C879" s="398"/>
      <c r="D879" s="398"/>
      <c r="E879" s="398"/>
      <c r="F879" s="398"/>
      <c r="G879" s="398"/>
      <c r="H879" s="398"/>
      <c r="I879" s="398"/>
      <c r="J879" s="398"/>
      <c r="K879" s="398"/>
      <c r="L879" s="398"/>
      <c r="M879" s="398"/>
    </row>
    <row r="880" spans="1:13">
      <c r="A880" s="398"/>
      <c r="B880" s="398"/>
      <c r="C880" s="398"/>
      <c r="D880" s="398"/>
      <c r="E880" s="398"/>
      <c r="F880" s="398"/>
      <c r="G880" s="398"/>
      <c r="H880" s="398"/>
      <c r="I880" s="398"/>
      <c r="J880" s="398"/>
      <c r="K880" s="398"/>
      <c r="L880" s="398"/>
      <c r="M880" s="398"/>
    </row>
    <row r="881" spans="1:13">
      <c r="A881" s="398"/>
      <c r="B881" s="398"/>
      <c r="C881" s="398"/>
      <c r="D881" s="398"/>
      <c r="E881" s="398"/>
      <c r="F881" s="398"/>
      <c r="G881" s="398"/>
      <c r="H881" s="398"/>
      <c r="I881" s="398"/>
      <c r="J881" s="398"/>
      <c r="K881" s="398"/>
      <c r="L881" s="398"/>
      <c r="M881" s="398"/>
    </row>
    <row r="882" spans="1:13">
      <c r="A882" s="398"/>
      <c r="B882" s="398"/>
      <c r="C882" s="398"/>
      <c r="D882" s="398"/>
      <c r="E882" s="398"/>
      <c r="F882" s="398"/>
      <c r="G882" s="398"/>
      <c r="H882" s="398"/>
      <c r="I882" s="398"/>
      <c r="J882" s="398"/>
      <c r="K882" s="398"/>
      <c r="L882" s="398"/>
      <c r="M882" s="398"/>
    </row>
    <row r="883" spans="1:13">
      <c r="A883" s="398"/>
      <c r="B883" s="398"/>
      <c r="C883" s="398"/>
      <c r="D883" s="398"/>
      <c r="E883" s="398"/>
      <c r="F883" s="398"/>
      <c r="G883" s="398"/>
      <c r="H883" s="398"/>
      <c r="I883" s="398"/>
      <c r="J883" s="398"/>
      <c r="K883" s="398"/>
      <c r="L883" s="398"/>
      <c r="M883" s="398"/>
    </row>
    <row r="884" spans="1:13">
      <c r="A884" s="398"/>
      <c r="B884" s="398"/>
      <c r="C884" s="398"/>
      <c r="D884" s="398"/>
      <c r="E884" s="398"/>
      <c r="F884" s="398"/>
      <c r="G884" s="398"/>
      <c r="H884" s="398"/>
      <c r="I884" s="398"/>
      <c r="J884" s="398"/>
      <c r="K884" s="398"/>
      <c r="L884" s="398"/>
      <c r="M884" s="398"/>
    </row>
    <row r="885" spans="1:13">
      <c r="A885" s="398"/>
      <c r="B885" s="398"/>
      <c r="C885" s="398"/>
      <c r="D885" s="398"/>
      <c r="E885" s="398"/>
      <c r="F885" s="398"/>
      <c r="G885" s="398"/>
      <c r="H885" s="398"/>
      <c r="I885" s="398"/>
      <c r="J885" s="398"/>
      <c r="K885" s="398"/>
      <c r="L885" s="398"/>
      <c r="M885" s="398"/>
    </row>
    <row r="886" spans="1:13">
      <c r="A886" s="398"/>
      <c r="B886" s="398"/>
      <c r="C886" s="398"/>
      <c r="D886" s="398"/>
      <c r="E886" s="398"/>
      <c r="F886" s="398"/>
      <c r="G886" s="398"/>
      <c r="H886" s="398"/>
      <c r="I886" s="398"/>
      <c r="J886" s="398"/>
      <c r="K886" s="398"/>
      <c r="L886" s="398"/>
      <c r="M886" s="398"/>
    </row>
    <row r="887" spans="1:13">
      <c r="A887" s="398"/>
      <c r="B887" s="398"/>
      <c r="C887" s="398"/>
      <c r="D887" s="398"/>
      <c r="E887" s="398"/>
      <c r="F887" s="398"/>
      <c r="G887" s="398"/>
      <c r="H887" s="398"/>
      <c r="I887" s="398"/>
      <c r="J887" s="398"/>
      <c r="K887" s="398"/>
      <c r="L887" s="398"/>
      <c r="M887" s="398"/>
    </row>
    <row r="888" spans="1:13">
      <c r="A888" s="398"/>
      <c r="B888" s="398"/>
      <c r="C888" s="398"/>
      <c r="D888" s="398"/>
      <c r="E888" s="398"/>
      <c r="F888" s="398"/>
      <c r="G888" s="398"/>
      <c r="H888" s="398"/>
      <c r="I888" s="398"/>
      <c r="J888" s="398"/>
      <c r="K888" s="398"/>
      <c r="L888" s="398"/>
      <c r="M888" s="398"/>
    </row>
    <row r="889" spans="1:13">
      <c r="A889" s="398"/>
      <c r="B889" s="398"/>
      <c r="C889" s="398"/>
      <c r="D889" s="398"/>
      <c r="E889" s="398"/>
      <c r="F889" s="398"/>
      <c r="G889" s="398"/>
      <c r="H889" s="398"/>
      <c r="I889" s="398"/>
      <c r="J889" s="398"/>
      <c r="K889" s="398"/>
      <c r="L889" s="398"/>
      <c r="M889" s="398"/>
    </row>
    <row r="890" spans="1:13">
      <c r="A890" s="398"/>
      <c r="B890" s="398"/>
      <c r="C890" s="398"/>
      <c r="D890" s="398"/>
      <c r="E890" s="398"/>
      <c r="F890" s="398"/>
      <c r="G890" s="398"/>
      <c r="H890" s="398"/>
      <c r="I890" s="398"/>
      <c r="J890" s="398"/>
      <c r="K890" s="398"/>
      <c r="L890" s="398"/>
      <c r="M890" s="398"/>
    </row>
    <row r="891" spans="1:13">
      <c r="A891" s="398"/>
      <c r="B891" s="398"/>
      <c r="C891" s="398"/>
      <c r="D891" s="398"/>
      <c r="E891" s="398"/>
      <c r="F891" s="398"/>
      <c r="G891" s="398"/>
      <c r="H891" s="398"/>
      <c r="I891" s="398"/>
      <c r="J891" s="398"/>
      <c r="K891" s="398"/>
      <c r="L891" s="398"/>
      <c r="M891" s="398"/>
    </row>
    <row r="892" spans="1:13">
      <c r="A892" s="398"/>
      <c r="B892" s="398"/>
      <c r="C892" s="398"/>
      <c r="D892" s="398"/>
      <c r="E892" s="398"/>
      <c r="F892" s="398"/>
      <c r="G892" s="398"/>
      <c r="H892" s="398"/>
      <c r="I892" s="398"/>
      <c r="J892" s="398"/>
      <c r="K892" s="398"/>
      <c r="L892" s="398"/>
      <c r="M892" s="398"/>
    </row>
    <row r="893" spans="1:13">
      <c r="A893" s="398"/>
      <c r="B893" s="398"/>
      <c r="C893" s="398"/>
      <c r="D893" s="398"/>
      <c r="E893" s="398"/>
      <c r="F893" s="398"/>
      <c r="G893" s="398"/>
      <c r="H893" s="398"/>
      <c r="I893" s="398"/>
      <c r="J893" s="398"/>
      <c r="K893" s="398"/>
      <c r="L893" s="398"/>
      <c r="M893" s="398"/>
    </row>
    <row r="894" spans="1:13">
      <c r="A894" s="398"/>
      <c r="B894" s="398"/>
      <c r="C894" s="398"/>
      <c r="D894" s="398"/>
      <c r="E894" s="398"/>
      <c r="F894" s="398"/>
      <c r="G894" s="398"/>
      <c r="H894" s="398"/>
      <c r="I894" s="398"/>
      <c r="J894" s="398"/>
      <c r="K894" s="398"/>
      <c r="L894" s="398"/>
      <c r="M894" s="398"/>
    </row>
    <row r="895" spans="1:13">
      <c r="A895" s="398"/>
      <c r="B895" s="398"/>
      <c r="C895" s="398"/>
      <c r="D895" s="398"/>
      <c r="E895" s="398"/>
      <c r="F895" s="398"/>
      <c r="G895" s="398"/>
      <c r="H895" s="398"/>
      <c r="I895" s="398"/>
      <c r="J895" s="398"/>
      <c r="K895" s="398"/>
      <c r="L895" s="398"/>
      <c r="M895" s="398"/>
    </row>
    <row r="896" spans="1:13">
      <c r="A896" s="398"/>
      <c r="B896" s="398"/>
      <c r="C896" s="398"/>
      <c r="D896" s="398"/>
      <c r="E896" s="398"/>
      <c r="F896" s="398"/>
      <c r="G896" s="398"/>
      <c r="H896" s="398"/>
      <c r="I896" s="398"/>
      <c r="J896" s="398"/>
      <c r="K896" s="398"/>
      <c r="L896" s="398"/>
      <c r="M896" s="398"/>
    </row>
    <row r="897" spans="1:13">
      <c r="A897" s="398"/>
      <c r="B897" s="398"/>
      <c r="C897" s="398"/>
      <c r="D897" s="398"/>
      <c r="E897" s="398"/>
      <c r="F897" s="398"/>
      <c r="G897" s="398"/>
      <c r="H897" s="398"/>
      <c r="I897" s="398"/>
      <c r="J897" s="398"/>
      <c r="K897" s="398"/>
      <c r="L897" s="398"/>
      <c r="M897" s="398"/>
    </row>
    <row r="898" spans="1:13">
      <c r="A898" s="398"/>
      <c r="B898" s="398"/>
      <c r="C898" s="398"/>
      <c r="D898" s="398"/>
      <c r="E898" s="398"/>
      <c r="F898" s="398"/>
      <c r="G898" s="398"/>
      <c r="H898" s="398"/>
      <c r="I898" s="398"/>
      <c r="J898" s="398"/>
      <c r="K898" s="398"/>
      <c r="L898" s="398"/>
      <c r="M898" s="398"/>
    </row>
    <row r="899" spans="1:13">
      <c r="A899" s="398"/>
      <c r="B899" s="398"/>
      <c r="C899" s="398"/>
      <c r="D899" s="398"/>
      <c r="E899" s="398"/>
      <c r="F899" s="398"/>
      <c r="G899" s="398"/>
      <c r="H899" s="398"/>
      <c r="I899" s="398"/>
      <c r="J899" s="398"/>
      <c r="K899" s="398"/>
      <c r="L899" s="398"/>
      <c r="M899" s="398"/>
    </row>
    <row r="900" spans="1:13">
      <c r="A900" s="398"/>
      <c r="B900" s="398"/>
      <c r="C900" s="398"/>
      <c r="D900" s="398"/>
      <c r="E900" s="398"/>
      <c r="F900" s="398"/>
      <c r="G900" s="398"/>
      <c r="H900" s="398"/>
      <c r="I900" s="398"/>
      <c r="J900" s="398"/>
      <c r="K900" s="398"/>
      <c r="L900" s="398"/>
      <c r="M900" s="398"/>
    </row>
    <row r="901" spans="1:13">
      <c r="A901" s="398"/>
      <c r="B901" s="398"/>
      <c r="C901" s="398"/>
      <c r="D901" s="398"/>
      <c r="E901" s="398"/>
      <c r="F901" s="398"/>
      <c r="G901" s="398"/>
      <c r="H901" s="398"/>
      <c r="I901" s="398"/>
      <c r="J901" s="398"/>
      <c r="K901" s="398"/>
      <c r="L901" s="398"/>
      <c r="M901" s="398"/>
    </row>
    <row r="902" spans="1:13">
      <c r="A902" s="398"/>
      <c r="B902" s="398"/>
      <c r="C902" s="398"/>
      <c r="D902" s="398"/>
      <c r="E902" s="398"/>
      <c r="F902" s="398"/>
      <c r="G902" s="398"/>
      <c r="H902" s="398"/>
      <c r="I902" s="398"/>
      <c r="J902" s="398"/>
      <c r="K902" s="398"/>
      <c r="L902" s="398"/>
      <c r="M902" s="398"/>
    </row>
    <row r="903" spans="1:13">
      <c r="A903" s="398"/>
      <c r="B903" s="398"/>
      <c r="C903" s="398"/>
      <c r="D903" s="398"/>
      <c r="E903" s="398"/>
      <c r="F903" s="398"/>
      <c r="G903" s="398"/>
      <c r="H903" s="398"/>
      <c r="I903" s="398"/>
      <c r="J903" s="398"/>
      <c r="K903" s="398"/>
      <c r="L903" s="398"/>
      <c r="M903" s="398"/>
    </row>
    <row r="904" spans="1:13">
      <c r="A904" s="398"/>
      <c r="B904" s="398"/>
      <c r="C904" s="398"/>
      <c r="D904" s="398"/>
      <c r="E904" s="398"/>
      <c r="F904" s="398"/>
      <c r="G904" s="398"/>
      <c r="H904" s="398"/>
      <c r="I904" s="398"/>
      <c r="J904" s="398"/>
      <c r="K904" s="398"/>
      <c r="L904" s="398"/>
      <c r="M904" s="398"/>
    </row>
    <row r="905" spans="1:13">
      <c r="A905" s="398"/>
      <c r="B905" s="398"/>
      <c r="C905" s="398"/>
      <c r="D905" s="398"/>
      <c r="E905" s="398"/>
      <c r="F905" s="398"/>
      <c r="G905" s="398"/>
      <c r="H905" s="398"/>
      <c r="I905" s="398"/>
      <c r="J905" s="398"/>
      <c r="K905" s="398"/>
      <c r="L905" s="398"/>
      <c r="M905" s="398"/>
    </row>
    <row r="906" spans="1:13">
      <c r="A906" s="398"/>
      <c r="B906" s="398"/>
      <c r="C906" s="398"/>
      <c r="D906" s="398"/>
      <c r="E906" s="398"/>
      <c r="F906" s="398"/>
      <c r="G906" s="398"/>
      <c r="H906" s="398"/>
      <c r="I906" s="398"/>
      <c r="J906" s="398"/>
      <c r="K906" s="398"/>
      <c r="L906" s="398"/>
      <c r="M906" s="398"/>
    </row>
    <row r="907" spans="1:13">
      <c r="A907" s="398"/>
      <c r="B907" s="398"/>
      <c r="C907" s="398"/>
      <c r="D907" s="398"/>
      <c r="E907" s="398"/>
      <c r="F907" s="398"/>
      <c r="G907" s="398"/>
      <c r="H907" s="398"/>
      <c r="I907" s="398"/>
      <c r="J907" s="398"/>
      <c r="K907" s="398"/>
      <c r="L907" s="398"/>
      <c r="M907" s="398"/>
    </row>
    <row r="908" spans="1:13">
      <c r="A908" s="398"/>
      <c r="B908" s="398"/>
      <c r="C908" s="398"/>
      <c r="D908" s="398"/>
      <c r="E908" s="398"/>
      <c r="F908" s="398"/>
      <c r="G908" s="398"/>
      <c r="H908" s="398"/>
      <c r="I908" s="398"/>
      <c r="J908" s="398"/>
      <c r="K908" s="398"/>
      <c r="L908" s="398"/>
      <c r="M908" s="398"/>
    </row>
    <row r="909" spans="1:13">
      <c r="A909" s="398"/>
      <c r="B909" s="398"/>
      <c r="C909" s="398"/>
      <c r="D909" s="398"/>
      <c r="E909" s="398"/>
      <c r="F909" s="398"/>
      <c r="G909" s="398"/>
      <c r="H909" s="398"/>
      <c r="I909" s="398"/>
      <c r="J909" s="398"/>
      <c r="K909" s="398"/>
      <c r="L909" s="398"/>
      <c r="M909" s="398"/>
    </row>
    <row r="910" spans="1:13">
      <c r="A910" s="398"/>
      <c r="B910" s="398"/>
      <c r="C910" s="398"/>
      <c r="D910" s="398"/>
      <c r="E910" s="398"/>
      <c r="F910" s="398"/>
      <c r="G910" s="398"/>
      <c r="H910" s="398"/>
      <c r="I910" s="398"/>
      <c r="J910" s="398"/>
      <c r="K910" s="398"/>
      <c r="L910" s="398"/>
      <c r="M910" s="398"/>
    </row>
    <row r="911" spans="1:13">
      <c r="A911" s="398"/>
      <c r="B911" s="398"/>
      <c r="C911" s="398"/>
      <c r="D911" s="398"/>
      <c r="E911" s="398"/>
      <c r="F911" s="398"/>
      <c r="G911" s="398"/>
      <c r="H911" s="398"/>
      <c r="I911" s="398"/>
      <c r="J911" s="398"/>
      <c r="K911" s="398"/>
      <c r="L911" s="398"/>
      <c r="M911" s="398"/>
    </row>
    <row r="912" spans="1:13">
      <c r="A912" s="398"/>
      <c r="B912" s="398"/>
      <c r="C912" s="398"/>
      <c r="D912" s="398"/>
      <c r="E912" s="398"/>
      <c r="F912" s="398"/>
      <c r="G912" s="398"/>
      <c r="H912" s="398"/>
      <c r="I912" s="398"/>
      <c r="J912" s="398"/>
      <c r="K912" s="398"/>
      <c r="L912" s="398"/>
      <c r="M912" s="398"/>
    </row>
    <row r="913" spans="1:13">
      <c r="A913" s="398"/>
      <c r="B913" s="398"/>
      <c r="C913" s="398"/>
      <c r="D913" s="398"/>
      <c r="E913" s="398"/>
      <c r="F913" s="398"/>
      <c r="G913" s="398"/>
      <c r="H913" s="398"/>
      <c r="I913" s="398"/>
      <c r="J913" s="398"/>
      <c r="K913" s="398"/>
      <c r="L913" s="398"/>
      <c r="M913" s="398"/>
    </row>
    <row r="914" spans="1:13">
      <c r="A914" s="398"/>
      <c r="B914" s="398"/>
      <c r="C914" s="398"/>
      <c r="D914" s="398"/>
      <c r="E914" s="398"/>
      <c r="F914" s="398"/>
      <c r="G914" s="398"/>
      <c r="H914" s="398"/>
      <c r="I914" s="398"/>
      <c r="J914" s="398"/>
      <c r="K914" s="398"/>
      <c r="L914" s="398"/>
      <c r="M914" s="398"/>
    </row>
    <row r="915" spans="1:13">
      <c r="A915" s="398"/>
      <c r="B915" s="398"/>
      <c r="C915" s="398"/>
      <c r="D915" s="398"/>
      <c r="E915" s="398"/>
      <c r="F915" s="398"/>
      <c r="G915" s="398"/>
      <c r="H915" s="398"/>
      <c r="I915" s="398"/>
      <c r="J915" s="398"/>
      <c r="K915" s="398"/>
      <c r="L915" s="398"/>
      <c r="M915" s="398"/>
    </row>
    <row r="916" spans="1:13">
      <c r="A916" s="398"/>
      <c r="B916" s="398"/>
      <c r="C916" s="398"/>
      <c r="D916" s="398"/>
      <c r="E916" s="398"/>
      <c r="F916" s="398"/>
      <c r="G916" s="398"/>
      <c r="H916" s="398"/>
      <c r="I916" s="398"/>
      <c r="J916" s="398"/>
      <c r="K916" s="398"/>
      <c r="L916" s="398"/>
      <c r="M916" s="398"/>
    </row>
    <row r="917" spans="1:13">
      <c r="A917" s="398"/>
      <c r="B917" s="398"/>
      <c r="C917" s="398"/>
      <c r="D917" s="398"/>
      <c r="E917" s="398"/>
      <c r="F917" s="398"/>
      <c r="G917" s="398"/>
      <c r="H917" s="398"/>
      <c r="I917" s="398"/>
      <c r="J917" s="398"/>
      <c r="K917" s="398"/>
      <c r="L917" s="398"/>
      <c r="M917" s="398"/>
    </row>
    <row r="918" spans="1:13">
      <c r="A918" s="398"/>
      <c r="B918" s="398"/>
      <c r="C918" s="398"/>
      <c r="D918" s="398"/>
      <c r="E918" s="398"/>
      <c r="F918" s="398"/>
      <c r="G918" s="398"/>
      <c r="H918" s="398"/>
      <c r="I918" s="398"/>
      <c r="J918" s="398"/>
      <c r="K918" s="398"/>
      <c r="L918" s="398"/>
      <c r="M918" s="398"/>
    </row>
    <row r="919" spans="1:13">
      <c r="A919" s="398"/>
      <c r="B919" s="398"/>
      <c r="C919" s="398"/>
      <c r="D919" s="398"/>
      <c r="E919" s="398"/>
      <c r="F919" s="398"/>
      <c r="G919" s="398"/>
      <c r="H919" s="398"/>
      <c r="I919" s="398"/>
      <c r="J919" s="398"/>
      <c r="K919" s="398"/>
      <c r="L919" s="398"/>
      <c r="M919" s="398"/>
    </row>
    <row r="920" spans="1:13">
      <c r="A920" s="398"/>
      <c r="B920" s="398"/>
      <c r="C920" s="398"/>
      <c r="D920" s="398"/>
      <c r="E920" s="398"/>
      <c r="F920" s="398"/>
      <c r="G920" s="398"/>
      <c r="H920" s="398"/>
      <c r="I920" s="398"/>
      <c r="J920" s="398"/>
      <c r="K920" s="398"/>
      <c r="L920" s="398"/>
      <c r="M920" s="398"/>
    </row>
    <row r="921" spans="1:13">
      <c r="A921" s="398"/>
      <c r="B921" s="398"/>
      <c r="C921" s="398"/>
      <c r="D921" s="398"/>
      <c r="E921" s="398"/>
      <c r="F921" s="398"/>
      <c r="G921" s="398"/>
      <c r="H921" s="398"/>
      <c r="I921" s="398"/>
      <c r="J921" s="398"/>
      <c r="K921" s="398"/>
      <c r="L921" s="398"/>
      <c r="M921" s="398"/>
    </row>
    <row r="922" spans="1:13">
      <c r="A922" s="398"/>
      <c r="B922" s="398"/>
      <c r="C922" s="398"/>
      <c r="D922" s="398"/>
      <c r="E922" s="398"/>
      <c r="F922" s="398"/>
      <c r="G922" s="398"/>
      <c r="H922" s="398"/>
      <c r="I922" s="398"/>
      <c r="J922" s="398"/>
      <c r="K922" s="398"/>
      <c r="L922" s="398"/>
      <c r="M922" s="398"/>
    </row>
    <row r="923" spans="1:13">
      <c r="A923" s="398"/>
      <c r="B923" s="398"/>
      <c r="C923" s="398"/>
      <c r="D923" s="398"/>
      <c r="E923" s="398"/>
      <c r="F923" s="398"/>
      <c r="G923" s="398"/>
      <c r="H923" s="398"/>
      <c r="I923" s="398"/>
      <c r="J923" s="398"/>
      <c r="K923" s="398"/>
      <c r="L923" s="398"/>
      <c r="M923" s="398"/>
    </row>
    <row r="924" spans="1:13">
      <c r="A924" s="398"/>
      <c r="B924" s="398"/>
      <c r="C924" s="398"/>
      <c r="D924" s="398"/>
      <c r="E924" s="398"/>
      <c r="F924" s="398"/>
      <c r="G924" s="398"/>
      <c r="H924" s="398"/>
      <c r="I924" s="398"/>
      <c r="J924" s="398"/>
      <c r="K924" s="398"/>
      <c r="L924" s="398"/>
      <c r="M924" s="398"/>
    </row>
    <row r="925" spans="1:13">
      <c r="A925" s="398"/>
      <c r="B925" s="398"/>
      <c r="C925" s="398"/>
      <c r="D925" s="398"/>
      <c r="E925" s="398"/>
      <c r="F925" s="398"/>
      <c r="G925" s="398"/>
      <c r="H925" s="398"/>
      <c r="I925" s="398"/>
      <c r="J925" s="398"/>
      <c r="K925" s="398"/>
      <c r="L925" s="398"/>
      <c r="M925" s="398"/>
    </row>
    <row r="926" spans="1:13">
      <c r="A926" s="398"/>
      <c r="B926" s="398"/>
      <c r="C926" s="398"/>
      <c r="D926" s="398"/>
      <c r="E926" s="398"/>
      <c r="F926" s="398"/>
      <c r="G926" s="398"/>
      <c r="H926" s="398"/>
      <c r="I926" s="398"/>
      <c r="J926" s="398"/>
      <c r="K926" s="398"/>
      <c r="L926" s="398"/>
      <c r="M926" s="398"/>
    </row>
    <row r="927" spans="1:13">
      <c r="A927" s="398"/>
      <c r="B927" s="398"/>
      <c r="C927" s="398"/>
      <c r="D927" s="398"/>
      <c r="E927" s="398"/>
      <c r="F927" s="398"/>
      <c r="G927" s="398"/>
      <c r="H927" s="398"/>
      <c r="I927" s="398"/>
      <c r="J927" s="398"/>
      <c r="K927" s="398"/>
      <c r="L927" s="398"/>
      <c r="M927" s="398"/>
    </row>
    <row r="928" spans="1:13">
      <c r="A928" s="398"/>
      <c r="B928" s="398"/>
      <c r="C928" s="398"/>
      <c r="D928" s="398"/>
      <c r="E928" s="398"/>
      <c r="F928" s="398"/>
      <c r="G928" s="398"/>
      <c r="H928" s="398"/>
      <c r="I928" s="398"/>
      <c r="J928" s="398"/>
      <c r="K928" s="398"/>
      <c r="L928" s="398"/>
      <c r="M928" s="398"/>
    </row>
    <row r="929" spans="1:13">
      <c r="A929" s="398"/>
      <c r="B929" s="398"/>
      <c r="C929" s="398"/>
      <c r="D929" s="398"/>
      <c r="E929" s="398"/>
      <c r="F929" s="398"/>
      <c r="G929" s="398"/>
      <c r="H929" s="398"/>
      <c r="I929" s="398"/>
      <c r="J929" s="398"/>
      <c r="K929" s="398"/>
      <c r="L929" s="398"/>
      <c r="M929" s="398"/>
    </row>
    <row r="930" spans="1:13">
      <c r="A930" s="398"/>
      <c r="B930" s="398"/>
      <c r="C930" s="398"/>
      <c r="D930" s="398"/>
      <c r="E930" s="398"/>
      <c r="F930" s="398"/>
      <c r="G930" s="398"/>
      <c r="H930" s="398"/>
      <c r="I930" s="398"/>
      <c r="J930" s="398"/>
      <c r="K930" s="398"/>
      <c r="L930" s="398"/>
      <c r="M930" s="398"/>
    </row>
    <row r="931" spans="1:13">
      <c r="A931" s="398"/>
      <c r="B931" s="398"/>
      <c r="C931" s="398"/>
      <c r="D931" s="398"/>
      <c r="E931" s="398"/>
      <c r="F931" s="398"/>
      <c r="G931" s="398"/>
      <c r="H931" s="398"/>
      <c r="I931" s="398"/>
      <c r="J931" s="398"/>
      <c r="K931" s="398"/>
      <c r="L931" s="398"/>
      <c r="M931" s="398"/>
    </row>
    <row r="932" spans="1:13">
      <c r="A932" s="398"/>
      <c r="B932" s="398"/>
      <c r="C932" s="398"/>
      <c r="D932" s="398"/>
      <c r="E932" s="398"/>
      <c r="F932" s="398"/>
      <c r="G932" s="398"/>
      <c r="H932" s="398"/>
      <c r="I932" s="398"/>
      <c r="J932" s="398"/>
      <c r="K932" s="398"/>
      <c r="L932" s="398"/>
      <c r="M932" s="398"/>
    </row>
    <row r="933" spans="1:13">
      <c r="A933" s="398"/>
      <c r="B933" s="398"/>
      <c r="C933" s="398"/>
      <c r="D933" s="398"/>
      <c r="E933" s="398"/>
      <c r="F933" s="398"/>
      <c r="G933" s="398"/>
      <c r="H933" s="398"/>
      <c r="I933" s="398"/>
      <c r="J933" s="398"/>
      <c r="K933" s="398"/>
      <c r="L933" s="398"/>
      <c r="M933" s="398"/>
    </row>
    <row r="934" spans="1:13">
      <c r="A934" s="398"/>
      <c r="B934" s="398"/>
      <c r="C934" s="398"/>
      <c r="D934" s="398"/>
      <c r="E934" s="398"/>
      <c r="F934" s="398"/>
      <c r="G934" s="398"/>
      <c r="H934" s="398"/>
      <c r="I934" s="398"/>
      <c r="J934" s="398"/>
      <c r="K934" s="398"/>
      <c r="L934" s="398"/>
      <c r="M934" s="398"/>
    </row>
    <row r="935" spans="1:13">
      <c r="A935" s="398"/>
      <c r="B935" s="398"/>
      <c r="C935" s="398"/>
      <c r="D935" s="398"/>
      <c r="E935" s="398"/>
      <c r="F935" s="398"/>
      <c r="G935" s="398"/>
      <c r="H935" s="398"/>
      <c r="I935" s="398"/>
      <c r="J935" s="398"/>
      <c r="K935" s="398"/>
      <c r="L935" s="398"/>
      <c r="M935" s="398"/>
    </row>
    <row r="936" spans="1:13">
      <c r="A936" s="398"/>
      <c r="B936" s="398"/>
      <c r="C936" s="398"/>
      <c r="D936" s="398"/>
      <c r="E936" s="398"/>
      <c r="F936" s="398"/>
      <c r="G936" s="398"/>
      <c r="H936" s="398"/>
      <c r="I936" s="398"/>
      <c r="J936" s="398"/>
      <c r="K936" s="398"/>
      <c r="L936" s="398"/>
      <c r="M936" s="398"/>
    </row>
    <row r="937" spans="1:13">
      <c r="A937" s="398"/>
      <c r="B937" s="398"/>
      <c r="C937" s="398"/>
      <c r="D937" s="398"/>
      <c r="E937" s="398"/>
      <c r="F937" s="398"/>
      <c r="G937" s="398"/>
      <c r="H937" s="398"/>
      <c r="I937" s="398"/>
      <c r="J937" s="398"/>
      <c r="K937" s="398"/>
      <c r="L937" s="398"/>
      <c r="M937" s="398"/>
    </row>
    <row r="938" spans="1:13">
      <c r="A938" s="398"/>
      <c r="B938" s="398"/>
      <c r="C938" s="398"/>
      <c r="D938" s="398"/>
      <c r="E938" s="398"/>
      <c r="F938" s="398"/>
      <c r="G938" s="398"/>
      <c r="H938" s="398"/>
      <c r="I938" s="398"/>
      <c r="J938" s="398"/>
      <c r="K938" s="398"/>
      <c r="L938" s="398"/>
      <c r="M938" s="398"/>
    </row>
    <row r="939" spans="1:13">
      <c r="A939" s="398"/>
      <c r="B939" s="398"/>
      <c r="C939" s="398"/>
      <c r="D939" s="398"/>
      <c r="E939" s="398"/>
      <c r="F939" s="398"/>
      <c r="G939" s="398"/>
      <c r="H939" s="398"/>
      <c r="I939" s="398"/>
      <c r="J939" s="398"/>
      <c r="K939" s="398"/>
      <c r="L939" s="398"/>
      <c r="M939" s="398"/>
    </row>
    <row r="940" spans="1:13">
      <c r="A940" s="398"/>
      <c r="B940" s="398"/>
      <c r="C940" s="398"/>
      <c r="D940" s="398"/>
      <c r="E940" s="398"/>
      <c r="F940" s="398"/>
      <c r="G940" s="398"/>
      <c r="H940" s="398"/>
      <c r="I940" s="398"/>
      <c r="J940" s="398"/>
      <c r="K940" s="398"/>
      <c r="L940" s="398"/>
      <c r="M940" s="398"/>
    </row>
    <row r="941" spans="1:13">
      <c r="A941" s="398"/>
      <c r="B941" s="398"/>
      <c r="C941" s="398"/>
      <c r="D941" s="398"/>
      <c r="E941" s="398"/>
      <c r="F941" s="398"/>
      <c r="G941" s="398"/>
      <c r="H941" s="398"/>
      <c r="I941" s="398"/>
      <c r="J941" s="398"/>
      <c r="K941" s="398"/>
      <c r="L941" s="398"/>
      <c r="M941" s="398"/>
    </row>
    <row r="942" spans="1:13">
      <c r="A942" s="398"/>
      <c r="B942" s="398"/>
      <c r="C942" s="398"/>
      <c r="D942" s="398"/>
      <c r="E942" s="398"/>
      <c r="F942" s="398"/>
      <c r="G942" s="398"/>
      <c r="H942" s="398"/>
      <c r="I942" s="398"/>
      <c r="J942" s="398"/>
      <c r="K942" s="398"/>
      <c r="L942" s="398"/>
      <c r="M942" s="398"/>
    </row>
    <row r="943" spans="1:13">
      <c r="A943" s="398"/>
      <c r="B943" s="398"/>
      <c r="C943" s="398"/>
      <c r="D943" s="398"/>
      <c r="E943" s="398"/>
      <c r="F943" s="398"/>
      <c r="G943" s="398"/>
      <c r="H943" s="398"/>
      <c r="I943" s="398"/>
      <c r="J943" s="398"/>
      <c r="K943" s="398"/>
      <c r="L943" s="398"/>
      <c r="M943" s="398"/>
    </row>
    <row r="944" spans="1:13">
      <c r="A944" s="398"/>
      <c r="B944" s="398"/>
      <c r="C944" s="398"/>
      <c r="D944" s="398"/>
      <c r="E944" s="398"/>
      <c r="F944" s="398"/>
      <c r="G944" s="398"/>
      <c r="H944" s="398"/>
      <c r="I944" s="398"/>
      <c r="J944" s="398"/>
      <c r="K944" s="398"/>
      <c r="L944" s="398"/>
      <c r="M944" s="398"/>
    </row>
    <row r="945" spans="1:13">
      <c r="A945" s="398"/>
      <c r="B945" s="398"/>
      <c r="C945" s="398"/>
      <c r="D945" s="398"/>
      <c r="E945" s="398"/>
      <c r="F945" s="398"/>
      <c r="G945" s="398"/>
      <c r="H945" s="398"/>
      <c r="I945" s="398"/>
      <c r="J945" s="398"/>
      <c r="K945" s="398"/>
      <c r="L945" s="398"/>
      <c r="M945" s="398"/>
    </row>
    <row r="946" spans="1:13">
      <c r="A946" s="398"/>
      <c r="B946" s="398"/>
      <c r="C946" s="398"/>
      <c r="D946" s="398"/>
      <c r="E946" s="398"/>
      <c r="F946" s="398"/>
      <c r="G946" s="398"/>
      <c r="H946" s="398"/>
      <c r="I946" s="398"/>
      <c r="J946" s="398"/>
      <c r="K946" s="398"/>
      <c r="L946" s="398"/>
      <c r="M946" s="398"/>
    </row>
    <row r="947" spans="1:13">
      <c r="A947" s="398"/>
      <c r="B947" s="398"/>
      <c r="C947" s="398"/>
      <c r="D947" s="398"/>
      <c r="E947" s="398"/>
      <c r="F947" s="398"/>
      <c r="G947" s="398"/>
      <c r="H947" s="398"/>
      <c r="I947" s="398"/>
      <c r="J947" s="398"/>
      <c r="K947" s="398"/>
      <c r="L947" s="398"/>
      <c r="M947" s="398"/>
    </row>
    <row r="948" spans="1:13">
      <c r="A948" s="398"/>
      <c r="B948" s="398"/>
      <c r="C948" s="398"/>
      <c r="D948" s="398"/>
      <c r="E948" s="398"/>
      <c r="F948" s="398"/>
      <c r="G948" s="398"/>
      <c r="H948" s="398"/>
      <c r="I948" s="398"/>
      <c r="J948" s="398"/>
      <c r="K948" s="398"/>
      <c r="L948" s="398"/>
      <c r="M948" s="398"/>
    </row>
    <row r="949" spans="1:13">
      <c r="A949" s="398"/>
      <c r="B949" s="398"/>
      <c r="C949" s="398"/>
      <c r="D949" s="398"/>
      <c r="E949" s="398"/>
      <c r="F949" s="398"/>
      <c r="G949" s="398"/>
      <c r="H949" s="398"/>
      <c r="I949" s="398"/>
      <c r="J949" s="398"/>
      <c r="K949" s="398"/>
      <c r="L949" s="398"/>
      <c r="M949" s="398"/>
    </row>
    <row r="950" spans="1:13">
      <c r="A950" s="398"/>
      <c r="B950" s="398"/>
      <c r="C950" s="398"/>
      <c r="D950" s="398"/>
      <c r="E950" s="398"/>
      <c r="F950" s="398"/>
      <c r="G950" s="398"/>
      <c r="H950" s="398"/>
      <c r="I950" s="398"/>
      <c r="J950" s="398"/>
      <c r="K950" s="398"/>
      <c r="L950" s="398"/>
      <c r="M950" s="398"/>
    </row>
    <row r="951" spans="1:13">
      <c r="A951" s="398"/>
      <c r="B951" s="398"/>
      <c r="C951" s="398"/>
      <c r="D951" s="398"/>
      <c r="E951" s="398"/>
      <c r="F951" s="398"/>
      <c r="G951" s="398"/>
      <c r="H951" s="398"/>
      <c r="I951" s="398"/>
      <c r="J951" s="398"/>
      <c r="K951" s="398"/>
      <c r="L951" s="398"/>
      <c r="M951" s="398"/>
    </row>
    <row r="952" spans="1:13">
      <c r="A952" s="398"/>
      <c r="B952" s="398"/>
      <c r="C952" s="398"/>
      <c r="D952" s="398"/>
      <c r="E952" s="398"/>
      <c r="F952" s="398"/>
      <c r="G952" s="398"/>
      <c r="H952" s="398"/>
      <c r="I952" s="398"/>
      <c r="J952" s="398"/>
      <c r="K952" s="398"/>
      <c r="L952" s="398"/>
      <c r="M952" s="398"/>
    </row>
    <row r="953" spans="1:13">
      <c r="A953" s="398"/>
      <c r="B953" s="398"/>
      <c r="C953" s="398"/>
      <c r="D953" s="398"/>
      <c r="E953" s="398"/>
      <c r="F953" s="398"/>
      <c r="G953" s="398"/>
      <c r="H953" s="398"/>
      <c r="I953" s="398"/>
      <c r="J953" s="398"/>
      <c r="K953" s="398"/>
      <c r="L953" s="398"/>
      <c r="M953" s="398"/>
    </row>
    <row r="954" spans="1:13">
      <c r="A954" s="398"/>
      <c r="B954" s="398"/>
      <c r="C954" s="398"/>
      <c r="D954" s="398"/>
      <c r="E954" s="398"/>
      <c r="F954" s="398"/>
      <c r="G954" s="398"/>
      <c r="H954" s="398"/>
      <c r="I954" s="398"/>
      <c r="J954" s="398"/>
      <c r="K954" s="398"/>
      <c r="L954" s="398"/>
      <c r="M954" s="398"/>
    </row>
    <row r="955" spans="1:13">
      <c r="A955" s="398"/>
      <c r="B955" s="398"/>
      <c r="C955" s="398"/>
      <c r="D955" s="398"/>
      <c r="E955" s="398"/>
      <c r="F955" s="398"/>
      <c r="G955" s="398"/>
      <c r="H955" s="398"/>
      <c r="I955" s="398"/>
      <c r="J955" s="398"/>
      <c r="K955" s="398"/>
      <c r="L955" s="398"/>
      <c r="M955" s="398"/>
    </row>
    <row r="956" spans="1:13">
      <c r="A956" s="398"/>
      <c r="B956" s="398"/>
      <c r="C956" s="398"/>
      <c r="D956" s="398"/>
      <c r="E956" s="398"/>
      <c r="F956" s="398"/>
      <c r="G956" s="398"/>
      <c r="H956" s="398"/>
      <c r="I956" s="398"/>
      <c r="J956" s="398"/>
      <c r="K956" s="398"/>
      <c r="L956" s="398"/>
      <c r="M956" s="398"/>
    </row>
    <row r="957" spans="1:13">
      <c r="A957" s="398"/>
      <c r="B957" s="398"/>
      <c r="C957" s="398"/>
      <c r="D957" s="398"/>
      <c r="E957" s="398"/>
      <c r="F957" s="398"/>
      <c r="G957" s="398"/>
      <c r="H957" s="398"/>
      <c r="I957" s="398"/>
      <c r="J957" s="398"/>
      <c r="K957" s="398"/>
      <c r="L957" s="398"/>
      <c r="M957" s="398"/>
    </row>
    <row r="958" spans="1:13">
      <c r="A958" s="398"/>
      <c r="B958" s="398"/>
      <c r="C958" s="398"/>
      <c r="D958" s="398"/>
      <c r="E958" s="398"/>
      <c r="F958" s="398"/>
      <c r="G958" s="398"/>
      <c r="H958" s="398"/>
      <c r="I958" s="398"/>
      <c r="J958" s="398"/>
      <c r="K958" s="398"/>
      <c r="L958" s="398"/>
      <c r="M958" s="398"/>
    </row>
    <row r="959" spans="1:13">
      <c r="A959" s="398"/>
      <c r="B959" s="398"/>
      <c r="C959" s="398"/>
      <c r="D959" s="398"/>
      <c r="E959" s="398"/>
      <c r="F959" s="398"/>
      <c r="G959" s="398"/>
      <c r="H959" s="398"/>
      <c r="I959" s="398"/>
      <c r="J959" s="398"/>
      <c r="K959" s="398"/>
      <c r="L959" s="398"/>
      <c r="M959" s="398"/>
    </row>
    <row r="960" spans="1:13">
      <c r="A960" s="398"/>
      <c r="B960" s="398"/>
      <c r="C960" s="398"/>
      <c r="D960" s="398"/>
      <c r="E960" s="398"/>
      <c r="F960" s="398"/>
      <c r="G960" s="398"/>
      <c r="H960" s="398"/>
      <c r="I960" s="398"/>
      <c r="J960" s="398"/>
      <c r="K960" s="398"/>
      <c r="L960" s="398"/>
      <c r="M960" s="398"/>
    </row>
    <row r="961" spans="1:13">
      <c r="A961" s="398"/>
      <c r="B961" s="398"/>
      <c r="C961" s="398"/>
      <c r="D961" s="398"/>
      <c r="E961" s="398"/>
      <c r="F961" s="398"/>
      <c r="G961" s="398"/>
      <c r="H961" s="398"/>
      <c r="I961" s="398"/>
      <c r="J961" s="398"/>
      <c r="K961" s="398"/>
      <c r="L961" s="398"/>
      <c r="M961" s="398"/>
    </row>
    <row r="962" spans="1:13">
      <c r="A962" s="398"/>
      <c r="B962" s="398"/>
      <c r="C962" s="398"/>
      <c r="D962" s="398"/>
      <c r="E962" s="398"/>
      <c r="F962" s="398"/>
      <c r="G962" s="398"/>
      <c r="H962" s="398"/>
      <c r="I962" s="398"/>
      <c r="J962" s="398"/>
      <c r="K962" s="398"/>
      <c r="L962" s="398"/>
      <c r="M962" s="398"/>
    </row>
    <row r="963" spans="1:13">
      <c r="A963" s="398"/>
      <c r="B963" s="398"/>
      <c r="C963" s="398"/>
      <c r="D963" s="398"/>
      <c r="E963" s="398"/>
      <c r="F963" s="398"/>
      <c r="G963" s="398"/>
      <c r="H963" s="398"/>
      <c r="I963" s="398"/>
      <c r="J963" s="398"/>
      <c r="K963" s="398"/>
      <c r="L963" s="398"/>
      <c r="M963" s="398"/>
    </row>
    <row r="964" spans="1:13">
      <c r="A964" s="398"/>
      <c r="B964" s="398"/>
      <c r="C964" s="398"/>
      <c r="D964" s="398"/>
      <c r="E964" s="398"/>
      <c r="F964" s="398"/>
      <c r="G964" s="398"/>
      <c r="H964" s="398"/>
      <c r="I964" s="398"/>
      <c r="J964" s="398"/>
      <c r="K964" s="398"/>
      <c r="L964" s="398"/>
      <c r="M964" s="398"/>
    </row>
    <row r="965" spans="1:13">
      <c r="A965" s="398"/>
      <c r="B965" s="398"/>
      <c r="C965" s="398"/>
      <c r="D965" s="398"/>
      <c r="E965" s="398"/>
      <c r="F965" s="398"/>
      <c r="G965" s="398"/>
      <c r="H965" s="398"/>
      <c r="I965" s="398"/>
      <c r="J965" s="398"/>
      <c r="K965" s="398"/>
      <c r="L965" s="398"/>
      <c r="M965" s="398"/>
    </row>
    <row r="966" spans="1:13">
      <c r="A966" s="398"/>
      <c r="B966" s="398"/>
      <c r="C966" s="398"/>
      <c r="D966" s="398"/>
      <c r="E966" s="398"/>
      <c r="F966" s="398"/>
      <c r="G966" s="398"/>
      <c r="H966" s="398"/>
      <c r="I966" s="398"/>
      <c r="J966" s="398"/>
      <c r="K966" s="398"/>
      <c r="L966" s="398"/>
      <c r="M966" s="398"/>
    </row>
    <row r="967" spans="1:13">
      <c r="A967" s="398"/>
      <c r="B967" s="398"/>
      <c r="C967" s="398"/>
      <c r="D967" s="398"/>
      <c r="E967" s="398"/>
      <c r="F967" s="398"/>
      <c r="G967" s="398"/>
      <c r="H967" s="398"/>
      <c r="I967" s="398"/>
      <c r="J967" s="398"/>
      <c r="K967" s="398"/>
      <c r="L967" s="398"/>
      <c r="M967" s="398"/>
    </row>
    <row r="968" spans="1:13">
      <c r="A968" s="398"/>
      <c r="B968" s="398"/>
      <c r="C968" s="398"/>
      <c r="D968" s="398"/>
      <c r="E968" s="398"/>
      <c r="F968" s="398"/>
      <c r="G968" s="398"/>
      <c r="H968" s="398"/>
      <c r="I968" s="398"/>
      <c r="J968" s="398"/>
      <c r="K968" s="398"/>
      <c r="L968" s="398"/>
      <c r="M968" s="398"/>
    </row>
    <row r="969" spans="1:13">
      <c r="A969" s="398"/>
      <c r="B969" s="398"/>
      <c r="C969" s="398"/>
      <c r="D969" s="398"/>
      <c r="E969" s="398"/>
      <c r="F969" s="398"/>
      <c r="G969" s="398"/>
      <c r="H969" s="398"/>
      <c r="I969" s="398"/>
      <c r="J969" s="398"/>
      <c r="K969" s="398"/>
      <c r="L969" s="398"/>
      <c r="M969" s="398"/>
    </row>
    <row r="970" spans="1:13">
      <c r="A970" s="398"/>
      <c r="B970" s="398"/>
      <c r="C970" s="398"/>
      <c r="D970" s="398"/>
      <c r="E970" s="398"/>
      <c r="F970" s="398"/>
      <c r="G970" s="398"/>
      <c r="H970" s="398"/>
      <c r="I970" s="398"/>
      <c r="J970" s="398"/>
      <c r="K970" s="398"/>
      <c r="L970" s="398"/>
      <c r="M970" s="398"/>
    </row>
    <row r="971" spans="1:13">
      <c r="A971" s="398"/>
      <c r="B971" s="398"/>
      <c r="C971" s="398"/>
      <c r="D971" s="398"/>
      <c r="E971" s="398"/>
      <c r="F971" s="398"/>
      <c r="G971" s="398"/>
      <c r="H971" s="398"/>
      <c r="I971" s="398"/>
      <c r="J971" s="398"/>
      <c r="K971" s="398"/>
      <c r="L971" s="398"/>
      <c r="M971" s="398"/>
    </row>
    <row r="972" spans="1:13">
      <c r="A972" s="398"/>
      <c r="B972" s="398"/>
      <c r="C972" s="398"/>
      <c r="D972" s="398"/>
      <c r="E972" s="398"/>
      <c r="F972" s="398"/>
      <c r="G972" s="398"/>
      <c r="H972" s="398"/>
      <c r="I972" s="398"/>
      <c r="J972" s="398"/>
      <c r="K972" s="398"/>
      <c r="L972" s="398"/>
      <c r="M972" s="398"/>
    </row>
    <row r="973" spans="1:13">
      <c r="A973" s="398"/>
      <c r="B973" s="398"/>
      <c r="C973" s="398"/>
      <c r="D973" s="398"/>
      <c r="E973" s="398"/>
      <c r="F973" s="398"/>
      <c r="G973" s="398"/>
      <c r="H973" s="398"/>
      <c r="I973" s="398"/>
      <c r="J973" s="398"/>
      <c r="K973" s="398"/>
      <c r="L973" s="398"/>
      <c r="M973" s="398"/>
    </row>
    <row r="974" spans="1:13">
      <c r="A974" s="398"/>
      <c r="B974" s="398"/>
      <c r="C974" s="398"/>
      <c r="D974" s="398"/>
      <c r="E974" s="398"/>
      <c r="F974" s="398"/>
      <c r="G974" s="398"/>
      <c r="H974" s="398"/>
      <c r="I974" s="398"/>
      <c r="J974" s="398"/>
      <c r="K974" s="398"/>
      <c r="L974" s="398"/>
      <c r="M974" s="398"/>
    </row>
    <row r="975" spans="1:13">
      <c r="A975" s="398"/>
      <c r="B975" s="398"/>
      <c r="C975" s="398"/>
      <c r="D975" s="398"/>
      <c r="E975" s="398"/>
      <c r="F975" s="398"/>
      <c r="G975" s="398"/>
      <c r="H975" s="398"/>
      <c r="I975" s="398"/>
      <c r="J975" s="398"/>
      <c r="K975" s="398"/>
      <c r="L975" s="398"/>
      <c r="M975" s="398"/>
    </row>
    <row r="976" spans="1:13">
      <c r="A976" s="398"/>
      <c r="B976" s="398"/>
      <c r="C976" s="398"/>
      <c r="D976" s="398"/>
      <c r="E976" s="398"/>
      <c r="F976" s="398"/>
      <c r="G976" s="398"/>
      <c r="H976" s="398"/>
      <c r="I976" s="398"/>
      <c r="J976" s="398"/>
      <c r="K976" s="398"/>
      <c r="L976" s="398"/>
      <c r="M976" s="398"/>
    </row>
    <row r="977" spans="1:13">
      <c r="A977" s="398"/>
      <c r="B977" s="398"/>
      <c r="C977" s="398"/>
      <c r="D977" s="398"/>
      <c r="E977" s="398"/>
      <c r="F977" s="398"/>
      <c r="G977" s="398"/>
      <c r="H977" s="398"/>
      <c r="I977" s="398"/>
      <c r="J977" s="398"/>
      <c r="K977" s="398"/>
      <c r="L977" s="398"/>
      <c r="M977" s="398"/>
    </row>
    <row r="978" spans="1:13">
      <c r="A978" s="398"/>
      <c r="B978" s="398"/>
      <c r="C978" s="398"/>
      <c r="D978" s="398"/>
      <c r="E978" s="398"/>
      <c r="F978" s="398"/>
      <c r="G978" s="398"/>
      <c r="H978" s="398"/>
      <c r="I978" s="398"/>
      <c r="J978" s="398"/>
      <c r="K978" s="398"/>
      <c r="L978" s="398"/>
      <c r="M978" s="398"/>
    </row>
    <row r="979" spans="1:13">
      <c r="A979" s="398"/>
      <c r="B979" s="398"/>
      <c r="C979" s="398"/>
      <c r="D979" s="398"/>
      <c r="E979" s="398"/>
      <c r="F979" s="398"/>
      <c r="G979" s="398"/>
      <c r="H979" s="398"/>
      <c r="I979" s="398"/>
      <c r="J979" s="398"/>
      <c r="K979" s="398"/>
      <c r="L979" s="398"/>
      <c r="M979" s="398"/>
    </row>
    <row r="980" spans="1:13">
      <c r="A980" s="398"/>
      <c r="B980" s="398"/>
      <c r="C980" s="398"/>
      <c r="D980" s="398"/>
      <c r="E980" s="398"/>
      <c r="F980" s="398"/>
      <c r="G980" s="398"/>
      <c r="H980" s="398"/>
      <c r="I980" s="398"/>
      <c r="J980" s="398"/>
      <c r="K980" s="398"/>
      <c r="L980" s="398"/>
      <c r="M980" s="398"/>
    </row>
    <row r="981" spans="1:13">
      <c r="A981" s="398"/>
      <c r="B981" s="398"/>
      <c r="C981" s="398"/>
      <c r="D981" s="398"/>
      <c r="E981" s="398"/>
      <c r="F981" s="398"/>
      <c r="G981" s="398"/>
      <c r="H981" s="398"/>
      <c r="I981" s="398"/>
      <c r="J981" s="398"/>
      <c r="K981" s="398"/>
      <c r="L981" s="398"/>
      <c r="M981" s="398"/>
    </row>
    <row r="982" spans="1:13">
      <c r="A982" s="398"/>
      <c r="B982" s="398"/>
      <c r="C982" s="398"/>
      <c r="D982" s="398"/>
      <c r="E982" s="398"/>
      <c r="F982" s="398"/>
      <c r="G982" s="398"/>
      <c r="H982" s="398"/>
      <c r="I982" s="398"/>
      <c r="J982" s="398"/>
      <c r="K982" s="398"/>
      <c r="L982" s="398"/>
      <c r="M982" s="398"/>
    </row>
    <row r="983" spans="1:13">
      <c r="A983" s="398"/>
      <c r="B983" s="398"/>
      <c r="C983" s="398"/>
      <c r="D983" s="398"/>
      <c r="E983" s="398"/>
      <c r="F983" s="398"/>
      <c r="G983" s="398"/>
      <c r="H983" s="398"/>
      <c r="I983" s="398"/>
      <c r="J983" s="398"/>
      <c r="K983" s="398"/>
      <c r="L983" s="398"/>
      <c r="M983" s="398"/>
    </row>
    <row r="984" spans="1:13">
      <c r="A984" s="398"/>
      <c r="B984" s="398"/>
      <c r="C984" s="398"/>
      <c r="D984" s="398"/>
      <c r="E984" s="398"/>
      <c r="F984" s="398"/>
      <c r="G984" s="398"/>
      <c r="H984" s="398"/>
      <c r="I984" s="398"/>
      <c r="J984" s="398"/>
      <c r="K984" s="398"/>
      <c r="L984" s="398"/>
      <c r="M984" s="398"/>
    </row>
    <row r="985" spans="1:13">
      <c r="A985" s="398"/>
      <c r="B985" s="398"/>
      <c r="C985" s="398"/>
      <c r="D985" s="398"/>
      <c r="E985" s="398"/>
      <c r="F985" s="398"/>
      <c r="G985" s="398"/>
      <c r="H985" s="398"/>
      <c r="I985" s="398"/>
      <c r="J985" s="398"/>
      <c r="K985" s="398"/>
      <c r="L985" s="398"/>
      <c r="M985" s="398"/>
    </row>
    <row r="986" spans="1:13">
      <c r="A986" s="398"/>
      <c r="B986" s="398"/>
      <c r="C986" s="398"/>
      <c r="D986" s="398"/>
      <c r="E986" s="398"/>
      <c r="F986" s="398"/>
      <c r="G986" s="398"/>
      <c r="H986" s="398"/>
      <c r="I986" s="398"/>
      <c r="J986" s="398"/>
      <c r="K986" s="398"/>
      <c r="L986" s="398"/>
      <c r="M986" s="398"/>
    </row>
    <row r="987" spans="1:13">
      <c r="A987" s="398"/>
      <c r="B987" s="398"/>
      <c r="C987" s="398"/>
      <c r="D987" s="398"/>
      <c r="E987" s="398"/>
      <c r="F987" s="398"/>
      <c r="G987" s="398"/>
      <c r="H987" s="398"/>
      <c r="I987" s="398"/>
      <c r="J987" s="398"/>
      <c r="K987" s="398"/>
      <c r="L987" s="398"/>
      <c r="M987" s="398"/>
    </row>
    <row r="988" spans="1:13">
      <c r="A988" s="398"/>
      <c r="B988" s="398"/>
      <c r="C988" s="398"/>
      <c r="D988" s="398"/>
      <c r="E988" s="398"/>
      <c r="F988" s="398"/>
      <c r="G988" s="398"/>
      <c r="H988" s="398"/>
      <c r="I988" s="398"/>
      <c r="J988" s="398"/>
      <c r="K988" s="398"/>
      <c r="L988" s="398"/>
      <c r="M988" s="398"/>
    </row>
    <row r="989" spans="1:13">
      <c r="A989" s="398"/>
      <c r="B989" s="398"/>
      <c r="C989" s="398"/>
      <c r="D989" s="398"/>
      <c r="E989" s="398"/>
      <c r="F989" s="398"/>
      <c r="G989" s="398"/>
      <c r="H989" s="398"/>
      <c r="I989" s="398"/>
      <c r="J989" s="398"/>
      <c r="K989" s="398"/>
      <c r="L989" s="398"/>
      <c r="M989" s="398"/>
    </row>
    <row r="990" spans="1:13">
      <c r="A990" s="398"/>
      <c r="B990" s="398"/>
      <c r="C990" s="398"/>
      <c r="D990" s="398"/>
      <c r="E990" s="398"/>
      <c r="F990" s="398"/>
      <c r="G990" s="398"/>
      <c r="H990" s="398"/>
      <c r="I990" s="398"/>
      <c r="J990" s="398"/>
      <c r="K990" s="398"/>
      <c r="L990" s="398"/>
      <c r="M990" s="398"/>
    </row>
    <row r="991" spans="1:13">
      <c r="A991" s="398"/>
      <c r="B991" s="398"/>
      <c r="C991" s="398"/>
      <c r="D991" s="398"/>
      <c r="E991" s="398"/>
      <c r="F991" s="398"/>
      <c r="G991" s="398"/>
      <c r="H991" s="398"/>
      <c r="I991" s="398"/>
      <c r="J991" s="398"/>
      <c r="K991" s="398"/>
      <c r="L991" s="398"/>
      <c r="M991" s="398"/>
    </row>
    <row r="992" spans="1:13">
      <c r="A992" s="398"/>
      <c r="B992" s="398"/>
      <c r="C992" s="398"/>
      <c r="D992" s="398"/>
      <c r="E992" s="398"/>
      <c r="F992" s="398"/>
      <c r="G992" s="398"/>
      <c r="H992" s="398"/>
      <c r="I992" s="398"/>
      <c r="J992" s="398"/>
      <c r="K992" s="398"/>
      <c r="L992" s="398"/>
      <c r="M992" s="398"/>
    </row>
    <row r="993" spans="1:13">
      <c r="A993" s="398"/>
      <c r="B993" s="398"/>
      <c r="C993" s="398"/>
      <c r="D993" s="398"/>
      <c r="E993" s="398"/>
      <c r="F993" s="398"/>
      <c r="G993" s="398"/>
      <c r="H993" s="398"/>
      <c r="I993" s="398"/>
      <c r="J993" s="398"/>
      <c r="K993" s="398"/>
      <c r="L993" s="398"/>
      <c r="M993" s="398"/>
    </row>
    <row r="994" spans="1:13">
      <c r="A994" s="398"/>
      <c r="B994" s="398"/>
      <c r="C994" s="398"/>
      <c r="D994" s="398"/>
      <c r="E994" s="398"/>
      <c r="F994" s="398"/>
      <c r="G994" s="398"/>
      <c r="H994" s="398"/>
      <c r="I994" s="398"/>
      <c r="J994" s="398"/>
      <c r="K994" s="398"/>
      <c r="L994" s="398"/>
      <c r="M994" s="398"/>
    </row>
    <row r="995" spans="1:13">
      <c r="A995" s="398"/>
      <c r="B995" s="398"/>
      <c r="C995" s="398"/>
      <c r="D995" s="398"/>
      <c r="E995" s="398"/>
      <c r="F995" s="398"/>
      <c r="G995" s="398"/>
      <c r="H995" s="398"/>
      <c r="I995" s="398"/>
      <c r="J995" s="398"/>
      <c r="K995" s="398"/>
      <c r="L995" s="398"/>
      <c r="M995" s="398"/>
    </row>
    <row r="996" spans="1:13">
      <c r="A996" s="398"/>
      <c r="B996" s="398"/>
      <c r="C996" s="398"/>
      <c r="D996" s="398"/>
      <c r="E996" s="398"/>
      <c r="F996" s="398"/>
      <c r="G996" s="398"/>
      <c r="H996" s="398"/>
      <c r="I996" s="398"/>
      <c r="J996" s="398"/>
      <c r="K996" s="398"/>
      <c r="L996" s="398"/>
      <c r="M996" s="398"/>
    </row>
    <row r="997" spans="1:13">
      <c r="A997" s="398"/>
      <c r="B997" s="398"/>
      <c r="C997" s="398"/>
      <c r="D997" s="398"/>
      <c r="E997" s="398"/>
      <c r="F997" s="398"/>
      <c r="G997" s="398"/>
      <c r="H997" s="398"/>
      <c r="I997" s="398"/>
      <c r="J997" s="398"/>
      <c r="K997" s="398"/>
      <c r="L997" s="398"/>
      <c r="M997" s="398"/>
    </row>
    <row r="998" spans="1:13">
      <c r="A998" s="398"/>
      <c r="B998" s="398"/>
      <c r="C998" s="398"/>
      <c r="D998" s="398"/>
      <c r="E998" s="398"/>
      <c r="F998" s="398"/>
      <c r="G998" s="398"/>
      <c r="H998" s="398"/>
      <c r="I998" s="398"/>
      <c r="J998" s="398"/>
      <c r="K998" s="398"/>
      <c r="L998" s="398"/>
      <c r="M998" s="398"/>
    </row>
    <row r="999" spans="1:13">
      <c r="A999" s="398"/>
      <c r="B999" s="398"/>
      <c r="C999" s="398"/>
      <c r="D999" s="398"/>
      <c r="E999" s="398"/>
      <c r="F999" s="398"/>
      <c r="G999" s="398"/>
      <c r="H999" s="398"/>
      <c r="I999" s="398"/>
      <c r="J999" s="398"/>
      <c r="K999" s="398"/>
      <c r="L999" s="398"/>
      <c r="M999" s="398"/>
    </row>
    <row r="1000" spans="1:13">
      <c r="A1000" s="398"/>
      <c r="B1000" s="398"/>
      <c r="C1000" s="398"/>
      <c r="D1000" s="398"/>
      <c r="E1000" s="398"/>
      <c r="F1000" s="398"/>
      <c r="G1000" s="398"/>
      <c r="H1000" s="398"/>
      <c r="I1000" s="398"/>
      <c r="J1000" s="398"/>
      <c r="K1000" s="398"/>
      <c r="L1000" s="398"/>
      <c r="M1000" s="39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76"/>
  <sheetViews>
    <sheetView showGridLines="0" zoomScale="110" zoomScaleNormal="110" workbookViewId="0">
      <selection activeCell="G48" sqref="G48"/>
    </sheetView>
  </sheetViews>
  <sheetFormatPr defaultColWidth="13.7109375" defaultRowHeight="15"/>
  <cols>
    <col min="1" max="1" width="2.28515625" style="31" customWidth="1"/>
    <col min="2" max="2" width="56.140625" style="31" bestFit="1" customWidth="1"/>
    <col min="3" max="3" width="13.28515625" style="31" bestFit="1" customWidth="1"/>
    <col min="4" max="4" width="17.7109375" style="31" bestFit="1" customWidth="1"/>
    <col min="5" max="5" width="11.85546875" style="31" bestFit="1" customWidth="1"/>
    <col min="6" max="6" width="13.28515625" style="31" bestFit="1" customWidth="1"/>
    <col min="7" max="16384" width="13.7109375" style="31"/>
  </cols>
  <sheetData>
    <row r="1" spans="2:9" s="1" customFormat="1" ht="19.899999999999999" customHeight="1">
      <c r="B1" s="411" t="str">
        <f>'PC &amp; MoF'!B1</f>
        <v>M/s. OMC Power Private Limited</v>
      </c>
      <c r="C1" s="411"/>
      <c r="D1" s="411"/>
      <c r="E1" s="411"/>
      <c r="F1" s="31"/>
    </row>
    <row r="2" spans="2:9" s="1" customFormat="1" ht="9" customHeight="1">
      <c r="B2" s="2"/>
      <c r="C2" s="2"/>
      <c r="D2" s="2"/>
      <c r="E2" s="2"/>
      <c r="F2" s="2"/>
    </row>
    <row r="3" spans="2:9" s="1" customFormat="1" ht="19.899999999999999" customHeight="1">
      <c r="B3" s="412" t="str">
        <f>'PC &amp; MoF'!B3</f>
        <v>Financial Model for Proposed 35 locations Solar Power Plant (20 MW )</v>
      </c>
      <c r="C3" s="412"/>
      <c r="D3" s="412"/>
      <c r="E3" s="412"/>
      <c r="F3" s="31"/>
    </row>
    <row r="4" spans="2:9" s="1" customFormat="1" ht="9" customHeight="1">
      <c r="B4" s="2"/>
      <c r="C4" s="2"/>
      <c r="D4" s="2"/>
      <c r="E4" s="2"/>
      <c r="F4" s="2"/>
    </row>
    <row r="5" spans="2:9" ht="15.75">
      <c r="B5" s="33" t="s">
        <v>73</v>
      </c>
      <c r="C5" s="33"/>
      <c r="D5" s="33"/>
      <c r="E5" s="34"/>
    </row>
    <row r="6" spans="2:9">
      <c r="B6" s="32"/>
      <c r="C6" s="32"/>
      <c r="D6" s="32"/>
      <c r="E6" s="32"/>
    </row>
    <row r="7" spans="2:9">
      <c r="B7" s="35" t="s">
        <v>74</v>
      </c>
      <c r="C7" s="35"/>
      <c r="D7" s="35"/>
      <c r="E7" s="35"/>
    </row>
    <row r="8" spans="2:9">
      <c r="B8" s="36" t="s">
        <v>0</v>
      </c>
      <c r="C8" s="36"/>
      <c r="D8" s="36"/>
      <c r="E8" s="37" t="s">
        <v>17</v>
      </c>
      <c r="H8" s="31" t="e">
        <f>+month</f>
        <v>#NAME?</v>
      </c>
    </row>
    <row r="9" spans="2:9">
      <c r="B9" s="32" t="s">
        <v>18</v>
      </c>
      <c r="C9" s="32"/>
      <c r="D9" s="32" t="s">
        <v>19</v>
      </c>
      <c r="E9" s="38">
        <v>45712</v>
      </c>
    </row>
    <row r="10" spans="2:9">
      <c r="B10" s="32" t="s">
        <v>20</v>
      </c>
      <c r="C10" s="32"/>
      <c r="D10" s="32" t="s">
        <v>21</v>
      </c>
      <c r="E10" s="38">
        <f>EOMONTH(E9,1)</f>
        <v>45747</v>
      </c>
      <c r="G10" s="31" t="s">
        <v>329</v>
      </c>
      <c r="H10" s="31" t="s">
        <v>330</v>
      </c>
    </row>
    <row r="11" spans="2:9">
      <c r="B11" s="32" t="s">
        <v>22</v>
      </c>
      <c r="C11" s="32"/>
      <c r="D11" s="32" t="s">
        <v>23</v>
      </c>
      <c r="E11" s="39">
        <v>3</v>
      </c>
      <c r="G11" s="31" t="s">
        <v>331</v>
      </c>
      <c r="H11" s="31">
        <v>174</v>
      </c>
      <c r="I11" s="31" t="s">
        <v>332</v>
      </c>
    </row>
    <row r="12" spans="2:9">
      <c r="B12" s="32" t="s">
        <v>24</v>
      </c>
      <c r="C12" s="32"/>
      <c r="D12" s="32" t="s">
        <v>25</v>
      </c>
      <c r="E12" s="38">
        <f>EOMONTH(E10,E11)</f>
        <v>45838</v>
      </c>
    </row>
    <row r="13" spans="2:9">
      <c r="B13" s="32" t="s">
        <v>26</v>
      </c>
      <c r="C13" s="32"/>
      <c r="D13" s="32" t="s">
        <v>27</v>
      </c>
      <c r="E13" s="38">
        <f>E12+1</f>
        <v>45839</v>
      </c>
    </row>
    <row r="14" spans="2:9">
      <c r="B14" s="32" t="s">
        <v>28</v>
      </c>
      <c r="C14" s="32"/>
      <c r="D14" s="32" t="s">
        <v>29</v>
      </c>
      <c r="E14" s="40">
        <v>25</v>
      </c>
      <c r="G14" s="31">
        <v>26</v>
      </c>
    </row>
    <row r="15" spans="2:9">
      <c r="B15" s="32" t="s">
        <v>30</v>
      </c>
      <c r="C15" s="32"/>
      <c r="D15" s="32" t="s">
        <v>31</v>
      </c>
      <c r="E15" s="38">
        <f>EOMONTH(E10,E14*12+15)</f>
        <v>55334</v>
      </c>
      <c r="G15" s="31">
        <v>27</v>
      </c>
    </row>
    <row r="16" spans="2:9">
      <c r="B16" s="41"/>
      <c r="C16" s="41"/>
      <c r="D16" s="41"/>
      <c r="E16" s="41"/>
      <c r="G16" s="31">
        <v>28</v>
      </c>
    </row>
    <row r="17" spans="2:7">
      <c r="B17" s="35" t="s">
        <v>32</v>
      </c>
      <c r="C17" s="35"/>
      <c r="D17" s="65" t="s">
        <v>75</v>
      </c>
      <c r="E17" s="65" t="s">
        <v>76</v>
      </c>
      <c r="G17" s="31">
        <v>29</v>
      </c>
    </row>
    <row r="18" spans="2:7">
      <c r="B18" s="36" t="s">
        <v>0</v>
      </c>
      <c r="C18" s="37" t="s">
        <v>34</v>
      </c>
      <c r="D18" s="37" t="s">
        <v>33</v>
      </c>
      <c r="E18" s="37" t="s">
        <v>33</v>
      </c>
      <c r="G18" s="31">
        <v>30</v>
      </c>
    </row>
    <row r="19" spans="2:7">
      <c r="B19" s="42" t="s">
        <v>35</v>
      </c>
      <c r="C19" s="43" t="s">
        <v>36</v>
      </c>
      <c r="D19" s="43">
        <v>24</v>
      </c>
      <c r="E19" s="43">
        <v>24</v>
      </c>
      <c r="G19" s="31">
        <v>31</v>
      </c>
    </row>
    <row r="20" spans="2:7">
      <c r="B20" s="42" t="s">
        <v>37</v>
      </c>
      <c r="C20" s="43" t="s">
        <v>38</v>
      </c>
      <c r="D20" s="43">
        <v>365</v>
      </c>
      <c r="E20" s="43">
        <v>365</v>
      </c>
      <c r="G20" s="31">
        <v>32</v>
      </c>
    </row>
    <row r="21" spans="2:7">
      <c r="B21" s="42" t="s">
        <v>39</v>
      </c>
      <c r="C21" s="43" t="s">
        <v>38</v>
      </c>
      <c r="D21" s="43">
        <v>365</v>
      </c>
      <c r="E21" s="43">
        <v>365</v>
      </c>
      <c r="G21" s="31">
        <v>33</v>
      </c>
    </row>
    <row r="22" spans="2:7">
      <c r="B22" s="32"/>
      <c r="C22" s="44"/>
      <c r="D22" s="44"/>
      <c r="E22" s="44"/>
      <c r="G22" s="31">
        <v>34</v>
      </c>
    </row>
    <row r="23" spans="2:7">
      <c r="B23" s="45" t="s">
        <v>40</v>
      </c>
      <c r="C23" s="45"/>
      <c r="D23" s="45"/>
      <c r="E23" s="45"/>
      <c r="G23" s="31">
        <v>35</v>
      </c>
    </row>
    <row r="24" spans="2:7">
      <c r="B24" s="32" t="s">
        <v>41</v>
      </c>
      <c r="C24" s="43" t="s">
        <v>42</v>
      </c>
      <c r="D24" s="58">
        <f>+D25/1000</f>
        <v>19.797139999999999</v>
      </c>
      <c r="E24" s="58"/>
      <c r="G24" s="31">
        <v>36</v>
      </c>
    </row>
    <row r="25" spans="2:7">
      <c r="B25" s="32" t="s">
        <v>43</v>
      </c>
      <c r="C25" s="43" t="s">
        <v>44</v>
      </c>
      <c r="D25" s="67">
        <f>+'PO wise details'!D43</f>
        <v>19797.14</v>
      </c>
      <c r="E25" s="67"/>
      <c r="G25" s="31">
        <v>37</v>
      </c>
    </row>
    <row r="26" spans="2:7">
      <c r="B26" s="32" t="s">
        <v>45</v>
      </c>
      <c r="C26" s="46" t="s">
        <v>46</v>
      </c>
      <c r="D26" s="47">
        <v>0.16551252643231532</v>
      </c>
      <c r="E26" s="47"/>
      <c r="G26" s="31">
        <v>38</v>
      </c>
    </row>
    <row r="27" spans="2:7">
      <c r="B27" s="32" t="s">
        <v>77</v>
      </c>
      <c r="C27" s="46" t="s">
        <v>46</v>
      </c>
      <c r="D27" s="47">
        <v>0.01</v>
      </c>
      <c r="E27" s="47"/>
      <c r="G27" s="31">
        <v>39</v>
      </c>
    </row>
    <row r="28" spans="2:7">
      <c r="B28" s="32" t="s">
        <v>78</v>
      </c>
      <c r="C28" s="46" t="s">
        <v>46</v>
      </c>
      <c r="D28" s="47">
        <v>0.01</v>
      </c>
      <c r="E28" s="47"/>
      <c r="G28" s="31">
        <v>40</v>
      </c>
    </row>
    <row r="29" spans="2:7">
      <c r="B29" s="32" t="s">
        <v>47</v>
      </c>
      <c r="C29" s="46" t="s">
        <v>46</v>
      </c>
      <c r="D29" s="298">
        <v>0</v>
      </c>
      <c r="E29" s="298"/>
      <c r="G29" s="31">
        <v>41</v>
      </c>
    </row>
    <row r="30" spans="2:7">
      <c r="B30" s="32"/>
      <c r="C30" s="46"/>
      <c r="D30" s="47"/>
      <c r="E30" s="47"/>
      <c r="G30" s="31">
        <v>42</v>
      </c>
    </row>
    <row r="31" spans="2:7">
      <c r="B31" s="45" t="s">
        <v>48</v>
      </c>
      <c r="C31" s="45"/>
      <c r="D31" s="45"/>
      <c r="E31" s="45"/>
      <c r="G31" s="31">
        <v>43</v>
      </c>
    </row>
    <row r="32" spans="2:7">
      <c r="B32" s="48" t="s">
        <v>333</v>
      </c>
      <c r="C32" s="49" t="s">
        <v>49</v>
      </c>
      <c r="D32" s="49">
        <v>4.8499999999999996</v>
      </c>
      <c r="E32" s="49">
        <v>0</v>
      </c>
      <c r="G32" s="31">
        <v>44</v>
      </c>
    </row>
    <row r="33" spans="2:7">
      <c r="B33" s="50"/>
      <c r="C33" s="52" t="s">
        <v>49</v>
      </c>
      <c r="D33" s="51">
        <f>+D32</f>
        <v>4.8499999999999996</v>
      </c>
      <c r="E33" s="51">
        <v>0</v>
      </c>
      <c r="G33" s="31">
        <v>46</v>
      </c>
    </row>
    <row r="34" spans="2:7">
      <c r="B34" s="32"/>
      <c r="C34" s="32"/>
      <c r="D34" s="32"/>
      <c r="E34" s="32"/>
      <c r="G34" s="31">
        <v>48</v>
      </c>
    </row>
    <row r="35" spans="2:7">
      <c r="B35" s="36" t="s">
        <v>50</v>
      </c>
      <c r="C35" s="36"/>
      <c r="D35" s="36"/>
      <c r="E35" s="36"/>
      <c r="G35" s="31">
        <v>49</v>
      </c>
    </row>
    <row r="36" spans="2:7">
      <c r="B36" s="53" t="s">
        <v>398</v>
      </c>
      <c r="C36" s="55" t="s">
        <v>297</v>
      </c>
      <c r="D36" s="54">
        <f>600000/100000</f>
        <v>6</v>
      </c>
      <c r="E36" s="54"/>
      <c r="F36" s="119">
        <f>+'PC &amp; MoF'!H18</f>
        <v>86.485907541301259</v>
      </c>
      <c r="G36" s="31">
        <v>50</v>
      </c>
    </row>
    <row r="37" spans="2:7">
      <c r="B37" s="53" t="s">
        <v>298</v>
      </c>
      <c r="C37" s="55"/>
      <c r="D37" s="54">
        <v>0</v>
      </c>
      <c r="E37" s="54"/>
      <c r="F37" s="31">
        <f>+F36*1%</f>
        <v>0.86485907541301266</v>
      </c>
    </row>
    <row r="38" spans="2:7">
      <c r="B38" s="32" t="s">
        <v>52</v>
      </c>
      <c r="C38" s="49" t="s">
        <v>53</v>
      </c>
      <c r="D38" s="56">
        <v>0.05</v>
      </c>
      <c r="E38" s="56"/>
      <c r="F38" s="6">
        <f>+F37*10^7</f>
        <v>8648590.7541301269</v>
      </c>
    </row>
    <row r="39" spans="2:7">
      <c r="B39" s="32" t="s">
        <v>51</v>
      </c>
      <c r="C39" s="49" t="s">
        <v>299</v>
      </c>
      <c r="D39" s="47">
        <v>1E-3</v>
      </c>
      <c r="E39" s="47"/>
      <c r="G39" s="31" t="e">
        <f>+F36*#REF!</f>
        <v>#REF!</v>
      </c>
    </row>
    <row r="40" spans="2:7">
      <c r="B40" s="36" t="s">
        <v>54</v>
      </c>
      <c r="C40" s="36"/>
      <c r="D40" s="36"/>
      <c r="E40" s="36"/>
    </row>
    <row r="41" spans="2:7">
      <c r="B41" s="57" t="s">
        <v>54</v>
      </c>
      <c r="C41" s="47" t="s">
        <v>55</v>
      </c>
      <c r="D41" s="56">
        <v>0</v>
      </c>
      <c r="E41" s="56">
        <v>0</v>
      </c>
    </row>
    <row r="42" spans="2:7">
      <c r="B42" s="32" t="s">
        <v>56</v>
      </c>
      <c r="C42" s="47" t="s">
        <v>55</v>
      </c>
      <c r="D42" s="56">
        <v>0</v>
      </c>
      <c r="E42" s="56">
        <v>0</v>
      </c>
    </row>
    <row r="43" spans="2:7">
      <c r="B43" s="32"/>
      <c r="C43" s="47"/>
      <c r="D43" s="56"/>
      <c r="E43" s="56"/>
    </row>
    <row r="44" spans="2:7" ht="15.75">
      <c r="B44" s="33" t="s">
        <v>79</v>
      </c>
      <c r="C44" s="33"/>
      <c r="D44" s="33"/>
      <c r="E44" s="33"/>
    </row>
    <row r="45" spans="2:7">
      <c r="B45" s="36" t="s">
        <v>57</v>
      </c>
      <c r="C45" s="36"/>
      <c r="D45" s="36"/>
      <c r="E45" s="36"/>
    </row>
    <row r="46" spans="2:7">
      <c r="B46" s="32" t="s">
        <v>58</v>
      </c>
      <c r="C46" s="46" t="s">
        <v>59</v>
      </c>
      <c r="D46" s="47">
        <v>9.2499999999999999E-2</v>
      </c>
    </row>
    <row r="47" spans="2:7">
      <c r="B47" s="32" t="s">
        <v>60</v>
      </c>
      <c r="C47" s="46" t="s">
        <v>61</v>
      </c>
      <c r="D47" s="58">
        <v>15</v>
      </c>
    </row>
    <row r="48" spans="2:7">
      <c r="B48" s="32" t="s">
        <v>62</v>
      </c>
      <c r="C48" s="46" t="s">
        <v>63</v>
      </c>
      <c r="D48" s="58">
        <v>0</v>
      </c>
    </row>
    <row r="49" spans="2:10">
      <c r="B49" s="32" t="s">
        <v>64</v>
      </c>
      <c r="C49" s="46" t="s">
        <v>63</v>
      </c>
      <c r="D49" s="58">
        <v>0</v>
      </c>
    </row>
    <row r="50" spans="2:10">
      <c r="B50" s="32"/>
      <c r="C50" s="46"/>
      <c r="D50" s="58"/>
    </row>
    <row r="51" spans="2:10">
      <c r="B51" s="36" t="s">
        <v>65</v>
      </c>
      <c r="C51" s="36"/>
      <c r="D51" s="36"/>
      <c r="E51" s="36"/>
    </row>
    <row r="52" spans="2:10">
      <c r="B52" s="32" t="s">
        <v>66</v>
      </c>
      <c r="C52" s="46" t="s">
        <v>67</v>
      </c>
      <c r="E52" s="56">
        <v>0.1716</v>
      </c>
    </row>
    <row r="53" spans="2:10">
      <c r="B53" s="60"/>
      <c r="C53" s="60"/>
    </row>
    <row r="54" spans="2:10">
      <c r="B54" s="31" t="s">
        <v>68</v>
      </c>
      <c r="C54" s="46" t="s">
        <v>59</v>
      </c>
      <c r="E54" s="44">
        <v>0.25</v>
      </c>
    </row>
    <row r="55" spans="2:10">
      <c r="B55" s="31" t="s">
        <v>69</v>
      </c>
      <c r="C55" s="46" t="s">
        <v>59</v>
      </c>
      <c r="E55" s="44">
        <v>0.12</v>
      </c>
    </row>
    <row r="56" spans="2:10">
      <c r="B56" s="31" t="s">
        <v>70</v>
      </c>
      <c r="C56" s="46" t="s">
        <v>59</v>
      </c>
      <c r="E56" s="44">
        <v>0.04</v>
      </c>
    </row>
    <row r="57" spans="2:10">
      <c r="B57" s="61" t="s">
        <v>71</v>
      </c>
      <c r="C57" s="63" t="s">
        <v>59</v>
      </c>
      <c r="E57" s="62">
        <v>0.29120000000000001</v>
      </c>
      <c r="J57" s="295"/>
    </row>
    <row r="58" spans="2:10">
      <c r="C58" s="46"/>
      <c r="H58" s="119"/>
      <c r="J58" s="295"/>
    </row>
    <row r="59" spans="2:10" ht="30">
      <c r="B59" s="71" t="s">
        <v>224</v>
      </c>
      <c r="C59" s="229" t="s">
        <v>213</v>
      </c>
      <c r="D59" s="72" t="s">
        <v>216</v>
      </c>
      <c r="E59" s="72" t="s">
        <v>217</v>
      </c>
      <c r="J59" s="295"/>
    </row>
    <row r="60" spans="2:10">
      <c r="B60" s="31" t="s">
        <v>1</v>
      </c>
      <c r="D60" s="230">
        <v>0</v>
      </c>
      <c r="E60" s="230">
        <v>0</v>
      </c>
      <c r="J60" s="295"/>
    </row>
    <row r="61" spans="2:10">
      <c r="B61" s="31" t="s">
        <v>2</v>
      </c>
      <c r="C61" s="85">
        <v>30</v>
      </c>
      <c r="D61" s="230">
        <f>1/C61</f>
        <v>3.3333333333333333E-2</v>
      </c>
      <c r="E61" s="230">
        <v>0.1</v>
      </c>
      <c r="J61" s="295"/>
    </row>
    <row r="62" spans="2:10">
      <c r="B62" s="31" t="s">
        <v>3</v>
      </c>
      <c r="C62" s="85">
        <v>25</v>
      </c>
      <c r="D62" s="230">
        <f>1/C62</f>
        <v>0.04</v>
      </c>
      <c r="E62" s="230">
        <v>0.15</v>
      </c>
      <c r="H62" s="296"/>
      <c r="J62" s="295"/>
    </row>
    <row r="63" spans="2:10">
      <c r="B63" s="31" t="s">
        <v>4</v>
      </c>
      <c r="C63" s="85">
        <v>10</v>
      </c>
      <c r="D63" s="230">
        <f>1/C63</f>
        <v>0.1</v>
      </c>
      <c r="E63" s="230">
        <v>0.1</v>
      </c>
      <c r="H63" s="297"/>
      <c r="J63" s="295"/>
    </row>
    <row r="64" spans="2:10">
      <c r="B64" s="31" t="s">
        <v>5</v>
      </c>
      <c r="C64" s="85">
        <v>8</v>
      </c>
      <c r="D64" s="230">
        <f>1/C64</f>
        <v>0.125</v>
      </c>
      <c r="E64" s="230">
        <v>0.4</v>
      </c>
      <c r="J64" s="295"/>
    </row>
    <row r="65" spans="2:10">
      <c r="B65" s="31" t="s">
        <v>6</v>
      </c>
      <c r="C65" s="85">
        <v>5</v>
      </c>
      <c r="D65" s="230">
        <f>1/C65</f>
        <v>0.2</v>
      </c>
      <c r="E65" s="230">
        <v>0.15</v>
      </c>
      <c r="J65" s="295"/>
    </row>
    <row r="66" spans="2:10">
      <c r="B66" s="96" t="s">
        <v>215</v>
      </c>
      <c r="C66" s="97"/>
      <c r="D66" s="231"/>
      <c r="E66" s="231"/>
      <c r="J66" s="295"/>
    </row>
    <row r="67" spans="2:10">
      <c r="J67" s="295"/>
    </row>
    <row r="68" spans="2:10">
      <c r="B68" s="123" t="s">
        <v>277</v>
      </c>
      <c r="J68" s="295"/>
    </row>
    <row r="69" spans="2:10">
      <c r="B69" s="71" t="s">
        <v>276</v>
      </c>
      <c r="C69" s="294" t="s">
        <v>38</v>
      </c>
      <c r="D69" s="229"/>
      <c r="E69" s="229"/>
      <c r="J69" s="295"/>
    </row>
    <row r="70" spans="2:10">
      <c r="B70" s="31" t="s">
        <v>50</v>
      </c>
      <c r="C70" s="31">
        <v>30</v>
      </c>
      <c r="J70" s="295"/>
    </row>
    <row r="71" spans="2:10">
      <c r="B71" s="31" t="s">
        <v>278</v>
      </c>
      <c r="C71" s="31">
        <v>30</v>
      </c>
      <c r="J71" s="295"/>
    </row>
    <row r="72" spans="2:10">
      <c r="J72" s="295"/>
    </row>
    <row r="73" spans="2:10">
      <c r="J73" s="295"/>
    </row>
    <row r="74" spans="2:10">
      <c r="J74" s="295"/>
    </row>
    <row r="75" spans="2:10">
      <c r="J75" s="295"/>
    </row>
    <row r="76" spans="2:10">
      <c r="J76" s="295"/>
    </row>
  </sheetData>
  <mergeCells count="2">
    <mergeCell ref="B1:E1"/>
    <mergeCell ref="B3:E3"/>
  </mergeCells>
  <dataValidations count="1">
    <dataValidation type="list" allowBlank="1" showInputMessage="1" showErrorMessage="1" sqref="D46" xr:uid="{00000000-0002-0000-0100-000000000000}">
      <formula1>"9.25%,10.25%,11.25%"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75"/>
  <sheetViews>
    <sheetView showGridLines="0" zoomScale="85" zoomScaleNormal="85" workbookViewId="0">
      <pane xSplit="2" ySplit="10" topLeftCell="C21" activePane="bottomRight" state="frozen"/>
      <selection pane="topRight" activeCell="C1" sqref="C1"/>
      <selection pane="bottomLeft" activeCell="A11" sqref="A11"/>
      <selection pane="bottomRight" activeCell="G36" sqref="G36"/>
    </sheetView>
  </sheetViews>
  <sheetFormatPr defaultRowHeight="15"/>
  <cols>
    <col min="1" max="1" width="2.28515625" customWidth="1"/>
    <col min="2" max="2" width="64.7109375" customWidth="1"/>
    <col min="3" max="3" width="6" bestFit="1" customWidth="1"/>
    <col min="4" max="4" width="11.140625" bestFit="1" customWidth="1"/>
    <col min="5" max="5" width="9.7109375" bestFit="1" customWidth="1"/>
    <col min="6" max="7" width="12.28515625" bestFit="1" customWidth="1"/>
    <col min="8" max="8" width="15.28515625" bestFit="1" customWidth="1"/>
    <col min="9" max="9" width="15.85546875" bestFit="1" customWidth="1"/>
    <col min="10" max="30" width="12.28515625" bestFit="1" customWidth="1"/>
  </cols>
  <sheetData>
    <row r="1" spans="2:30" s="1" customFormat="1" ht="19.899999999999999" customHeight="1">
      <c r="B1" s="101" t="str">
        <f>Company</f>
        <v>M/s. OMC Power Private Limited</v>
      </c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</row>
    <row r="2" spans="2:30" s="1" customFormat="1" ht="9" customHeight="1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2:30" s="1" customFormat="1" ht="19.899999999999999" customHeight="1">
      <c r="B3" s="102" t="str">
        <f>Project</f>
        <v>Financial Model for Proposed 35 locations Solar Power Plant (20 MW )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</row>
    <row r="4" spans="2:30" s="1" customFormat="1" ht="9" customHeight="1">
      <c r="B4" s="2"/>
      <c r="C4" s="2"/>
      <c r="D4" s="2"/>
      <c r="E4" s="2"/>
      <c r="F4" s="2"/>
      <c r="G4" s="287"/>
    </row>
    <row r="5" spans="2:30" ht="15.75">
      <c r="B5" s="69" t="s">
        <v>80</v>
      </c>
      <c r="C5" s="69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</row>
    <row r="6" spans="2:30">
      <c r="B6" s="288" t="s">
        <v>288</v>
      </c>
      <c r="C6" s="66"/>
      <c r="D6" s="66"/>
      <c r="E6" s="3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 spans="2:30" ht="15.75">
      <c r="B7" s="31"/>
      <c r="C7" s="66"/>
      <c r="D7" s="413" t="s">
        <v>22</v>
      </c>
      <c r="E7" s="413"/>
      <c r="F7" s="414" t="s">
        <v>81</v>
      </c>
      <c r="G7" s="414"/>
      <c r="H7" s="414"/>
      <c r="I7" s="414"/>
      <c r="J7" s="414"/>
      <c r="K7" s="414"/>
      <c r="L7" s="414"/>
      <c r="M7" s="414"/>
      <c r="N7" s="414"/>
      <c r="O7" s="414"/>
      <c r="P7" s="414"/>
      <c r="Q7" s="414"/>
      <c r="R7" s="414"/>
      <c r="S7" s="414"/>
      <c r="T7" s="414"/>
      <c r="U7" s="414"/>
      <c r="V7" s="414"/>
      <c r="W7" s="414"/>
      <c r="X7" s="414"/>
      <c r="Y7" s="414"/>
      <c r="Z7" s="414"/>
      <c r="AA7" s="414"/>
      <c r="AB7" s="414"/>
      <c r="AC7" s="414"/>
      <c r="AD7" s="414"/>
    </row>
    <row r="8" spans="2:30">
      <c r="B8" s="71" t="s">
        <v>287</v>
      </c>
      <c r="C8" s="72" t="s">
        <v>83</v>
      </c>
      <c r="D8" s="73"/>
      <c r="E8" s="399">
        <f>Assumptions!E12</f>
        <v>45838</v>
      </c>
      <c r="F8" s="399">
        <f>+EDATE(E8,9)</f>
        <v>46111</v>
      </c>
      <c r="G8" s="399">
        <f t="shared" ref="G8:AD8" si="0">DATE(YEAR(F8)+1,MONTH(F8),DAY(F8))</f>
        <v>46476</v>
      </c>
      <c r="H8" s="399">
        <f t="shared" si="0"/>
        <v>46842</v>
      </c>
      <c r="I8" s="399">
        <f t="shared" si="0"/>
        <v>47207</v>
      </c>
      <c r="J8" s="399">
        <f t="shared" si="0"/>
        <v>47572</v>
      </c>
      <c r="K8" s="399">
        <f t="shared" si="0"/>
        <v>47937</v>
      </c>
      <c r="L8" s="399">
        <f t="shared" si="0"/>
        <v>48303</v>
      </c>
      <c r="M8" s="399">
        <f t="shared" si="0"/>
        <v>48668</v>
      </c>
      <c r="N8" s="399">
        <f t="shared" si="0"/>
        <v>49033</v>
      </c>
      <c r="O8" s="399">
        <f t="shared" si="0"/>
        <v>49398</v>
      </c>
      <c r="P8" s="399">
        <f t="shared" si="0"/>
        <v>49764</v>
      </c>
      <c r="Q8" s="399">
        <f t="shared" si="0"/>
        <v>50129</v>
      </c>
      <c r="R8" s="399">
        <f t="shared" si="0"/>
        <v>50494</v>
      </c>
      <c r="S8" s="399">
        <f t="shared" si="0"/>
        <v>50859</v>
      </c>
      <c r="T8" s="399">
        <f t="shared" si="0"/>
        <v>51225</v>
      </c>
      <c r="U8" s="399">
        <f t="shared" si="0"/>
        <v>51590</v>
      </c>
      <c r="V8" s="399">
        <f t="shared" si="0"/>
        <v>51955</v>
      </c>
      <c r="W8" s="399">
        <f t="shared" si="0"/>
        <v>52320</v>
      </c>
      <c r="X8" s="399">
        <f t="shared" si="0"/>
        <v>52686</v>
      </c>
      <c r="Y8" s="399">
        <f t="shared" si="0"/>
        <v>53051</v>
      </c>
      <c r="Z8" s="399">
        <f t="shared" si="0"/>
        <v>53416</v>
      </c>
      <c r="AA8" s="399">
        <f t="shared" si="0"/>
        <v>53781</v>
      </c>
      <c r="AB8" s="399">
        <f t="shared" si="0"/>
        <v>54147</v>
      </c>
      <c r="AC8" s="399">
        <f t="shared" si="0"/>
        <v>54512</v>
      </c>
      <c r="AD8" s="399">
        <f t="shared" si="0"/>
        <v>54877</v>
      </c>
    </row>
    <row r="9" spans="2:30">
      <c r="B9" s="74" t="s">
        <v>84</v>
      </c>
      <c r="C9" s="75"/>
      <c r="D9" s="76">
        <v>0</v>
      </c>
      <c r="E9" s="76">
        <v>0</v>
      </c>
      <c r="F9" s="77">
        <v>1</v>
      </c>
      <c r="G9" s="77">
        <v>2</v>
      </c>
      <c r="H9" s="77">
        <v>3</v>
      </c>
      <c r="I9" s="77">
        <v>4</v>
      </c>
      <c r="J9" s="77">
        <v>5</v>
      </c>
      <c r="K9" s="77">
        <v>6</v>
      </c>
      <c r="L9" s="77">
        <v>7</v>
      </c>
      <c r="M9" s="77">
        <v>8</v>
      </c>
      <c r="N9" s="77">
        <v>9</v>
      </c>
      <c r="O9" s="77">
        <v>10</v>
      </c>
      <c r="P9" s="77">
        <v>11</v>
      </c>
      <c r="Q9" s="77">
        <v>12</v>
      </c>
      <c r="R9" s="77">
        <v>13</v>
      </c>
      <c r="S9" s="77">
        <v>14</v>
      </c>
      <c r="T9" s="77">
        <v>15</v>
      </c>
      <c r="U9" s="77">
        <v>16</v>
      </c>
      <c r="V9" s="77">
        <v>17</v>
      </c>
      <c r="W9" s="77">
        <v>18</v>
      </c>
      <c r="X9" s="77">
        <v>19</v>
      </c>
      <c r="Y9" s="77">
        <v>20</v>
      </c>
      <c r="Z9" s="77">
        <v>21</v>
      </c>
      <c r="AA9" s="77">
        <v>22</v>
      </c>
      <c r="AB9" s="77">
        <v>23</v>
      </c>
      <c r="AC9" s="77">
        <v>24</v>
      </c>
      <c r="AD9" s="77">
        <v>25</v>
      </c>
    </row>
    <row r="10" spans="2:30">
      <c r="B10" s="74" t="s">
        <v>85</v>
      </c>
      <c r="C10" s="75"/>
      <c r="D10" s="76">
        <v>0</v>
      </c>
      <c r="E10" s="76">
        <v>3</v>
      </c>
      <c r="F10" s="75">
        <v>9</v>
      </c>
      <c r="G10" s="75">
        <f t="shared" ref="G10:AD10" si="1">MONTH(G8-F8)</f>
        <v>12</v>
      </c>
      <c r="H10" s="75">
        <f t="shared" si="1"/>
        <v>12</v>
      </c>
      <c r="I10" s="75">
        <f t="shared" si="1"/>
        <v>12</v>
      </c>
      <c r="J10" s="75">
        <f t="shared" si="1"/>
        <v>12</v>
      </c>
      <c r="K10" s="75">
        <f t="shared" si="1"/>
        <v>12</v>
      </c>
      <c r="L10" s="75">
        <f t="shared" si="1"/>
        <v>12</v>
      </c>
      <c r="M10" s="75">
        <f t="shared" si="1"/>
        <v>12</v>
      </c>
      <c r="N10" s="75">
        <f t="shared" si="1"/>
        <v>12</v>
      </c>
      <c r="O10" s="75">
        <f t="shared" si="1"/>
        <v>12</v>
      </c>
      <c r="P10" s="75">
        <f t="shared" si="1"/>
        <v>12</v>
      </c>
      <c r="Q10" s="75">
        <f t="shared" si="1"/>
        <v>12</v>
      </c>
      <c r="R10" s="75">
        <f t="shared" si="1"/>
        <v>12</v>
      </c>
      <c r="S10" s="75">
        <f t="shared" si="1"/>
        <v>12</v>
      </c>
      <c r="T10" s="75">
        <f t="shared" si="1"/>
        <v>12</v>
      </c>
      <c r="U10" s="75">
        <f t="shared" si="1"/>
        <v>12</v>
      </c>
      <c r="V10" s="75">
        <f t="shared" si="1"/>
        <v>12</v>
      </c>
      <c r="W10" s="75">
        <f t="shared" si="1"/>
        <v>12</v>
      </c>
      <c r="X10" s="75">
        <f t="shared" si="1"/>
        <v>12</v>
      </c>
      <c r="Y10" s="75">
        <f t="shared" si="1"/>
        <v>12</v>
      </c>
      <c r="Z10" s="75">
        <f t="shared" si="1"/>
        <v>12</v>
      </c>
      <c r="AA10" s="75">
        <f t="shared" si="1"/>
        <v>12</v>
      </c>
      <c r="AB10" s="75">
        <f t="shared" si="1"/>
        <v>12</v>
      </c>
      <c r="AC10" s="75">
        <f t="shared" si="1"/>
        <v>12</v>
      </c>
      <c r="AD10" s="75">
        <f t="shared" si="1"/>
        <v>12</v>
      </c>
    </row>
    <row r="11" spans="2:30" ht="6" customHeight="1"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</row>
    <row r="12" spans="2:30">
      <c r="B12" s="79" t="s">
        <v>86</v>
      </c>
      <c r="C12" s="79"/>
      <c r="D12" s="79"/>
      <c r="E12" s="79"/>
      <c r="F12" s="80">
        <f>F8-E8</f>
        <v>273</v>
      </c>
      <c r="G12" s="80">
        <f t="shared" ref="G12:AD12" si="2">G8-F8</f>
        <v>365</v>
      </c>
      <c r="H12" s="80">
        <f t="shared" si="2"/>
        <v>366</v>
      </c>
      <c r="I12" s="80">
        <f t="shared" si="2"/>
        <v>365</v>
      </c>
      <c r="J12" s="80">
        <f t="shared" si="2"/>
        <v>365</v>
      </c>
      <c r="K12" s="80">
        <f t="shared" si="2"/>
        <v>365</v>
      </c>
      <c r="L12" s="80">
        <f t="shared" si="2"/>
        <v>366</v>
      </c>
      <c r="M12" s="80">
        <f t="shared" si="2"/>
        <v>365</v>
      </c>
      <c r="N12" s="80">
        <f t="shared" si="2"/>
        <v>365</v>
      </c>
      <c r="O12" s="80">
        <f t="shared" si="2"/>
        <v>365</v>
      </c>
      <c r="P12" s="80">
        <f t="shared" si="2"/>
        <v>366</v>
      </c>
      <c r="Q12" s="80">
        <f t="shared" si="2"/>
        <v>365</v>
      </c>
      <c r="R12" s="80">
        <f t="shared" si="2"/>
        <v>365</v>
      </c>
      <c r="S12" s="80">
        <f t="shared" si="2"/>
        <v>365</v>
      </c>
      <c r="T12" s="80">
        <f t="shared" si="2"/>
        <v>366</v>
      </c>
      <c r="U12" s="80">
        <f t="shared" si="2"/>
        <v>365</v>
      </c>
      <c r="V12" s="80">
        <f t="shared" si="2"/>
        <v>365</v>
      </c>
      <c r="W12" s="80">
        <f t="shared" si="2"/>
        <v>365</v>
      </c>
      <c r="X12" s="80">
        <f t="shared" si="2"/>
        <v>366</v>
      </c>
      <c r="Y12" s="80">
        <f t="shared" si="2"/>
        <v>365</v>
      </c>
      <c r="Z12" s="80">
        <f t="shared" si="2"/>
        <v>365</v>
      </c>
      <c r="AA12" s="80">
        <f t="shared" si="2"/>
        <v>365</v>
      </c>
      <c r="AB12" s="80">
        <f t="shared" si="2"/>
        <v>366</v>
      </c>
      <c r="AC12" s="80">
        <f t="shared" si="2"/>
        <v>365</v>
      </c>
      <c r="AD12" s="80">
        <f t="shared" si="2"/>
        <v>365</v>
      </c>
    </row>
    <row r="13" spans="2:30" ht="6" customHeight="1"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</row>
    <row r="14" spans="2:30">
      <c r="B14" s="79" t="s">
        <v>87</v>
      </c>
      <c r="C14" s="79"/>
      <c r="D14" s="79"/>
      <c r="E14" s="79"/>
      <c r="F14" s="80">
        <v>24</v>
      </c>
      <c r="G14" s="80">
        <v>24</v>
      </c>
      <c r="H14" s="80">
        <v>24</v>
      </c>
      <c r="I14" s="80">
        <v>24</v>
      </c>
      <c r="J14" s="80">
        <v>24</v>
      </c>
      <c r="K14" s="80">
        <v>24</v>
      </c>
      <c r="L14" s="80">
        <v>24</v>
      </c>
      <c r="M14" s="80">
        <v>24</v>
      </c>
      <c r="N14" s="80">
        <v>24</v>
      </c>
      <c r="O14" s="80">
        <v>24</v>
      </c>
      <c r="P14" s="80">
        <v>24</v>
      </c>
      <c r="Q14" s="80">
        <v>24</v>
      </c>
      <c r="R14" s="80">
        <v>24</v>
      </c>
      <c r="S14" s="80">
        <v>24</v>
      </c>
      <c r="T14" s="80">
        <v>24</v>
      </c>
      <c r="U14" s="80">
        <v>24</v>
      </c>
      <c r="V14" s="80">
        <v>24</v>
      </c>
      <c r="W14" s="80">
        <v>24</v>
      </c>
      <c r="X14" s="80">
        <v>24</v>
      </c>
      <c r="Y14" s="80">
        <v>24</v>
      </c>
      <c r="Z14" s="80">
        <v>24</v>
      </c>
      <c r="AA14" s="80">
        <v>24</v>
      </c>
      <c r="AB14" s="80">
        <v>24</v>
      </c>
      <c r="AC14" s="80">
        <v>24</v>
      </c>
      <c r="AD14" s="80">
        <v>24</v>
      </c>
    </row>
    <row r="15" spans="2:30" ht="6" customHeight="1"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</row>
    <row r="16" spans="2:30">
      <c r="B16" s="81" t="s">
        <v>104</v>
      </c>
      <c r="C16" s="82"/>
      <c r="D16" s="82"/>
      <c r="E16" s="82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</row>
    <row r="17" spans="2:30" ht="15.75">
      <c r="B17" s="110"/>
      <c r="C17" s="31"/>
      <c r="D17" s="31"/>
      <c r="E17" s="31"/>
      <c r="F17" s="84"/>
      <c r="G17" s="86"/>
      <c r="H17" s="84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</row>
    <row r="18" spans="2:30" ht="15.75">
      <c r="B18" s="110" t="s">
        <v>88</v>
      </c>
      <c r="C18" s="31"/>
      <c r="D18" s="31"/>
      <c r="E18" s="31"/>
      <c r="F18" s="84"/>
      <c r="G18" s="86"/>
      <c r="H18" s="84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</row>
    <row r="19" spans="2:30">
      <c r="B19" s="31" t="s">
        <v>302</v>
      </c>
      <c r="C19" s="31"/>
      <c r="D19" s="31"/>
      <c r="E19" s="31"/>
      <c r="F19" s="109">
        <f>Assumptions!D24</f>
        <v>19.797139999999999</v>
      </c>
      <c r="G19" s="103">
        <f>F19</f>
        <v>19.797139999999999</v>
      </c>
      <c r="H19" s="103">
        <f t="shared" ref="H19:AD20" si="3">G19</f>
        <v>19.797139999999999</v>
      </c>
      <c r="I19" s="103">
        <f t="shared" si="3"/>
        <v>19.797139999999999</v>
      </c>
      <c r="J19" s="103">
        <f t="shared" si="3"/>
        <v>19.797139999999999</v>
      </c>
      <c r="K19" s="103">
        <f t="shared" si="3"/>
        <v>19.797139999999999</v>
      </c>
      <c r="L19" s="103">
        <f t="shared" si="3"/>
        <v>19.797139999999999</v>
      </c>
      <c r="M19" s="103">
        <f t="shared" si="3"/>
        <v>19.797139999999999</v>
      </c>
      <c r="N19" s="103">
        <f t="shared" si="3"/>
        <v>19.797139999999999</v>
      </c>
      <c r="O19" s="103">
        <f t="shared" si="3"/>
        <v>19.797139999999999</v>
      </c>
      <c r="P19" s="103">
        <f t="shared" si="3"/>
        <v>19.797139999999999</v>
      </c>
      <c r="Q19" s="103">
        <f t="shared" si="3"/>
        <v>19.797139999999999</v>
      </c>
      <c r="R19" s="103">
        <f t="shared" si="3"/>
        <v>19.797139999999999</v>
      </c>
      <c r="S19" s="103">
        <f t="shared" si="3"/>
        <v>19.797139999999999</v>
      </c>
      <c r="T19" s="103">
        <f t="shared" si="3"/>
        <v>19.797139999999999</v>
      </c>
      <c r="U19" s="103">
        <f t="shared" si="3"/>
        <v>19.797139999999999</v>
      </c>
      <c r="V19" s="103">
        <f t="shared" si="3"/>
        <v>19.797139999999999</v>
      </c>
      <c r="W19" s="103">
        <f t="shared" si="3"/>
        <v>19.797139999999999</v>
      </c>
      <c r="X19" s="103">
        <f t="shared" si="3"/>
        <v>19.797139999999999</v>
      </c>
      <c r="Y19" s="103">
        <f t="shared" si="3"/>
        <v>19.797139999999999</v>
      </c>
      <c r="Z19" s="103">
        <f t="shared" si="3"/>
        <v>19.797139999999999</v>
      </c>
      <c r="AA19" s="103">
        <f t="shared" si="3"/>
        <v>19.797139999999999</v>
      </c>
      <c r="AB19" s="103">
        <f t="shared" si="3"/>
        <v>19.797139999999999</v>
      </c>
      <c r="AC19" s="103">
        <f t="shared" si="3"/>
        <v>19.797139999999999</v>
      </c>
      <c r="AD19" s="103">
        <f t="shared" si="3"/>
        <v>19.797139999999999</v>
      </c>
    </row>
    <row r="20" spans="2:30">
      <c r="B20" s="31" t="s">
        <v>301</v>
      </c>
      <c r="C20" s="31"/>
      <c r="D20" s="31"/>
      <c r="E20" s="31"/>
      <c r="F20" s="109">
        <f>+F19</f>
        <v>19.797139999999999</v>
      </c>
      <c r="G20" s="103">
        <f>F20</f>
        <v>19.797139999999999</v>
      </c>
      <c r="H20" s="103">
        <f t="shared" si="3"/>
        <v>19.797139999999999</v>
      </c>
      <c r="I20" s="103">
        <f t="shared" si="3"/>
        <v>19.797139999999999</v>
      </c>
      <c r="J20" s="103">
        <f t="shared" si="3"/>
        <v>19.797139999999999</v>
      </c>
      <c r="K20" s="103">
        <f t="shared" si="3"/>
        <v>19.797139999999999</v>
      </c>
      <c r="L20" s="103">
        <f t="shared" si="3"/>
        <v>19.797139999999999</v>
      </c>
      <c r="M20" s="103">
        <f t="shared" si="3"/>
        <v>19.797139999999999</v>
      </c>
      <c r="N20" s="103">
        <f t="shared" si="3"/>
        <v>19.797139999999999</v>
      </c>
      <c r="O20" s="103">
        <f t="shared" si="3"/>
        <v>19.797139999999999</v>
      </c>
      <c r="P20" s="103">
        <f t="shared" si="3"/>
        <v>19.797139999999999</v>
      </c>
      <c r="Q20" s="103">
        <f t="shared" si="3"/>
        <v>19.797139999999999</v>
      </c>
      <c r="R20" s="103">
        <f t="shared" si="3"/>
        <v>19.797139999999999</v>
      </c>
      <c r="S20" s="103">
        <f t="shared" si="3"/>
        <v>19.797139999999999</v>
      </c>
      <c r="T20" s="103">
        <f t="shared" si="3"/>
        <v>19.797139999999999</v>
      </c>
      <c r="U20" s="103">
        <f t="shared" si="3"/>
        <v>19.797139999999999</v>
      </c>
      <c r="V20" s="103">
        <f t="shared" si="3"/>
        <v>19.797139999999999</v>
      </c>
      <c r="W20" s="103">
        <f t="shared" si="3"/>
        <v>19.797139999999999</v>
      </c>
      <c r="X20" s="103">
        <f t="shared" si="3"/>
        <v>19.797139999999999</v>
      </c>
      <c r="Y20" s="103">
        <f t="shared" si="3"/>
        <v>19.797139999999999</v>
      </c>
      <c r="Z20" s="103">
        <f t="shared" si="3"/>
        <v>19.797139999999999</v>
      </c>
      <c r="AA20" s="103">
        <f t="shared" si="3"/>
        <v>19.797139999999999</v>
      </c>
      <c r="AB20" s="103">
        <f t="shared" si="3"/>
        <v>19.797139999999999</v>
      </c>
      <c r="AC20" s="103">
        <f t="shared" si="3"/>
        <v>19.797139999999999</v>
      </c>
      <c r="AD20" s="103">
        <f t="shared" si="3"/>
        <v>19.797139999999999</v>
      </c>
    </row>
    <row r="21" spans="2:30">
      <c r="B21" s="31" t="s">
        <v>89</v>
      </c>
      <c r="C21" s="46"/>
      <c r="D21" s="31"/>
      <c r="E21" s="31"/>
      <c r="F21" s="85">
        <f>F19*1000</f>
        <v>19797.14</v>
      </c>
      <c r="G21" s="85">
        <f t="shared" ref="G21:AD21" si="4">G19*1000</f>
        <v>19797.14</v>
      </c>
      <c r="H21" s="85">
        <f t="shared" si="4"/>
        <v>19797.14</v>
      </c>
      <c r="I21" s="85">
        <f t="shared" si="4"/>
        <v>19797.14</v>
      </c>
      <c r="J21" s="85">
        <f t="shared" si="4"/>
        <v>19797.14</v>
      </c>
      <c r="K21" s="85">
        <f t="shared" si="4"/>
        <v>19797.14</v>
      </c>
      <c r="L21" s="85">
        <f t="shared" si="4"/>
        <v>19797.14</v>
      </c>
      <c r="M21" s="85">
        <f t="shared" si="4"/>
        <v>19797.14</v>
      </c>
      <c r="N21" s="85">
        <f t="shared" si="4"/>
        <v>19797.14</v>
      </c>
      <c r="O21" s="85">
        <f t="shared" si="4"/>
        <v>19797.14</v>
      </c>
      <c r="P21" s="85">
        <f t="shared" si="4"/>
        <v>19797.14</v>
      </c>
      <c r="Q21" s="85">
        <f t="shared" si="4"/>
        <v>19797.14</v>
      </c>
      <c r="R21" s="85">
        <f t="shared" si="4"/>
        <v>19797.14</v>
      </c>
      <c r="S21" s="85">
        <f t="shared" si="4"/>
        <v>19797.14</v>
      </c>
      <c r="T21" s="85">
        <f t="shared" si="4"/>
        <v>19797.14</v>
      </c>
      <c r="U21" s="85">
        <f t="shared" si="4"/>
        <v>19797.14</v>
      </c>
      <c r="V21" s="85">
        <f t="shared" si="4"/>
        <v>19797.14</v>
      </c>
      <c r="W21" s="85">
        <f t="shared" si="4"/>
        <v>19797.14</v>
      </c>
      <c r="X21" s="85">
        <f t="shared" si="4"/>
        <v>19797.14</v>
      </c>
      <c r="Y21" s="85">
        <f t="shared" si="4"/>
        <v>19797.14</v>
      </c>
      <c r="Z21" s="85">
        <f t="shared" si="4"/>
        <v>19797.14</v>
      </c>
      <c r="AA21" s="85">
        <f t="shared" si="4"/>
        <v>19797.14</v>
      </c>
      <c r="AB21" s="85">
        <f t="shared" si="4"/>
        <v>19797.14</v>
      </c>
      <c r="AC21" s="85">
        <f t="shared" si="4"/>
        <v>19797.14</v>
      </c>
      <c r="AD21" s="85">
        <f t="shared" si="4"/>
        <v>19797.14</v>
      </c>
    </row>
    <row r="22" spans="2:30">
      <c r="B22" s="31" t="s">
        <v>90</v>
      </c>
      <c r="C22" s="46"/>
      <c r="D22" s="31"/>
      <c r="E22" s="31"/>
      <c r="F22" s="107">
        <f>Assumptions!D26</f>
        <v>0.16551252643231532</v>
      </c>
      <c r="G22" s="86">
        <f>F22*(1-G23)</f>
        <v>0.16385740116799216</v>
      </c>
      <c r="H22" s="86">
        <f>G22*(1-H23)</f>
        <v>0.16221882715631225</v>
      </c>
      <c r="I22" s="86">
        <f t="shared" ref="I22:AD22" si="5">H22*(1-I23)</f>
        <v>0.16059663888474912</v>
      </c>
      <c r="J22" s="86">
        <f t="shared" si="5"/>
        <v>0.15899067249590162</v>
      </c>
      <c r="K22" s="86">
        <f t="shared" si="5"/>
        <v>0.15740076577094261</v>
      </c>
      <c r="L22" s="86">
        <f t="shared" si="5"/>
        <v>0.15582675811323318</v>
      </c>
      <c r="M22" s="86">
        <f t="shared" si="5"/>
        <v>0.15426849053210084</v>
      </c>
      <c r="N22" s="86">
        <f t="shared" si="5"/>
        <v>0.15272580562677984</v>
      </c>
      <c r="O22" s="86">
        <f t="shared" si="5"/>
        <v>0.15119854757051204</v>
      </c>
      <c r="P22" s="86">
        <f t="shared" si="5"/>
        <v>0.14968656209480691</v>
      </c>
      <c r="Q22" s="86">
        <f t="shared" si="5"/>
        <v>0.14818969647385885</v>
      </c>
      <c r="R22" s="86">
        <f t="shared" si="5"/>
        <v>0.14670779950912027</v>
      </c>
      <c r="S22" s="86">
        <f t="shared" si="5"/>
        <v>0.14524072151402906</v>
      </c>
      <c r="T22" s="86">
        <f t="shared" si="5"/>
        <v>0.14378831429888878</v>
      </c>
      <c r="U22" s="86">
        <f t="shared" si="5"/>
        <v>0.14235043115589988</v>
      </c>
      <c r="V22" s="86">
        <f t="shared" si="5"/>
        <v>0.14092692684434088</v>
      </c>
      <c r="W22" s="86">
        <f t="shared" si="5"/>
        <v>0.13951765757589749</v>
      </c>
      <c r="X22" s="86">
        <f t="shared" si="5"/>
        <v>0.13812248100013852</v>
      </c>
      <c r="Y22" s="86">
        <f t="shared" si="5"/>
        <v>0.13674125619013713</v>
      </c>
      <c r="Z22" s="86">
        <f t="shared" si="5"/>
        <v>0.13537384362823576</v>
      </c>
      <c r="AA22" s="86">
        <f t="shared" si="5"/>
        <v>0.1340201051919534</v>
      </c>
      <c r="AB22" s="86">
        <f t="shared" si="5"/>
        <v>0.13267990414003386</v>
      </c>
      <c r="AC22" s="86">
        <f t="shared" si="5"/>
        <v>0.13135310509863352</v>
      </c>
      <c r="AD22" s="86">
        <f t="shared" si="5"/>
        <v>0.13003957404764718</v>
      </c>
    </row>
    <row r="23" spans="2:30">
      <c r="B23" s="87" t="s">
        <v>91</v>
      </c>
      <c r="C23" s="88"/>
      <c r="D23" s="31"/>
      <c r="E23" s="31"/>
      <c r="F23" s="108">
        <f>Assumptions!D27</f>
        <v>0.01</v>
      </c>
      <c r="G23" s="108">
        <f>Assumptions!D28</f>
        <v>0.01</v>
      </c>
      <c r="H23" s="104">
        <f>G23</f>
        <v>0.01</v>
      </c>
      <c r="I23" s="104">
        <f t="shared" ref="I23:AD23" si="6">H23</f>
        <v>0.01</v>
      </c>
      <c r="J23" s="104">
        <f t="shared" si="6"/>
        <v>0.01</v>
      </c>
      <c r="K23" s="104">
        <f t="shared" si="6"/>
        <v>0.01</v>
      </c>
      <c r="L23" s="104">
        <f t="shared" si="6"/>
        <v>0.01</v>
      </c>
      <c r="M23" s="104">
        <f t="shared" si="6"/>
        <v>0.01</v>
      </c>
      <c r="N23" s="104">
        <f t="shared" si="6"/>
        <v>0.01</v>
      </c>
      <c r="O23" s="104">
        <f t="shared" si="6"/>
        <v>0.01</v>
      </c>
      <c r="P23" s="104">
        <f t="shared" si="6"/>
        <v>0.01</v>
      </c>
      <c r="Q23" s="104">
        <f t="shared" si="6"/>
        <v>0.01</v>
      </c>
      <c r="R23" s="104">
        <f t="shared" si="6"/>
        <v>0.01</v>
      </c>
      <c r="S23" s="104">
        <f t="shared" si="6"/>
        <v>0.01</v>
      </c>
      <c r="T23" s="104">
        <f t="shared" si="6"/>
        <v>0.01</v>
      </c>
      <c r="U23" s="104">
        <f t="shared" si="6"/>
        <v>0.01</v>
      </c>
      <c r="V23" s="104">
        <f t="shared" si="6"/>
        <v>0.01</v>
      </c>
      <c r="W23" s="104">
        <f t="shared" si="6"/>
        <v>0.01</v>
      </c>
      <c r="X23" s="104">
        <f t="shared" si="6"/>
        <v>0.01</v>
      </c>
      <c r="Y23" s="104">
        <f t="shared" si="6"/>
        <v>0.01</v>
      </c>
      <c r="Z23" s="104">
        <f t="shared" si="6"/>
        <v>0.01</v>
      </c>
      <c r="AA23" s="104">
        <f t="shared" si="6"/>
        <v>0.01</v>
      </c>
      <c r="AB23" s="104">
        <f t="shared" si="6"/>
        <v>0.01</v>
      </c>
      <c r="AC23" s="104">
        <f t="shared" si="6"/>
        <v>0.01</v>
      </c>
      <c r="AD23" s="104">
        <f t="shared" si="6"/>
        <v>0.01</v>
      </c>
    </row>
    <row r="24" spans="2:30">
      <c r="B24" s="31" t="s">
        <v>92</v>
      </c>
      <c r="C24" s="46"/>
      <c r="D24" s="31"/>
      <c r="E24" s="31"/>
      <c r="F24" s="89">
        <f>F21*F22*F14*F12</f>
        <v>21468772.356164385</v>
      </c>
      <c r="G24" s="89">
        <f>G21*G22*G14*G12</f>
        <v>28416633.300000004</v>
      </c>
      <c r="H24" s="89">
        <f>H21*H22*H14*H12</f>
        <v>28209542.218964387</v>
      </c>
      <c r="I24" s="89">
        <f t="shared" ref="I24:AD24" si="7">I21*I22*I14*I12</f>
        <v>27851142.297330003</v>
      </c>
      <c r="J24" s="89">
        <f t="shared" si="7"/>
        <v>27572630.874356702</v>
      </c>
      <c r="K24" s="89">
        <f t="shared" si="7"/>
        <v>27296904.565613136</v>
      </c>
      <c r="L24" s="89">
        <f t="shared" si="7"/>
        <v>27097973.699463733</v>
      </c>
      <c r="M24" s="89">
        <f t="shared" si="7"/>
        <v>26753696.164757434</v>
      </c>
      <c r="N24" s="89">
        <f t="shared" si="7"/>
        <v>26486159.203109857</v>
      </c>
      <c r="O24" s="89">
        <f t="shared" si="7"/>
        <v>26221297.611078762</v>
      </c>
      <c r="P24" s="89">
        <f t="shared" si="7"/>
        <v>26030205.414789796</v>
      </c>
      <c r="Q24" s="89">
        <f t="shared" si="7"/>
        <v>25699493.788618289</v>
      </c>
      <c r="R24" s="89">
        <f t="shared" si="7"/>
        <v>25442498.85073211</v>
      </c>
      <c r="S24" s="89">
        <f t="shared" si="7"/>
        <v>25188073.862224787</v>
      </c>
      <c r="T24" s="89">
        <f t="shared" si="7"/>
        <v>25004511.460927475</v>
      </c>
      <c r="U24" s="89">
        <f t="shared" si="7"/>
        <v>24686831.192366514</v>
      </c>
      <c r="V24" s="89">
        <f t="shared" si="7"/>
        <v>24439962.88044285</v>
      </c>
      <c r="W24" s="89">
        <f t="shared" si="7"/>
        <v>24195563.251638424</v>
      </c>
      <c r="X24" s="89">
        <f t="shared" si="7"/>
        <v>24019233.941366211</v>
      </c>
      <c r="Y24" s="89">
        <f t="shared" si="7"/>
        <v>23714071.542930819</v>
      </c>
      <c r="Z24" s="89">
        <f t="shared" si="7"/>
        <v>23476930.827501513</v>
      </c>
      <c r="AA24" s="89">
        <f t="shared" si="7"/>
        <v>23242161.519226495</v>
      </c>
      <c r="AB24" s="89">
        <f t="shared" si="7"/>
        <v>23072780.287332956</v>
      </c>
      <c r="AC24" s="89">
        <f t="shared" si="7"/>
        <v>22779642.504993886</v>
      </c>
      <c r="AD24" s="89">
        <f t="shared" si="7"/>
        <v>22551846.079943947</v>
      </c>
    </row>
    <row r="25" spans="2:30">
      <c r="B25" s="31" t="s">
        <v>279</v>
      </c>
      <c r="C25" s="106">
        <f>Assumptions!D29</f>
        <v>0</v>
      </c>
      <c r="D25" s="31"/>
      <c r="E25" s="31"/>
      <c r="F25" s="90">
        <f>F24*$C$25</f>
        <v>0</v>
      </c>
      <c r="G25" s="90">
        <f t="shared" ref="G25:AD25" si="8">G24*$C$25</f>
        <v>0</v>
      </c>
      <c r="H25" s="90">
        <f t="shared" si="8"/>
        <v>0</v>
      </c>
      <c r="I25" s="90">
        <f t="shared" si="8"/>
        <v>0</v>
      </c>
      <c r="J25" s="90">
        <f t="shared" si="8"/>
        <v>0</v>
      </c>
      <c r="K25" s="90">
        <f t="shared" si="8"/>
        <v>0</v>
      </c>
      <c r="L25" s="90">
        <f t="shared" si="8"/>
        <v>0</v>
      </c>
      <c r="M25" s="90">
        <f t="shared" si="8"/>
        <v>0</v>
      </c>
      <c r="N25" s="90">
        <f t="shared" si="8"/>
        <v>0</v>
      </c>
      <c r="O25" s="90">
        <f t="shared" si="8"/>
        <v>0</v>
      </c>
      <c r="P25" s="90">
        <f t="shared" si="8"/>
        <v>0</v>
      </c>
      <c r="Q25" s="90">
        <f t="shared" si="8"/>
        <v>0</v>
      </c>
      <c r="R25" s="90">
        <f t="shared" si="8"/>
        <v>0</v>
      </c>
      <c r="S25" s="90">
        <f t="shared" si="8"/>
        <v>0</v>
      </c>
      <c r="T25" s="90">
        <f t="shared" si="8"/>
        <v>0</v>
      </c>
      <c r="U25" s="90">
        <f t="shared" si="8"/>
        <v>0</v>
      </c>
      <c r="V25" s="90">
        <f t="shared" si="8"/>
        <v>0</v>
      </c>
      <c r="W25" s="90">
        <f t="shared" si="8"/>
        <v>0</v>
      </c>
      <c r="X25" s="90">
        <f t="shared" si="8"/>
        <v>0</v>
      </c>
      <c r="Y25" s="90">
        <f t="shared" si="8"/>
        <v>0</v>
      </c>
      <c r="Z25" s="90">
        <f t="shared" si="8"/>
        <v>0</v>
      </c>
      <c r="AA25" s="90">
        <f t="shared" si="8"/>
        <v>0</v>
      </c>
      <c r="AB25" s="90">
        <f t="shared" si="8"/>
        <v>0</v>
      </c>
      <c r="AC25" s="90">
        <f t="shared" si="8"/>
        <v>0</v>
      </c>
      <c r="AD25" s="90">
        <f t="shared" si="8"/>
        <v>0</v>
      </c>
    </row>
    <row r="26" spans="2:30">
      <c r="B26" s="91" t="s">
        <v>283</v>
      </c>
      <c r="C26" s="92"/>
      <c r="D26" s="91"/>
      <c r="E26" s="91"/>
      <c r="F26" s="93">
        <f>F24-F25</f>
        <v>21468772.356164385</v>
      </c>
      <c r="G26" s="93">
        <f t="shared" ref="G26:AD26" si="9">G24-G25</f>
        <v>28416633.300000004</v>
      </c>
      <c r="H26" s="93">
        <f t="shared" si="9"/>
        <v>28209542.218964387</v>
      </c>
      <c r="I26" s="93">
        <f t="shared" si="9"/>
        <v>27851142.297330003</v>
      </c>
      <c r="J26" s="93">
        <f t="shared" si="9"/>
        <v>27572630.874356702</v>
      </c>
      <c r="K26" s="93">
        <f t="shared" si="9"/>
        <v>27296904.565613136</v>
      </c>
      <c r="L26" s="93">
        <f t="shared" si="9"/>
        <v>27097973.699463733</v>
      </c>
      <c r="M26" s="93">
        <f t="shared" si="9"/>
        <v>26753696.164757434</v>
      </c>
      <c r="N26" s="93">
        <f t="shared" si="9"/>
        <v>26486159.203109857</v>
      </c>
      <c r="O26" s="93">
        <f t="shared" si="9"/>
        <v>26221297.611078762</v>
      </c>
      <c r="P26" s="93">
        <f t="shared" si="9"/>
        <v>26030205.414789796</v>
      </c>
      <c r="Q26" s="93">
        <f t="shared" si="9"/>
        <v>25699493.788618289</v>
      </c>
      <c r="R26" s="93">
        <f t="shared" si="9"/>
        <v>25442498.85073211</v>
      </c>
      <c r="S26" s="93">
        <f t="shared" si="9"/>
        <v>25188073.862224787</v>
      </c>
      <c r="T26" s="93">
        <f t="shared" si="9"/>
        <v>25004511.460927475</v>
      </c>
      <c r="U26" s="93">
        <f t="shared" si="9"/>
        <v>24686831.192366514</v>
      </c>
      <c r="V26" s="93">
        <f t="shared" si="9"/>
        <v>24439962.88044285</v>
      </c>
      <c r="W26" s="93">
        <f t="shared" si="9"/>
        <v>24195563.251638424</v>
      </c>
      <c r="X26" s="93">
        <f t="shared" si="9"/>
        <v>24019233.941366211</v>
      </c>
      <c r="Y26" s="93">
        <f t="shared" si="9"/>
        <v>23714071.542930819</v>
      </c>
      <c r="Z26" s="93">
        <f t="shared" si="9"/>
        <v>23476930.827501513</v>
      </c>
      <c r="AA26" s="93">
        <f t="shared" si="9"/>
        <v>23242161.519226495</v>
      </c>
      <c r="AB26" s="93">
        <f t="shared" si="9"/>
        <v>23072780.287332956</v>
      </c>
      <c r="AC26" s="93">
        <f t="shared" si="9"/>
        <v>22779642.504993886</v>
      </c>
      <c r="AD26" s="93">
        <f t="shared" si="9"/>
        <v>22551846.079943947</v>
      </c>
    </row>
    <row r="27" spans="2:30">
      <c r="B27" s="31" t="s">
        <v>95</v>
      </c>
      <c r="C27" s="31"/>
      <c r="D27" s="31"/>
      <c r="E27" s="31"/>
      <c r="F27" s="105">
        <f>Assumptions!D32</f>
        <v>4.8499999999999996</v>
      </c>
      <c r="G27" s="84">
        <f>F27*(1+G28)</f>
        <v>4.8499999999999996</v>
      </c>
      <c r="H27" s="84">
        <f t="shared" ref="H27:AD27" si="10">G27*(1+H28)</f>
        <v>4.8499999999999996</v>
      </c>
      <c r="I27" s="84">
        <f t="shared" si="10"/>
        <v>4.8499999999999996</v>
      </c>
      <c r="J27" s="84">
        <f t="shared" si="10"/>
        <v>4.8499999999999996</v>
      </c>
      <c r="K27" s="84">
        <f t="shared" si="10"/>
        <v>4.8499999999999996</v>
      </c>
      <c r="L27" s="84">
        <f t="shared" si="10"/>
        <v>4.8499999999999996</v>
      </c>
      <c r="M27" s="84">
        <f t="shared" si="10"/>
        <v>4.8499999999999996</v>
      </c>
      <c r="N27" s="84">
        <f t="shared" si="10"/>
        <v>4.8499999999999996</v>
      </c>
      <c r="O27" s="84">
        <f t="shared" si="10"/>
        <v>4.8499999999999996</v>
      </c>
      <c r="P27" s="84">
        <f t="shared" si="10"/>
        <v>4.8499999999999996</v>
      </c>
      <c r="Q27" s="84">
        <f t="shared" si="10"/>
        <v>4.8499999999999996</v>
      </c>
      <c r="R27" s="84">
        <f t="shared" si="10"/>
        <v>4.8499999999999996</v>
      </c>
      <c r="S27" s="84">
        <f t="shared" si="10"/>
        <v>4.8499999999999996</v>
      </c>
      <c r="T27" s="84">
        <f t="shared" si="10"/>
        <v>4.8499999999999996</v>
      </c>
      <c r="U27" s="84">
        <f t="shared" si="10"/>
        <v>4.8499999999999996</v>
      </c>
      <c r="V27" s="84">
        <f t="shared" si="10"/>
        <v>4.8499999999999996</v>
      </c>
      <c r="W27" s="84">
        <f t="shared" si="10"/>
        <v>4.8499999999999996</v>
      </c>
      <c r="X27" s="84">
        <f t="shared" si="10"/>
        <v>4.8499999999999996</v>
      </c>
      <c r="Y27" s="84">
        <f t="shared" si="10"/>
        <v>4.8499999999999996</v>
      </c>
      <c r="Z27" s="84">
        <f t="shared" si="10"/>
        <v>4.8499999999999996</v>
      </c>
      <c r="AA27" s="84">
        <f t="shared" si="10"/>
        <v>4.8499999999999996</v>
      </c>
      <c r="AB27" s="84">
        <f t="shared" si="10"/>
        <v>4.8499999999999996</v>
      </c>
      <c r="AC27" s="84">
        <f t="shared" si="10"/>
        <v>4.8499999999999996</v>
      </c>
      <c r="AD27" s="84">
        <f t="shared" si="10"/>
        <v>4.8499999999999996</v>
      </c>
    </row>
    <row r="28" spans="2:30">
      <c r="B28" s="31" t="s">
        <v>93</v>
      </c>
      <c r="C28" s="31"/>
      <c r="D28" s="31"/>
      <c r="E28" s="31"/>
      <c r="F28" s="46"/>
      <c r="G28" s="46">
        <f>F28</f>
        <v>0</v>
      </c>
      <c r="H28" s="46">
        <f>G28</f>
        <v>0</v>
      </c>
      <c r="I28" s="46">
        <f t="shared" ref="I28:AD28" si="11">H28</f>
        <v>0</v>
      </c>
      <c r="J28" s="46">
        <f t="shared" si="11"/>
        <v>0</v>
      </c>
      <c r="K28" s="46">
        <f t="shared" si="11"/>
        <v>0</v>
      </c>
      <c r="L28" s="46">
        <f t="shared" si="11"/>
        <v>0</v>
      </c>
      <c r="M28" s="46">
        <f t="shared" si="11"/>
        <v>0</v>
      </c>
      <c r="N28" s="46">
        <f t="shared" si="11"/>
        <v>0</v>
      </c>
      <c r="O28" s="46">
        <f t="shared" si="11"/>
        <v>0</v>
      </c>
      <c r="P28" s="46">
        <f t="shared" si="11"/>
        <v>0</v>
      </c>
      <c r="Q28" s="46">
        <f t="shared" si="11"/>
        <v>0</v>
      </c>
      <c r="R28" s="46">
        <f t="shared" si="11"/>
        <v>0</v>
      </c>
      <c r="S28" s="46">
        <f t="shared" si="11"/>
        <v>0</v>
      </c>
      <c r="T28" s="46">
        <f t="shared" si="11"/>
        <v>0</v>
      </c>
      <c r="U28" s="46">
        <f t="shared" si="11"/>
        <v>0</v>
      </c>
      <c r="V28" s="46">
        <f t="shared" si="11"/>
        <v>0</v>
      </c>
      <c r="W28" s="46">
        <f t="shared" si="11"/>
        <v>0</v>
      </c>
      <c r="X28" s="46">
        <f t="shared" si="11"/>
        <v>0</v>
      </c>
      <c r="Y28" s="46">
        <f t="shared" si="11"/>
        <v>0</v>
      </c>
      <c r="Z28" s="46">
        <f t="shared" si="11"/>
        <v>0</v>
      </c>
      <c r="AA28" s="46">
        <f t="shared" si="11"/>
        <v>0</v>
      </c>
      <c r="AB28" s="46">
        <f t="shared" si="11"/>
        <v>0</v>
      </c>
      <c r="AC28" s="46">
        <f t="shared" si="11"/>
        <v>0</v>
      </c>
      <c r="AD28" s="46">
        <f t="shared" si="11"/>
        <v>0</v>
      </c>
    </row>
    <row r="29" spans="2:30">
      <c r="B29" s="114" t="s">
        <v>96</v>
      </c>
      <c r="C29" s="114"/>
      <c r="D29" s="114"/>
      <c r="E29" s="114"/>
      <c r="F29" s="115">
        <f>(F26*F27)/10^7</f>
        <v>10.412354592739725</v>
      </c>
      <c r="G29" s="115">
        <f t="shared" ref="G29:AD29" si="12">(G26*G27)/10^7</f>
        <v>13.782067150500003</v>
      </c>
      <c r="H29" s="115">
        <f t="shared" si="12"/>
        <v>13.681627976197726</v>
      </c>
      <c r="I29" s="115">
        <f t="shared" si="12"/>
        <v>13.50780401420505</v>
      </c>
      <c r="J29" s="115">
        <f t="shared" si="12"/>
        <v>13.372725974063</v>
      </c>
      <c r="K29" s="115">
        <f t="shared" si="12"/>
        <v>13.238998714322371</v>
      </c>
      <c r="L29" s="115">
        <f t="shared" si="12"/>
        <v>13.14251724423991</v>
      </c>
      <c r="M29" s="115">
        <f t="shared" si="12"/>
        <v>12.975542639907355</v>
      </c>
      <c r="N29" s="115">
        <f t="shared" si="12"/>
        <v>12.845787213508279</v>
      </c>
      <c r="O29" s="115">
        <f t="shared" si="12"/>
        <v>12.717329341373198</v>
      </c>
      <c r="P29" s="115">
        <f t="shared" si="12"/>
        <v>12.624649626173051</v>
      </c>
      <c r="Q29" s="115">
        <f t="shared" si="12"/>
        <v>12.464254487479868</v>
      </c>
      <c r="R29" s="115">
        <f t="shared" si="12"/>
        <v>12.339611942605073</v>
      </c>
      <c r="S29" s="115">
        <f t="shared" si="12"/>
        <v>12.216215823179022</v>
      </c>
      <c r="T29" s="115">
        <f t="shared" si="12"/>
        <v>12.127188058549825</v>
      </c>
      <c r="U29" s="115">
        <f t="shared" si="12"/>
        <v>11.973113128297758</v>
      </c>
      <c r="V29" s="115">
        <f t="shared" si="12"/>
        <v>11.853381997014782</v>
      </c>
      <c r="W29" s="115">
        <f t="shared" si="12"/>
        <v>11.734848177044634</v>
      </c>
      <c r="X29" s="115">
        <f t="shared" si="12"/>
        <v>11.649328461562611</v>
      </c>
      <c r="Y29" s="115">
        <f t="shared" si="12"/>
        <v>11.501324698321447</v>
      </c>
      <c r="Z29" s="115">
        <f t="shared" si="12"/>
        <v>11.386311451338234</v>
      </c>
      <c r="AA29" s="115">
        <f t="shared" si="12"/>
        <v>11.27244833682485</v>
      </c>
      <c r="AB29" s="115">
        <f t="shared" si="12"/>
        <v>11.190298439356482</v>
      </c>
      <c r="AC29" s="115">
        <f t="shared" si="12"/>
        <v>11.048126614922033</v>
      </c>
      <c r="AD29" s="115">
        <f t="shared" si="12"/>
        <v>10.937645348772813</v>
      </c>
    </row>
    <row r="30" spans="2:30"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</row>
    <row r="31" spans="2:30" s="116" customFormat="1">
      <c r="B31" s="259" t="s">
        <v>285</v>
      </c>
      <c r="C31" s="259"/>
      <c r="D31" s="259"/>
      <c r="E31" s="259"/>
      <c r="F31" s="258">
        <f t="shared" ref="F31:AD31" si="13">(F24)/10^5</f>
        <v>214.68772356164385</v>
      </c>
      <c r="G31" s="258">
        <f t="shared" si="13"/>
        <v>284.16633300000007</v>
      </c>
      <c r="H31" s="258">
        <f t="shared" si="13"/>
        <v>282.09542218964384</v>
      </c>
      <c r="I31" s="258">
        <f t="shared" si="13"/>
        <v>278.51142297330006</v>
      </c>
      <c r="J31" s="258">
        <f t="shared" si="13"/>
        <v>275.72630874356702</v>
      </c>
      <c r="K31" s="258">
        <f t="shared" si="13"/>
        <v>272.96904565613136</v>
      </c>
      <c r="L31" s="258">
        <f t="shared" si="13"/>
        <v>270.97973699463734</v>
      </c>
      <c r="M31" s="258">
        <f t="shared" si="13"/>
        <v>267.53696164757434</v>
      </c>
      <c r="N31" s="258">
        <f t="shared" si="13"/>
        <v>264.86159203109855</v>
      </c>
      <c r="O31" s="258">
        <f t="shared" si="13"/>
        <v>262.21297611078762</v>
      </c>
      <c r="P31" s="258">
        <f t="shared" si="13"/>
        <v>260.30205414789793</v>
      </c>
      <c r="Q31" s="258">
        <f t="shared" si="13"/>
        <v>256.99493788618287</v>
      </c>
      <c r="R31" s="258">
        <f t="shared" si="13"/>
        <v>254.4249885073211</v>
      </c>
      <c r="S31" s="258">
        <f t="shared" si="13"/>
        <v>251.88073862224786</v>
      </c>
      <c r="T31" s="258">
        <f t="shared" si="13"/>
        <v>250.04511460927475</v>
      </c>
      <c r="U31" s="258">
        <f t="shared" si="13"/>
        <v>246.86831192366515</v>
      </c>
      <c r="V31" s="258">
        <f t="shared" si="13"/>
        <v>244.39962880442852</v>
      </c>
      <c r="W31" s="258">
        <f t="shared" si="13"/>
        <v>241.95563251638424</v>
      </c>
      <c r="X31" s="258">
        <f t="shared" si="13"/>
        <v>240.1923394136621</v>
      </c>
      <c r="Y31" s="258">
        <f t="shared" si="13"/>
        <v>237.14071542930819</v>
      </c>
      <c r="Z31" s="258">
        <f t="shared" si="13"/>
        <v>234.76930827501513</v>
      </c>
      <c r="AA31" s="258">
        <f t="shared" si="13"/>
        <v>232.42161519226497</v>
      </c>
      <c r="AB31" s="258">
        <f t="shared" si="13"/>
        <v>230.72780287332955</v>
      </c>
      <c r="AC31" s="258">
        <f t="shared" si="13"/>
        <v>227.79642504993885</v>
      </c>
      <c r="AD31" s="258">
        <f t="shared" si="13"/>
        <v>225.51846079943948</v>
      </c>
    </row>
    <row r="32" spans="2:30" s="116" customFormat="1">
      <c r="B32" s="259" t="s">
        <v>286</v>
      </c>
      <c r="C32" s="259"/>
      <c r="D32" s="259"/>
      <c r="E32" s="259"/>
      <c r="F32" s="258">
        <f t="shared" ref="F32:R32" si="14">(F25)/10^5</f>
        <v>0</v>
      </c>
      <c r="G32" s="258">
        <f t="shared" si="14"/>
        <v>0</v>
      </c>
      <c r="H32" s="258">
        <f t="shared" si="14"/>
        <v>0</v>
      </c>
      <c r="I32" s="258">
        <f t="shared" si="14"/>
        <v>0</v>
      </c>
      <c r="J32" s="258">
        <f t="shared" si="14"/>
        <v>0</v>
      </c>
      <c r="K32" s="258">
        <f t="shared" si="14"/>
        <v>0</v>
      </c>
      <c r="L32" s="258">
        <f t="shared" si="14"/>
        <v>0</v>
      </c>
      <c r="M32" s="258">
        <f t="shared" si="14"/>
        <v>0</v>
      </c>
      <c r="N32" s="258">
        <f t="shared" si="14"/>
        <v>0</v>
      </c>
      <c r="O32" s="258">
        <f t="shared" si="14"/>
        <v>0</v>
      </c>
      <c r="P32" s="258">
        <f t="shared" si="14"/>
        <v>0</v>
      </c>
      <c r="Q32" s="258">
        <f t="shared" si="14"/>
        <v>0</v>
      </c>
      <c r="R32" s="258">
        <f t="shared" si="14"/>
        <v>0</v>
      </c>
      <c r="S32" s="258">
        <f>(S25)/10^5</f>
        <v>0</v>
      </c>
      <c r="T32" s="258">
        <f t="shared" ref="T32:AD32" si="15">(T25)/10^5</f>
        <v>0</v>
      </c>
      <c r="U32" s="258">
        <f t="shared" si="15"/>
        <v>0</v>
      </c>
      <c r="V32" s="258">
        <f t="shared" si="15"/>
        <v>0</v>
      </c>
      <c r="W32" s="258">
        <f t="shared" si="15"/>
        <v>0</v>
      </c>
      <c r="X32" s="258">
        <f t="shared" si="15"/>
        <v>0</v>
      </c>
      <c r="Y32" s="258">
        <f t="shared" si="15"/>
        <v>0</v>
      </c>
      <c r="Z32" s="258">
        <f t="shared" si="15"/>
        <v>0</v>
      </c>
      <c r="AA32" s="258">
        <f t="shared" si="15"/>
        <v>0</v>
      </c>
      <c r="AB32" s="258">
        <f t="shared" si="15"/>
        <v>0</v>
      </c>
      <c r="AC32" s="258">
        <f t="shared" si="15"/>
        <v>0</v>
      </c>
      <c r="AD32" s="258">
        <f t="shared" si="15"/>
        <v>0</v>
      </c>
    </row>
    <row r="33" spans="1:30" s="116" customFormat="1">
      <c r="B33" s="259" t="s">
        <v>284</v>
      </c>
      <c r="C33" s="259"/>
      <c r="D33" s="259"/>
      <c r="E33" s="259"/>
      <c r="F33" s="258">
        <f t="shared" ref="F33:R33" si="16">(F26)/10^5</f>
        <v>214.68772356164385</v>
      </c>
      <c r="G33" s="258">
        <f t="shared" si="16"/>
        <v>284.16633300000007</v>
      </c>
      <c r="H33" s="258">
        <f t="shared" si="16"/>
        <v>282.09542218964384</v>
      </c>
      <c r="I33" s="258">
        <f t="shared" si="16"/>
        <v>278.51142297330006</v>
      </c>
      <c r="J33" s="258">
        <f t="shared" si="16"/>
        <v>275.72630874356702</v>
      </c>
      <c r="K33" s="258">
        <f t="shared" si="16"/>
        <v>272.96904565613136</v>
      </c>
      <c r="L33" s="258">
        <f t="shared" si="16"/>
        <v>270.97973699463734</v>
      </c>
      <c r="M33" s="258">
        <f t="shared" si="16"/>
        <v>267.53696164757434</v>
      </c>
      <c r="N33" s="258">
        <f t="shared" si="16"/>
        <v>264.86159203109855</v>
      </c>
      <c r="O33" s="258">
        <f t="shared" si="16"/>
        <v>262.21297611078762</v>
      </c>
      <c r="P33" s="258">
        <f t="shared" si="16"/>
        <v>260.30205414789793</v>
      </c>
      <c r="Q33" s="258">
        <f t="shared" si="16"/>
        <v>256.99493788618287</v>
      </c>
      <c r="R33" s="258">
        <f t="shared" si="16"/>
        <v>254.4249885073211</v>
      </c>
      <c r="S33" s="258">
        <f>(S26)/10^5</f>
        <v>251.88073862224786</v>
      </c>
      <c r="T33" s="258">
        <f t="shared" ref="T33:AD33" si="17">(T26)/10^5</f>
        <v>250.04511460927475</v>
      </c>
      <c r="U33" s="258">
        <f t="shared" si="17"/>
        <v>246.86831192366515</v>
      </c>
      <c r="V33" s="258">
        <f t="shared" si="17"/>
        <v>244.39962880442852</v>
      </c>
      <c r="W33" s="258">
        <f t="shared" si="17"/>
        <v>241.95563251638424</v>
      </c>
      <c r="X33" s="258">
        <f t="shared" si="17"/>
        <v>240.1923394136621</v>
      </c>
      <c r="Y33" s="258">
        <f t="shared" si="17"/>
        <v>237.14071542930819</v>
      </c>
      <c r="Z33" s="258">
        <f t="shared" si="17"/>
        <v>234.76930827501513</v>
      </c>
      <c r="AA33" s="258">
        <f t="shared" si="17"/>
        <v>232.42161519226497</v>
      </c>
      <c r="AB33" s="258">
        <f t="shared" si="17"/>
        <v>230.72780287332955</v>
      </c>
      <c r="AC33" s="258">
        <f t="shared" si="17"/>
        <v>227.79642504993885</v>
      </c>
      <c r="AD33" s="258">
        <f t="shared" si="17"/>
        <v>225.51846079943948</v>
      </c>
    </row>
    <row r="34" spans="1:30" s="116" customFormat="1">
      <c r="B34" s="259"/>
      <c r="C34" s="259"/>
      <c r="D34" s="259"/>
      <c r="E34" s="259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</row>
    <row r="35" spans="1:30" s="116" customFormat="1">
      <c r="B35" s="259" t="s">
        <v>405</v>
      </c>
      <c r="C35" s="259"/>
      <c r="D35" s="259"/>
      <c r="E35" s="259"/>
      <c r="F35" s="258"/>
      <c r="G35" s="258"/>
      <c r="H35" s="258"/>
      <c r="I35" s="258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58"/>
    </row>
    <row r="36" spans="1:30">
      <c r="B36" s="68" t="s">
        <v>340</v>
      </c>
      <c r="C36" s="68"/>
      <c r="D36" s="68"/>
      <c r="E36" s="68"/>
      <c r="F36" s="286">
        <f>+BS!C36*6%</f>
        <v>0.15143624370124545</v>
      </c>
      <c r="G36" s="286">
        <f>+BS!D36*6%</f>
        <v>0.15143624370124545</v>
      </c>
      <c r="H36" s="286">
        <f>+BS!E36*6%</f>
        <v>0.15143624370124545</v>
      </c>
      <c r="I36" s="286">
        <f>+BS!F36*6%</f>
        <v>0.15143624370124545</v>
      </c>
      <c r="J36" s="286">
        <f>+BS!G36*6%</f>
        <v>0.15143624370124545</v>
      </c>
      <c r="K36" s="286">
        <f>+BS!H36*6%</f>
        <v>0.15143624370124545</v>
      </c>
      <c r="L36" s="286">
        <f>+BS!I36*6%</f>
        <v>0.15143624370124545</v>
      </c>
      <c r="M36" s="286">
        <f>+BS!J36*6%</f>
        <v>0.15143624370124545</v>
      </c>
      <c r="N36" s="286">
        <f>+BS!K36*6%</f>
        <v>0.15143624370124545</v>
      </c>
      <c r="O36" s="286">
        <f>+BS!L36*6%</f>
        <v>0.15143624370124545</v>
      </c>
      <c r="P36" s="286">
        <f>+BS!M36*6%</f>
        <v>0.15143624370124545</v>
      </c>
      <c r="Q36" s="286">
        <f>+BS!N36*6%</f>
        <v>0.15143624370124545</v>
      </c>
      <c r="R36" s="286">
        <f>+BS!O36*6%</f>
        <v>0.15143624370124545</v>
      </c>
      <c r="S36" s="286">
        <f>+BS!P36*6%</f>
        <v>0.15143624370124545</v>
      </c>
      <c r="T36" s="286">
        <f>+BS!Q36*6%</f>
        <v>0.15143624370124545</v>
      </c>
      <c r="U36" s="286">
        <f>+BS!R36*6%</f>
        <v>0.15143624370124545</v>
      </c>
      <c r="V36" s="286">
        <f>+BS!S36*6%</f>
        <v>0.15143624370124545</v>
      </c>
      <c r="W36" s="286">
        <f>+BS!T36*6%</f>
        <v>0.15143624370124545</v>
      </c>
      <c r="X36" s="286">
        <f>+BS!U36*6%</f>
        <v>0.15143624370124545</v>
      </c>
      <c r="Y36" s="286">
        <f>+BS!V36*6%</f>
        <v>0.15143624370124545</v>
      </c>
      <c r="Z36" s="286">
        <f>+BS!W36*6%</f>
        <v>0.15143624370124545</v>
      </c>
      <c r="AA36" s="286">
        <f>+BS!X36*6%</f>
        <v>0.15143624370124545</v>
      </c>
      <c r="AB36" s="286">
        <f>+BS!Y36*6%</f>
        <v>0.15143624370124545</v>
      </c>
      <c r="AC36" s="286">
        <f>+BS!Z36*6%</f>
        <v>0.15143624370124545</v>
      </c>
      <c r="AD36" s="286">
        <f>+BS!AA36*6%</f>
        <v>0.15143624370124545</v>
      </c>
    </row>
    <row r="37" spans="1:30">
      <c r="B37" s="94" t="s">
        <v>407</v>
      </c>
      <c r="C37" s="94"/>
      <c r="D37" s="94"/>
      <c r="E37" s="94"/>
      <c r="F37" s="95">
        <f>F36+F29</f>
        <v>10.563790836440971</v>
      </c>
      <c r="G37" s="95">
        <f t="shared" ref="G37:AD37" si="18">G36+G29</f>
        <v>13.933503394201249</v>
      </c>
      <c r="H37" s="95">
        <f t="shared" si="18"/>
        <v>13.833064219898972</v>
      </c>
      <c r="I37" s="95">
        <f t="shared" si="18"/>
        <v>13.659240257906296</v>
      </c>
      <c r="J37" s="95">
        <f t="shared" si="18"/>
        <v>13.524162217764246</v>
      </c>
      <c r="K37" s="95">
        <f t="shared" si="18"/>
        <v>13.390434958023617</v>
      </c>
      <c r="L37" s="95">
        <f t="shared" si="18"/>
        <v>13.293953487941156</v>
      </c>
      <c r="M37" s="95">
        <f t="shared" si="18"/>
        <v>13.126978883608601</v>
      </c>
      <c r="N37" s="95">
        <f t="shared" si="18"/>
        <v>12.997223457209525</v>
      </c>
      <c r="O37" s="95">
        <f t="shared" si="18"/>
        <v>12.868765585074444</v>
      </c>
      <c r="P37" s="95">
        <f t="shared" si="18"/>
        <v>12.776085869874297</v>
      </c>
      <c r="Q37" s="95">
        <f t="shared" si="18"/>
        <v>12.615690731181115</v>
      </c>
      <c r="R37" s="95">
        <f t="shared" si="18"/>
        <v>12.491048186306319</v>
      </c>
      <c r="S37" s="95">
        <f t="shared" si="18"/>
        <v>12.367652066880268</v>
      </c>
      <c r="T37" s="95">
        <f t="shared" si="18"/>
        <v>12.278624302251071</v>
      </c>
      <c r="U37" s="95">
        <f t="shared" si="18"/>
        <v>12.124549371999004</v>
      </c>
      <c r="V37" s="95">
        <f t="shared" si="18"/>
        <v>12.004818240716029</v>
      </c>
      <c r="W37" s="95">
        <f t="shared" si="18"/>
        <v>11.886284420745881</v>
      </c>
      <c r="X37" s="95">
        <f t="shared" si="18"/>
        <v>11.800764705263857</v>
      </c>
      <c r="Y37" s="95">
        <f t="shared" si="18"/>
        <v>11.652760942022693</v>
      </c>
      <c r="Z37" s="95">
        <f t="shared" si="18"/>
        <v>11.53774769503948</v>
      </c>
      <c r="AA37" s="95">
        <f t="shared" si="18"/>
        <v>11.423884580526096</v>
      </c>
      <c r="AB37" s="95">
        <f t="shared" si="18"/>
        <v>11.341734683057728</v>
      </c>
      <c r="AC37" s="95">
        <f t="shared" si="18"/>
        <v>11.199562858623279</v>
      </c>
      <c r="AD37" s="95">
        <f t="shared" si="18"/>
        <v>11.089081592474059</v>
      </c>
    </row>
    <row r="38" spans="1:30"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</row>
    <row r="39" spans="1:30">
      <c r="B39" s="81" t="s">
        <v>103</v>
      </c>
      <c r="C39" s="82"/>
      <c r="D39" s="82"/>
      <c r="E39" s="82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</row>
    <row r="40" spans="1:30">
      <c r="B40" s="60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</row>
    <row r="41" spans="1:30">
      <c r="A41" s="117" t="s">
        <v>100</v>
      </c>
      <c r="B41" s="60" t="s">
        <v>98</v>
      </c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</row>
    <row r="42" spans="1:30">
      <c r="B42" s="42" t="s">
        <v>395</v>
      </c>
      <c r="C42" s="31"/>
      <c r="D42" s="31"/>
      <c r="E42" s="31"/>
      <c r="F42" s="341">
        <f>+Assumptions!D36</f>
        <v>6</v>
      </c>
      <c r="G42" s="98">
        <f>+F42*(1+F43)</f>
        <v>6.3000000000000007</v>
      </c>
      <c r="H42" s="98">
        <f t="shared" ref="H42:AD42" si="19">+G42*(1+G43)</f>
        <v>6.6150000000000011</v>
      </c>
      <c r="I42" s="98">
        <f t="shared" si="19"/>
        <v>6.9457500000000012</v>
      </c>
      <c r="J42" s="98">
        <f t="shared" si="19"/>
        <v>7.2930375000000014</v>
      </c>
      <c r="K42" s="98">
        <f t="shared" si="19"/>
        <v>7.6576893750000021</v>
      </c>
      <c r="L42" s="98">
        <f t="shared" si="19"/>
        <v>8.0405738437500034</v>
      </c>
      <c r="M42" s="98">
        <f t="shared" si="19"/>
        <v>8.4426025359375032</v>
      </c>
      <c r="N42" s="98">
        <f t="shared" si="19"/>
        <v>8.8647326627343794</v>
      </c>
      <c r="O42" s="98">
        <f t="shared" si="19"/>
        <v>9.3079692958710982</v>
      </c>
      <c r="P42" s="98">
        <f t="shared" si="19"/>
        <v>9.7733677606646534</v>
      </c>
      <c r="Q42" s="98">
        <f t="shared" si="19"/>
        <v>10.262036148697886</v>
      </c>
      <c r="R42" s="98">
        <f t="shared" si="19"/>
        <v>10.775137956132781</v>
      </c>
      <c r="S42" s="98">
        <f t="shared" si="19"/>
        <v>11.31389485393942</v>
      </c>
      <c r="T42" s="98">
        <f t="shared" si="19"/>
        <v>11.879589596636391</v>
      </c>
      <c r="U42" s="98">
        <f t="shared" si="19"/>
        <v>12.473569076468211</v>
      </c>
      <c r="V42" s="98">
        <f t="shared" si="19"/>
        <v>13.097247530291622</v>
      </c>
      <c r="W42" s="98">
        <f t="shared" si="19"/>
        <v>13.752109906806202</v>
      </c>
      <c r="X42" s="98">
        <f t="shared" si="19"/>
        <v>14.439715402146513</v>
      </c>
      <c r="Y42" s="98">
        <f t="shared" si="19"/>
        <v>15.161701172253839</v>
      </c>
      <c r="Z42" s="98">
        <f t="shared" si="19"/>
        <v>15.919786230866531</v>
      </c>
      <c r="AA42" s="98">
        <f t="shared" si="19"/>
        <v>16.715775542409858</v>
      </c>
      <c r="AB42" s="98">
        <f t="shared" si="19"/>
        <v>17.551564319530353</v>
      </c>
      <c r="AC42" s="98">
        <f t="shared" si="19"/>
        <v>18.429142535506873</v>
      </c>
      <c r="AD42" s="98">
        <f t="shared" si="19"/>
        <v>19.350599662282217</v>
      </c>
    </row>
    <row r="43" spans="1:30">
      <c r="B43" s="31" t="s">
        <v>93</v>
      </c>
      <c r="C43" s="31"/>
      <c r="D43" s="31"/>
      <c r="E43" s="31"/>
      <c r="F43" s="46">
        <f>+Assumptions!$D$38</f>
        <v>0.05</v>
      </c>
      <c r="G43" s="46">
        <f>+Assumptions!$D$38</f>
        <v>0.05</v>
      </c>
      <c r="H43" s="46">
        <f>+Assumptions!$D$38</f>
        <v>0.05</v>
      </c>
      <c r="I43" s="46">
        <f>+Assumptions!$D$38</f>
        <v>0.05</v>
      </c>
      <c r="J43" s="46">
        <f>+Assumptions!$D$38</f>
        <v>0.05</v>
      </c>
      <c r="K43" s="46">
        <f>+Assumptions!$D$38</f>
        <v>0.05</v>
      </c>
      <c r="L43" s="46">
        <f>+Assumptions!$D$38</f>
        <v>0.05</v>
      </c>
      <c r="M43" s="46">
        <f>+Assumptions!$D$38</f>
        <v>0.05</v>
      </c>
      <c r="N43" s="46">
        <f>+Assumptions!$D$38</f>
        <v>0.05</v>
      </c>
      <c r="O43" s="46">
        <f>+Assumptions!$D$38</f>
        <v>0.05</v>
      </c>
      <c r="P43" s="46">
        <f>+Assumptions!$D$38</f>
        <v>0.05</v>
      </c>
      <c r="Q43" s="46">
        <f>+Assumptions!$D$38</f>
        <v>0.05</v>
      </c>
      <c r="R43" s="46">
        <f>+Assumptions!$D$38</f>
        <v>0.05</v>
      </c>
      <c r="S43" s="46">
        <f>+Assumptions!$D$38</f>
        <v>0.05</v>
      </c>
      <c r="T43" s="46">
        <f>+Assumptions!$D$38</f>
        <v>0.05</v>
      </c>
      <c r="U43" s="46">
        <f>+Assumptions!$D$38</f>
        <v>0.05</v>
      </c>
      <c r="V43" s="46">
        <f>+Assumptions!$D$38</f>
        <v>0.05</v>
      </c>
      <c r="W43" s="46">
        <f>+Assumptions!$D$38</f>
        <v>0.05</v>
      </c>
      <c r="X43" s="46">
        <f>+Assumptions!$D$38</f>
        <v>0.05</v>
      </c>
      <c r="Y43" s="46">
        <f>+Assumptions!$D$38</f>
        <v>0.05</v>
      </c>
      <c r="Z43" s="46">
        <f>+Assumptions!$D$38</f>
        <v>0.05</v>
      </c>
      <c r="AA43" s="46">
        <f>+Assumptions!$D$38</f>
        <v>0.05</v>
      </c>
      <c r="AB43" s="46">
        <f>+Assumptions!$D$38</f>
        <v>0.05</v>
      </c>
      <c r="AC43" s="46">
        <f>+Assumptions!$D$38</f>
        <v>0.05</v>
      </c>
      <c r="AD43" s="46">
        <f>+Assumptions!$D$38</f>
        <v>0.05</v>
      </c>
    </row>
    <row r="44" spans="1:30">
      <c r="B44" s="31" t="s">
        <v>399</v>
      </c>
      <c r="C44" s="31"/>
      <c r="D44" s="31"/>
      <c r="E44" s="31"/>
      <c r="F44" s="55">
        <f t="shared" ref="F44:AD44" si="20">+F42*F19/100</f>
        <v>1.1878283999999999</v>
      </c>
      <c r="G44" s="55">
        <f t="shared" si="20"/>
        <v>1.2472198200000002</v>
      </c>
      <c r="H44" s="55">
        <f t="shared" si="20"/>
        <v>1.3095808110000002</v>
      </c>
      <c r="I44" s="55">
        <f t="shared" si="20"/>
        <v>1.3750598515500001</v>
      </c>
      <c r="J44" s="55">
        <f t="shared" si="20"/>
        <v>1.4438128441275</v>
      </c>
      <c r="K44" s="55">
        <f t="shared" si="20"/>
        <v>1.5160034863338754</v>
      </c>
      <c r="L44" s="55">
        <f t="shared" si="20"/>
        <v>1.5918036606505694</v>
      </c>
      <c r="M44" s="55">
        <f t="shared" si="20"/>
        <v>1.6713938436830977</v>
      </c>
      <c r="N44" s="55">
        <f t="shared" si="20"/>
        <v>1.7549635358672528</v>
      </c>
      <c r="O44" s="55">
        <f t="shared" si="20"/>
        <v>1.8427117126606154</v>
      </c>
      <c r="P44" s="55">
        <f t="shared" si="20"/>
        <v>1.9348472982936462</v>
      </c>
      <c r="Q44" s="55">
        <f t="shared" si="20"/>
        <v>2.0315896632083286</v>
      </c>
      <c r="R44" s="55">
        <f t="shared" si="20"/>
        <v>2.1331691463687452</v>
      </c>
      <c r="S44" s="55">
        <f t="shared" si="20"/>
        <v>2.2398276036871825</v>
      </c>
      <c r="T44" s="55">
        <f t="shared" si="20"/>
        <v>2.3518189838715413</v>
      </c>
      <c r="U44" s="55">
        <f t="shared" si="20"/>
        <v>2.4694099330651187</v>
      </c>
      <c r="V44" s="55">
        <f t="shared" si="20"/>
        <v>2.5928804297183747</v>
      </c>
      <c r="W44" s="55">
        <f t="shared" si="20"/>
        <v>2.7225244512042934</v>
      </c>
      <c r="X44" s="55">
        <f t="shared" si="20"/>
        <v>2.8586506737645077</v>
      </c>
      <c r="Y44" s="55">
        <f t="shared" si="20"/>
        <v>3.0015832074527333</v>
      </c>
      <c r="Z44" s="55">
        <f t="shared" si="20"/>
        <v>3.1516623678253701</v>
      </c>
      <c r="AA44" s="55">
        <f t="shared" si="20"/>
        <v>3.3092454862166387</v>
      </c>
      <c r="AB44" s="55">
        <f t="shared" si="20"/>
        <v>3.4747077605274712</v>
      </c>
      <c r="AC44" s="55">
        <f t="shared" si="20"/>
        <v>3.6484431485538455</v>
      </c>
      <c r="AD44" s="55">
        <f t="shared" si="20"/>
        <v>3.8308653059815372</v>
      </c>
    </row>
    <row r="45" spans="1:30">
      <c r="B45" s="114" t="s">
        <v>97</v>
      </c>
      <c r="C45" s="114"/>
      <c r="D45" s="114"/>
      <c r="E45" s="114"/>
      <c r="F45" s="115">
        <f>F44</f>
        <v>1.1878283999999999</v>
      </c>
      <c r="G45" s="115">
        <f t="shared" ref="G45:AD45" si="21">G44</f>
        <v>1.2472198200000002</v>
      </c>
      <c r="H45" s="115">
        <f t="shared" si="21"/>
        <v>1.3095808110000002</v>
      </c>
      <c r="I45" s="115">
        <f t="shared" si="21"/>
        <v>1.3750598515500001</v>
      </c>
      <c r="J45" s="115">
        <f t="shared" si="21"/>
        <v>1.4438128441275</v>
      </c>
      <c r="K45" s="115">
        <f t="shared" si="21"/>
        <v>1.5160034863338754</v>
      </c>
      <c r="L45" s="115">
        <f t="shared" si="21"/>
        <v>1.5918036606505694</v>
      </c>
      <c r="M45" s="115">
        <f t="shared" si="21"/>
        <v>1.6713938436830977</v>
      </c>
      <c r="N45" s="115">
        <f t="shared" si="21"/>
        <v>1.7549635358672528</v>
      </c>
      <c r="O45" s="115">
        <f t="shared" si="21"/>
        <v>1.8427117126606154</v>
      </c>
      <c r="P45" s="115">
        <f t="shared" si="21"/>
        <v>1.9348472982936462</v>
      </c>
      <c r="Q45" s="115">
        <f t="shared" si="21"/>
        <v>2.0315896632083286</v>
      </c>
      <c r="R45" s="115">
        <f t="shared" si="21"/>
        <v>2.1331691463687452</v>
      </c>
      <c r="S45" s="115">
        <f t="shared" si="21"/>
        <v>2.2398276036871825</v>
      </c>
      <c r="T45" s="115">
        <f t="shared" si="21"/>
        <v>2.3518189838715413</v>
      </c>
      <c r="U45" s="115">
        <f t="shared" si="21"/>
        <v>2.4694099330651187</v>
      </c>
      <c r="V45" s="115">
        <f t="shared" si="21"/>
        <v>2.5928804297183747</v>
      </c>
      <c r="W45" s="115">
        <f t="shared" si="21"/>
        <v>2.7225244512042934</v>
      </c>
      <c r="X45" s="115">
        <f t="shared" si="21"/>
        <v>2.8586506737645077</v>
      </c>
      <c r="Y45" s="115">
        <f t="shared" si="21"/>
        <v>3.0015832074527333</v>
      </c>
      <c r="Z45" s="115">
        <f t="shared" si="21"/>
        <v>3.1516623678253701</v>
      </c>
      <c r="AA45" s="115">
        <f t="shared" si="21"/>
        <v>3.3092454862166387</v>
      </c>
      <c r="AB45" s="115">
        <f t="shared" si="21"/>
        <v>3.4747077605274712</v>
      </c>
      <c r="AC45" s="115">
        <f t="shared" si="21"/>
        <v>3.6484431485538455</v>
      </c>
      <c r="AD45" s="115">
        <f t="shared" si="21"/>
        <v>3.8308653059815372</v>
      </c>
    </row>
    <row r="46" spans="1:30"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</row>
    <row r="47" spans="1:30">
      <c r="B47" s="94" t="s">
        <v>396</v>
      </c>
      <c r="C47" s="94"/>
      <c r="D47" s="94"/>
      <c r="E47" s="94"/>
      <c r="F47" s="95">
        <f>F45</f>
        <v>1.1878283999999999</v>
      </c>
      <c r="G47" s="95">
        <f t="shared" ref="G47:AD47" si="22">G45</f>
        <v>1.2472198200000002</v>
      </c>
      <c r="H47" s="95">
        <f t="shared" si="22"/>
        <v>1.3095808110000002</v>
      </c>
      <c r="I47" s="95">
        <f t="shared" si="22"/>
        <v>1.3750598515500001</v>
      </c>
      <c r="J47" s="95">
        <f t="shared" si="22"/>
        <v>1.4438128441275</v>
      </c>
      <c r="K47" s="95">
        <f t="shared" si="22"/>
        <v>1.5160034863338754</v>
      </c>
      <c r="L47" s="95">
        <f t="shared" si="22"/>
        <v>1.5918036606505694</v>
      </c>
      <c r="M47" s="95">
        <f t="shared" si="22"/>
        <v>1.6713938436830977</v>
      </c>
      <c r="N47" s="95">
        <f t="shared" si="22"/>
        <v>1.7549635358672528</v>
      </c>
      <c r="O47" s="95">
        <f t="shared" si="22"/>
        <v>1.8427117126606154</v>
      </c>
      <c r="P47" s="95">
        <f t="shared" si="22"/>
        <v>1.9348472982936462</v>
      </c>
      <c r="Q47" s="95">
        <f t="shared" si="22"/>
        <v>2.0315896632083286</v>
      </c>
      <c r="R47" s="95">
        <f t="shared" si="22"/>
        <v>2.1331691463687452</v>
      </c>
      <c r="S47" s="95">
        <f t="shared" si="22"/>
        <v>2.2398276036871825</v>
      </c>
      <c r="T47" s="95">
        <f t="shared" si="22"/>
        <v>2.3518189838715413</v>
      </c>
      <c r="U47" s="95">
        <f t="shared" si="22"/>
        <v>2.4694099330651187</v>
      </c>
      <c r="V47" s="95">
        <f t="shared" si="22"/>
        <v>2.5928804297183747</v>
      </c>
      <c r="W47" s="95">
        <f t="shared" si="22"/>
        <v>2.7225244512042934</v>
      </c>
      <c r="X47" s="95">
        <f t="shared" si="22"/>
        <v>2.8586506737645077</v>
      </c>
      <c r="Y47" s="95">
        <f t="shared" si="22"/>
        <v>3.0015832074527333</v>
      </c>
      <c r="Z47" s="95">
        <f t="shared" si="22"/>
        <v>3.1516623678253701</v>
      </c>
      <c r="AA47" s="95">
        <f t="shared" si="22"/>
        <v>3.3092454862166387</v>
      </c>
      <c r="AB47" s="95">
        <f t="shared" si="22"/>
        <v>3.4747077605274712</v>
      </c>
      <c r="AC47" s="95">
        <f t="shared" si="22"/>
        <v>3.6484431485538455</v>
      </c>
      <c r="AD47" s="95">
        <f t="shared" si="22"/>
        <v>3.8308653059815372</v>
      </c>
    </row>
    <row r="48" spans="1:30"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</row>
    <row r="49" spans="1:30">
      <c r="A49" t="s">
        <v>101</v>
      </c>
      <c r="B49" s="68" t="s">
        <v>400</v>
      </c>
      <c r="C49" s="68"/>
      <c r="D49" s="68"/>
      <c r="E49" s="68"/>
      <c r="F49" s="112">
        <f>+'PC &amp; MoF'!L22</f>
        <v>0.31262865757865232</v>
      </c>
      <c r="G49" s="113">
        <v>0</v>
      </c>
      <c r="H49" s="113">
        <v>0</v>
      </c>
      <c r="I49" s="113">
        <v>0</v>
      </c>
      <c r="J49" s="113">
        <v>0</v>
      </c>
      <c r="K49" s="113">
        <v>0</v>
      </c>
      <c r="L49" s="113">
        <v>0</v>
      </c>
      <c r="M49" s="113">
        <v>0</v>
      </c>
      <c r="N49" s="113">
        <v>0</v>
      </c>
      <c r="O49" s="113">
        <v>0</v>
      </c>
      <c r="P49" s="113">
        <v>0</v>
      </c>
      <c r="Q49" s="113">
        <v>0</v>
      </c>
      <c r="R49" s="113">
        <v>0</v>
      </c>
      <c r="S49" s="113">
        <v>0</v>
      </c>
      <c r="T49" s="113">
        <v>0</v>
      </c>
      <c r="U49" s="113">
        <v>0</v>
      </c>
      <c r="V49" s="113">
        <v>0</v>
      </c>
      <c r="W49" s="113">
        <v>0</v>
      </c>
      <c r="X49" s="113">
        <v>0</v>
      </c>
      <c r="Y49" s="113">
        <v>0</v>
      </c>
      <c r="Z49" s="113">
        <v>0</v>
      </c>
      <c r="AA49" s="113">
        <v>0</v>
      </c>
      <c r="AB49" s="113">
        <v>0</v>
      </c>
      <c r="AC49" s="113">
        <v>0</v>
      </c>
      <c r="AD49" s="113">
        <v>0</v>
      </c>
    </row>
    <row r="50" spans="1:30"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</row>
    <row r="51" spans="1:30">
      <c r="A51" s="117" t="s">
        <v>102</v>
      </c>
      <c r="B51" s="60" t="s">
        <v>51</v>
      </c>
      <c r="C51" s="31"/>
      <c r="D51" s="31"/>
      <c r="E51" s="31"/>
      <c r="F51" s="31"/>
      <c r="G51" s="31"/>
      <c r="H51" s="31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</row>
    <row r="52" spans="1:30">
      <c r="B52" s="42" t="s">
        <v>282</v>
      </c>
      <c r="C52" s="31"/>
      <c r="D52" s="31"/>
      <c r="E52" s="31"/>
      <c r="F52" s="105">
        <f>BS!D29</f>
        <v>84.027812185593149</v>
      </c>
      <c r="G52" s="105">
        <f>BS!E29</f>
        <v>80.741347699023706</v>
      </c>
      <c r="H52" s="105">
        <f>BS!F29</f>
        <v>77.445879200162281</v>
      </c>
      <c r="I52" s="105">
        <f>BS!G29</f>
        <v>74.159414713592838</v>
      </c>
      <c r="J52" s="105">
        <f>BS!H29</f>
        <v>70.872950227023381</v>
      </c>
      <c r="K52" s="105">
        <f>BS!I29</f>
        <v>67.586485740453938</v>
      </c>
      <c r="L52" s="105">
        <f>BS!J29</f>
        <v>64.291017241592513</v>
      </c>
      <c r="M52" s="105">
        <f>BS!K29</f>
        <v>61.00455275502307</v>
      </c>
      <c r="N52" s="105">
        <f>BS!L29</f>
        <v>57.71808826845362</v>
      </c>
      <c r="O52" s="105">
        <f>BS!M29</f>
        <v>54.43162378188417</v>
      </c>
      <c r="P52" s="105">
        <f>BS!N29</f>
        <v>51.136155283022752</v>
      </c>
      <c r="Q52" s="105">
        <f>BS!O29</f>
        <v>47.849690796453302</v>
      </c>
      <c r="R52" s="105">
        <f>BS!P29</f>
        <v>44.563226309883852</v>
      </c>
      <c r="S52" s="105">
        <f>BS!Q29</f>
        <v>41.276761823314402</v>
      </c>
      <c r="T52" s="105">
        <f>BS!R29</f>
        <v>37.981293324452984</v>
      </c>
      <c r="U52" s="105">
        <f>BS!S29</f>
        <v>34.694828837883534</v>
      </c>
      <c r="V52" s="105">
        <f>BS!T29</f>
        <v>31.408364351314084</v>
      </c>
      <c r="W52" s="105">
        <f>BS!U29</f>
        <v>28.121899864744634</v>
      </c>
      <c r="X52" s="105">
        <f>BS!V29</f>
        <v>24.826431365883217</v>
      </c>
      <c r="Y52" s="105">
        <f>BS!W29</f>
        <v>21.539966879313766</v>
      </c>
      <c r="Z52" s="105">
        <f>BS!X29</f>
        <v>18.253502392744323</v>
      </c>
      <c r="AA52" s="105">
        <f>BS!Y29</f>
        <v>14.96703790617488</v>
      </c>
      <c r="AB52" s="105">
        <f>BS!Z29</f>
        <v>11.671569407313456</v>
      </c>
      <c r="AC52" s="105">
        <f>BS!AA29</f>
        <v>8.3851049207440127</v>
      </c>
      <c r="AD52" s="105">
        <f>BS!AB29</f>
        <v>5.0986404341745697</v>
      </c>
    </row>
    <row r="53" spans="1:30">
      <c r="B53" s="31" t="s">
        <v>280</v>
      </c>
      <c r="C53" s="59">
        <v>1E-3</v>
      </c>
      <c r="D53" s="31"/>
      <c r="E53" s="31"/>
      <c r="F53" s="55">
        <f t="shared" ref="F53:AD53" si="23">F52*$C$53</f>
        <v>8.4027812185593145E-2</v>
      </c>
      <c r="G53" s="55">
        <f t="shared" si="23"/>
        <v>8.0741347699023705E-2</v>
      </c>
      <c r="H53" s="55">
        <f t="shared" si="23"/>
        <v>7.7445879200162285E-2</v>
      </c>
      <c r="I53" s="55">
        <f t="shared" si="23"/>
        <v>7.4159414713592844E-2</v>
      </c>
      <c r="J53" s="55">
        <f t="shared" si="23"/>
        <v>7.0872950227023376E-2</v>
      </c>
      <c r="K53" s="55">
        <f t="shared" si="23"/>
        <v>6.7586485740453936E-2</v>
      </c>
      <c r="L53" s="55">
        <f t="shared" si="23"/>
        <v>6.4291017241592516E-2</v>
      </c>
      <c r="M53" s="55">
        <f t="shared" si="23"/>
        <v>6.1004552755023068E-2</v>
      </c>
      <c r="N53" s="55">
        <f t="shared" si="23"/>
        <v>5.7718088268453621E-2</v>
      </c>
      <c r="O53" s="55">
        <f t="shared" si="23"/>
        <v>5.4431623781884174E-2</v>
      </c>
      <c r="P53" s="55">
        <f t="shared" si="23"/>
        <v>5.1136155283022754E-2</v>
      </c>
      <c r="Q53" s="55">
        <f t="shared" si="23"/>
        <v>4.7849690796453306E-2</v>
      </c>
      <c r="R53" s="55">
        <f t="shared" si="23"/>
        <v>4.4563226309883852E-2</v>
      </c>
      <c r="S53" s="55">
        <f t="shared" si="23"/>
        <v>4.1276761823314405E-2</v>
      </c>
      <c r="T53" s="55">
        <f t="shared" si="23"/>
        <v>3.7981293324452985E-2</v>
      </c>
      <c r="U53" s="55">
        <f t="shared" si="23"/>
        <v>3.4694828837883537E-2</v>
      </c>
      <c r="V53" s="55">
        <f t="shared" si="23"/>
        <v>3.1408364351314083E-2</v>
      </c>
      <c r="W53" s="55">
        <f t="shared" si="23"/>
        <v>2.8121899864744636E-2</v>
      </c>
      <c r="X53" s="55">
        <f t="shared" si="23"/>
        <v>2.4826431365883216E-2</v>
      </c>
      <c r="Y53" s="55">
        <f t="shared" si="23"/>
        <v>2.1539966879313768E-2</v>
      </c>
      <c r="Z53" s="55">
        <f t="shared" si="23"/>
        <v>1.8253502392744324E-2</v>
      </c>
      <c r="AA53" s="55">
        <f t="shared" si="23"/>
        <v>1.4967037906174881E-2</v>
      </c>
      <c r="AB53" s="55">
        <f t="shared" si="23"/>
        <v>1.1671569407313455E-2</v>
      </c>
      <c r="AC53" s="55">
        <f t="shared" si="23"/>
        <v>8.3851049207440131E-3</v>
      </c>
      <c r="AD53" s="55">
        <f t="shared" si="23"/>
        <v>5.0986404341745702E-3</v>
      </c>
    </row>
    <row r="54" spans="1:30">
      <c r="B54" s="94" t="s">
        <v>397</v>
      </c>
      <c r="C54" s="94"/>
      <c r="D54" s="94"/>
      <c r="E54" s="94"/>
      <c r="F54" s="95">
        <f>F53</f>
        <v>8.4027812185593145E-2</v>
      </c>
      <c r="G54" s="95">
        <f t="shared" ref="G54:AD54" si="24">G53</f>
        <v>8.0741347699023705E-2</v>
      </c>
      <c r="H54" s="95">
        <f t="shared" si="24"/>
        <v>7.7445879200162285E-2</v>
      </c>
      <c r="I54" s="95">
        <f t="shared" si="24"/>
        <v>7.4159414713592844E-2</v>
      </c>
      <c r="J54" s="95">
        <f t="shared" si="24"/>
        <v>7.0872950227023376E-2</v>
      </c>
      <c r="K54" s="95">
        <f t="shared" si="24"/>
        <v>6.7586485740453936E-2</v>
      </c>
      <c r="L54" s="95">
        <f t="shared" si="24"/>
        <v>6.4291017241592516E-2</v>
      </c>
      <c r="M54" s="95">
        <f t="shared" si="24"/>
        <v>6.1004552755023068E-2</v>
      </c>
      <c r="N54" s="95">
        <f t="shared" si="24"/>
        <v>5.7718088268453621E-2</v>
      </c>
      <c r="O54" s="95">
        <f t="shared" si="24"/>
        <v>5.4431623781884174E-2</v>
      </c>
      <c r="P54" s="95">
        <f t="shared" si="24"/>
        <v>5.1136155283022754E-2</v>
      </c>
      <c r="Q54" s="95">
        <f t="shared" si="24"/>
        <v>4.7849690796453306E-2</v>
      </c>
      <c r="R54" s="95">
        <f t="shared" si="24"/>
        <v>4.4563226309883852E-2</v>
      </c>
      <c r="S54" s="95">
        <f t="shared" si="24"/>
        <v>4.1276761823314405E-2</v>
      </c>
      <c r="T54" s="95">
        <f t="shared" si="24"/>
        <v>3.7981293324452985E-2</v>
      </c>
      <c r="U54" s="95">
        <f t="shared" si="24"/>
        <v>3.4694828837883537E-2</v>
      </c>
      <c r="V54" s="95">
        <f t="shared" si="24"/>
        <v>3.1408364351314083E-2</v>
      </c>
      <c r="W54" s="95">
        <f t="shared" si="24"/>
        <v>2.8121899864744636E-2</v>
      </c>
      <c r="X54" s="95">
        <f t="shared" si="24"/>
        <v>2.4826431365883216E-2</v>
      </c>
      <c r="Y54" s="95">
        <f t="shared" si="24"/>
        <v>2.1539966879313768E-2</v>
      </c>
      <c r="Z54" s="95">
        <f t="shared" si="24"/>
        <v>1.8253502392744324E-2</v>
      </c>
      <c r="AA54" s="95">
        <f t="shared" si="24"/>
        <v>1.4967037906174881E-2</v>
      </c>
      <c r="AB54" s="95">
        <f t="shared" si="24"/>
        <v>1.1671569407313455E-2</v>
      </c>
      <c r="AC54" s="95">
        <f t="shared" si="24"/>
        <v>8.3851049207440131E-3</v>
      </c>
      <c r="AD54" s="95">
        <f t="shared" si="24"/>
        <v>5.0986404341745702E-3</v>
      </c>
    </row>
    <row r="55" spans="1:30"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</row>
    <row r="56" spans="1:30">
      <c r="B56" s="94" t="s">
        <v>94</v>
      </c>
      <c r="C56" s="94"/>
      <c r="D56" s="94"/>
      <c r="E56" s="94"/>
      <c r="F56" s="95">
        <f>+F54+F47+F49</f>
        <v>1.5844848697642453</v>
      </c>
      <c r="G56" s="95">
        <f t="shared" ref="G56:AD56" si="25">+G54+G47+G49</f>
        <v>1.3279611676990239</v>
      </c>
      <c r="H56" s="95">
        <f t="shared" si="25"/>
        <v>1.3870266902001624</v>
      </c>
      <c r="I56" s="95">
        <f t="shared" si="25"/>
        <v>1.449219266263593</v>
      </c>
      <c r="J56" s="95">
        <f t="shared" si="25"/>
        <v>1.5146857943545233</v>
      </c>
      <c r="K56" s="95">
        <f t="shared" si="25"/>
        <v>1.5835899720743294</v>
      </c>
      <c r="L56" s="95">
        <f t="shared" si="25"/>
        <v>1.6560946778921619</v>
      </c>
      <c r="M56" s="95">
        <f t="shared" si="25"/>
        <v>1.7323983964381209</v>
      </c>
      <c r="N56" s="95">
        <f t="shared" si="25"/>
        <v>1.8126816241357064</v>
      </c>
      <c r="O56" s="95">
        <f t="shared" si="25"/>
        <v>1.8971433364424997</v>
      </c>
      <c r="P56" s="95">
        <f t="shared" si="25"/>
        <v>1.9859834535766689</v>
      </c>
      <c r="Q56" s="95">
        <f t="shared" si="25"/>
        <v>2.0794393540047817</v>
      </c>
      <c r="R56" s="95">
        <f t="shared" si="25"/>
        <v>2.1777323726786291</v>
      </c>
      <c r="S56" s="95">
        <f t="shared" si="25"/>
        <v>2.281104365510497</v>
      </c>
      <c r="T56" s="95">
        <f t="shared" si="25"/>
        <v>2.3898002771959943</v>
      </c>
      <c r="U56" s="95">
        <f t="shared" si="25"/>
        <v>2.5041047619030024</v>
      </c>
      <c r="V56" s="95">
        <f t="shared" si="25"/>
        <v>2.6242887940696886</v>
      </c>
      <c r="W56" s="95">
        <f t="shared" si="25"/>
        <v>2.750646351069038</v>
      </c>
      <c r="X56" s="95">
        <f t="shared" si="25"/>
        <v>2.8834771051303907</v>
      </c>
      <c r="Y56" s="95">
        <f t="shared" si="25"/>
        <v>3.023123174332047</v>
      </c>
      <c r="Z56" s="95">
        <f t="shared" si="25"/>
        <v>3.1699158702181145</v>
      </c>
      <c r="AA56" s="95">
        <f t="shared" si="25"/>
        <v>3.3242125241228138</v>
      </c>
      <c r="AB56" s="95">
        <f t="shared" si="25"/>
        <v>3.4863793299347847</v>
      </c>
      <c r="AC56" s="95">
        <f t="shared" si="25"/>
        <v>3.6568282534745897</v>
      </c>
      <c r="AD56" s="95">
        <f t="shared" si="25"/>
        <v>3.8359639464157116</v>
      </c>
    </row>
    <row r="59" spans="1:30">
      <c r="H59" s="316"/>
      <c r="I59" s="316"/>
      <c r="J59" s="316"/>
    </row>
    <row r="60" spans="1:30">
      <c r="H60" s="316"/>
    </row>
    <row r="62" spans="1:30">
      <c r="H62" s="316"/>
    </row>
    <row r="63" spans="1:30">
      <c r="H63" s="317"/>
      <c r="I63" s="316"/>
      <c r="J63" s="316"/>
    </row>
    <row r="64" spans="1:30">
      <c r="H64" s="317"/>
    </row>
    <row r="66" spans="8:11">
      <c r="H66" s="317"/>
      <c r="I66" s="316"/>
    </row>
    <row r="68" spans="8:11">
      <c r="H68" s="319"/>
      <c r="I68" s="320"/>
    </row>
    <row r="69" spans="8:11">
      <c r="K69" s="316"/>
    </row>
    <row r="70" spans="8:11">
      <c r="H70" s="319"/>
      <c r="I70" s="320"/>
      <c r="K70" s="316"/>
    </row>
    <row r="72" spans="8:11">
      <c r="I72" s="319"/>
    </row>
    <row r="73" spans="8:11">
      <c r="I73" s="319"/>
      <c r="J73" s="318"/>
    </row>
    <row r="74" spans="8:11">
      <c r="I74" s="319"/>
    </row>
    <row r="75" spans="8:11">
      <c r="I75" s="319"/>
    </row>
  </sheetData>
  <mergeCells count="2">
    <mergeCell ref="D7:E7"/>
    <mergeCell ref="F7:AD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46"/>
  <sheetViews>
    <sheetView showGridLines="0" workbookViewId="0">
      <pane xSplit="2" ySplit="8" topLeftCell="C9" activePane="bottomRight" state="frozen"/>
      <selection activeCell="A9" sqref="A9"/>
      <selection pane="topRight" activeCell="A9" sqref="A9"/>
      <selection pane="bottomLeft" activeCell="A9" sqref="A9"/>
      <selection pane="bottomRight" activeCell="F20" sqref="F20"/>
    </sheetView>
  </sheetViews>
  <sheetFormatPr defaultColWidth="13.7109375" defaultRowHeight="15"/>
  <cols>
    <col min="1" max="1" width="5.5703125" style="68" customWidth="1"/>
    <col min="2" max="2" width="64.7109375" style="68" customWidth="1"/>
    <col min="3" max="3" width="7.140625" style="68" customWidth="1"/>
    <col min="4" max="14" width="12.7109375" style="68" customWidth="1"/>
    <col min="15" max="16384" width="13.7109375" style="68"/>
  </cols>
  <sheetData>
    <row r="1" spans="1:29" s="1" customFormat="1" ht="19.899999999999999" customHeight="1">
      <c r="B1" s="101" t="str">
        <f>Company</f>
        <v>M/s. OMC Power Private Limited</v>
      </c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</row>
    <row r="2" spans="1:29" s="1" customFormat="1" ht="9" customHeight="1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1" customFormat="1" ht="19.899999999999999" customHeight="1">
      <c r="B3" s="102" t="str">
        <f>Project</f>
        <v>Financial Model for Proposed 35 locations Solar Power Plant (20 MW )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</row>
    <row r="4" spans="1:29" s="1" customFormat="1" ht="9" customHeight="1">
      <c r="B4" s="2"/>
      <c r="C4" s="2"/>
      <c r="D4" s="2"/>
      <c r="E4" s="2"/>
      <c r="F4" s="287"/>
    </row>
    <row r="5" spans="1:29" customFormat="1" ht="15.75">
      <c r="B5" s="69" t="s">
        <v>289</v>
      </c>
      <c r="C5" s="69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</row>
    <row r="6" spans="1:29" customFormat="1">
      <c r="B6" s="288" t="s">
        <v>288</v>
      </c>
      <c r="C6" s="66"/>
      <c r="D6" s="31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</row>
    <row r="7" spans="1:29" s="31" customFormat="1" ht="15.75">
      <c r="A7" s="1"/>
      <c r="C7" s="66"/>
      <c r="D7" s="321"/>
      <c r="E7" s="415" t="s">
        <v>81</v>
      </c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</row>
    <row r="8" spans="1:29" s="31" customFormat="1">
      <c r="A8" s="1"/>
      <c r="B8" s="71" t="s">
        <v>82</v>
      </c>
      <c r="C8" s="72" t="s">
        <v>83</v>
      </c>
      <c r="D8" s="73">
        <f>'Revenue &amp; Expenses Modeling'!E8</f>
        <v>45838</v>
      </c>
      <c r="E8" s="73">
        <f>'Revenue &amp; Expenses Modeling'!F8</f>
        <v>46111</v>
      </c>
      <c r="F8" s="73">
        <f>'Revenue &amp; Expenses Modeling'!G8</f>
        <v>46476</v>
      </c>
      <c r="G8" s="73">
        <f>'Revenue &amp; Expenses Modeling'!H8</f>
        <v>46842</v>
      </c>
      <c r="H8" s="73">
        <f>'Revenue &amp; Expenses Modeling'!I8</f>
        <v>47207</v>
      </c>
      <c r="I8" s="73">
        <f>'Revenue &amp; Expenses Modeling'!J8</f>
        <v>47572</v>
      </c>
      <c r="J8" s="73">
        <f>'Revenue &amp; Expenses Modeling'!K8</f>
        <v>47937</v>
      </c>
      <c r="K8" s="73">
        <f>'Revenue &amp; Expenses Modeling'!L8</f>
        <v>48303</v>
      </c>
      <c r="L8" s="73">
        <f>'Revenue &amp; Expenses Modeling'!M8</f>
        <v>48668</v>
      </c>
      <c r="M8" s="73">
        <f>'Revenue &amp; Expenses Modeling'!N8</f>
        <v>49033</v>
      </c>
      <c r="N8" s="73">
        <f>'Revenue &amp; Expenses Modeling'!O8</f>
        <v>49398</v>
      </c>
      <c r="O8" s="73">
        <f>'Revenue &amp; Expenses Modeling'!P8</f>
        <v>49764</v>
      </c>
      <c r="P8" s="73">
        <f>'Revenue &amp; Expenses Modeling'!Q8</f>
        <v>50129</v>
      </c>
      <c r="Q8" s="73">
        <f>'Revenue &amp; Expenses Modeling'!R8</f>
        <v>50494</v>
      </c>
      <c r="R8" s="73">
        <f>'Revenue &amp; Expenses Modeling'!S8</f>
        <v>50859</v>
      </c>
      <c r="S8" s="73">
        <f>'Revenue &amp; Expenses Modeling'!T8</f>
        <v>51225</v>
      </c>
      <c r="T8" s="73">
        <f>'Revenue &amp; Expenses Modeling'!U8</f>
        <v>51590</v>
      </c>
      <c r="U8" s="73">
        <f>'Revenue &amp; Expenses Modeling'!V8</f>
        <v>51955</v>
      </c>
      <c r="V8" s="73">
        <f>'Revenue &amp; Expenses Modeling'!W8</f>
        <v>52320</v>
      </c>
      <c r="W8" s="73">
        <f>'Revenue &amp; Expenses Modeling'!X8</f>
        <v>52686</v>
      </c>
      <c r="X8" s="73">
        <f>'Revenue &amp; Expenses Modeling'!Y8</f>
        <v>53051</v>
      </c>
      <c r="Y8" s="73">
        <f>'Revenue &amp; Expenses Modeling'!Z8</f>
        <v>53416</v>
      </c>
      <c r="Z8" s="73">
        <f>'Revenue &amp; Expenses Modeling'!AA8</f>
        <v>53781</v>
      </c>
      <c r="AA8" s="73">
        <f>'Revenue &amp; Expenses Modeling'!AB8</f>
        <v>54147</v>
      </c>
      <c r="AB8" s="73">
        <f>'Revenue &amp; Expenses Modeling'!AC8</f>
        <v>54512</v>
      </c>
      <c r="AC8" s="73">
        <f>'Revenue &amp; Expenses Modeling'!AD8</f>
        <v>54877</v>
      </c>
    </row>
    <row r="9" spans="1:29" s="78" customFormat="1">
      <c r="A9" s="1"/>
      <c r="B9" s="74" t="s">
        <v>84</v>
      </c>
      <c r="C9" s="75"/>
      <c r="D9" s="76">
        <v>0</v>
      </c>
      <c r="E9" s="77">
        <v>1</v>
      </c>
      <c r="F9" s="77">
        <v>2</v>
      </c>
      <c r="G9" s="77">
        <v>3</v>
      </c>
      <c r="H9" s="77">
        <v>4</v>
      </c>
      <c r="I9" s="77">
        <v>5</v>
      </c>
      <c r="J9" s="77">
        <v>6</v>
      </c>
      <c r="K9" s="77">
        <v>7</v>
      </c>
      <c r="L9" s="77">
        <v>8</v>
      </c>
      <c r="M9" s="77">
        <v>9</v>
      </c>
      <c r="N9" s="77">
        <v>10</v>
      </c>
      <c r="O9" s="77">
        <v>11</v>
      </c>
      <c r="P9" s="77">
        <v>12</v>
      </c>
      <c r="Q9" s="77">
        <v>13</v>
      </c>
      <c r="R9" s="77">
        <v>14</v>
      </c>
      <c r="S9" s="77">
        <v>15</v>
      </c>
      <c r="T9" s="77">
        <v>16</v>
      </c>
      <c r="U9" s="77">
        <v>17</v>
      </c>
      <c r="V9" s="77">
        <v>18</v>
      </c>
      <c r="W9" s="77">
        <v>19</v>
      </c>
      <c r="X9" s="77">
        <v>20</v>
      </c>
      <c r="Y9" s="77">
        <v>21</v>
      </c>
      <c r="Z9" s="77">
        <v>22</v>
      </c>
      <c r="AA9" s="77">
        <v>23</v>
      </c>
      <c r="AB9" s="77">
        <v>24</v>
      </c>
      <c r="AC9" s="77">
        <v>25</v>
      </c>
    </row>
    <row r="10" spans="1:29" s="78" customFormat="1">
      <c r="A10" s="1"/>
      <c r="B10" s="74" t="s">
        <v>85</v>
      </c>
      <c r="C10" s="75"/>
      <c r="D10" s="76">
        <f>+'Revenue &amp; Expenses Modeling'!E10</f>
        <v>3</v>
      </c>
      <c r="E10" s="75">
        <f t="shared" ref="E10:AC10" si="0">MONTH(E8-D8)</f>
        <v>9</v>
      </c>
      <c r="F10" s="75">
        <f t="shared" si="0"/>
        <v>12</v>
      </c>
      <c r="G10" s="75">
        <f t="shared" si="0"/>
        <v>12</v>
      </c>
      <c r="H10" s="75">
        <f t="shared" si="0"/>
        <v>12</v>
      </c>
      <c r="I10" s="75">
        <f t="shared" si="0"/>
        <v>12</v>
      </c>
      <c r="J10" s="75">
        <f t="shared" si="0"/>
        <v>12</v>
      </c>
      <c r="K10" s="75">
        <f t="shared" si="0"/>
        <v>12</v>
      </c>
      <c r="L10" s="75">
        <f t="shared" si="0"/>
        <v>12</v>
      </c>
      <c r="M10" s="75">
        <f t="shared" si="0"/>
        <v>12</v>
      </c>
      <c r="N10" s="75">
        <f t="shared" si="0"/>
        <v>12</v>
      </c>
      <c r="O10" s="75">
        <f t="shared" si="0"/>
        <v>12</v>
      </c>
      <c r="P10" s="75">
        <f t="shared" si="0"/>
        <v>12</v>
      </c>
      <c r="Q10" s="75">
        <f t="shared" si="0"/>
        <v>12</v>
      </c>
      <c r="R10" s="75">
        <f t="shared" si="0"/>
        <v>12</v>
      </c>
      <c r="S10" s="75">
        <f t="shared" si="0"/>
        <v>12</v>
      </c>
      <c r="T10" s="75">
        <f t="shared" si="0"/>
        <v>12</v>
      </c>
      <c r="U10" s="75">
        <f t="shared" si="0"/>
        <v>12</v>
      </c>
      <c r="V10" s="75">
        <f t="shared" si="0"/>
        <v>12</v>
      </c>
      <c r="W10" s="75">
        <f t="shared" si="0"/>
        <v>12</v>
      </c>
      <c r="X10" s="75">
        <f t="shared" si="0"/>
        <v>12</v>
      </c>
      <c r="Y10" s="75">
        <f t="shared" si="0"/>
        <v>12</v>
      </c>
      <c r="Z10" s="75">
        <f t="shared" si="0"/>
        <v>12</v>
      </c>
      <c r="AA10" s="75">
        <f t="shared" si="0"/>
        <v>12</v>
      </c>
      <c r="AB10" s="75">
        <f t="shared" si="0"/>
        <v>12</v>
      </c>
      <c r="AC10" s="75">
        <f t="shared" si="0"/>
        <v>12</v>
      </c>
    </row>
    <row r="11" spans="1:29">
      <c r="A11" s="1"/>
      <c r="B11" s="60" t="s">
        <v>105</v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</row>
    <row r="12" spans="1:29">
      <c r="A12" s="307">
        <v>0</v>
      </c>
      <c r="B12" s="61" t="s">
        <v>105</v>
      </c>
      <c r="C12" s="61"/>
      <c r="D12" s="61"/>
      <c r="E12" s="124">
        <f>'Revenue &amp; Expenses Modeling'!F37*(1-$A$12)</f>
        <v>10.563790836440971</v>
      </c>
      <c r="F12" s="124">
        <f>'Revenue &amp; Expenses Modeling'!G37*(1-$A$12)</f>
        <v>13.933503394201249</v>
      </c>
      <c r="G12" s="124">
        <f>'Revenue &amp; Expenses Modeling'!H37*(1-$A$12)</f>
        <v>13.833064219898972</v>
      </c>
      <c r="H12" s="124">
        <f>'Revenue &amp; Expenses Modeling'!I37*(1-$A$12)</f>
        <v>13.659240257906296</v>
      </c>
      <c r="I12" s="124">
        <f>'Revenue &amp; Expenses Modeling'!J37*(1-$A$12)</f>
        <v>13.524162217764246</v>
      </c>
      <c r="J12" s="124">
        <f>'Revenue &amp; Expenses Modeling'!K37*(1-$A$12)</f>
        <v>13.390434958023617</v>
      </c>
      <c r="K12" s="124">
        <f>'Revenue &amp; Expenses Modeling'!L37*(1-$A$12)</f>
        <v>13.293953487941156</v>
      </c>
      <c r="L12" s="124">
        <f>'Revenue &amp; Expenses Modeling'!M37*(1-$A$12)</f>
        <v>13.126978883608601</v>
      </c>
      <c r="M12" s="124">
        <f>'Revenue &amp; Expenses Modeling'!N37*(1-$A$12)</f>
        <v>12.997223457209525</v>
      </c>
      <c r="N12" s="124">
        <f>'Revenue &amp; Expenses Modeling'!O37*(1-$A$12)</f>
        <v>12.868765585074444</v>
      </c>
      <c r="O12" s="124">
        <f>'Revenue &amp; Expenses Modeling'!P37*(1-$A$12)</f>
        <v>12.776085869874297</v>
      </c>
      <c r="P12" s="124">
        <f>'Revenue &amp; Expenses Modeling'!Q37*(1-$A$12)</f>
        <v>12.615690731181115</v>
      </c>
      <c r="Q12" s="124">
        <f>'Revenue &amp; Expenses Modeling'!R37*(1-$A$12)</f>
        <v>12.491048186306319</v>
      </c>
      <c r="R12" s="124">
        <f>'Revenue &amp; Expenses Modeling'!S37*(1-$A$12)</f>
        <v>12.367652066880268</v>
      </c>
      <c r="S12" s="124">
        <f>'Revenue &amp; Expenses Modeling'!T37*(1-$A$12)</f>
        <v>12.278624302251071</v>
      </c>
      <c r="T12" s="124">
        <f>'Revenue &amp; Expenses Modeling'!U37*(1-$A$12)</f>
        <v>12.124549371999004</v>
      </c>
      <c r="U12" s="124">
        <f>'Revenue &amp; Expenses Modeling'!V37*(1-$A$12)</f>
        <v>12.004818240716029</v>
      </c>
      <c r="V12" s="124">
        <f>'Revenue &amp; Expenses Modeling'!W37*(1-$A$12)</f>
        <v>11.886284420745881</v>
      </c>
      <c r="W12" s="124">
        <f>'Revenue &amp; Expenses Modeling'!X37*(1-$A$12)</f>
        <v>11.800764705263857</v>
      </c>
      <c r="X12" s="124">
        <f>'Revenue &amp; Expenses Modeling'!Y37*(1-$A$12)</f>
        <v>11.652760942022693</v>
      </c>
      <c r="Y12" s="124">
        <f>'Revenue &amp; Expenses Modeling'!Z37*(1-$A$12)</f>
        <v>11.53774769503948</v>
      </c>
      <c r="Z12" s="124">
        <f>'Revenue &amp; Expenses Modeling'!AA37*(1-$A$12)</f>
        <v>11.423884580526096</v>
      </c>
      <c r="AA12" s="124">
        <f>'Revenue &amp; Expenses Modeling'!AB37*(1-$A$12)</f>
        <v>11.341734683057728</v>
      </c>
      <c r="AB12" s="124">
        <f>'Revenue &amp; Expenses Modeling'!AC37*(1-$A$12)</f>
        <v>11.199562858623279</v>
      </c>
      <c r="AC12" s="124">
        <f>'Revenue &amp; Expenses Modeling'!AD37*(1-$A$12)</f>
        <v>11.089081592474059</v>
      </c>
    </row>
    <row r="13" spans="1:29">
      <c r="A13" s="1"/>
      <c r="B13" s="60" t="s">
        <v>99</v>
      </c>
      <c r="C13" s="31"/>
      <c r="D13" s="31"/>
      <c r="E13" s="125"/>
      <c r="F13" s="125"/>
      <c r="G13" s="125"/>
      <c r="H13" s="125"/>
      <c r="I13" s="125"/>
      <c r="J13" s="125"/>
      <c r="K13" s="125"/>
      <c r="L13" s="125"/>
      <c r="M13" s="125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</row>
    <row r="14" spans="1:29">
      <c r="A14" s="1"/>
      <c r="B14" s="31" t="s">
        <v>50</v>
      </c>
      <c r="C14" s="31"/>
      <c r="D14" s="31"/>
      <c r="E14" s="125">
        <f>'Revenue &amp; Expenses Modeling'!F47</f>
        <v>1.1878283999999999</v>
      </c>
      <c r="F14" s="125">
        <f>'Revenue &amp; Expenses Modeling'!G47</f>
        <v>1.2472198200000002</v>
      </c>
      <c r="G14" s="125">
        <f>'Revenue &amp; Expenses Modeling'!H47</f>
        <v>1.3095808110000002</v>
      </c>
      <c r="H14" s="125">
        <f>'Revenue &amp; Expenses Modeling'!I47</f>
        <v>1.3750598515500001</v>
      </c>
      <c r="I14" s="125">
        <f>'Revenue &amp; Expenses Modeling'!J47</f>
        <v>1.4438128441275</v>
      </c>
      <c r="J14" s="125">
        <f>'Revenue &amp; Expenses Modeling'!K47</f>
        <v>1.5160034863338754</v>
      </c>
      <c r="K14" s="125">
        <f>'Revenue &amp; Expenses Modeling'!L47</f>
        <v>1.5918036606505694</v>
      </c>
      <c r="L14" s="125">
        <f>'Revenue &amp; Expenses Modeling'!M47</f>
        <v>1.6713938436830977</v>
      </c>
      <c r="M14" s="125">
        <f>'Revenue &amp; Expenses Modeling'!N47</f>
        <v>1.7549635358672528</v>
      </c>
      <c r="N14" s="125">
        <f>'Revenue &amp; Expenses Modeling'!O47</f>
        <v>1.8427117126606154</v>
      </c>
      <c r="O14" s="125">
        <f>'Revenue &amp; Expenses Modeling'!P47</f>
        <v>1.9348472982936462</v>
      </c>
      <c r="P14" s="125">
        <f>'Revenue &amp; Expenses Modeling'!Q47</f>
        <v>2.0315896632083286</v>
      </c>
      <c r="Q14" s="125">
        <f>'Revenue &amp; Expenses Modeling'!R47</f>
        <v>2.1331691463687452</v>
      </c>
      <c r="R14" s="125">
        <f>'Revenue &amp; Expenses Modeling'!S47</f>
        <v>2.2398276036871825</v>
      </c>
      <c r="S14" s="125">
        <f>'Revenue &amp; Expenses Modeling'!T47</f>
        <v>2.3518189838715413</v>
      </c>
      <c r="T14" s="125">
        <f>'Revenue &amp; Expenses Modeling'!U47</f>
        <v>2.4694099330651187</v>
      </c>
      <c r="U14" s="125">
        <f>'Revenue &amp; Expenses Modeling'!V47</f>
        <v>2.5928804297183747</v>
      </c>
      <c r="V14" s="125">
        <f>'Revenue &amp; Expenses Modeling'!W47</f>
        <v>2.7225244512042934</v>
      </c>
      <c r="W14" s="125">
        <f>'Revenue &amp; Expenses Modeling'!X47</f>
        <v>2.8586506737645077</v>
      </c>
      <c r="X14" s="125">
        <f>'Revenue &amp; Expenses Modeling'!Y47</f>
        <v>3.0015832074527333</v>
      </c>
      <c r="Y14" s="125">
        <f>'Revenue &amp; Expenses Modeling'!Z47</f>
        <v>3.1516623678253701</v>
      </c>
      <c r="Z14" s="125">
        <f>'Revenue &amp; Expenses Modeling'!AA47</f>
        <v>3.3092454862166387</v>
      </c>
      <c r="AA14" s="125">
        <f>'Revenue &amp; Expenses Modeling'!AB47</f>
        <v>3.4747077605274712</v>
      </c>
      <c r="AB14" s="125">
        <f>'Revenue &amp; Expenses Modeling'!AC47</f>
        <v>3.6484431485538455</v>
      </c>
      <c r="AC14" s="125">
        <f>'Revenue &amp; Expenses Modeling'!AD47</f>
        <v>3.8308653059815372</v>
      </c>
    </row>
    <row r="15" spans="1:29">
      <c r="A15" s="1"/>
      <c r="B15" s="31" t="s">
        <v>51</v>
      </c>
      <c r="C15" s="31"/>
      <c r="D15" s="31"/>
      <c r="E15" s="125">
        <f>'Revenue &amp; Expenses Modeling'!F54</f>
        <v>8.4027812185593145E-2</v>
      </c>
      <c r="F15" s="125">
        <f>'Revenue &amp; Expenses Modeling'!G54</f>
        <v>8.0741347699023705E-2</v>
      </c>
      <c r="G15" s="125">
        <f>'Revenue &amp; Expenses Modeling'!H54</f>
        <v>7.7445879200162285E-2</v>
      </c>
      <c r="H15" s="125">
        <f>'Revenue &amp; Expenses Modeling'!I54</f>
        <v>7.4159414713592844E-2</v>
      </c>
      <c r="I15" s="125">
        <f>'Revenue &amp; Expenses Modeling'!J54</f>
        <v>7.0872950227023376E-2</v>
      </c>
      <c r="J15" s="125">
        <f>'Revenue &amp; Expenses Modeling'!K54</f>
        <v>6.7586485740453936E-2</v>
      </c>
      <c r="K15" s="125">
        <f>'Revenue &amp; Expenses Modeling'!L54</f>
        <v>6.4291017241592516E-2</v>
      </c>
      <c r="L15" s="125">
        <f>'Revenue &amp; Expenses Modeling'!M54</f>
        <v>6.1004552755023068E-2</v>
      </c>
      <c r="M15" s="125">
        <f>'Revenue &amp; Expenses Modeling'!N54</f>
        <v>5.7718088268453621E-2</v>
      </c>
      <c r="N15" s="125">
        <f>'Revenue &amp; Expenses Modeling'!O54</f>
        <v>5.4431623781884174E-2</v>
      </c>
      <c r="O15" s="125">
        <f>'Revenue &amp; Expenses Modeling'!P54</f>
        <v>5.1136155283022754E-2</v>
      </c>
      <c r="P15" s="125">
        <f>'Revenue &amp; Expenses Modeling'!Q54</f>
        <v>4.7849690796453306E-2</v>
      </c>
      <c r="Q15" s="125">
        <f>'Revenue &amp; Expenses Modeling'!R54</f>
        <v>4.4563226309883852E-2</v>
      </c>
      <c r="R15" s="125">
        <f>'Revenue &amp; Expenses Modeling'!S54</f>
        <v>4.1276761823314405E-2</v>
      </c>
      <c r="S15" s="125">
        <f>'Revenue &amp; Expenses Modeling'!T54</f>
        <v>3.7981293324452985E-2</v>
      </c>
      <c r="T15" s="125">
        <f>'Revenue &amp; Expenses Modeling'!U54</f>
        <v>3.4694828837883537E-2</v>
      </c>
      <c r="U15" s="125">
        <f>'Revenue &amp; Expenses Modeling'!V54</f>
        <v>3.1408364351314083E-2</v>
      </c>
      <c r="V15" s="125">
        <f>'Revenue &amp; Expenses Modeling'!W54</f>
        <v>2.8121899864744636E-2</v>
      </c>
      <c r="W15" s="125">
        <f>'Revenue &amp; Expenses Modeling'!X54</f>
        <v>2.4826431365883216E-2</v>
      </c>
      <c r="X15" s="125">
        <f>'Revenue &amp; Expenses Modeling'!Y54</f>
        <v>2.1539966879313768E-2</v>
      </c>
      <c r="Y15" s="125">
        <f>'Revenue &amp; Expenses Modeling'!Z54</f>
        <v>1.8253502392744324E-2</v>
      </c>
      <c r="Z15" s="125">
        <f>'Revenue &amp; Expenses Modeling'!AA54</f>
        <v>1.4967037906174881E-2</v>
      </c>
      <c r="AA15" s="125">
        <f>'Revenue &amp; Expenses Modeling'!AB54</f>
        <v>1.1671569407313455E-2</v>
      </c>
      <c r="AB15" s="125">
        <f>'Revenue &amp; Expenses Modeling'!AC54</f>
        <v>8.3851049207440131E-3</v>
      </c>
      <c r="AC15" s="125">
        <f>'Revenue &amp; Expenses Modeling'!AD54</f>
        <v>5.0986404341745702E-3</v>
      </c>
    </row>
    <row r="16" spans="1:29" s="126" customFormat="1">
      <c r="A16" s="268"/>
      <c r="B16" s="145" t="s">
        <v>106</v>
      </c>
      <c r="C16" s="145"/>
      <c r="D16" s="145"/>
      <c r="E16" s="125">
        <f>'Dep Schedule'!F30</f>
        <v>2.458095355708108</v>
      </c>
      <c r="F16" s="125">
        <f>'Dep Schedule'!G30</f>
        <v>3.2864644865694483</v>
      </c>
      <c r="G16" s="125">
        <f>'Dep Schedule'!H30</f>
        <v>3.2954684988614198</v>
      </c>
      <c r="H16" s="125">
        <f>'Dep Schedule'!I30</f>
        <v>3.2864644865694483</v>
      </c>
      <c r="I16" s="125">
        <f>'Dep Schedule'!J30</f>
        <v>3.2864644865694483</v>
      </c>
      <c r="J16" s="125">
        <f>'Dep Schedule'!K30</f>
        <v>3.2864644865694483</v>
      </c>
      <c r="K16" s="125">
        <f>'Dep Schedule'!L30</f>
        <v>3.2954684988614198</v>
      </c>
      <c r="L16" s="125">
        <f>'Dep Schedule'!M30</f>
        <v>3.2864644865694483</v>
      </c>
      <c r="M16" s="125">
        <f>'Dep Schedule'!N30</f>
        <v>3.2864644865694483</v>
      </c>
      <c r="N16" s="125">
        <f>'Dep Schedule'!O30</f>
        <v>3.2864644865694483</v>
      </c>
      <c r="O16" s="125">
        <f>'Dep Schedule'!P30</f>
        <v>3.2954684988614198</v>
      </c>
      <c r="P16" s="125">
        <f>'Dep Schedule'!Q30</f>
        <v>3.2864644865694483</v>
      </c>
      <c r="Q16" s="125">
        <f>'Dep Schedule'!R30</f>
        <v>3.2864644865694483</v>
      </c>
      <c r="R16" s="125">
        <f>'Dep Schedule'!S30</f>
        <v>3.2864644865694483</v>
      </c>
      <c r="S16" s="125">
        <f>'Dep Schedule'!T30</f>
        <v>3.2954684988614198</v>
      </c>
      <c r="T16" s="125">
        <f>'Dep Schedule'!U30</f>
        <v>3.2864644865694483</v>
      </c>
      <c r="U16" s="125">
        <f>'Dep Schedule'!V30</f>
        <v>3.2864644865694483</v>
      </c>
      <c r="V16" s="125">
        <f>'Dep Schedule'!W30</f>
        <v>3.2864644865694483</v>
      </c>
      <c r="W16" s="125">
        <f>'Dep Schedule'!X30</f>
        <v>3.2954684988614198</v>
      </c>
      <c r="X16" s="125">
        <f>'Dep Schedule'!Y30</f>
        <v>3.2864644865694483</v>
      </c>
      <c r="Y16" s="125">
        <f>'Dep Schedule'!Z30</f>
        <v>3.2864644865694483</v>
      </c>
      <c r="Z16" s="125">
        <f>'Dep Schedule'!AA30</f>
        <v>3.2864644865694483</v>
      </c>
      <c r="AA16" s="125">
        <f>'Dep Schedule'!AB30</f>
        <v>3.2954684988614198</v>
      </c>
      <c r="AB16" s="125">
        <f>'Dep Schedule'!AC30</f>
        <v>3.2864644865694483</v>
      </c>
      <c r="AC16" s="125">
        <f>'Dep Schedule'!AD30</f>
        <v>3.2864644865694483</v>
      </c>
    </row>
    <row r="17" spans="1:29">
      <c r="A17" s="307">
        <v>0</v>
      </c>
      <c r="B17" s="61" t="s">
        <v>107</v>
      </c>
      <c r="C17" s="61"/>
      <c r="D17" s="61"/>
      <c r="E17" s="124">
        <f t="shared" ref="E17:AC17" si="1">SUM(E14:E16)*(1+$A$17)</f>
        <v>3.7299515678937007</v>
      </c>
      <c r="F17" s="124">
        <f t="shared" si="1"/>
        <v>4.6144256542684721</v>
      </c>
      <c r="G17" s="124">
        <f t="shared" si="1"/>
        <v>4.6824951890615818</v>
      </c>
      <c r="H17" s="124">
        <f t="shared" si="1"/>
        <v>4.7356837528330411</v>
      </c>
      <c r="I17" s="124">
        <f t="shared" si="1"/>
        <v>4.8011502809239719</v>
      </c>
      <c r="J17" s="124">
        <f t="shared" si="1"/>
        <v>4.8700544586437777</v>
      </c>
      <c r="K17" s="124">
        <f t="shared" si="1"/>
        <v>4.9515631767535817</v>
      </c>
      <c r="L17" s="124">
        <f t="shared" si="1"/>
        <v>5.0188628830075697</v>
      </c>
      <c r="M17" s="124">
        <f t="shared" si="1"/>
        <v>5.0991461107051546</v>
      </c>
      <c r="N17" s="124">
        <f t="shared" si="1"/>
        <v>5.1836078230119478</v>
      </c>
      <c r="O17" s="124">
        <f t="shared" si="1"/>
        <v>5.281451952438089</v>
      </c>
      <c r="P17" s="124">
        <f t="shared" si="1"/>
        <v>5.3659038405742301</v>
      </c>
      <c r="Q17" s="124">
        <f t="shared" si="1"/>
        <v>5.4641968592480774</v>
      </c>
      <c r="R17" s="124">
        <f t="shared" si="1"/>
        <v>5.5675688520799458</v>
      </c>
      <c r="S17" s="124">
        <f t="shared" si="1"/>
        <v>5.6852687760574145</v>
      </c>
      <c r="T17" s="124">
        <f t="shared" si="1"/>
        <v>5.7905692484724511</v>
      </c>
      <c r="U17" s="124">
        <f t="shared" si="1"/>
        <v>5.9107532806391365</v>
      </c>
      <c r="V17" s="124">
        <f t="shared" si="1"/>
        <v>6.0371108376384868</v>
      </c>
      <c r="W17" s="124">
        <f t="shared" si="1"/>
        <v>6.17894560399181</v>
      </c>
      <c r="X17" s="124">
        <f t="shared" si="1"/>
        <v>6.3095876609014958</v>
      </c>
      <c r="Y17" s="124">
        <f t="shared" si="1"/>
        <v>6.4563803567875624</v>
      </c>
      <c r="Z17" s="124">
        <f t="shared" si="1"/>
        <v>6.6106770106922621</v>
      </c>
      <c r="AA17" s="124">
        <f t="shared" si="1"/>
        <v>6.7818478287962041</v>
      </c>
      <c r="AB17" s="124">
        <f t="shared" si="1"/>
        <v>6.9432927400440381</v>
      </c>
      <c r="AC17" s="124">
        <f t="shared" si="1"/>
        <v>7.1224284329851599</v>
      </c>
    </row>
    <row r="18" spans="1:29">
      <c r="A18" s="1"/>
      <c r="B18" s="31" t="s">
        <v>108</v>
      </c>
      <c r="C18" s="31"/>
      <c r="D18" s="31"/>
      <c r="E18" s="125">
        <f t="shared" ref="E18:AC18" si="2">E12-E17</f>
        <v>6.83383926854727</v>
      </c>
      <c r="F18" s="125">
        <f t="shared" si="2"/>
        <v>9.3190777399327764</v>
      </c>
      <c r="G18" s="125">
        <f t="shared" si="2"/>
        <v>9.1505690308373904</v>
      </c>
      <c r="H18" s="125">
        <f t="shared" si="2"/>
        <v>8.9235565050732539</v>
      </c>
      <c r="I18" s="125">
        <f t="shared" si="2"/>
        <v>8.7230119368402743</v>
      </c>
      <c r="J18" s="125">
        <f t="shared" si="2"/>
        <v>8.52038049937984</v>
      </c>
      <c r="K18" s="125">
        <f t="shared" si="2"/>
        <v>8.3423903111875752</v>
      </c>
      <c r="L18" s="125">
        <f t="shared" si="2"/>
        <v>8.1081160006010311</v>
      </c>
      <c r="M18" s="125">
        <f t="shared" si="2"/>
        <v>7.8980773465043708</v>
      </c>
      <c r="N18" s="125">
        <f t="shared" si="2"/>
        <v>7.685157762062496</v>
      </c>
      <c r="O18" s="125">
        <f t="shared" si="2"/>
        <v>7.4946339174362082</v>
      </c>
      <c r="P18" s="125">
        <f t="shared" si="2"/>
        <v>7.2497868906068845</v>
      </c>
      <c r="Q18" s="125">
        <f t="shared" si="2"/>
        <v>7.0268513270582416</v>
      </c>
      <c r="R18" s="125">
        <f t="shared" si="2"/>
        <v>6.8000832148003223</v>
      </c>
      <c r="S18" s="125">
        <f t="shared" si="2"/>
        <v>6.5933555261936565</v>
      </c>
      <c r="T18" s="125">
        <f t="shared" si="2"/>
        <v>6.3339801235265529</v>
      </c>
      <c r="U18" s="125">
        <f t="shared" si="2"/>
        <v>6.0940649600768921</v>
      </c>
      <c r="V18" s="125">
        <f t="shared" si="2"/>
        <v>5.8491735831073939</v>
      </c>
      <c r="W18" s="125">
        <f t="shared" si="2"/>
        <v>5.6218191012720471</v>
      </c>
      <c r="X18" s="125">
        <f t="shared" si="2"/>
        <v>5.3431732811211976</v>
      </c>
      <c r="Y18" s="125">
        <f t="shared" si="2"/>
        <v>5.0813673382519173</v>
      </c>
      <c r="Z18" s="125">
        <f t="shared" si="2"/>
        <v>4.8132075698338337</v>
      </c>
      <c r="AA18" s="125">
        <f t="shared" si="2"/>
        <v>4.5598868542615243</v>
      </c>
      <c r="AB18" s="125">
        <f t="shared" si="2"/>
        <v>4.2562701185792413</v>
      </c>
      <c r="AC18" s="125">
        <f t="shared" si="2"/>
        <v>3.9666531594888994</v>
      </c>
    </row>
    <row r="19" spans="1:29">
      <c r="A19" s="1"/>
      <c r="B19" s="60" t="s">
        <v>109</v>
      </c>
      <c r="C19" s="31"/>
      <c r="D19" s="31"/>
      <c r="E19" s="119"/>
      <c r="F19" s="31"/>
      <c r="G19" s="31"/>
      <c r="H19" s="31"/>
      <c r="I19" s="31"/>
      <c r="J19" s="31"/>
      <c r="K19" s="31"/>
      <c r="L19" s="31"/>
      <c r="M19" s="31"/>
      <c r="N19" s="31"/>
    </row>
    <row r="20" spans="1:29" s="126" customFormat="1">
      <c r="A20" s="268"/>
      <c r="B20" s="145" t="s">
        <v>110</v>
      </c>
      <c r="C20" s="145"/>
      <c r="D20" s="145"/>
      <c r="E20" s="125">
        <f>'Loan Schedule'!F17</f>
        <v>4.2255401422511163</v>
      </c>
      <c r="F20" s="125">
        <f>'Loan Schedule'!G17</f>
        <v>5.2850413578598019</v>
      </c>
      <c r="G20" s="125">
        <f>'Loan Schedule'!H17</f>
        <v>4.8861703119835909</v>
      </c>
      <c r="H20" s="125">
        <f>'Loan Schedule'!I17</f>
        <v>4.4872992661073781</v>
      </c>
      <c r="I20" s="125">
        <f>'Loan Schedule'!J17</f>
        <v>4.0884282202311661</v>
      </c>
      <c r="J20" s="125">
        <f>'Loan Schedule'!K17</f>
        <v>3.6895571743549547</v>
      </c>
      <c r="K20" s="125">
        <f>'Loan Schedule'!L17</f>
        <v>3.2906861284787419</v>
      </c>
      <c r="L20" s="125">
        <f>'Loan Schedule'!M17</f>
        <v>2.8918150826025295</v>
      </c>
      <c r="M20" s="125">
        <f>'Loan Schedule'!N17</f>
        <v>2.4929440367263171</v>
      </c>
      <c r="N20" s="125">
        <f>'Loan Schedule'!O17</f>
        <v>2.0940729908501052</v>
      </c>
      <c r="O20" s="125">
        <f>'Loan Schedule'!P17</f>
        <v>1.6952019449738935</v>
      </c>
      <c r="P20" s="125">
        <f>'Loan Schedule'!Q17</f>
        <v>1.296330899097681</v>
      </c>
      <c r="Q20" s="125">
        <f>'Loan Schedule'!R17</f>
        <v>0.89745985322146904</v>
      </c>
      <c r="R20" s="125">
        <f>'Loan Schedule'!S17</f>
        <v>0.49858880734525729</v>
      </c>
      <c r="S20" s="125">
        <f>'Loan Schedule'!T17</f>
        <v>0.11218248165267737</v>
      </c>
      <c r="T20" s="125">
        <f>'Loan Schedule'!U17</f>
        <v>-7.1168071436034104E-15</v>
      </c>
      <c r="U20" s="125">
        <f>'Loan Schedule'!V17</f>
        <v>-7.1168071436034104E-15</v>
      </c>
      <c r="V20" s="125">
        <f>'Loan Schedule'!W17</f>
        <v>-7.1168071436034104E-15</v>
      </c>
      <c r="W20" s="125">
        <f>'Loan Schedule'!X17</f>
        <v>-7.1168071436034104E-15</v>
      </c>
      <c r="X20" s="125">
        <f>'Loan Schedule'!Y17</f>
        <v>-7.1168071436034104E-15</v>
      </c>
      <c r="Y20" s="125">
        <f>'Loan Schedule'!Z17</f>
        <v>0</v>
      </c>
      <c r="Z20" s="125">
        <f>'Loan Schedule'!AA17</f>
        <v>0</v>
      </c>
      <c r="AA20" s="125">
        <f>'Loan Schedule'!AB17</f>
        <v>0</v>
      </c>
      <c r="AB20" s="125">
        <f>'Loan Schedule'!AC17</f>
        <v>0</v>
      </c>
      <c r="AC20" s="125">
        <f>'Loan Schedule'!AD17</f>
        <v>0</v>
      </c>
    </row>
    <row r="21" spans="1:29" s="126" customFormat="1">
      <c r="A21" s="268"/>
      <c r="B21" s="145" t="s">
        <v>408</v>
      </c>
      <c r="C21" s="145"/>
      <c r="D21" s="145"/>
      <c r="E21" s="125">
        <f>+'Revenue &amp; Expenses Modeling'!F49</f>
        <v>0.31262865757865232</v>
      </c>
      <c r="F21" s="125">
        <f>+'Revenue &amp; Expenses Modeling'!G49</f>
        <v>0</v>
      </c>
      <c r="G21" s="125">
        <f>+'Revenue &amp; Expenses Modeling'!H49</f>
        <v>0</v>
      </c>
      <c r="H21" s="125">
        <f>+'Revenue &amp; Expenses Modeling'!I49</f>
        <v>0</v>
      </c>
      <c r="I21" s="125">
        <f>+'Revenue &amp; Expenses Modeling'!J49</f>
        <v>0</v>
      </c>
      <c r="J21" s="125">
        <f>+'Revenue &amp; Expenses Modeling'!K49</f>
        <v>0</v>
      </c>
      <c r="K21" s="125">
        <f>+'Revenue &amp; Expenses Modeling'!L49</f>
        <v>0</v>
      </c>
      <c r="L21" s="125">
        <f>+'Revenue &amp; Expenses Modeling'!M49</f>
        <v>0</v>
      </c>
      <c r="M21" s="125">
        <f>+'Revenue &amp; Expenses Modeling'!N49</f>
        <v>0</v>
      </c>
      <c r="N21" s="125">
        <f>+'Revenue &amp; Expenses Modeling'!O49</f>
        <v>0</v>
      </c>
      <c r="O21" s="125">
        <f>+'Revenue &amp; Expenses Modeling'!P49</f>
        <v>0</v>
      </c>
      <c r="P21" s="125">
        <f>+'Revenue &amp; Expenses Modeling'!Q49</f>
        <v>0</v>
      </c>
      <c r="Q21" s="125">
        <f>+'Revenue &amp; Expenses Modeling'!R49</f>
        <v>0</v>
      </c>
      <c r="R21" s="125">
        <f>+'Revenue &amp; Expenses Modeling'!S49</f>
        <v>0</v>
      </c>
      <c r="S21" s="125">
        <f>+'Revenue &amp; Expenses Modeling'!T49</f>
        <v>0</v>
      </c>
      <c r="T21" s="125">
        <f>+'Revenue &amp; Expenses Modeling'!U49</f>
        <v>0</v>
      </c>
      <c r="U21" s="125">
        <f>+'Revenue &amp; Expenses Modeling'!V49</f>
        <v>0</v>
      </c>
      <c r="V21" s="125">
        <f>+'Revenue &amp; Expenses Modeling'!W49</f>
        <v>0</v>
      </c>
      <c r="W21" s="125">
        <f>+'Revenue &amp; Expenses Modeling'!X49</f>
        <v>0</v>
      </c>
      <c r="X21" s="125">
        <f>+'Revenue &amp; Expenses Modeling'!Y49</f>
        <v>0</v>
      </c>
      <c r="Y21" s="125">
        <f>+'Revenue &amp; Expenses Modeling'!Z49</f>
        <v>0</v>
      </c>
      <c r="Z21" s="125">
        <f>+'Revenue &amp; Expenses Modeling'!AA49</f>
        <v>0</v>
      </c>
      <c r="AA21" s="125">
        <f>+'Revenue &amp; Expenses Modeling'!AB49</f>
        <v>0</v>
      </c>
      <c r="AB21" s="125">
        <f>+'Revenue &amp; Expenses Modeling'!AC49</f>
        <v>0</v>
      </c>
      <c r="AC21" s="125">
        <f>+'Revenue &amp; Expenses Modeling'!AD49</f>
        <v>0</v>
      </c>
    </row>
    <row r="22" spans="1:29">
      <c r="A22" s="1"/>
      <c r="B22" s="61" t="s">
        <v>111</v>
      </c>
      <c r="C22" s="61"/>
      <c r="D22" s="61"/>
      <c r="E22" s="118">
        <f>E18-E20</f>
        <v>2.6082991262961537</v>
      </c>
      <c r="F22" s="118">
        <f t="shared" ref="F22:AC22" si="3">F18-F20</f>
        <v>4.0340363820729745</v>
      </c>
      <c r="G22" s="118">
        <f t="shared" si="3"/>
        <v>4.2643987188537995</v>
      </c>
      <c r="H22" s="118">
        <f t="shared" si="3"/>
        <v>4.4362572389658759</v>
      </c>
      <c r="I22" s="118">
        <f t="shared" si="3"/>
        <v>4.6345837166091082</v>
      </c>
      <c r="J22" s="118">
        <f t="shared" si="3"/>
        <v>4.8308233250248858</v>
      </c>
      <c r="K22" s="118">
        <f t="shared" si="3"/>
        <v>5.0517041827088338</v>
      </c>
      <c r="L22" s="118">
        <f t="shared" si="3"/>
        <v>5.2163009179985016</v>
      </c>
      <c r="M22" s="118">
        <f t="shared" si="3"/>
        <v>5.4051333097780532</v>
      </c>
      <c r="N22" s="118">
        <f t="shared" si="3"/>
        <v>5.5910847712123903</v>
      </c>
      <c r="O22" s="118">
        <f t="shared" si="3"/>
        <v>5.7994319724623145</v>
      </c>
      <c r="P22" s="118">
        <f t="shared" si="3"/>
        <v>5.9534559915092036</v>
      </c>
      <c r="Q22" s="118">
        <f t="shared" si="3"/>
        <v>6.1293914738367725</v>
      </c>
      <c r="R22" s="118">
        <f t="shared" si="3"/>
        <v>6.3014944074550652</v>
      </c>
      <c r="S22" s="118">
        <f t="shared" si="3"/>
        <v>6.481173044540979</v>
      </c>
      <c r="T22" s="118">
        <f t="shared" si="3"/>
        <v>6.33398012352656</v>
      </c>
      <c r="U22" s="118">
        <f t="shared" si="3"/>
        <v>6.0940649600768992</v>
      </c>
      <c r="V22" s="118">
        <f t="shared" si="3"/>
        <v>5.849173583107401</v>
      </c>
      <c r="W22" s="118">
        <f t="shared" si="3"/>
        <v>5.6218191012720542</v>
      </c>
      <c r="X22" s="118">
        <f t="shared" si="3"/>
        <v>5.3431732811212047</v>
      </c>
      <c r="Y22" s="118">
        <f t="shared" si="3"/>
        <v>5.0813673382519173</v>
      </c>
      <c r="Z22" s="118">
        <f t="shared" si="3"/>
        <v>4.8132075698338337</v>
      </c>
      <c r="AA22" s="118">
        <f t="shared" si="3"/>
        <v>4.5598868542615243</v>
      </c>
      <c r="AB22" s="118">
        <f t="shared" si="3"/>
        <v>4.2562701185792413</v>
      </c>
      <c r="AC22" s="118">
        <f t="shared" si="3"/>
        <v>3.9666531594888994</v>
      </c>
    </row>
    <row r="23" spans="1:29" s="126" customFormat="1">
      <c r="A23" s="268"/>
      <c r="B23" s="145" t="s">
        <v>112</v>
      </c>
      <c r="C23" s="269"/>
      <c r="D23" s="145"/>
      <c r="E23" s="125">
        <f>'Tax Schedule'!F40</f>
        <v>0.44758413007241998</v>
      </c>
      <c r="F23" s="125">
        <f>'Tax Schedule'!G40</f>
        <v>0.69224064316372247</v>
      </c>
      <c r="G23" s="125">
        <f>'Tax Schedule'!H40</f>
        <v>0.73177082015531203</v>
      </c>
      <c r="H23" s="125">
        <f>'Tax Schedule'!I40</f>
        <v>0.7612617422065443</v>
      </c>
      <c r="I23" s="125">
        <f>'Tax Schedule'!J40</f>
        <v>0.79529456577012292</v>
      </c>
      <c r="J23" s="125">
        <f>'Tax Schedule'!K40</f>
        <v>0.82896928257427038</v>
      </c>
      <c r="K23" s="125">
        <f>'Tax Schedule'!L40</f>
        <v>0.86687243775283584</v>
      </c>
      <c r="L23" s="125">
        <f>'Tax Schedule'!M40</f>
        <v>0.89511723752854289</v>
      </c>
      <c r="M23" s="125">
        <f>'Tax Schedule'!N40</f>
        <v>0.92752087595791399</v>
      </c>
      <c r="N23" s="125">
        <f>'Tax Schedule'!O40</f>
        <v>0.95943014674004623</v>
      </c>
      <c r="O23" s="125">
        <f>'Tax Schedule'!P40</f>
        <v>0.9951825264745332</v>
      </c>
      <c r="P23" s="125">
        <f>'Tax Schedule'!Q40</f>
        <v>1.0216130481429793</v>
      </c>
      <c r="Q23" s="125">
        <f>'Tax Schedule'!R40</f>
        <v>1.0518035769103902</v>
      </c>
      <c r="R23" s="125">
        <f>'Tax Schedule'!S40</f>
        <v>1.0813364403192891</v>
      </c>
      <c r="S23" s="125">
        <f>'Tax Schedule'!T40</f>
        <v>1.5232348185923772</v>
      </c>
      <c r="T23" s="125">
        <f>'Tax Schedule'!U40</f>
        <v>2.4574627297385683</v>
      </c>
      <c r="U23" s="125">
        <f>'Tax Schedule'!V40</f>
        <v>2.4392010452502353</v>
      </c>
      <c r="V23" s="125">
        <f>'Tax Schedule'!W40</f>
        <v>2.4117500457186947</v>
      </c>
      <c r="W23" s="125">
        <f>'Tax Schedule'!X40</f>
        <v>2.3848697431608903</v>
      </c>
      <c r="X23" s="125">
        <f>'Tax Schedule'!Y40</f>
        <v>2.3334615827056915</v>
      </c>
      <c r="Y23" s="125">
        <f>'Tax Schedule'!Z40</f>
        <v>2.2841470324290292</v>
      </c>
      <c r="Z23" s="125">
        <f>'Tax Schedule'!AA40</f>
        <v>2.2289437471095259</v>
      </c>
      <c r="AA23" s="125">
        <f>'Tax Schedule'!AB40</f>
        <v>2.1769488401911254</v>
      </c>
      <c r="AB23" s="125">
        <f>'Tax Schedule'!AC40</f>
        <v>2.1027952704571966</v>
      </c>
      <c r="AC23" s="125">
        <f>'Tax Schedule'!AD40</f>
        <v>2.0325061689544044</v>
      </c>
    </row>
    <row r="24" spans="1:29">
      <c r="A24" s="1"/>
      <c r="B24" s="71" t="s">
        <v>113</v>
      </c>
      <c r="C24" s="71"/>
      <c r="D24" s="71"/>
      <c r="E24" s="120">
        <f>E22-E23</f>
        <v>2.1607149962237338</v>
      </c>
      <c r="F24" s="120">
        <f t="shared" ref="F24:AC24" si="4">F22-F23</f>
        <v>3.3417957389092523</v>
      </c>
      <c r="G24" s="120">
        <f t="shared" si="4"/>
        <v>3.5326278986984874</v>
      </c>
      <c r="H24" s="120">
        <f t="shared" si="4"/>
        <v>3.6749954967593315</v>
      </c>
      <c r="I24" s="120">
        <f t="shared" si="4"/>
        <v>3.8392891508389853</v>
      </c>
      <c r="J24" s="120">
        <f t="shared" si="4"/>
        <v>4.0018540424506153</v>
      </c>
      <c r="K24" s="120">
        <f t="shared" si="4"/>
        <v>4.1848317449559982</v>
      </c>
      <c r="L24" s="120">
        <f t="shared" si="4"/>
        <v>4.321183680469959</v>
      </c>
      <c r="M24" s="120">
        <f t="shared" si="4"/>
        <v>4.4776124338201395</v>
      </c>
      <c r="N24" s="120">
        <f t="shared" si="4"/>
        <v>4.6316546244723442</v>
      </c>
      <c r="O24" s="120">
        <f t="shared" si="4"/>
        <v>4.8042494459877814</v>
      </c>
      <c r="P24" s="120">
        <f t="shared" si="4"/>
        <v>4.9318429433662239</v>
      </c>
      <c r="Q24" s="120">
        <f t="shared" si="4"/>
        <v>5.0775878969263823</v>
      </c>
      <c r="R24" s="120">
        <f t="shared" si="4"/>
        <v>5.2201579671357763</v>
      </c>
      <c r="S24" s="120">
        <f t="shared" si="4"/>
        <v>4.9579382259486016</v>
      </c>
      <c r="T24" s="120">
        <f t="shared" si="4"/>
        <v>3.8765173937879918</v>
      </c>
      <c r="U24" s="120">
        <f t="shared" si="4"/>
        <v>3.654863914826664</v>
      </c>
      <c r="V24" s="120">
        <f t="shared" si="4"/>
        <v>3.4374235373887063</v>
      </c>
      <c r="W24" s="120">
        <f t="shared" si="4"/>
        <v>3.2369493581111639</v>
      </c>
      <c r="X24" s="120">
        <f t="shared" si="4"/>
        <v>3.0097116984155132</v>
      </c>
      <c r="Y24" s="120">
        <f t="shared" si="4"/>
        <v>2.7972203058228882</v>
      </c>
      <c r="Z24" s="120">
        <f t="shared" si="4"/>
        <v>2.5842638227243078</v>
      </c>
      <c r="AA24" s="120">
        <f t="shared" si="4"/>
        <v>2.3829380140703988</v>
      </c>
      <c r="AB24" s="120">
        <f t="shared" si="4"/>
        <v>2.1534748481220447</v>
      </c>
      <c r="AC24" s="120">
        <f t="shared" si="4"/>
        <v>1.934146990534495</v>
      </c>
    </row>
    <row r="25" spans="1:29">
      <c r="A25" s="1"/>
      <c r="E25" s="111"/>
    </row>
    <row r="26" spans="1:29">
      <c r="A26" s="1"/>
      <c r="B26" s="60" t="s">
        <v>114</v>
      </c>
      <c r="C26" s="31"/>
      <c r="D26" s="31"/>
      <c r="E26" s="31"/>
      <c r="F26" s="31"/>
      <c r="G26" s="31"/>
    </row>
    <row r="27" spans="1:29">
      <c r="A27" s="1"/>
      <c r="B27" s="31" t="s">
        <v>115</v>
      </c>
      <c r="C27" s="31"/>
      <c r="D27" s="31"/>
      <c r="E27" s="84">
        <f>E24</f>
        <v>2.1607149962237338</v>
      </c>
      <c r="F27" s="84">
        <f t="shared" ref="F27:AC27" si="5">F24</f>
        <v>3.3417957389092523</v>
      </c>
      <c r="G27" s="84">
        <f t="shared" si="5"/>
        <v>3.5326278986984874</v>
      </c>
      <c r="H27" s="84">
        <f t="shared" si="5"/>
        <v>3.6749954967593315</v>
      </c>
      <c r="I27" s="84">
        <f t="shared" si="5"/>
        <v>3.8392891508389853</v>
      </c>
      <c r="J27" s="84">
        <f t="shared" si="5"/>
        <v>4.0018540424506153</v>
      </c>
      <c r="K27" s="84">
        <f t="shared" si="5"/>
        <v>4.1848317449559982</v>
      </c>
      <c r="L27" s="84">
        <f t="shared" si="5"/>
        <v>4.321183680469959</v>
      </c>
      <c r="M27" s="84">
        <f t="shared" si="5"/>
        <v>4.4776124338201395</v>
      </c>
      <c r="N27" s="84">
        <f t="shared" si="5"/>
        <v>4.6316546244723442</v>
      </c>
      <c r="O27" s="84">
        <f t="shared" si="5"/>
        <v>4.8042494459877814</v>
      </c>
      <c r="P27" s="84">
        <f t="shared" si="5"/>
        <v>4.9318429433662239</v>
      </c>
      <c r="Q27" s="84">
        <f t="shared" si="5"/>
        <v>5.0775878969263823</v>
      </c>
      <c r="R27" s="84">
        <f t="shared" si="5"/>
        <v>5.2201579671357763</v>
      </c>
      <c r="S27" s="84">
        <f t="shared" si="5"/>
        <v>4.9579382259486016</v>
      </c>
      <c r="T27" s="84">
        <f t="shared" si="5"/>
        <v>3.8765173937879918</v>
      </c>
      <c r="U27" s="84">
        <f t="shared" si="5"/>
        <v>3.654863914826664</v>
      </c>
      <c r="V27" s="84">
        <f t="shared" si="5"/>
        <v>3.4374235373887063</v>
      </c>
      <c r="W27" s="84">
        <f t="shared" si="5"/>
        <v>3.2369493581111639</v>
      </c>
      <c r="X27" s="84">
        <f t="shared" si="5"/>
        <v>3.0097116984155132</v>
      </c>
      <c r="Y27" s="84">
        <f t="shared" si="5"/>
        <v>2.7972203058228882</v>
      </c>
      <c r="Z27" s="84">
        <f t="shared" si="5"/>
        <v>2.5842638227243078</v>
      </c>
      <c r="AA27" s="84">
        <f t="shared" si="5"/>
        <v>2.3829380140703988</v>
      </c>
      <c r="AB27" s="84">
        <f t="shared" si="5"/>
        <v>2.1534748481220447</v>
      </c>
      <c r="AC27" s="84">
        <f t="shared" si="5"/>
        <v>1.934146990534495</v>
      </c>
    </row>
    <row r="28" spans="1:29">
      <c r="A28" s="1"/>
      <c r="B28" s="31" t="s">
        <v>116</v>
      </c>
      <c r="C28" s="31"/>
      <c r="D28" s="31"/>
      <c r="E28" s="84">
        <f>E16</f>
        <v>2.458095355708108</v>
      </c>
      <c r="F28" s="84">
        <f t="shared" ref="F28:AC28" si="6">F16</f>
        <v>3.2864644865694483</v>
      </c>
      <c r="G28" s="84">
        <f t="shared" si="6"/>
        <v>3.2954684988614198</v>
      </c>
      <c r="H28" s="84">
        <f t="shared" si="6"/>
        <v>3.2864644865694483</v>
      </c>
      <c r="I28" s="84">
        <f t="shared" si="6"/>
        <v>3.2864644865694483</v>
      </c>
      <c r="J28" s="84">
        <f t="shared" si="6"/>
        <v>3.2864644865694483</v>
      </c>
      <c r="K28" s="84">
        <f t="shared" si="6"/>
        <v>3.2954684988614198</v>
      </c>
      <c r="L28" s="84">
        <f t="shared" si="6"/>
        <v>3.2864644865694483</v>
      </c>
      <c r="M28" s="84">
        <f t="shared" si="6"/>
        <v>3.2864644865694483</v>
      </c>
      <c r="N28" s="84">
        <f t="shared" si="6"/>
        <v>3.2864644865694483</v>
      </c>
      <c r="O28" s="84">
        <f t="shared" si="6"/>
        <v>3.2954684988614198</v>
      </c>
      <c r="P28" s="84">
        <f t="shared" si="6"/>
        <v>3.2864644865694483</v>
      </c>
      <c r="Q28" s="84">
        <f t="shared" si="6"/>
        <v>3.2864644865694483</v>
      </c>
      <c r="R28" s="84">
        <f t="shared" si="6"/>
        <v>3.2864644865694483</v>
      </c>
      <c r="S28" s="84">
        <f t="shared" si="6"/>
        <v>3.2954684988614198</v>
      </c>
      <c r="T28" s="84">
        <f t="shared" si="6"/>
        <v>3.2864644865694483</v>
      </c>
      <c r="U28" s="84">
        <f t="shared" si="6"/>
        <v>3.2864644865694483</v>
      </c>
      <c r="V28" s="84">
        <f t="shared" si="6"/>
        <v>3.2864644865694483</v>
      </c>
      <c r="W28" s="84">
        <f t="shared" si="6"/>
        <v>3.2954684988614198</v>
      </c>
      <c r="X28" s="84">
        <f t="shared" si="6"/>
        <v>3.2864644865694483</v>
      </c>
      <c r="Y28" s="84">
        <f t="shared" si="6"/>
        <v>3.2864644865694483</v>
      </c>
      <c r="Z28" s="84">
        <f t="shared" si="6"/>
        <v>3.2864644865694483</v>
      </c>
      <c r="AA28" s="84">
        <f t="shared" si="6"/>
        <v>3.2954684988614198</v>
      </c>
      <c r="AB28" s="84">
        <f t="shared" si="6"/>
        <v>3.2864644865694483</v>
      </c>
      <c r="AC28" s="84">
        <f t="shared" si="6"/>
        <v>3.2864644865694483</v>
      </c>
    </row>
    <row r="29" spans="1:29">
      <c r="A29" s="1"/>
      <c r="B29" s="61" t="s">
        <v>114</v>
      </c>
      <c r="C29" s="61"/>
      <c r="D29" s="61"/>
      <c r="E29" s="118">
        <f>SUM(E27:E28)</f>
        <v>4.6188103519318418</v>
      </c>
      <c r="F29" s="118">
        <f t="shared" ref="F29:AC29" si="7">SUM(F27:F28)</f>
        <v>6.6282602254787006</v>
      </c>
      <c r="G29" s="118">
        <f t="shared" si="7"/>
        <v>6.8280963975599072</v>
      </c>
      <c r="H29" s="118">
        <f t="shared" si="7"/>
        <v>6.9614599833287798</v>
      </c>
      <c r="I29" s="118">
        <f t="shared" si="7"/>
        <v>7.1257536374084331</v>
      </c>
      <c r="J29" s="118">
        <f t="shared" si="7"/>
        <v>7.2883185290200636</v>
      </c>
      <c r="K29" s="118">
        <f t="shared" si="7"/>
        <v>7.4803002438174175</v>
      </c>
      <c r="L29" s="118">
        <f t="shared" si="7"/>
        <v>7.6076481670394074</v>
      </c>
      <c r="M29" s="118">
        <f t="shared" si="7"/>
        <v>7.7640769203895879</v>
      </c>
      <c r="N29" s="118">
        <f t="shared" si="7"/>
        <v>7.9181191110417926</v>
      </c>
      <c r="O29" s="118">
        <f t="shared" si="7"/>
        <v>8.0997179448492016</v>
      </c>
      <c r="P29" s="118">
        <f t="shared" si="7"/>
        <v>8.2183074299356722</v>
      </c>
      <c r="Q29" s="118">
        <f t="shared" si="7"/>
        <v>8.3640523834958316</v>
      </c>
      <c r="R29" s="118">
        <f t="shared" si="7"/>
        <v>8.5066224537052246</v>
      </c>
      <c r="S29" s="118">
        <f t="shared" si="7"/>
        <v>8.2534067248100218</v>
      </c>
      <c r="T29" s="118">
        <f t="shared" si="7"/>
        <v>7.1629818803574405</v>
      </c>
      <c r="U29" s="118">
        <f t="shared" si="7"/>
        <v>6.9413284013961123</v>
      </c>
      <c r="V29" s="118">
        <f t="shared" si="7"/>
        <v>6.7238880239581551</v>
      </c>
      <c r="W29" s="118">
        <f t="shared" si="7"/>
        <v>6.5324178569725841</v>
      </c>
      <c r="X29" s="118">
        <f t="shared" si="7"/>
        <v>6.2961761849849616</v>
      </c>
      <c r="Y29" s="118">
        <f t="shared" si="7"/>
        <v>6.0836847923923365</v>
      </c>
      <c r="Z29" s="118">
        <f t="shared" si="7"/>
        <v>5.8707283092937566</v>
      </c>
      <c r="AA29" s="118">
        <f t="shared" si="7"/>
        <v>5.6784065129318186</v>
      </c>
      <c r="AB29" s="118">
        <f t="shared" si="7"/>
        <v>5.439939334691493</v>
      </c>
      <c r="AC29" s="118">
        <f t="shared" si="7"/>
        <v>5.2206114771039438</v>
      </c>
    </row>
    <row r="30" spans="1:29" s="130" customFormat="1">
      <c r="A30" s="127"/>
      <c r="B30" s="128" t="s">
        <v>119</v>
      </c>
      <c r="C30" s="128"/>
      <c r="D30" s="128"/>
      <c r="E30" s="129">
        <f>'Loan Schedule'!F13</f>
        <v>3.2340895611584726</v>
      </c>
      <c r="F30" s="129">
        <f>'Loan Schedule'!G13</f>
        <v>4.3121194148779631</v>
      </c>
      <c r="G30" s="129">
        <f>'Loan Schedule'!H13</f>
        <v>4.3121194148779631</v>
      </c>
      <c r="H30" s="129">
        <f>'Loan Schedule'!I13</f>
        <v>4.3121194148779631</v>
      </c>
      <c r="I30" s="129">
        <f>'Loan Schedule'!J13</f>
        <v>4.3121194148779631</v>
      </c>
      <c r="J30" s="129">
        <f>'Loan Schedule'!K13</f>
        <v>4.3121194148779631</v>
      </c>
      <c r="K30" s="129">
        <f>'Loan Schedule'!L13</f>
        <v>4.3121194148779631</v>
      </c>
      <c r="L30" s="129">
        <f>'Loan Schedule'!M13</f>
        <v>4.3121194148779631</v>
      </c>
      <c r="M30" s="129">
        <f>'Loan Schedule'!N13</f>
        <v>4.3121194148779631</v>
      </c>
      <c r="N30" s="129">
        <f>'Loan Schedule'!O13</f>
        <v>4.3121194148779631</v>
      </c>
      <c r="O30" s="129">
        <f>'Loan Schedule'!P13</f>
        <v>4.3121194148779631</v>
      </c>
      <c r="P30" s="129">
        <f>'Loan Schedule'!Q13</f>
        <v>4.3121194148779631</v>
      </c>
      <c r="Q30" s="129">
        <f>'Loan Schedule'!R13</f>
        <v>4.3121194148779631</v>
      </c>
      <c r="R30" s="129">
        <f>'Loan Schedule'!S13</f>
        <v>4.3121194148779631</v>
      </c>
      <c r="S30" s="129">
        <f>'Loan Schedule'!T13</f>
        <v>3.2340895611584726</v>
      </c>
      <c r="T30" s="129">
        <f>'Loan Schedule'!U13</f>
        <v>0</v>
      </c>
      <c r="U30" s="129">
        <f>'Loan Schedule'!V13</f>
        <v>0</v>
      </c>
      <c r="V30" s="129">
        <f>'Loan Schedule'!W13</f>
        <v>0</v>
      </c>
      <c r="W30" s="129">
        <f>'Loan Schedule'!X13</f>
        <v>0</v>
      </c>
      <c r="X30" s="129">
        <f>'Loan Schedule'!Y13</f>
        <v>0</v>
      </c>
      <c r="Y30" s="129">
        <f>'Loan Schedule'!Z13</f>
        <v>0</v>
      </c>
      <c r="Z30" s="129">
        <f>'Loan Schedule'!AA13</f>
        <v>0</v>
      </c>
      <c r="AA30" s="129">
        <f>'Loan Schedule'!AB13</f>
        <v>0</v>
      </c>
      <c r="AB30" s="129">
        <f>'Loan Schedule'!AC13</f>
        <v>0</v>
      </c>
      <c r="AC30" s="129">
        <f>'Loan Schedule'!AD13</f>
        <v>0</v>
      </c>
    </row>
    <row r="31" spans="1:29">
      <c r="A31" s="1"/>
      <c r="B31" s="61" t="s">
        <v>117</v>
      </c>
      <c r="C31" s="61"/>
      <c r="D31" s="61"/>
      <c r="E31" s="118">
        <f>E29-E30</f>
        <v>1.3847207907733692</v>
      </c>
      <c r="F31" s="118">
        <f t="shared" ref="F31:AC31" si="8">F29-F30</f>
        <v>2.3161408106007375</v>
      </c>
      <c r="G31" s="118">
        <f t="shared" si="8"/>
        <v>2.515976982681944</v>
      </c>
      <c r="H31" s="118">
        <f t="shared" si="8"/>
        <v>2.6493405684508167</v>
      </c>
      <c r="I31" s="118">
        <f t="shared" si="8"/>
        <v>2.81363422253047</v>
      </c>
      <c r="J31" s="118">
        <f t="shared" si="8"/>
        <v>2.9761991141421005</v>
      </c>
      <c r="K31" s="118">
        <f t="shared" si="8"/>
        <v>3.1681808289394544</v>
      </c>
      <c r="L31" s="118">
        <f t="shared" si="8"/>
        <v>3.2955287521614443</v>
      </c>
      <c r="M31" s="118">
        <f t="shared" si="8"/>
        <v>3.4519575055116247</v>
      </c>
      <c r="N31" s="118">
        <f t="shared" si="8"/>
        <v>3.6059996961638294</v>
      </c>
      <c r="O31" s="118">
        <f t="shared" si="8"/>
        <v>3.7875985299712385</v>
      </c>
      <c r="P31" s="118">
        <f t="shared" si="8"/>
        <v>3.9061880150577091</v>
      </c>
      <c r="Q31" s="118">
        <f t="shared" si="8"/>
        <v>4.0519329686178684</v>
      </c>
      <c r="R31" s="118">
        <f t="shared" si="8"/>
        <v>4.1945030388272615</v>
      </c>
      <c r="S31" s="118">
        <f t="shared" si="8"/>
        <v>5.0193171636515492</v>
      </c>
      <c r="T31" s="118">
        <f t="shared" si="8"/>
        <v>7.1629818803574405</v>
      </c>
      <c r="U31" s="118">
        <f t="shared" si="8"/>
        <v>6.9413284013961123</v>
      </c>
      <c r="V31" s="118">
        <f t="shared" si="8"/>
        <v>6.7238880239581551</v>
      </c>
      <c r="W31" s="118">
        <f t="shared" si="8"/>
        <v>6.5324178569725841</v>
      </c>
      <c r="X31" s="118">
        <f t="shared" si="8"/>
        <v>6.2961761849849616</v>
      </c>
      <c r="Y31" s="118">
        <f t="shared" si="8"/>
        <v>6.0836847923923365</v>
      </c>
      <c r="Z31" s="118">
        <f t="shared" si="8"/>
        <v>5.8707283092937566</v>
      </c>
      <c r="AA31" s="118">
        <f t="shared" si="8"/>
        <v>5.6784065129318186</v>
      </c>
      <c r="AB31" s="118">
        <f t="shared" si="8"/>
        <v>5.439939334691493</v>
      </c>
      <c r="AC31" s="118">
        <f t="shared" si="8"/>
        <v>5.2206114771039438</v>
      </c>
    </row>
    <row r="32" spans="1:29">
      <c r="A32" s="1"/>
      <c r="B32" s="121" t="s">
        <v>118</v>
      </c>
      <c r="C32" s="121"/>
      <c r="D32" s="121"/>
      <c r="E32" s="122">
        <f>D32+E31</f>
        <v>1.3847207907733692</v>
      </c>
      <c r="F32" s="122">
        <f t="shared" ref="F32:AC32" si="9">E32+F31</f>
        <v>3.7008616013741067</v>
      </c>
      <c r="G32" s="122">
        <f t="shared" si="9"/>
        <v>6.2168385840560507</v>
      </c>
      <c r="H32" s="122">
        <f t="shared" si="9"/>
        <v>8.8661791525068665</v>
      </c>
      <c r="I32" s="122">
        <f t="shared" si="9"/>
        <v>11.679813375037337</v>
      </c>
      <c r="J32" s="122">
        <f t="shared" si="9"/>
        <v>14.656012489179439</v>
      </c>
      <c r="K32" s="122">
        <f t="shared" si="9"/>
        <v>17.824193318118894</v>
      </c>
      <c r="L32" s="122">
        <f t="shared" si="9"/>
        <v>21.119722070280339</v>
      </c>
      <c r="M32" s="122">
        <f t="shared" si="9"/>
        <v>24.571679575791965</v>
      </c>
      <c r="N32" s="122">
        <f t="shared" si="9"/>
        <v>28.177679271955796</v>
      </c>
      <c r="O32" s="122">
        <f t="shared" si="9"/>
        <v>31.965277801927034</v>
      </c>
      <c r="P32" s="122">
        <f t="shared" si="9"/>
        <v>35.871465816984745</v>
      </c>
      <c r="Q32" s="122">
        <f t="shared" si="9"/>
        <v>39.923398785602615</v>
      </c>
      <c r="R32" s="122">
        <f t="shared" si="9"/>
        <v>44.117901824429879</v>
      </c>
      <c r="S32" s="122">
        <f t="shared" si="9"/>
        <v>49.137218988081429</v>
      </c>
      <c r="T32" s="122">
        <f t="shared" si="9"/>
        <v>56.300200868438871</v>
      </c>
      <c r="U32" s="122">
        <f t="shared" si="9"/>
        <v>63.241529269834984</v>
      </c>
      <c r="V32" s="122">
        <f t="shared" si="9"/>
        <v>69.965417293793138</v>
      </c>
      <c r="W32" s="122">
        <f t="shared" si="9"/>
        <v>76.497835150765724</v>
      </c>
      <c r="X32" s="122">
        <f t="shared" si="9"/>
        <v>82.794011335750682</v>
      </c>
      <c r="Y32" s="122">
        <f t="shared" si="9"/>
        <v>88.877696128143015</v>
      </c>
      <c r="Z32" s="122">
        <f t="shared" si="9"/>
        <v>94.748424437436768</v>
      </c>
      <c r="AA32" s="122">
        <f t="shared" si="9"/>
        <v>100.42683095036858</v>
      </c>
      <c r="AB32" s="122">
        <f t="shared" si="9"/>
        <v>105.86677028506007</v>
      </c>
      <c r="AC32" s="122">
        <f t="shared" si="9"/>
        <v>111.08738176216401</v>
      </c>
    </row>
    <row r="33" spans="1:29">
      <c r="A33" s="1"/>
      <c r="B33" s="31"/>
      <c r="C33" s="31"/>
      <c r="D33" s="31"/>
      <c r="E33" s="31"/>
      <c r="F33" s="31"/>
      <c r="G33" s="31"/>
    </row>
    <row r="36" spans="1:29">
      <c r="B36" s="68" t="s">
        <v>105</v>
      </c>
      <c r="D36" s="112"/>
      <c r="E36" s="112">
        <f t="shared" ref="E36:AC36" si="10">E12</f>
        <v>10.563790836440971</v>
      </c>
      <c r="F36" s="112">
        <f t="shared" si="10"/>
        <v>13.933503394201249</v>
      </c>
      <c r="G36" s="112">
        <f t="shared" si="10"/>
        <v>13.833064219898972</v>
      </c>
      <c r="H36" s="112">
        <f t="shared" si="10"/>
        <v>13.659240257906296</v>
      </c>
      <c r="I36" s="112">
        <f t="shared" si="10"/>
        <v>13.524162217764246</v>
      </c>
      <c r="J36" s="112">
        <f t="shared" si="10"/>
        <v>13.390434958023617</v>
      </c>
      <c r="K36" s="112">
        <f t="shared" si="10"/>
        <v>13.293953487941156</v>
      </c>
      <c r="L36" s="112">
        <f t="shared" si="10"/>
        <v>13.126978883608601</v>
      </c>
      <c r="M36" s="112">
        <f t="shared" si="10"/>
        <v>12.997223457209525</v>
      </c>
      <c r="N36" s="112">
        <f t="shared" si="10"/>
        <v>12.868765585074444</v>
      </c>
      <c r="O36" s="112">
        <f t="shared" si="10"/>
        <v>12.776085869874297</v>
      </c>
      <c r="P36" s="112">
        <f t="shared" si="10"/>
        <v>12.615690731181115</v>
      </c>
      <c r="Q36" s="112">
        <f t="shared" si="10"/>
        <v>12.491048186306319</v>
      </c>
      <c r="R36" s="112">
        <f t="shared" si="10"/>
        <v>12.367652066880268</v>
      </c>
      <c r="S36" s="112">
        <f t="shared" si="10"/>
        <v>12.278624302251071</v>
      </c>
      <c r="T36" s="112">
        <f t="shared" si="10"/>
        <v>12.124549371999004</v>
      </c>
      <c r="U36" s="112">
        <f t="shared" si="10"/>
        <v>12.004818240716029</v>
      </c>
      <c r="V36" s="112">
        <f t="shared" si="10"/>
        <v>11.886284420745881</v>
      </c>
      <c r="W36" s="112">
        <f t="shared" si="10"/>
        <v>11.800764705263857</v>
      </c>
      <c r="X36" s="112">
        <f t="shared" si="10"/>
        <v>11.652760942022693</v>
      </c>
      <c r="Y36" s="112">
        <f t="shared" si="10"/>
        <v>11.53774769503948</v>
      </c>
      <c r="Z36" s="112">
        <f t="shared" si="10"/>
        <v>11.423884580526096</v>
      </c>
      <c r="AA36" s="112">
        <f t="shared" si="10"/>
        <v>11.341734683057728</v>
      </c>
      <c r="AB36" s="112">
        <f t="shared" si="10"/>
        <v>11.199562858623279</v>
      </c>
      <c r="AC36" s="112">
        <f t="shared" si="10"/>
        <v>11.089081592474059</v>
      </c>
    </row>
    <row r="37" spans="1:29">
      <c r="B37" s="68" t="s">
        <v>303</v>
      </c>
      <c r="D37" s="112"/>
      <c r="E37" s="112">
        <f>E18+E16</f>
        <v>9.2919346242553775</v>
      </c>
      <c r="F37" s="112">
        <f t="shared" ref="F37:AC37" si="11">F18+F16</f>
        <v>12.605542226502225</v>
      </c>
      <c r="G37" s="112">
        <f t="shared" si="11"/>
        <v>12.44603752969881</v>
      </c>
      <c r="H37" s="112">
        <f t="shared" si="11"/>
        <v>12.210020991642702</v>
      </c>
      <c r="I37" s="112">
        <f t="shared" si="11"/>
        <v>12.009476423409723</v>
      </c>
      <c r="J37" s="112">
        <f t="shared" si="11"/>
        <v>11.806844985949288</v>
      </c>
      <c r="K37" s="112">
        <f t="shared" si="11"/>
        <v>11.637858810048995</v>
      </c>
      <c r="L37" s="112">
        <f t="shared" si="11"/>
        <v>11.394580487170479</v>
      </c>
      <c r="M37" s="112">
        <f t="shared" si="11"/>
        <v>11.184541833073819</v>
      </c>
      <c r="N37" s="112">
        <f t="shared" si="11"/>
        <v>10.971622248631945</v>
      </c>
      <c r="O37" s="112">
        <f t="shared" si="11"/>
        <v>10.790102416297628</v>
      </c>
      <c r="P37" s="112">
        <f t="shared" si="11"/>
        <v>10.536251377176333</v>
      </c>
      <c r="Q37" s="112">
        <f t="shared" si="11"/>
        <v>10.313315813627689</v>
      </c>
      <c r="R37" s="112">
        <f t="shared" si="11"/>
        <v>10.086547701369771</v>
      </c>
      <c r="S37" s="112">
        <f t="shared" si="11"/>
        <v>9.8888240250550759</v>
      </c>
      <c r="T37" s="112">
        <f t="shared" si="11"/>
        <v>9.6204446100960013</v>
      </c>
      <c r="U37" s="112">
        <f t="shared" si="11"/>
        <v>9.3805294466463405</v>
      </c>
      <c r="V37" s="112">
        <f t="shared" si="11"/>
        <v>9.1356380696768422</v>
      </c>
      <c r="W37" s="112">
        <f t="shared" si="11"/>
        <v>8.9172876001334664</v>
      </c>
      <c r="X37" s="112">
        <f t="shared" si="11"/>
        <v>8.6296377676906459</v>
      </c>
      <c r="Y37" s="112">
        <f t="shared" si="11"/>
        <v>8.3678318248213657</v>
      </c>
      <c r="Z37" s="112">
        <f t="shared" si="11"/>
        <v>8.099672056403282</v>
      </c>
      <c r="AA37" s="112">
        <f t="shared" si="11"/>
        <v>7.8553553531229436</v>
      </c>
      <c r="AB37" s="112">
        <f t="shared" si="11"/>
        <v>7.5427346051486897</v>
      </c>
      <c r="AC37" s="112">
        <f t="shared" si="11"/>
        <v>7.2531176460583477</v>
      </c>
    </row>
    <row r="38" spans="1:29">
      <c r="B38" s="68" t="s">
        <v>108</v>
      </c>
      <c r="D38" s="112"/>
      <c r="E38" s="112">
        <f t="shared" ref="E38:AC38" si="12">E18</f>
        <v>6.83383926854727</v>
      </c>
      <c r="F38" s="112">
        <f t="shared" si="12"/>
        <v>9.3190777399327764</v>
      </c>
      <c r="G38" s="112">
        <f t="shared" si="12"/>
        <v>9.1505690308373904</v>
      </c>
      <c r="H38" s="112">
        <f t="shared" si="12"/>
        <v>8.9235565050732539</v>
      </c>
      <c r="I38" s="112">
        <f t="shared" si="12"/>
        <v>8.7230119368402743</v>
      </c>
      <c r="J38" s="112">
        <f t="shared" si="12"/>
        <v>8.52038049937984</v>
      </c>
      <c r="K38" s="112">
        <f t="shared" si="12"/>
        <v>8.3423903111875752</v>
      </c>
      <c r="L38" s="112">
        <f t="shared" si="12"/>
        <v>8.1081160006010311</v>
      </c>
      <c r="M38" s="112">
        <f t="shared" si="12"/>
        <v>7.8980773465043708</v>
      </c>
      <c r="N38" s="112">
        <f t="shared" si="12"/>
        <v>7.685157762062496</v>
      </c>
      <c r="O38" s="112">
        <f t="shared" si="12"/>
        <v>7.4946339174362082</v>
      </c>
      <c r="P38" s="112">
        <f t="shared" si="12"/>
        <v>7.2497868906068845</v>
      </c>
      <c r="Q38" s="112">
        <f t="shared" si="12"/>
        <v>7.0268513270582416</v>
      </c>
      <c r="R38" s="112">
        <f t="shared" si="12"/>
        <v>6.8000832148003223</v>
      </c>
      <c r="S38" s="112">
        <f t="shared" si="12"/>
        <v>6.5933555261936565</v>
      </c>
      <c r="T38" s="112">
        <f t="shared" si="12"/>
        <v>6.3339801235265529</v>
      </c>
      <c r="U38" s="112">
        <f t="shared" si="12"/>
        <v>6.0940649600768921</v>
      </c>
      <c r="V38" s="112">
        <f t="shared" si="12"/>
        <v>5.8491735831073939</v>
      </c>
      <c r="W38" s="112">
        <f t="shared" si="12"/>
        <v>5.6218191012720471</v>
      </c>
      <c r="X38" s="112">
        <f t="shared" si="12"/>
        <v>5.3431732811211976</v>
      </c>
      <c r="Y38" s="112">
        <f t="shared" si="12"/>
        <v>5.0813673382519173</v>
      </c>
      <c r="Z38" s="112">
        <f t="shared" si="12"/>
        <v>4.8132075698338337</v>
      </c>
      <c r="AA38" s="112">
        <f t="shared" si="12"/>
        <v>4.5598868542615243</v>
      </c>
      <c r="AB38" s="112">
        <f t="shared" si="12"/>
        <v>4.2562701185792413</v>
      </c>
      <c r="AC38" s="112">
        <f t="shared" si="12"/>
        <v>3.9666531594888994</v>
      </c>
    </row>
    <row r="39" spans="1:29">
      <c r="B39" s="68" t="s">
        <v>115</v>
      </c>
      <c r="D39" s="112"/>
      <c r="E39" s="112">
        <f t="shared" ref="E39:AC39" si="13">E24</f>
        <v>2.1607149962237338</v>
      </c>
      <c r="F39" s="112">
        <f t="shared" si="13"/>
        <v>3.3417957389092523</v>
      </c>
      <c r="G39" s="112">
        <f t="shared" si="13"/>
        <v>3.5326278986984874</v>
      </c>
      <c r="H39" s="112">
        <f t="shared" si="13"/>
        <v>3.6749954967593315</v>
      </c>
      <c r="I39" s="112">
        <f t="shared" si="13"/>
        <v>3.8392891508389853</v>
      </c>
      <c r="J39" s="112">
        <f t="shared" si="13"/>
        <v>4.0018540424506153</v>
      </c>
      <c r="K39" s="112">
        <f t="shared" si="13"/>
        <v>4.1848317449559982</v>
      </c>
      <c r="L39" s="112">
        <f t="shared" si="13"/>
        <v>4.321183680469959</v>
      </c>
      <c r="M39" s="112">
        <f t="shared" si="13"/>
        <v>4.4776124338201395</v>
      </c>
      <c r="N39" s="112">
        <f t="shared" si="13"/>
        <v>4.6316546244723442</v>
      </c>
      <c r="O39" s="112">
        <f t="shared" si="13"/>
        <v>4.8042494459877814</v>
      </c>
      <c r="P39" s="112">
        <f t="shared" si="13"/>
        <v>4.9318429433662239</v>
      </c>
      <c r="Q39" s="112">
        <f t="shared" si="13"/>
        <v>5.0775878969263823</v>
      </c>
      <c r="R39" s="112">
        <f t="shared" si="13"/>
        <v>5.2201579671357763</v>
      </c>
      <c r="S39" s="112">
        <f t="shared" si="13"/>
        <v>4.9579382259486016</v>
      </c>
      <c r="T39" s="112">
        <f t="shared" si="13"/>
        <v>3.8765173937879918</v>
      </c>
      <c r="U39" s="112">
        <f t="shared" si="13"/>
        <v>3.654863914826664</v>
      </c>
      <c r="V39" s="112">
        <f t="shared" si="13"/>
        <v>3.4374235373887063</v>
      </c>
      <c r="W39" s="112">
        <f t="shared" si="13"/>
        <v>3.2369493581111639</v>
      </c>
      <c r="X39" s="112">
        <f t="shared" si="13"/>
        <v>3.0097116984155132</v>
      </c>
      <c r="Y39" s="112">
        <f t="shared" si="13"/>
        <v>2.7972203058228882</v>
      </c>
      <c r="Z39" s="112">
        <f t="shared" si="13"/>
        <v>2.5842638227243078</v>
      </c>
      <c r="AA39" s="112">
        <f t="shared" si="13"/>
        <v>2.3829380140703988</v>
      </c>
      <c r="AB39" s="112">
        <f t="shared" si="13"/>
        <v>2.1534748481220447</v>
      </c>
      <c r="AC39" s="112">
        <f t="shared" si="13"/>
        <v>1.934146990534495</v>
      </c>
    </row>
    <row r="41" spans="1:29">
      <c r="B41" s="68" t="s">
        <v>304</v>
      </c>
      <c r="E41" s="304">
        <f t="shared" ref="E41:AC41" si="14">E37/E36</f>
        <v>0.87960229127235423</v>
      </c>
      <c r="F41" s="304">
        <f t="shared" si="14"/>
        <v>0.90469294547617607</v>
      </c>
      <c r="G41" s="304">
        <f t="shared" si="14"/>
        <v>0.89973105971669576</v>
      </c>
      <c r="H41" s="304">
        <f t="shared" si="14"/>
        <v>0.89390191263201846</v>
      </c>
      <c r="I41" s="304">
        <f t="shared" si="14"/>
        <v>0.8880015064914738</v>
      </c>
      <c r="J41" s="304">
        <f t="shared" si="14"/>
        <v>0.88173722683104983</v>
      </c>
      <c r="K41" s="304">
        <f t="shared" si="14"/>
        <v>0.87542496824632399</v>
      </c>
      <c r="L41" s="304">
        <f t="shared" si="14"/>
        <v>0.86802763897172619</v>
      </c>
      <c r="M41" s="304">
        <f t="shared" si="14"/>
        <v>0.86053316463292651</v>
      </c>
      <c r="N41" s="304">
        <f t="shared" si="14"/>
        <v>0.85257767546540297</v>
      </c>
      <c r="O41" s="304">
        <f t="shared" si="14"/>
        <v>0.84455462543034643</v>
      </c>
      <c r="P41" s="304">
        <f t="shared" si="14"/>
        <v>0.83517039230636725</v>
      </c>
      <c r="Q41" s="304">
        <f t="shared" si="14"/>
        <v>0.8256565549826288</v>
      </c>
      <c r="R41" s="304">
        <f t="shared" si="14"/>
        <v>0.81555881802180219</v>
      </c>
      <c r="S41" s="304">
        <f t="shared" si="14"/>
        <v>0.80536905288666039</v>
      </c>
      <c r="T41" s="304">
        <f t="shared" si="14"/>
        <v>0.79346822013145513</v>
      </c>
      <c r="U41" s="304">
        <f t="shared" si="14"/>
        <v>0.78139704063414772</v>
      </c>
      <c r="V41" s="304">
        <f t="shared" si="14"/>
        <v>0.76858652765634972</v>
      </c>
      <c r="W41" s="304">
        <f t="shared" si="14"/>
        <v>0.75565336847668996</v>
      </c>
      <c r="X41" s="304">
        <f t="shared" si="14"/>
        <v>0.74056593202475052</v>
      </c>
      <c r="Y41" s="304">
        <f t="shared" si="14"/>
        <v>0.7252569605434358</v>
      </c>
      <c r="Z41" s="304">
        <f t="shared" si="14"/>
        <v>0.70901207022088752</v>
      </c>
      <c r="AA41" s="304">
        <f t="shared" si="14"/>
        <v>0.69260616410444387</v>
      </c>
      <c r="AB41" s="304">
        <f t="shared" si="14"/>
        <v>0.67348473332073333</v>
      </c>
      <c r="AC41" s="304">
        <f t="shared" si="14"/>
        <v>0.65407739906800721</v>
      </c>
    </row>
    <row r="42" spans="1:29">
      <c r="B42" s="68" t="s">
        <v>307</v>
      </c>
      <c r="E42" s="304">
        <f>AVERAGE(E41:AC41)</f>
        <v>0.80898592998179419</v>
      </c>
      <c r="F42" s="304"/>
      <c r="G42" s="304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  <c r="V42" s="304"/>
      <c r="W42" s="304"/>
      <c r="X42" s="304"/>
      <c r="Y42" s="304"/>
      <c r="Z42" s="304"/>
      <c r="AA42" s="304"/>
      <c r="AB42" s="304"/>
      <c r="AC42" s="304"/>
    </row>
    <row r="43" spans="1:29">
      <c r="B43" s="68" t="s">
        <v>305</v>
      </c>
      <c r="E43" s="304">
        <f>E38/E36</f>
        <v>0.64691164131849166</v>
      </c>
      <c r="F43" s="304">
        <f t="shared" ref="F43:AC43" si="15">F38/F36</f>
        <v>0.66882516738834874</v>
      </c>
      <c r="G43" s="304">
        <f t="shared" si="15"/>
        <v>0.66149978669760123</v>
      </c>
      <c r="H43" s="304">
        <f t="shared" si="15"/>
        <v>0.65329815835899696</v>
      </c>
      <c r="I43" s="304">
        <f t="shared" si="15"/>
        <v>0.6449946249078875</v>
      </c>
      <c r="J43" s="304">
        <f t="shared" si="15"/>
        <v>0.63630349022190535</v>
      </c>
      <c r="K43" s="304">
        <f t="shared" si="15"/>
        <v>0.62753268384419236</v>
      </c>
      <c r="L43" s="304">
        <f t="shared" si="15"/>
        <v>0.61766809198767547</v>
      </c>
      <c r="M43" s="304">
        <f t="shared" si="15"/>
        <v>0.60767419845531145</v>
      </c>
      <c r="N43" s="304">
        <f t="shared" si="15"/>
        <v>0.59719463465679712</v>
      </c>
      <c r="O43" s="304">
        <f t="shared" si="15"/>
        <v>0.58661424115099092</v>
      </c>
      <c r="P43" s="304">
        <f t="shared" si="15"/>
        <v>0.57466428474567877</v>
      </c>
      <c r="Q43" s="304">
        <f t="shared" si="15"/>
        <v>0.56255097428585976</v>
      </c>
      <c r="R43" s="304">
        <f t="shared" si="15"/>
        <v>0.54982814668683011</v>
      </c>
      <c r="S43" s="304">
        <f t="shared" si="15"/>
        <v>0.53697835880399725</v>
      </c>
      <c r="T43" s="304">
        <f t="shared" si="15"/>
        <v>0.52240952873304636</v>
      </c>
      <c r="U43" s="304">
        <f t="shared" si="15"/>
        <v>0.50763492106927655</v>
      </c>
      <c r="V43" s="304">
        <f t="shared" si="15"/>
        <v>0.49209436490502134</v>
      </c>
      <c r="W43" s="304">
        <f t="shared" si="15"/>
        <v>0.47639447456861628</v>
      </c>
      <c r="X43" s="304">
        <f t="shared" si="15"/>
        <v>0.45853281533069246</v>
      </c>
      <c r="Y43" s="304">
        <f t="shared" si="15"/>
        <v>0.44041241605903653</v>
      </c>
      <c r="Z43" s="304">
        <f t="shared" si="15"/>
        <v>0.42132844882193082</v>
      </c>
      <c r="AA43" s="304">
        <f t="shared" si="15"/>
        <v>0.40204492361059008</v>
      </c>
      <c r="AB43" s="304">
        <f t="shared" si="15"/>
        <v>0.38003895083298356</v>
      </c>
      <c r="AC43" s="304">
        <f t="shared" si="15"/>
        <v>0.35770799650180124</v>
      </c>
    </row>
    <row r="44" spans="1:29">
      <c r="B44" s="68" t="s">
        <v>307</v>
      </c>
      <c r="E44" s="304">
        <f>AVERAGE(E43:AC43)</f>
        <v>0.54524549295774238</v>
      </c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  <c r="V44" s="304"/>
      <c r="W44" s="304"/>
      <c r="X44" s="304"/>
      <c r="Y44" s="304"/>
      <c r="Z44" s="304"/>
      <c r="AA44" s="304"/>
      <c r="AB44" s="304"/>
      <c r="AC44" s="304"/>
    </row>
    <row r="45" spans="1:29">
      <c r="B45" s="68" t="s">
        <v>306</v>
      </c>
      <c r="E45" s="304">
        <f t="shared" ref="E45:AC45" si="16">E39/E36</f>
        <v>0.20453973669850667</v>
      </c>
      <c r="F45" s="304">
        <f t="shared" si="16"/>
        <v>0.2398388721317582</v>
      </c>
      <c r="G45" s="304">
        <f t="shared" si="16"/>
        <v>0.25537565954597208</v>
      </c>
      <c r="H45" s="304">
        <f t="shared" si="16"/>
        <v>0.26904830923024109</v>
      </c>
      <c r="I45" s="304">
        <f t="shared" si="16"/>
        <v>0.28388369564186428</v>
      </c>
      <c r="J45" s="304">
        <f t="shared" si="16"/>
        <v>0.29885915244692512</v>
      </c>
      <c r="K45" s="304">
        <f t="shared" si="16"/>
        <v>0.3147921157353249</v>
      </c>
      <c r="L45" s="304">
        <f t="shared" si="16"/>
        <v>0.32918341065252538</v>
      </c>
      <c r="M45" s="304">
        <f t="shared" si="16"/>
        <v>0.34450530519550465</v>
      </c>
      <c r="N45" s="304">
        <f t="shared" si="16"/>
        <v>0.3599144450843263</v>
      </c>
      <c r="O45" s="304">
        <f t="shared" si="16"/>
        <v>0.37603453005243853</v>
      </c>
      <c r="P45" s="304">
        <f t="shared" si="16"/>
        <v>0.39092928389379528</v>
      </c>
      <c r="Q45" s="304">
        <f t="shared" si="16"/>
        <v>0.40649814340583829</v>
      </c>
      <c r="R45" s="304">
        <f t="shared" si="16"/>
        <v>0.42208156721314993</v>
      </c>
      <c r="S45" s="304">
        <f t="shared" si="16"/>
        <v>0.40378613303117761</v>
      </c>
      <c r="T45" s="304">
        <f t="shared" si="16"/>
        <v>0.31972465737494549</v>
      </c>
      <c r="U45" s="304">
        <f t="shared" si="16"/>
        <v>0.30444975022034731</v>
      </c>
      <c r="V45" s="304">
        <f t="shared" si="16"/>
        <v>0.28919243522299992</v>
      </c>
      <c r="W45" s="304">
        <f t="shared" si="16"/>
        <v>0.27429996605790202</v>
      </c>
      <c r="X45" s="304">
        <f t="shared" si="16"/>
        <v>0.2582831410847673</v>
      </c>
      <c r="Y45" s="304">
        <f t="shared" si="16"/>
        <v>0.24244075878219459</v>
      </c>
      <c r="Z45" s="304">
        <f t="shared" si="16"/>
        <v>0.22621585543061365</v>
      </c>
      <c r="AA45" s="304">
        <f t="shared" si="16"/>
        <v>0.21010348775218921</v>
      </c>
      <c r="AB45" s="304">
        <f t="shared" si="16"/>
        <v>0.19228204487141592</v>
      </c>
      <c r="AC45" s="304">
        <f t="shared" si="16"/>
        <v>0.17441904222682988</v>
      </c>
    </row>
    <row r="46" spans="1:29">
      <c r="B46" s="68" t="s">
        <v>307</v>
      </c>
      <c r="E46" s="304">
        <f>AVERAGE(E45:AC45)</f>
        <v>0.29562725995934208</v>
      </c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  <c r="V46" s="304"/>
      <c r="W46" s="304"/>
      <c r="X46" s="304"/>
      <c r="Y46" s="304"/>
      <c r="Z46" s="304"/>
      <c r="AA46" s="304"/>
      <c r="AB46" s="304"/>
      <c r="AC46" s="304"/>
    </row>
  </sheetData>
  <mergeCells count="1">
    <mergeCell ref="E7:AC7"/>
  </mergeCells>
  <dataValidations count="1">
    <dataValidation type="list" allowBlank="1" showInputMessage="1" showErrorMessage="1" sqref="A12 A17" xr:uid="{00000000-0002-0000-0300-000000000000}">
      <formula1>"0%,5%,10%"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E43"/>
  <sheetViews>
    <sheetView showGridLines="0" workbookViewId="0">
      <pane xSplit="2" ySplit="8" topLeftCell="T9" activePane="bottomRight" state="frozen"/>
      <selection activeCell="A9" sqref="A9"/>
      <selection pane="topRight" activeCell="A9" sqref="A9"/>
      <selection pane="bottomLeft" activeCell="A9" sqref="A9"/>
      <selection pane="bottomRight" activeCell="C14" sqref="C14"/>
    </sheetView>
  </sheetViews>
  <sheetFormatPr defaultColWidth="13.7109375" defaultRowHeight="15"/>
  <cols>
    <col min="1" max="1" width="2.28515625" style="68" customWidth="1"/>
    <col min="2" max="2" width="64.7109375" style="68" customWidth="1"/>
    <col min="3" max="13" width="12.7109375" style="68" customWidth="1"/>
    <col min="14" max="16384" width="13.7109375" style="68"/>
  </cols>
  <sheetData>
    <row r="1" spans="2:31" s="1" customFormat="1" ht="19.899999999999999" customHeight="1">
      <c r="B1" s="101" t="str">
        <f>Company</f>
        <v>M/s. OMC Power Private Limited</v>
      </c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</row>
    <row r="2" spans="2:31" s="1" customFormat="1" ht="9" customHeight="1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2:31" s="1" customFormat="1" ht="19.899999999999999" customHeight="1">
      <c r="B3" s="102" t="str">
        <f>Project</f>
        <v>Financial Model for Proposed 35 locations Solar Power Plant (20 MW )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</row>
    <row r="4" spans="2:31" s="1" customFormat="1" ht="9" customHeight="1">
      <c r="B4" s="2"/>
      <c r="C4" s="2"/>
      <c r="D4" s="2"/>
      <c r="E4" s="287"/>
    </row>
    <row r="5" spans="2:31" customFormat="1" ht="15.75">
      <c r="B5" s="69" t="s">
        <v>290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</row>
    <row r="6" spans="2:31" customFormat="1">
      <c r="B6" s="288" t="s">
        <v>288</v>
      </c>
      <c r="C6" s="31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</row>
    <row r="7" spans="2:31" s="31" customFormat="1" ht="15.75">
      <c r="C7" s="321"/>
      <c r="D7" s="415" t="s">
        <v>81</v>
      </c>
      <c r="E7" s="415"/>
      <c r="F7" s="415"/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5"/>
    </row>
    <row r="8" spans="2:31" s="31" customFormat="1">
      <c r="B8" s="71" t="s">
        <v>82</v>
      </c>
      <c r="C8" s="73">
        <f>'Revenue &amp; Expenses Modeling'!E8</f>
        <v>45838</v>
      </c>
      <c r="D8" s="73">
        <f>'Revenue &amp; Expenses Modeling'!F8</f>
        <v>46111</v>
      </c>
      <c r="E8" s="73">
        <f>'Revenue &amp; Expenses Modeling'!G8</f>
        <v>46476</v>
      </c>
      <c r="F8" s="73">
        <f>'Revenue &amp; Expenses Modeling'!H8</f>
        <v>46842</v>
      </c>
      <c r="G8" s="73">
        <f>'Revenue &amp; Expenses Modeling'!I8</f>
        <v>47207</v>
      </c>
      <c r="H8" s="73">
        <f>'Revenue &amp; Expenses Modeling'!J8</f>
        <v>47572</v>
      </c>
      <c r="I8" s="73">
        <f>'Revenue &amp; Expenses Modeling'!K8</f>
        <v>47937</v>
      </c>
      <c r="J8" s="73">
        <f>'Revenue &amp; Expenses Modeling'!L8</f>
        <v>48303</v>
      </c>
      <c r="K8" s="73">
        <f>'Revenue &amp; Expenses Modeling'!M8</f>
        <v>48668</v>
      </c>
      <c r="L8" s="73">
        <f>'Revenue &amp; Expenses Modeling'!N8</f>
        <v>49033</v>
      </c>
      <c r="M8" s="73">
        <f>'Revenue &amp; Expenses Modeling'!O8</f>
        <v>49398</v>
      </c>
      <c r="N8" s="73">
        <f>'Revenue &amp; Expenses Modeling'!P8</f>
        <v>49764</v>
      </c>
      <c r="O8" s="73">
        <f>'Revenue &amp; Expenses Modeling'!Q8</f>
        <v>50129</v>
      </c>
      <c r="P8" s="73">
        <f>'Revenue &amp; Expenses Modeling'!R8</f>
        <v>50494</v>
      </c>
      <c r="Q8" s="73">
        <f>'Revenue &amp; Expenses Modeling'!S8</f>
        <v>50859</v>
      </c>
      <c r="R8" s="73">
        <f>'Revenue &amp; Expenses Modeling'!T8</f>
        <v>51225</v>
      </c>
      <c r="S8" s="73">
        <f>'Revenue &amp; Expenses Modeling'!U8</f>
        <v>51590</v>
      </c>
      <c r="T8" s="73">
        <f>'Revenue &amp; Expenses Modeling'!V8</f>
        <v>51955</v>
      </c>
      <c r="U8" s="73">
        <f>'Revenue &amp; Expenses Modeling'!W8</f>
        <v>52320</v>
      </c>
      <c r="V8" s="73">
        <f>'Revenue &amp; Expenses Modeling'!X8</f>
        <v>52686</v>
      </c>
      <c r="W8" s="73">
        <f>'Revenue &amp; Expenses Modeling'!Y8</f>
        <v>53051</v>
      </c>
      <c r="X8" s="73">
        <f>'Revenue &amp; Expenses Modeling'!Z8</f>
        <v>53416</v>
      </c>
      <c r="Y8" s="73">
        <f>'Revenue &amp; Expenses Modeling'!AA8</f>
        <v>53781</v>
      </c>
      <c r="Z8" s="73">
        <f>'Revenue &amp; Expenses Modeling'!AB8</f>
        <v>54147</v>
      </c>
      <c r="AA8" s="73">
        <f>'Revenue &amp; Expenses Modeling'!AC8</f>
        <v>54512</v>
      </c>
      <c r="AB8" s="73">
        <f>'Revenue &amp; Expenses Modeling'!AD8</f>
        <v>54877</v>
      </c>
    </row>
    <row r="9" spans="2:31" s="78" customFormat="1" ht="12.75">
      <c r="B9" s="74" t="s">
        <v>84</v>
      </c>
      <c r="C9" s="76">
        <v>0</v>
      </c>
      <c r="D9" s="77">
        <v>1</v>
      </c>
      <c r="E9" s="77">
        <v>2</v>
      </c>
      <c r="F9" s="77">
        <v>3</v>
      </c>
      <c r="G9" s="77">
        <v>4</v>
      </c>
      <c r="H9" s="77">
        <v>5</v>
      </c>
      <c r="I9" s="77">
        <v>6</v>
      </c>
      <c r="J9" s="77">
        <v>7</v>
      </c>
      <c r="K9" s="77">
        <v>8</v>
      </c>
      <c r="L9" s="77">
        <v>9</v>
      </c>
      <c r="M9" s="77">
        <v>10</v>
      </c>
      <c r="N9" s="77">
        <v>11</v>
      </c>
      <c r="O9" s="77">
        <v>12</v>
      </c>
      <c r="P9" s="77">
        <v>13</v>
      </c>
      <c r="Q9" s="77">
        <v>14</v>
      </c>
      <c r="R9" s="77">
        <v>15</v>
      </c>
      <c r="S9" s="77">
        <v>16</v>
      </c>
      <c r="T9" s="77">
        <v>17</v>
      </c>
      <c r="U9" s="77">
        <v>18</v>
      </c>
      <c r="V9" s="77">
        <v>19</v>
      </c>
      <c r="W9" s="77">
        <v>20</v>
      </c>
      <c r="X9" s="77">
        <v>21</v>
      </c>
      <c r="Y9" s="77">
        <v>22</v>
      </c>
      <c r="Z9" s="77">
        <v>23</v>
      </c>
      <c r="AA9" s="77">
        <v>24</v>
      </c>
      <c r="AB9" s="77">
        <v>25</v>
      </c>
    </row>
    <row r="10" spans="2:31" s="78" customFormat="1" ht="12.75">
      <c r="B10" s="74" t="s">
        <v>85</v>
      </c>
      <c r="C10" s="76">
        <f>+IS!D10</f>
        <v>3</v>
      </c>
      <c r="D10" s="75">
        <f t="shared" ref="D10:AB10" si="0">MONTH(D8-C8)</f>
        <v>9</v>
      </c>
      <c r="E10" s="75">
        <f t="shared" si="0"/>
        <v>12</v>
      </c>
      <c r="F10" s="75">
        <f t="shared" si="0"/>
        <v>12</v>
      </c>
      <c r="G10" s="75">
        <f t="shared" si="0"/>
        <v>12</v>
      </c>
      <c r="H10" s="75">
        <f t="shared" si="0"/>
        <v>12</v>
      </c>
      <c r="I10" s="75">
        <f t="shared" si="0"/>
        <v>12</v>
      </c>
      <c r="J10" s="75">
        <f t="shared" si="0"/>
        <v>12</v>
      </c>
      <c r="K10" s="75">
        <f t="shared" si="0"/>
        <v>12</v>
      </c>
      <c r="L10" s="75">
        <f t="shared" si="0"/>
        <v>12</v>
      </c>
      <c r="M10" s="75">
        <f t="shared" si="0"/>
        <v>12</v>
      </c>
      <c r="N10" s="75">
        <f t="shared" si="0"/>
        <v>12</v>
      </c>
      <c r="O10" s="75">
        <f t="shared" si="0"/>
        <v>12</v>
      </c>
      <c r="P10" s="75">
        <f t="shared" si="0"/>
        <v>12</v>
      </c>
      <c r="Q10" s="75">
        <f t="shared" si="0"/>
        <v>12</v>
      </c>
      <c r="R10" s="75">
        <f t="shared" si="0"/>
        <v>12</v>
      </c>
      <c r="S10" s="75">
        <f t="shared" si="0"/>
        <v>12</v>
      </c>
      <c r="T10" s="75">
        <f t="shared" si="0"/>
        <v>12</v>
      </c>
      <c r="U10" s="75">
        <f t="shared" si="0"/>
        <v>12</v>
      </c>
      <c r="V10" s="75">
        <f t="shared" si="0"/>
        <v>12</v>
      </c>
      <c r="W10" s="75">
        <f t="shared" si="0"/>
        <v>12</v>
      </c>
      <c r="X10" s="75">
        <f t="shared" si="0"/>
        <v>12</v>
      </c>
      <c r="Y10" s="75">
        <f t="shared" si="0"/>
        <v>12</v>
      </c>
      <c r="Z10" s="75">
        <f t="shared" si="0"/>
        <v>12</v>
      </c>
      <c r="AA10" s="75">
        <f t="shared" si="0"/>
        <v>12</v>
      </c>
      <c r="AB10" s="75">
        <f t="shared" si="0"/>
        <v>12</v>
      </c>
    </row>
    <row r="11" spans="2:31">
      <c r="B11" s="131" t="s">
        <v>120</v>
      </c>
    </row>
    <row r="12" spans="2:31">
      <c r="B12" s="68" t="s">
        <v>121</v>
      </c>
      <c r="C12" s="142">
        <f>CFS!D13</f>
        <v>26.796742078170205</v>
      </c>
      <c r="D12" s="142">
        <f t="shared" ref="D12:AB12" si="1">C12</f>
        <v>26.796742078170205</v>
      </c>
      <c r="E12" s="142">
        <f t="shared" si="1"/>
        <v>26.796742078170205</v>
      </c>
      <c r="F12" s="142">
        <f t="shared" si="1"/>
        <v>26.796742078170205</v>
      </c>
      <c r="G12" s="142">
        <f t="shared" si="1"/>
        <v>26.796742078170205</v>
      </c>
      <c r="H12" s="142">
        <f t="shared" si="1"/>
        <v>26.796742078170205</v>
      </c>
      <c r="I12" s="142">
        <f t="shared" si="1"/>
        <v>26.796742078170205</v>
      </c>
      <c r="J12" s="142">
        <f t="shared" si="1"/>
        <v>26.796742078170205</v>
      </c>
      <c r="K12" s="142">
        <f t="shared" si="1"/>
        <v>26.796742078170205</v>
      </c>
      <c r="L12" s="142">
        <f t="shared" si="1"/>
        <v>26.796742078170205</v>
      </c>
      <c r="M12" s="142">
        <f t="shared" si="1"/>
        <v>26.796742078170205</v>
      </c>
      <c r="N12" s="142">
        <f t="shared" si="1"/>
        <v>26.796742078170205</v>
      </c>
      <c r="O12" s="142">
        <f t="shared" si="1"/>
        <v>26.796742078170205</v>
      </c>
      <c r="P12" s="142">
        <f t="shared" si="1"/>
        <v>26.796742078170205</v>
      </c>
      <c r="Q12" s="142">
        <f t="shared" si="1"/>
        <v>26.796742078170205</v>
      </c>
      <c r="R12" s="142">
        <f t="shared" si="1"/>
        <v>26.796742078170205</v>
      </c>
      <c r="S12" s="142">
        <f t="shared" si="1"/>
        <v>26.796742078170205</v>
      </c>
      <c r="T12" s="142">
        <f t="shared" si="1"/>
        <v>26.796742078170205</v>
      </c>
      <c r="U12" s="142">
        <f t="shared" si="1"/>
        <v>26.796742078170205</v>
      </c>
      <c r="V12" s="142">
        <f t="shared" si="1"/>
        <v>26.796742078170205</v>
      </c>
      <c r="W12" s="142">
        <f t="shared" si="1"/>
        <v>26.796742078170205</v>
      </c>
      <c r="X12" s="142">
        <f t="shared" si="1"/>
        <v>26.796742078170205</v>
      </c>
      <c r="Y12" s="142">
        <f t="shared" si="1"/>
        <v>26.796742078170205</v>
      </c>
      <c r="Z12" s="142">
        <f t="shared" si="1"/>
        <v>26.796742078170205</v>
      </c>
      <c r="AA12" s="142">
        <f t="shared" si="1"/>
        <v>26.796742078170205</v>
      </c>
      <c r="AB12" s="142">
        <f t="shared" si="1"/>
        <v>26.796742078170205</v>
      </c>
      <c r="AC12" s="126"/>
      <c r="AD12" s="126"/>
      <c r="AE12" s="126"/>
    </row>
    <row r="13" spans="2:31">
      <c r="B13" s="68" t="s">
        <v>122</v>
      </c>
      <c r="C13" s="142">
        <f>+IS!D24</f>
        <v>0</v>
      </c>
      <c r="D13" s="142">
        <f>C13+IS!E24</f>
        <v>2.1607149962237338</v>
      </c>
      <c r="E13" s="142">
        <f>D13+IS!F24</f>
        <v>5.5025107351329865</v>
      </c>
      <c r="F13" s="142">
        <f>E13+IS!G24</f>
        <v>9.0351386338314743</v>
      </c>
      <c r="G13" s="142">
        <f>F13+IS!H24</f>
        <v>12.710134130590806</v>
      </c>
      <c r="H13" s="142">
        <f>G13+IS!I24</f>
        <v>16.549423281429792</v>
      </c>
      <c r="I13" s="142">
        <f>H13+IS!J24</f>
        <v>20.551277323880406</v>
      </c>
      <c r="J13" s="142">
        <f>I13+IS!K24</f>
        <v>24.736109068836406</v>
      </c>
      <c r="K13" s="142">
        <f>J13+IS!L24</f>
        <v>29.057292749306363</v>
      </c>
      <c r="L13" s="142">
        <f>K13+IS!M24</f>
        <v>33.534905183126504</v>
      </c>
      <c r="M13" s="142">
        <f>L13+IS!N24</f>
        <v>38.166559807598851</v>
      </c>
      <c r="N13" s="142">
        <f>M13+IS!O24</f>
        <v>42.97080925358663</v>
      </c>
      <c r="O13" s="142">
        <f>N13+IS!P24</f>
        <v>47.902652196952857</v>
      </c>
      <c r="P13" s="142">
        <f>O13+IS!Q24</f>
        <v>52.980240093879239</v>
      </c>
      <c r="Q13" s="142">
        <f>P13+IS!R24</f>
        <v>58.200398061015015</v>
      </c>
      <c r="R13" s="142">
        <f>Q13+IS!S24</f>
        <v>63.158336286963618</v>
      </c>
      <c r="S13" s="142">
        <f>R13+IS!T24</f>
        <v>67.03485368075161</v>
      </c>
      <c r="T13" s="142">
        <f>S13+IS!U24</f>
        <v>70.689717595578273</v>
      </c>
      <c r="U13" s="142">
        <f>T13+IS!V24</f>
        <v>74.127141132966983</v>
      </c>
      <c r="V13" s="142">
        <f>U13+IS!W24</f>
        <v>77.364090491078144</v>
      </c>
      <c r="W13" s="142">
        <f>V13+IS!X24</f>
        <v>80.373802189493659</v>
      </c>
      <c r="X13" s="142">
        <f>W13+IS!Y24</f>
        <v>83.171022495316549</v>
      </c>
      <c r="Y13" s="142">
        <f>X13+IS!Z24</f>
        <v>85.755286318040859</v>
      </c>
      <c r="Z13" s="142">
        <f>Y13+IS!AA24</f>
        <v>88.138224332111264</v>
      </c>
      <c r="AA13" s="142">
        <f>Z13+IS!AB24</f>
        <v>90.291699180233309</v>
      </c>
      <c r="AB13" s="142">
        <f>AA13+IS!AC24</f>
        <v>92.225846170767809</v>
      </c>
      <c r="AC13" s="126"/>
      <c r="AD13" s="126"/>
      <c r="AE13" s="126"/>
    </row>
    <row r="14" spans="2:31">
      <c r="B14" s="68" t="s">
        <v>123</v>
      </c>
      <c r="C14" s="142">
        <f>CFS!D14-BS!C17</f>
        <v>59.291641954571993</v>
      </c>
      <c r="D14" s="142">
        <f>C14+CFS!E14-BS!D17</f>
        <v>54.979522539694031</v>
      </c>
      <c r="E14" s="142">
        <f>D14+CFS!F14-BS!E17</f>
        <v>50.667403124816069</v>
      </c>
      <c r="F14" s="142">
        <f>E14+CFS!G14-BS!F17</f>
        <v>46.355283709938107</v>
      </c>
      <c r="G14" s="142">
        <f>F14+CFS!H14-BS!G17</f>
        <v>42.043164295060144</v>
      </c>
      <c r="H14" s="142">
        <f>G14+CFS!I14-BS!H17</f>
        <v>37.731044880182182</v>
      </c>
      <c r="I14" s="142">
        <f>H14+CFS!J14-BS!I17</f>
        <v>33.41892546530422</v>
      </c>
      <c r="J14" s="142">
        <f>I14+CFS!K14-BS!J17</f>
        <v>29.106806050426258</v>
      </c>
      <c r="K14" s="142">
        <f>J14+CFS!L14-BS!K17</f>
        <v>24.794686635548295</v>
      </c>
      <c r="L14" s="142">
        <f>K14+CFS!M14-BS!L17</f>
        <v>20.482567220670333</v>
      </c>
      <c r="M14" s="142">
        <f>L14+CFS!N14-BS!M17</f>
        <v>16.170447805792371</v>
      </c>
      <c r="N14" s="142">
        <f>M14+CFS!O14-BS!N17</f>
        <v>11.858328390914409</v>
      </c>
      <c r="O14" s="142">
        <f>N14+CFS!P14-BS!O17</f>
        <v>7.5462089760364455</v>
      </c>
      <c r="P14" s="142">
        <f>O14+CFS!Q14-BS!P17</f>
        <v>3.2340895611584823</v>
      </c>
      <c r="Q14" s="142">
        <f>P14+CFS!R14-BS!Q17</f>
        <v>9.7699626167013776E-15</v>
      </c>
      <c r="R14" s="142">
        <f>Q14+CFS!S14-BS!R17</f>
        <v>9.7699626167013776E-15</v>
      </c>
      <c r="S14" s="142">
        <f>R14+CFS!T14-BS!S17</f>
        <v>9.7699626167013776E-15</v>
      </c>
      <c r="T14" s="142">
        <f>S14+CFS!U14-BS!T17</f>
        <v>9.7699626167013776E-15</v>
      </c>
      <c r="U14" s="142">
        <f>T14+CFS!V14-BS!U17</f>
        <v>9.7699626167013776E-15</v>
      </c>
      <c r="V14" s="142">
        <f>U14+CFS!W14-BS!V17</f>
        <v>9.7699626167013776E-15</v>
      </c>
      <c r="W14" s="142">
        <f>V14+CFS!X14-BS!W17</f>
        <v>9.7699626167013776E-15</v>
      </c>
      <c r="X14" s="142">
        <f>W14+CFS!Y14-BS!X17</f>
        <v>9.7699626167013776E-15</v>
      </c>
      <c r="Y14" s="142">
        <f>X14+CFS!Z14-BS!Y17</f>
        <v>9.7699626167013776E-15</v>
      </c>
      <c r="Z14" s="142">
        <f>Y14+CFS!AA14-BS!Z17</f>
        <v>9.7699626167013776E-15</v>
      </c>
      <c r="AA14" s="142">
        <f>Z14+CFS!AB14-BS!AA17</f>
        <v>9.7699626167013776E-15</v>
      </c>
      <c r="AB14" s="142">
        <f>AA14+CFS!AC14-BS!AB17</f>
        <v>9.7699626167013776E-15</v>
      </c>
      <c r="AC14" s="126"/>
      <c r="AD14" s="126"/>
      <c r="AE14" s="126"/>
    </row>
    <row r="15" spans="2:31">
      <c r="B15" s="131" t="s">
        <v>124</v>
      </c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</row>
    <row r="16" spans="2:31">
      <c r="B16" s="68" t="s">
        <v>125</v>
      </c>
      <c r="D16" s="142">
        <f>+IS!E17/365*30</f>
        <v>0.30657136174468769</v>
      </c>
      <c r="E16" s="142">
        <f>+IS!F17/365*30</f>
        <v>0.37926786199466894</v>
      </c>
      <c r="F16" s="142">
        <f>+IS!G17/365*30</f>
        <v>0.38486261827903412</v>
      </c>
      <c r="G16" s="142">
        <f>+IS!H17/365*30</f>
        <v>0.38923428105477048</v>
      </c>
      <c r="H16" s="142">
        <f>+IS!I17/365*30</f>
        <v>0.39461509158279223</v>
      </c>
      <c r="I16" s="142">
        <f>+IS!J17/365*30</f>
        <v>0.40027844865565299</v>
      </c>
      <c r="J16" s="142">
        <f>+IS!K17/365*30</f>
        <v>0.40697779534960948</v>
      </c>
      <c r="K16" s="142">
        <f>+IS!L17/365*30</f>
        <v>0.41250927805541665</v>
      </c>
      <c r="L16" s="142">
        <f>+IS!M17/365*30</f>
        <v>0.4191078995100127</v>
      </c>
      <c r="M16" s="142">
        <f>+IS!N17/365*30</f>
        <v>0.4260499580557765</v>
      </c>
      <c r="N16" s="142">
        <f>+IS!O17/365*30</f>
        <v>0.43409194129628131</v>
      </c>
      <c r="O16" s="142">
        <f>+IS!P17/365*30</f>
        <v>0.44103319237596411</v>
      </c>
      <c r="P16" s="142">
        <f>+IS!Q17/365*30</f>
        <v>0.44911207062312963</v>
      </c>
      <c r="Q16" s="142">
        <f>+IS!R17/365*30</f>
        <v>0.45760839880109144</v>
      </c>
      <c r="R16" s="142">
        <f>+IS!S17/365*30</f>
        <v>0.46728236515540389</v>
      </c>
      <c r="S16" s="142">
        <f>+IS!T17/365*30</f>
        <v>0.47593719850458505</v>
      </c>
      <c r="T16" s="142">
        <f>+IS!U17/365*30</f>
        <v>0.48581533813472361</v>
      </c>
      <c r="U16" s="142">
        <f>+IS!V17/365*30</f>
        <v>0.49620089076480711</v>
      </c>
      <c r="V16" s="142">
        <f>+IS!W17/365*30</f>
        <v>0.50785854279384746</v>
      </c>
      <c r="W16" s="142">
        <f>+IS!X17/365*30</f>
        <v>0.5185962461014928</v>
      </c>
      <c r="X16" s="142">
        <f>+IS!Y17/365*30</f>
        <v>0.5306613991880188</v>
      </c>
      <c r="Y16" s="142">
        <f>+IS!Z17/365*30</f>
        <v>0.54334331594730922</v>
      </c>
      <c r="Z16" s="142">
        <f>+IS!AA17/365*30</f>
        <v>0.55741215031201685</v>
      </c>
      <c r="AA16" s="142">
        <f>+IS!AB17/365*30</f>
        <v>0.57068159507211269</v>
      </c>
      <c r="AB16" s="142">
        <f>+IS!AC17/365*30</f>
        <v>0.58540507668371178</v>
      </c>
      <c r="AC16" s="142">
        <f>+IS!AD17/365*30</f>
        <v>0</v>
      </c>
      <c r="AD16" s="126"/>
      <c r="AE16" s="126"/>
    </row>
    <row r="17" spans="2:31">
      <c r="B17" s="68" t="s">
        <v>126</v>
      </c>
      <c r="C17" s="142">
        <f>'Loan Schedule'!F13</f>
        <v>3.2340895611584726</v>
      </c>
      <c r="D17" s="142">
        <f>'Loan Schedule'!G13</f>
        <v>4.3121194148779631</v>
      </c>
      <c r="E17" s="142">
        <f>'Loan Schedule'!H13</f>
        <v>4.3121194148779631</v>
      </c>
      <c r="F17" s="142">
        <f>'Loan Schedule'!I13</f>
        <v>4.3121194148779631</v>
      </c>
      <c r="G17" s="142">
        <f>'Loan Schedule'!J13</f>
        <v>4.3121194148779631</v>
      </c>
      <c r="H17" s="142">
        <f>'Loan Schedule'!K13</f>
        <v>4.3121194148779631</v>
      </c>
      <c r="I17" s="142">
        <f>'Loan Schedule'!L13</f>
        <v>4.3121194148779631</v>
      </c>
      <c r="J17" s="142">
        <f>'Loan Schedule'!M13</f>
        <v>4.3121194148779631</v>
      </c>
      <c r="K17" s="142">
        <f>'Loan Schedule'!N13</f>
        <v>4.3121194148779631</v>
      </c>
      <c r="L17" s="142">
        <f>'Loan Schedule'!O13</f>
        <v>4.3121194148779631</v>
      </c>
      <c r="M17" s="142">
        <f>'Loan Schedule'!P13</f>
        <v>4.3121194148779631</v>
      </c>
      <c r="N17" s="142">
        <f>'Loan Schedule'!Q13</f>
        <v>4.3121194148779631</v>
      </c>
      <c r="O17" s="142">
        <f>'Loan Schedule'!R13</f>
        <v>4.3121194148779631</v>
      </c>
      <c r="P17" s="142">
        <f>'Loan Schedule'!S13</f>
        <v>4.3121194148779631</v>
      </c>
      <c r="Q17" s="142">
        <f>'Loan Schedule'!T13</f>
        <v>3.2340895611584726</v>
      </c>
      <c r="R17" s="142">
        <f>'Loan Schedule'!U13</f>
        <v>0</v>
      </c>
      <c r="S17" s="142">
        <f>'Loan Schedule'!V13</f>
        <v>0</v>
      </c>
      <c r="T17" s="142">
        <f>'Loan Schedule'!W13</f>
        <v>0</v>
      </c>
      <c r="U17" s="142">
        <f>'Loan Schedule'!X13</f>
        <v>0</v>
      </c>
      <c r="V17" s="142">
        <f>'Loan Schedule'!Y13</f>
        <v>0</v>
      </c>
      <c r="W17" s="142">
        <f>'Loan Schedule'!Z13</f>
        <v>0</v>
      </c>
      <c r="X17" s="142">
        <f>'Loan Schedule'!AA13</f>
        <v>0</v>
      </c>
      <c r="Y17" s="142">
        <f>'Loan Schedule'!AB13</f>
        <v>0</v>
      </c>
      <c r="Z17" s="142">
        <f>'Loan Schedule'!AC13</f>
        <v>0</v>
      </c>
      <c r="AA17" s="142">
        <f>'Loan Schedule'!AD13</f>
        <v>0</v>
      </c>
      <c r="AB17" s="142">
        <v>0</v>
      </c>
      <c r="AC17" s="126"/>
      <c r="AD17" s="126"/>
      <c r="AE17" s="126"/>
    </row>
    <row r="18" spans="2:31">
      <c r="B18" s="68" t="s">
        <v>127</v>
      </c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2"/>
      <c r="AA18" s="142"/>
      <c r="AB18" s="142"/>
      <c r="AC18" s="126"/>
      <c r="AD18" s="126"/>
      <c r="AE18" s="126"/>
    </row>
    <row r="19" spans="2:31">
      <c r="B19" s="133" t="s">
        <v>128</v>
      </c>
      <c r="C19" s="134">
        <f t="shared" ref="C19:AB19" si="2">SUM(C11:C18)</f>
        <v>89.322473593900668</v>
      </c>
      <c r="D19" s="134">
        <f t="shared" si="2"/>
        <v>88.555670390710631</v>
      </c>
      <c r="E19" s="134">
        <f t="shared" si="2"/>
        <v>87.658043214991892</v>
      </c>
      <c r="F19" s="134">
        <f t="shared" si="2"/>
        <v>86.884146455096783</v>
      </c>
      <c r="G19" s="134">
        <f t="shared" si="2"/>
        <v>86.251394199753889</v>
      </c>
      <c r="H19" s="134">
        <f t="shared" si="2"/>
        <v>85.783944746242938</v>
      </c>
      <c r="I19" s="134">
        <f t="shared" si="2"/>
        <v>85.479342730888447</v>
      </c>
      <c r="J19" s="134">
        <f t="shared" si="2"/>
        <v>85.358754407660442</v>
      </c>
      <c r="K19" s="134">
        <f t="shared" si="2"/>
        <v>85.373350155958235</v>
      </c>
      <c r="L19" s="134">
        <f t="shared" si="2"/>
        <v>85.545441796355021</v>
      </c>
      <c r="M19" s="134">
        <f t="shared" si="2"/>
        <v>85.871919064495174</v>
      </c>
      <c r="N19" s="134">
        <f t="shared" si="2"/>
        <v>86.3720910788455</v>
      </c>
      <c r="O19" s="134">
        <f t="shared" si="2"/>
        <v>86.998755858413446</v>
      </c>
      <c r="P19" s="134">
        <f t="shared" si="2"/>
        <v>87.772303218709027</v>
      </c>
      <c r="Q19" s="134">
        <f t="shared" si="2"/>
        <v>88.688838099144789</v>
      </c>
      <c r="R19" s="134">
        <f t="shared" si="2"/>
        <v>90.422360730289242</v>
      </c>
      <c r="S19" s="134">
        <f t="shared" si="2"/>
        <v>94.307532957426417</v>
      </c>
      <c r="T19" s="134">
        <f t="shared" si="2"/>
        <v>97.972275011883212</v>
      </c>
      <c r="U19" s="134">
        <f t="shared" si="2"/>
        <v>101.42008410190202</v>
      </c>
      <c r="V19" s="134">
        <f t="shared" si="2"/>
        <v>104.66869111204221</v>
      </c>
      <c r="W19" s="134">
        <f t="shared" si="2"/>
        <v>107.68914051376538</v>
      </c>
      <c r="X19" s="134">
        <f t="shared" si="2"/>
        <v>110.4984259726748</v>
      </c>
      <c r="Y19" s="134">
        <f t="shared" si="2"/>
        <v>113.09537171215838</v>
      </c>
      <c r="Z19" s="134">
        <f t="shared" si="2"/>
        <v>115.49237856059351</v>
      </c>
      <c r="AA19" s="134">
        <f t="shared" si="2"/>
        <v>117.65912285347565</v>
      </c>
      <c r="AB19" s="134">
        <f t="shared" si="2"/>
        <v>119.60799332562173</v>
      </c>
    </row>
    <row r="20" spans="2:31">
      <c r="B20" s="131" t="s">
        <v>129</v>
      </c>
    </row>
    <row r="21" spans="2:31">
      <c r="B21" s="68" t="s">
        <v>130</v>
      </c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</row>
    <row r="22" spans="2:31" hidden="1">
      <c r="B22" s="68" t="s">
        <v>131</v>
      </c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</row>
    <row r="23" spans="2:31">
      <c r="B23" s="68" t="s">
        <v>132</v>
      </c>
      <c r="C23" s="112">
        <f>+'PC &amp; MoF'!H18</f>
        <v>86.485907541301259</v>
      </c>
      <c r="D23" s="112">
        <f t="shared" ref="D23:AB23" si="3">C23</f>
        <v>86.485907541301259</v>
      </c>
      <c r="E23" s="112">
        <f t="shared" si="3"/>
        <v>86.485907541301259</v>
      </c>
      <c r="F23" s="112">
        <f t="shared" si="3"/>
        <v>86.485907541301259</v>
      </c>
      <c r="G23" s="112">
        <f t="shared" si="3"/>
        <v>86.485907541301259</v>
      </c>
      <c r="H23" s="112">
        <f t="shared" si="3"/>
        <v>86.485907541301259</v>
      </c>
      <c r="I23" s="112">
        <f t="shared" si="3"/>
        <v>86.485907541301259</v>
      </c>
      <c r="J23" s="112">
        <f t="shared" si="3"/>
        <v>86.485907541301259</v>
      </c>
      <c r="K23" s="112">
        <f t="shared" si="3"/>
        <v>86.485907541301259</v>
      </c>
      <c r="L23" s="112">
        <f t="shared" si="3"/>
        <v>86.485907541301259</v>
      </c>
      <c r="M23" s="112">
        <f t="shared" si="3"/>
        <v>86.485907541301259</v>
      </c>
      <c r="N23" s="112">
        <f t="shared" si="3"/>
        <v>86.485907541301259</v>
      </c>
      <c r="O23" s="112">
        <f t="shared" si="3"/>
        <v>86.485907541301259</v>
      </c>
      <c r="P23" s="112">
        <f t="shared" si="3"/>
        <v>86.485907541301259</v>
      </c>
      <c r="Q23" s="112">
        <f t="shared" si="3"/>
        <v>86.485907541301259</v>
      </c>
      <c r="R23" s="112">
        <f t="shared" si="3"/>
        <v>86.485907541301259</v>
      </c>
      <c r="S23" s="112">
        <f t="shared" si="3"/>
        <v>86.485907541301259</v>
      </c>
      <c r="T23" s="112">
        <f t="shared" si="3"/>
        <v>86.485907541301259</v>
      </c>
      <c r="U23" s="112">
        <f t="shared" si="3"/>
        <v>86.485907541301259</v>
      </c>
      <c r="V23" s="112">
        <f t="shared" si="3"/>
        <v>86.485907541301259</v>
      </c>
      <c r="W23" s="112">
        <f t="shared" si="3"/>
        <v>86.485907541301259</v>
      </c>
      <c r="X23" s="112">
        <f t="shared" si="3"/>
        <v>86.485907541301259</v>
      </c>
      <c r="Y23" s="112">
        <f t="shared" si="3"/>
        <v>86.485907541301259</v>
      </c>
      <c r="Z23" s="112">
        <f t="shared" si="3"/>
        <v>86.485907541301259</v>
      </c>
      <c r="AA23" s="112">
        <f t="shared" si="3"/>
        <v>86.485907541301259</v>
      </c>
      <c r="AB23" s="112">
        <f t="shared" si="3"/>
        <v>86.485907541301259</v>
      </c>
    </row>
    <row r="24" spans="2:31" hidden="1">
      <c r="B24" s="68" t="s">
        <v>133</v>
      </c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</row>
    <row r="25" spans="2:31" hidden="1">
      <c r="B25" s="68" t="s">
        <v>5</v>
      </c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</row>
    <row r="26" spans="2:31" hidden="1">
      <c r="B26" s="68" t="s">
        <v>134</v>
      </c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</row>
    <row r="27" spans="2:31">
      <c r="B27" s="135" t="s">
        <v>135</v>
      </c>
      <c r="C27" s="136">
        <f t="shared" ref="C27:AB27" si="4">SUM(C21:C26)</f>
        <v>86.485907541301259</v>
      </c>
      <c r="D27" s="136">
        <f>SUM(D21:D26)</f>
        <v>86.485907541301259</v>
      </c>
      <c r="E27" s="136">
        <f t="shared" si="4"/>
        <v>86.485907541301259</v>
      </c>
      <c r="F27" s="136">
        <f t="shared" si="4"/>
        <v>86.485907541301259</v>
      </c>
      <c r="G27" s="136">
        <f t="shared" si="4"/>
        <v>86.485907541301259</v>
      </c>
      <c r="H27" s="136">
        <f t="shared" si="4"/>
        <v>86.485907541301259</v>
      </c>
      <c r="I27" s="136">
        <f t="shared" si="4"/>
        <v>86.485907541301259</v>
      </c>
      <c r="J27" s="136">
        <f t="shared" si="4"/>
        <v>86.485907541301259</v>
      </c>
      <c r="K27" s="136">
        <f t="shared" si="4"/>
        <v>86.485907541301259</v>
      </c>
      <c r="L27" s="136">
        <f t="shared" si="4"/>
        <v>86.485907541301259</v>
      </c>
      <c r="M27" s="136">
        <f t="shared" si="4"/>
        <v>86.485907541301259</v>
      </c>
      <c r="N27" s="136">
        <f t="shared" si="4"/>
        <v>86.485907541301259</v>
      </c>
      <c r="O27" s="136">
        <f t="shared" si="4"/>
        <v>86.485907541301259</v>
      </c>
      <c r="P27" s="136">
        <f t="shared" si="4"/>
        <v>86.485907541301259</v>
      </c>
      <c r="Q27" s="136">
        <f t="shared" si="4"/>
        <v>86.485907541301259</v>
      </c>
      <c r="R27" s="136">
        <f t="shared" si="4"/>
        <v>86.485907541301259</v>
      </c>
      <c r="S27" s="136">
        <f t="shared" si="4"/>
        <v>86.485907541301259</v>
      </c>
      <c r="T27" s="136">
        <f t="shared" si="4"/>
        <v>86.485907541301259</v>
      </c>
      <c r="U27" s="136">
        <f t="shared" si="4"/>
        <v>86.485907541301259</v>
      </c>
      <c r="V27" s="136">
        <f t="shared" si="4"/>
        <v>86.485907541301259</v>
      </c>
      <c r="W27" s="136">
        <f t="shared" si="4"/>
        <v>86.485907541301259</v>
      </c>
      <c r="X27" s="136">
        <f t="shared" si="4"/>
        <v>86.485907541301259</v>
      </c>
      <c r="Y27" s="136">
        <f t="shared" si="4"/>
        <v>86.485907541301259</v>
      </c>
      <c r="Z27" s="136">
        <f t="shared" si="4"/>
        <v>86.485907541301259</v>
      </c>
      <c r="AA27" s="136">
        <f t="shared" si="4"/>
        <v>86.485907541301259</v>
      </c>
      <c r="AB27" s="136">
        <f t="shared" si="4"/>
        <v>86.485907541301259</v>
      </c>
    </row>
    <row r="28" spans="2:31">
      <c r="B28" s="68" t="s">
        <v>147</v>
      </c>
      <c r="C28" s="112"/>
      <c r="D28" s="112">
        <f>IS!E16+C28</f>
        <v>2.458095355708108</v>
      </c>
      <c r="E28" s="112">
        <f>IS!F16+D28</f>
        <v>5.7445598422775568</v>
      </c>
      <c r="F28" s="112">
        <f>IS!G16+E28</f>
        <v>9.0400283411389761</v>
      </c>
      <c r="G28" s="112">
        <f>IS!H16+F28</f>
        <v>12.326492827708424</v>
      </c>
      <c r="H28" s="112">
        <f>IS!I16+G28</f>
        <v>15.612957314277873</v>
      </c>
      <c r="I28" s="112">
        <f>IS!J16+H28</f>
        <v>18.899421800847321</v>
      </c>
      <c r="J28" s="112">
        <f>IS!K16+I28</f>
        <v>22.194890299708742</v>
      </c>
      <c r="K28" s="112">
        <f>IS!L16+J28</f>
        <v>25.481354786278189</v>
      </c>
      <c r="L28" s="112">
        <f>IS!M16+K28</f>
        <v>28.767819272847639</v>
      </c>
      <c r="M28" s="112">
        <f>IS!N16+L28</f>
        <v>32.054283759417089</v>
      </c>
      <c r="N28" s="112">
        <f>IS!O16+M28</f>
        <v>35.349752258278507</v>
      </c>
      <c r="O28" s="112">
        <f>IS!P16+N28</f>
        <v>38.636216744847957</v>
      </c>
      <c r="P28" s="112">
        <f>IS!Q16+O28</f>
        <v>41.922681231417407</v>
      </c>
      <c r="Q28" s="112">
        <f>IS!R16+P28</f>
        <v>45.209145717986857</v>
      </c>
      <c r="R28" s="112">
        <f>IS!S16+Q28</f>
        <v>48.504614216848275</v>
      </c>
      <c r="S28" s="112">
        <f>IS!T16+R28</f>
        <v>51.791078703417725</v>
      </c>
      <c r="T28" s="112">
        <f>IS!U16+S28</f>
        <v>55.077543189987175</v>
      </c>
      <c r="U28" s="112">
        <f>IS!V16+T28</f>
        <v>58.364007676556625</v>
      </c>
      <c r="V28" s="112">
        <f>IS!W16+U28</f>
        <v>61.659476175418042</v>
      </c>
      <c r="W28" s="112">
        <f>IS!X16+V28</f>
        <v>64.945940661987493</v>
      </c>
      <c r="X28" s="112">
        <f>IS!Y16+W28</f>
        <v>68.232405148556936</v>
      </c>
      <c r="Y28" s="112">
        <f>IS!Z16+X28</f>
        <v>71.518869635126379</v>
      </c>
      <c r="Z28" s="112">
        <f>IS!AA16+Y28</f>
        <v>74.814338133987803</v>
      </c>
      <c r="AA28" s="112">
        <f>IS!AB16+Z28</f>
        <v>78.100802620557246</v>
      </c>
      <c r="AB28" s="112">
        <f>IS!AC16+AA28</f>
        <v>81.387267107126689</v>
      </c>
    </row>
    <row r="29" spans="2:31">
      <c r="B29" s="137" t="s">
        <v>136</v>
      </c>
      <c r="C29" s="138">
        <f t="shared" ref="C29:AB29" si="5">C27-C28</f>
        <v>86.485907541301259</v>
      </c>
      <c r="D29" s="138">
        <f>D27-D28</f>
        <v>84.027812185593149</v>
      </c>
      <c r="E29" s="138">
        <f t="shared" si="5"/>
        <v>80.741347699023706</v>
      </c>
      <c r="F29" s="138">
        <f t="shared" si="5"/>
        <v>77.445879200162281</v>
      </c>
      <c r="G29" s="138">
        <f t="shared" si="5"/>
        <v>74.159414713592838</v>
      </c>
      <c r="H29" s="138">
        <f t="shared" si="5"/>
        <v>70.872950227023381</v>
      </c>
      <c r="I29" s="138">
        <f t="shared" si="5"/>
        <v>67.586485740453938</v>
      </c>
      <c r="J29" s="138">
        <f t="shared" si="5"/>
        <v>64.291017241592513</v>
      </c>
      <c r="K29" s="138">
        <f t="shared" si="5"/>
        <v>61.00455275502307</v>
      </c>
      <c r="L29" s="138">
        <f t="shared" si="5"/>
        <v>57.71808826845362</v>
      </c>
      <c r="M29" s="138">
        <f t="shared" si="5"/>
        <v>54.43162378188417</v>
      </c>
      <c r="N29" s="138">
        <f t="shared" si="5"/>
        <v>51.136155283022752</v>
      </c>
      <c r="O29" s="138">
        <f t="shared" si="5"/>
        <v>47.849690796453302</v>
      </c>
      <c r="P29" s="138">
        <f t="shared" si="5"/>
        <v>44.563226309883852</v>
      </c>
      <c r="Q29" s="138">
        <f t="shared" si="5"/>
        <v>41.276761823314402</v>
      </c>
      <c r="R29" s="138">
        <f t="shared" si="5"/>
        <v>37.981293324452984</v>
      </c>
      <c r="S29" s="138">
        <f>S27-S28</f>
        <v>34.694828837883534</v>
      </c>
      <c r="T29" s="138">
        <f t="shared" si="5"/>
        <v>31.408364351314084</v>
      </c>
      <c r="U29" s="138">
        <f t="shared" si="5"/>
        <v>28.121899864744634</v>
      </c>
      <c r="V29" s="138">
        <f t="shared" si="5"/>
        <v>24.826431365883217</v>
      </c>
      <c r="W29" s="138">
        <f t="shared" si="5"/>
        <v>21.539966879313766</v>
      </c>
      <c r="X29" s="138">
        <f t="shared" si="5"/>
        <v>18.253502392744323</v>
      </c>
      <c r="Y29" s="138">
        <f t="shared" si="5"/>
        <v>14.96703790617488</v>
      </c>
      <c r="Z29" s="138">
        <f t="shared" si="5"/>
        <v>11.671569407313456</v>
      </c>
      <c r="AA29" s="138">
        <f t="shared" si="5"/>
        <v>8.3851049207440127</v>
      </c>
      <c r="AB29" s="138">
        <f t="shared" si="5"/>
        <v>5.0986404341745697</v>
      </c>
    </row>
    <row r="30" spans="2:31">
      <c r="B30" s="68" t="s">
        <v>137</v>
      </c>
      <c r="C30" s="113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</row>
    <row r="31" spans="2:31">
      <c r="B31" s="137" t="s">
        <v>138</v>
      </c>
      <c r="C31" s="138">
        <f t="shared" ref="C31:AB31" si="6">C29+C30</f>
        <v>86.485907541301259</v>
      </c>
      <c r="D31" s="138">
        <f t="shared" si="6"/>
        <v>84.027812185593149</v>
      </c>
      <c r="E31" s="138">
        <f t="shared" si="6"/>
        <v>80.741347699023706</v>
      </c>
      <c r="F31" s="138">
        <f t="shared" si="6"/>
        <v>77.445879200162281</v>
      </c>
      <c r="G31" s="138">
        <f t="shared" si="6"/>
        <v>74.159414713592838</v>
      </c>
      <c r="H31" s="138">
        <f t="shared" si="6"/>
        <v>70.872950227023381</v>
      </c>
      <c r="I31" s="138">
        <f t="shared" si="6"/>
        <v>67.586485740453938</v>
      </c>
      <c r="J31" s="138">
        <f t="shared" si="6"/>
        <v>64.291017241592513</v>
      </c>
      <c r="K31" s="138">
        <f t="shared" si="6"/>
        <v>61.00455275502307</v>
      </c>
      <c r="L31" s="138">
        <f t="shared" si="6"/>
        <v>57.71808826845362</v>
      </c>
      <c r="M31" s="138">
        <f t="shared" si="6"/>
        <v>54.43162378188417</v>
      </c>
      <c r="N31" s="138">
        <f t="shared" si="6"/>
        <v>51.136155283022752</v>
      </c>
      <c r="O31" s="138">
        <f t="shared" si="6"/>
        <v>47.849690796453302</v>
      </c>
      <c r="P31" s="138">
        <f t="shared" si="6"/>
        <v>44.563226309883852</v>
      </c>
      <c r="Q31" s="138">
        <f t="shared" si="6"/>
        <v>41.276761823314402</v>
      </c>
      <c r="R31" s="138">
        <f t="shared" si="6"/>
        <v>37.981293324452984</v>
      </c>
      <c r="S31" s="138">
        <f t="shared" si="6"/>
        <v>34.694828837883534</v>
      </c>
      <c r="T31" s="138">
        <f t="shared" si="6"/>
        <v>31.408364351314084</v>
      </c>
      <c r="U31" s="138">
        <f t="shared" si="6"/>
        <v>28.121899864744634</v>
      </c>
      <c r="V31" s="138">
        <f t="shared" si="6"/>
        <v>24.826431365883217</v>
      </c>
      <c r="W31" s="138">
        <f t="shared" si="6"/>
        <v>21.539966879313766</v>
      </c>
      <c r="X31" s="138">
        <f t="shared" si="6"/>
        <v>18.253502392744323</v>
      </c>
      <c r="Y31" s="138">
        <f t="shared" si="6"/>
        <v>14.96703790617488</v>
      </c>
      <c r="Z31" s="138">
        <f t="shared" si="6"/>
        <v>11.671569407313456</v>
      </c>
      <c r="AA31" s="138">
        <f t="shared" si="6"/>
        <v>8.3851049207440127</v>
      </c>
      <c r="AB31" s="138">
        <f t="shared" si="6"/>
        <v>5.0986404341745697</v>
      </c>
    </row>
    <row r="32" spans="2:31">
      <c r="B32" s="131" t="s">
        <v>139</v>
      </c>
    </row>
    <row r="33" spans="2:28">
      <c r="B33" s="68" t="s">
        <v>140</v>
      </c>
      <c r="C33" s="112">
        <v>0</v>
      </c>
      <c r="D33" s="112">
        <f>+'Revenue &amp; Expenses Modeling'!F29/365*30</f>
        <v>0.85580996652655261</v>
      </c>
      <c r="E33" s="112">
        <f>+'Revenue &amp; Expenses Modeling'!G29/365*30</f>
        <v>1.1327726425068496</v>
      </c>
      <c r="F33" s="112">
        <f>+'Revenue &amp; Expenses Modeling'!H29/365*30</f>
        <v>1.1245173679066625</v>
      </c>
      <c r="G33" s="112">
        <f>+'Revenue &amp; Expenses Modeling'!I29/365*30</f>
        <v>1.1102304669209631</v>
      </c>
      <c r="H33" s="112">
        <f>+'Revenue &amp; Expenses Modeling'!J29/365*30</f>
        <v>1.0991281622517535</v>
      </c>
      <c r="I33" s="112">
        <f>+'Revenue &amp; Expenses Modeling'!K29/365*30</f>
        <v>1.088136880629236</v>
      </c>
      <c r="J33" s="112">
        <f>+'Revenue &amp; Expenses Modeling'!L29/365*30</f>
        <v>1.0802068967868419</v>
      </c>
      <c r="K33" s="112">
        <f>+'Revenue &amp; Expenses Modeling'!M29/365*30</f>
        <v>1.066482956704714</v>
      </c>
      <c r="L33" s="112">
        <f>+'Revenue &amp; Expenses Modeling'!N29/365*30</f>
        <v>1.0558181271376668</v>
      </c>
      <c r="M33" s="112">
        <f>+'Revenue &amp; Expenses Modeling'!O29/365*30</f>
        <v>1.0452599458662901</v>
      </c>
      <c r="N33" s="112">
        <f>+'Revenue &amp; Expenses Modeling'!P29/365*30</f>
        <v>1.0376424350279221</v>
      </c>
      <c r="O33" s="112">
        <f>+'Revenue &amp; Expenses Modeling'!Q29/365*30</f>
        <v>1.0244592729435509</v>
      </c>
      <c r="P33" s="112">
        <f>+'Revenue &amp; Expenses Modeling'!R29/365*30</f>
        <v>1.0142146802141156</v>
      </c>
      <c r="Q33" s="112">
        <f>+'Revenue &amp; Expenses Modeling'!S29/365*30</f>
        <v>1.0040725334119744</v>
      </c>
      <c r="R33" s="112">
        <f>+'Revenue &amp; Expenses Modeling'!T29/365*30</f>
        <v>0.99675518289450626</v>
      </c>
      <c r="S33" s="112">
        <f>+'Revenue &amp; Expenses Modeling'!U29/365*30</f>
        <v>0.98409148999707585</v>
      </c>
      <c r="T33" s="112">
        <f>+'Revenue &amp; Expenses Modeling'!V29/365*30</f>
        <v>0.97425057509710544</v>
      </c>
      <c r="U33" s="112">
        <f>+'Revenue &amp; Expenses Modeling'!W29/365*30</f>
        <v>0.96450806934613431</v>
      </c>
      <c r="V33" s="112">
        <f>+'Revenue &amp; Expenses Modeling'!X29/365*30</f>
        <v>0.95747905163528302</v>
      </c>
      <c r="W33" s="112">
        <f>+'Revenue &amp; Expenses Modeling'!Y29/365*30</f>
        <v>0.94531435876614633</v>
      </c>
      <c r="X33" s="112">
        <f>+'Revenue &amp; Expenses Modeling'!Z29/365*30</f>
        <v>0.93586121517848497</v>
      </c>
      <c r="Y33" s="112">
        <f>+'Revenue &amp; Expenses Modeling'!AA29/365*30</f>
        <v>0.92650260302669996</v>
      </c>
      <c r="Z33" s="112">
        <f>+'Revenue &amp; Expenses Modeling'!AB29/365*30</f>
        <v>0.91975055665943684</v>
      </c>
      <c r="AA33" s="112">
        <f>+'Revenue &amp; Expenses Modeling'!AC29/365*30</f>
        <v>0.9080652012264685</v>
      </c>
      <c r="AB33" s="112">
        <f>+'Revenue &amp; Expenses Modeling'!AD29/365*30</f>
        <v>0.8989845492142039</v>
      </c>
    </row>
    <row r="34" spans="2:28" hidden="1">
      <c r="B34" s="68" t="s">
        <v>141</v>
      </c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</row>
    <row r="35" spans="2:28">
      <c r="B35" s="68" t="s">
        <v>142</v>
      </c>
      <c r="C35" s="112">
        <f>CFS!D30</f>
        <v>0.31262865757865654</v>
      </c>
      <c r="D35" s="112">
        <f>CFS!E30</f>
        <v>1.1481108435701604</v>
      </c>
      <c r="E35" s="112">
        <f>CFS!F30</f>
        <v>3.2599854784405826</v>
      </c>
      <c r="F35" s="112">
        <f>CFS!G30</f>
        <v>5.789812492007079</v>
      </c>
      <c r="G35" s="112">
        <f>CFS!H30</f>
        <v>8.4578116242193317</v>
      </c>
      <c r="H35" s="112">
        <f>CFS!I30</f>
        <v>11.287928961947033</v>
      </c>
      <c r="I35" s="112">
        <f>CFS!J30</f>
        <v>14.280782714784511</v>
      </c>
      <c r="J35" s="112">
        <f>CFS!K30</f>
        <v>17.463592874260314</v>
      </c>
      <c r="K35" s="112">
        <f>CFS!L30</f>
        <v>20.778377049209695</v>
      </c>
      <c r="L35" s="112">
        <f>CFS!M30</f>
        <v>24.247598005742962</v>
      </c>
      <c r="M35" s="112">
        <f>CFS!N30</f>
        <v>27.871097941723932</v>
      </c>
      <c r="N35" s="112">
        <f>CFS!O30</f>
        <v>31.674355965774041</v>
      </c>
      <c r="O35" s="112">
        <f>CFS!P30</f>
        <v>35.600668393995804</v>
      </c>
      <c r="P35" s="112">
        <f>CFS!Q30</f>
        <v>39.67092483359027</v>
      </c>
      <c r="Q35" s="112">
        <f>CFS!R30</f>
        <v>43.884066347397635</v>
      </c>
      <c r="R35" s="112">
        <f>CFS!S30</f>
        <v>48.920374827920966</v>
      </c>
      <c r="S35" s="112">
        <f>CFS!T30</f>
        <v>56.104675234525018</v>
      </c>
      <c r="T35" s="112">
        <f>CFS!U30</f>
        <v>63.065722690451238</v>
      </c>
      <c r="U35" s="112">
        <f>CFS!V30</f>
        <v>69.809738772790453</v>
      </c>
      <c r="V35" s="112">
        <f>CFS!W30</f>
        <v>76.360843299502932</v>
      </c>
      <c r="W35" s="112">
        <f>CFS!X30</f>
        <v>82.679921880664679</v>
      </c>
      <c r="X35" s="112">
        <f>CFS!Y30</f>
        <v>88.7851249697312</v>
      </c>
      <c r="Y35" s="112">
        <f>CFS!Z30</f>
        <v>94.67789380793603</v>
      </c>
      <c r="Z35" s="112">
        <f>CFS!AA30</f>
        <v>100.37712120159982</v>
      </c>
      <c r="AA35" s="112">
        <f>CFS!AB30</f>
        <v>105.84201533648438</v>
      </c>
      <c r="AB35" s="112">
        <f>CFS!AC30</f>
        <v>111.08643094721219</v>
      </c>
    </row>
    <row r="36" spans="2:28">
      <c r="B36" s="68" t="s">
        <v>143</v>
      </c>
      <c r="C36" s="139">
        <f>+CFS!$D$26</f>
        <v>2.5239373950207575</v>
      </c>
      <c r="D36" s="139">
        <f>+CFS!$D$26</f>
        <v>2.5239373950207575</v>
      </c>
      <c r="E36" s="139">
        <f>+CFS!$D$26</f>
        <v>2.5239373950207575</v>
      </c>
      <c r="F36" s="139">
        <f>+CFS!$D$26</f>
        <v>2.5239373950207575</v>
      </c>
      <c r="G36" s="139">
        <f>+CFS!$D$26</f>
        <v>2.5239373950207575</v>
      </c>
      <c r="H36" s="139">
        <f>+CFS!$D$26</f>
        <v>2.5239373950207575</v>
      </c>
      <c r="I36" s="139">
        <f>+CFS!$D$26</f>
        <v>2.5239373950207575</v>
      </c>
      <c r="J36" s="139">
        <f>+CFS!$D$26</f>
        <v>2.5239373950207575</v>
      </c>
      <c r="K36" s="139">
        <f>+CFS!$D$26</f>
        <v>2.5239373950207575</v>
      </c>
      <c r="L36" s="139">
        <f>+CFS!$D$26</f>
        <v>2.5239373950207575</v>
      </c>
      <c r="M36" s="139">
        <f>+CFS!$D$26</f>
        <v>2.5239373950207575</v>
      </c>
      <c r="N36" s="139">
        <f>+CFS!$D$26</f>
        <v>2.5239373950207575</v>
      </c>
      <c r="O36" s="139">
        <f>+CFS!$D$26</f>
        <v>2.5239373950207575</v>
      </c>
      <c r="P36" s="139">
        <f>+CFS!$D$26</f>
        <v>2.5239373950207575</v>
      </c>
      <c r="Q36" s="139">
        <f>+CFS!$D$26</f>
        <v>2.5239373950207575</v>
      </c>
      <c r="R36" s="139">
        <f>+CFS!$D$26</f>
        <v>2.5239373950207575</v>
      </c>
      <c r="S36" s="139">
        <f>+CFS!$D$26</f>
        <v>2.5239373950207575</v>
      </c>
      <c r="T36" s="139">
        <f>+CFS!$D$26</f>
        <v>2.5239373950207575</v>
      </c>
      <c r="U36" s="139">
        <f>+CFS!$D$26</f>
        <v>2.5239373950207575</v>
      </c>
      <c r="V36" s="139">
        <f>+CFS!$D$26</f>
        <v>2.5239373950207575</v>
      </c>
      <c r="W36" s="139">
        <f>+CFS!$D$26</f>
        <v>2.5239373950207575</v>
      </c>
      <c r="X36" s="139">
        <f>+CFS!$D$26</f>
        <v>2.5239373950207575</v>
      </c>
      <c r="Y36" s="139">
        <f>+CFS!$D$26</f>
        <v>2.5239373950207575</v>
      </c>
      <c r="Z36" s="139">
        <f>+CFS!$D$26</f>
        <v>2.5239373950207575</v>
      </c>
      <c r="AA36" s="139">
        <f>+CFS!$D$26</f>
        <v>2.5239373950207575</v>
      </c>
      <c r="AB36" s="139">
        <f>+CFS!$D$26</f>
        <v>2.5239373950207575</v>
      </c>
    </row>
    <row r="37" spans="2:28">
      <c r="B37" s="137" t="s">
        <v>144</v>
      </c>
      <c r="C37" s="138">
        <f t="shared" ref="C37:AB37" si="7">SUM(C33:C36)</f>
        <v>2.8365660525994141</v>
      </c>
      <c r="D37" s="138">
        <f t="shared" si="7"/>
        <v>4.5278582051174707</v>
      </c>
      <c r="E37" s="138">
        <f t="shared" si="7"/>
        <v>6.9166955159681898</v>
      </c>
      <c r="F37" s="138">
        <f t="shared" si="7"/>
        <v>9.4382672549344981</v>
      </c>
      <c r="G37" s="138">
        <f t="shared" si="7"/>
        <v>12.091979486161053</v>
      </c>
      <c r="H37" s="138">
        <f t="shared" si="7"/>
        <v>14.910994519219544</v>
      </c>
      <c r="I37" s="138">
        <f t="shared" si="7"/>
        <v>17.892856990434503</v>
      </c>
      <c r="J37" s="138">
        <f t="shared" si="7"/>
        <v>21.067737166067914</v>
      </c>
      <c r="K37" s="138">
        <f t="shared" si="7"/>
        <v>24.368797400935165</v>
      </c>
      <c r="L37" s="138">
        <f t="shared" si="7"/>
        <v>27.827353527901387</v>
      </c>
      <c r="M37" s="138">
        <f t="shared" si="7"/>
        <v>31.440295282610982</v>
      </c>
      <c r="N37" s="138">
        <f t="shared" si="7"/>
        <v>35.235935795822719</v>
      </c>
      <c r="O37" s="138">
        <f t="shared" si="7"/>
        <v>39.149065061960115</v>
      </c>
      <c r="P37" s="138">
        <f t="shared" si="7"/>
        <v>43.209076908825146</v>
      </c>
      <c r="Q37" s="138">
        <f t="shared" si="7"/>
        <v>47.412076275830366</v>
      </c>
      <c r="R37" s="138">
        <f t="shared" si="7"/>
        <v>52.441067405836229</v>
      </c>
      <c r="S37" s="138">
        <f t="shared" si="7"/>
        <v>59.612704119542855</v>
      </c>
      <c r="T37" s="138">
        <f t="shared" si="7"/>
        <v>66.563910660569093</v>
      </c>
      <c r="U37" s="138">
        <f t="shared" si="7"/>
        <v>73.298184237157344</v>
      </c>
      <c r="V37" s="138">
        <f t="shared" si="7"/>
        <v>79.842259746158973</v>
      </c>
      <c r="W37" s="138">
        <f t="shared" si="7"/>
        <v>86.149173634451572</v>
      </c>
      <c r="X37" s="138">
        <f t="shared" si="7"/>
        <v>92.244923579930443</v>
      </c>
      <c r="Y37" s="138">
        <f t="shared" si="7"/>
        <v>98.128333805983488</v>
      </c>
      <c r="Z37" s="138">
        <f t="shared" si="7"/>
        <v>103.82080915328001</v>
      </c>
      <c r="AA37" s="138">
        <f t="shared" si="7"/>
        <v>109.2740179327316</v>
      </c>
      <c r="AB37" s="138">
        <f t="shared" si="7"/>
        <v>114.50935289144715</v>
      </c>
    </row>
    <row r="38" spans="2:28">
      <c r="B38" s="133" t="s">
        <v>145</v>
      </c>
      <c r="C38" s="134">
        <f t="shared" ref="C38:AB38" si="8">C37+C31</f>
        <v>89.322473593900668</v>
      </c>
      <c r="D38" s="134">
        <f t="shared" si="8"/>
        <v>88.555670390710617</v>
      </c>
      <c r="E38" s="134">
        <f t="shared" si="8"/>
        <v>87.658043214991892</v>
      </c>
      <c r="F38" s="134">
        <f t="shared" si="8"/>
        <v>86.884146455096783</v>
      </c>
      <c r="G38" s="134">
        <f t="shared" si="8"/>
        <v>86.251394199753889</v>
      </c>
      <c r="H38" s="134">
        <f t="shared" si="8"/>
        <v>85.783944746242923</v>
      </c>
      <c r="I38" s="134">
        <f t="shared" si="8"/>
        <v>85.479342730888447</v>
      </c>
      <c r="J38" s="134">
        <f t="shared" si="8"/>
        <v>85.358754407660427</v>
      </c>
      <c r="K38" s="134">
        <f t="shared" si="8"/>
        <v>85.373350155958235</v>
      </c>
      <c r="L38" s="134">
        <f t="shared" si="8"/>
        <v>85.545441796355007</v>
      </c>
      <c r="M38" s="134">
        <f t="shared" si="8"/>
        <v>85.87191906449516</v>
      </c>
      <c r="N38" s="134">
        <f t="shared" si="8"/>
        <v>86.372091078845472</v>
      </c>
      <c r="O38" s="134">
        <f t="shared" si="8"/>
        <v>86.998755858413418</v>
      </c>
      <c r="P38" s="134">
        <f t="shared" si="8"/>
        <v>87.772303218708998</v>
      </c>
      <c r="Q38" s="134">
        <f t="shared" si="8"/>
        <v>88.68883809914476</v>
      </c>
      <c r="R38" s="134">
        <f t="shared" si="8"/>
        <v>90.422360730289213</v>
      </c>
      <c r="S38" s="134">
        <f t="shared" si="8"/>
        <v>94.307532957426389</v>
      </c>
      <c r="T38" s="134">
        <f t="shared" si="8"/>
        <v>97.97227501188317</v>
      </c>
      <c r="U38" s="134">
        <f t="shared" si="8"/>
        <v>101.42008410190198</v>
      </c>
      <c r="V38" s="134">
        <f t="shared" si="8"/>
        <v>104.66869111204218</v>
      </c>
      <c r="W38" s="134">
        <f t="shared" si="8"/>
        <v>107.68914051376534</v>
      </c>
      <c r="X38" s="134">
        <f t="shared" si="8"/>
        <v>110.49842597267477</v>
      </c>
      <c r="Y38" s="134">
        <f t="shared" si="8"/>
        <v>113.09537171215837</v>
      </c>
      <c r="Z38" s="134">
        <f t="shared" si="8"/>
        <v>115.49237856059347</v>
      </c>
      <c r="AA38" s="134">
        <f t="shared" si="8"/>
        <v>117.65912285347561</v>
      </c>
      <c r="AB38" s="134">
        <f t="shared" si="8"/>
        <v>119.60799332562172</v>
      </c>
    </row>
    <row r="40" spans="2:28" s="31" customFormat="1">
      <c r="B40" s="140" t="s">
        <v>146</v>
      </c>
      <c r="C40" s="141">
        <f t="shared" ref="C40:AB40" si="9">C19-C38</f>
        <v>0</v>
      </c>
      <c r="D40" s="141">
        <f t="shared" si="9"/>
        <v>0</v>
      </c>
      <c r="E40" s="141">
        <f t="shared" si="9"/>
        <v>0</v>
      </c>
      <c r="F40" s="141">
        <f t="shared" si="9"/>
        <v>0</v>
      </c>
      <c r="G40" s="141">
        <f t="shared" si="9"/>
        <v>0</v>
      </c>
      <c r="H40" s="141">
        <f t="shared" si="9"/>
        <v>0</v>
      </c>
      <c r="I40" s="141">
        <f t="shared" si="9"/>
        <v>0</v>
      </c>
      <c r="J40" s="141">
        <f t="shared" si="9"/>
        <v>0</v>
      </c>
      <c r="K40" s="141">
        <f t="shared" si="9"/>
        <v>0</v>
      </c>
      <c r="L40" s="141">
        <f t="shared" si="9"/>
        <v>0</v>
      </c>
      <c r="M40" s="141">
        <f t="shared" si="9"/>
        <v>0</v>
      </c>
      <c r="N40" s="141">
        <f t="shared" si="9"/>
        <v>0</v>
      </c>
      <c r="O40" s="141">
        <f t="shared" si="9"/>
        <v>0</v>
      </c>
      <c r="P40" s="141">
        <f t="shared" si="9"/>
        <v>0</v>
      </c>
      <c r="Q40" s="141">
        <f t="shared" si="9"/>
        <v>0</v>
      </c>
      <c r="R40" s="141">
        <f t="shared" si="9"/>
        <v>0</v>
      </c>
      <c r="S40" s="141">
        <f t="shared" si="9"/>
        <v>0</v>
      </c>
      <c r="T40" s="141">
        <f t="shared" si="9"/>
        <v>0</v>
      </c>
      <c r="U40" s="141">
        <f t="shared" si="9"/>
        <v>0</v>
      </c>
      <c r="V40" s="141">
        <f t="shared" si="9"/>
        <v>0</v>
      </c>
      <c r="W40" s="141">
        <f t="shared" si="9"/>
        <v>0</v>
      </c>
      <c r="X40" s="141">
        <f t="shared" si="9"/>
        <v>0</v>
      </c>
      <c r="Y40" s="141">
        <f t="shared" si="9"/>
        <v>0</v>
      </c>
      <c r="Z40" s="141">
        <f t="shared" si="9"/>
        <v>0</v>
      </c>
      <c r="AA40" s="141">
        <f t="shared" si="9"/>
        <v>0</v>
      </c>
      <c r="AB40" s="141">
        <f t="shared" si="9"/>
        <v>0</v>
      </c>
    </row>
    <row r="43" spans="2:28">
      <c r="D43" s="286"/>
      <c r="E43" s="286"/>
      <c r="F43" s="286"/>
      <c r="G43" s="286"/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6"/>
      <c r="U43" s="286"/>
      <c r="V43" s="286"/>
      <c r="W43" s="286"/>
      <c r="X43" s="286"/>
      <c r="Y43" s="286"/>
      <c r="Z43" s="286"/>
      <c r="AA43" s="286"/>
      <c r="AB43" s="286"/>
    </row>
  </sheetData>
  <mergeCells count="1">
    <mergeCell ref="D7:AB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D32"/>
  <sheetViews>
    <sheetView showGridLines="0" workbookViewId="0">
      <pane xSplit="2" ySplit="8" topLeftCell="T19" activePane="bottomRight" state="frozen"/>
      <selection activeCell="A9" sqref="A9"/>
      <selection pane="topRight" activeCell="A9" sqref="A9"/>
      <selection pane="bottomLeft" activeCell="A9" sqref="A9"/>
      <selection pane="bottomRight" activeCell="AD22" sqref="AD22"/>
    </sheetView>
  </sheetViews>
  <sheetFormatPr defaultColWidth="13.7109375" defaultRowHeight="15"/>
  <cols>
    <col min="1" max="1" width="2.28515625" style="68" customWidth="1"/>
    <col min="2" max="2" width="64.7109375" style="68" customWidth="1"/>
    <col min="3" max="3" width="7.140625" style="68" customWidth="1"/>
    <col min="4" max="14" width="12.7109375" style="68" customWidth="1"/>
    <col min="15" max="16384" width="13.7109375" style="68"/>
  </cols>
  <sheetData>
    <row r="1" spans="2:30" s="1" customFormat="1" ht="19.899999999999999" customHeight="1">
      <c r="B1" s="101" t="str">
        <f>Company</f>
        <v>M/s. OMC Power Private Limited</v>
      </c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</row>
    <row r="2" spans="2:30" s="1" customFormat="1" ht="9" customHeight="1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2:30" s="1" customFormat="1" ht="19.899999999999999" customHeight="1">
      <c r="B3" s="102" t="str">
        <f>Project</f>
        <v>Financial Model for Proposed 35 locations Solar Power Plant (20 MW )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</row>
    <row r="4" spans="2:30" s="1" customFormat="1" ht="9" customHeight="1">
      <c r="B4" s="2"/>
      <c r="C4" s="2"/>
      <c r="D4" s="2"/>
      <c r="E4" s="2"/>
      <c r="F4" s="287"/>
    </row>
    <row r="5" spans="2:30" customFormat="1" ht="15.75">
      <c r="B5" s="69" t="s">
        <v>291</v>
      </c>
      <c r="C5" s="69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</row>
    <row r="6" spans="2:30" customFormat="1">
      <c r="B6" s="288" t="s">
        <v>288</v>
      </c>
      <c r="C6" s="66"/>
      <c r="D6" s="31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</row>
    <row r="7" spans="2:30" s="31" customFormat="1" ht="15.75">
      <c r="C7" s="66"/>
      <c r="D7" s="321"/>
      <c r="E7" s="414" t="s">
        <v>81</v>
      </c>
      <c r="F7" s="414"/>
      <c r="G7" s="414"/>
      <c r="H7" s="414"/>
      <c r="I7" s="414"/>
      <c r="J7" s="414"/>
      <c r="K7" s="414"/>
      <c r="L7" s="414"/>
      <c r="M7" s="414"/>
      <c r="N7" s="414"/>
      <c r="O7" s="414"/>
      <c r="P7" s="414"/>
      <c r="Q7" s="414"/>
      <c r="R7" s="414"/>
      <c r="S7" s="414"/>
      <c r="T7" s="414"/>
      <c r="U7" s="414"/>
      <c r="V7" s="414"/>
      <c r="W7" s="414"/>
      <c r="X7" s="414"/>
      <c r="Y7" s="414"/>
      <c r="Z7" s="414"/>
      <c r="AA7" s="414"/>
      <c r="AB7" s="414"/>
      <c r="AC7" s="414"/>
    </row>
    <row r="8" spans="2:30" s="31" customFormat="1">
      <c r="B8" s="71" t="s">
        <v>82</v>
      </c>
      <c r="C8" s="72" t="s">
        <v>83</v>
      </c>
      <c r="D8" s="73">
        <f>'Revenue &amp; Expenses Modeling'!E8</f>
        <v>45838</v>
      </c>
      <c r="E8" s="73">
        <f>'Revenue &amp; Expenses Modeling'!F8</f>
        <v>46111</v>
      </c>
      <c r="F8" s="73">
        <f>'Revenue &amp; Expenses Modeling'!G8</f>
        <v>46476</v>
      </c>
      <c r="G8" s="73">
        <f>'Revenue &amp; Expenses Modeling'!H8</f>
        <v>46842</v>
      </c>
      <c r="H8" s="73">
        <f>'Revenue &amp; Expenses Modeling'!I8</f>
        <v>47207</v>
      </c>
      <c r="I8" s="73">
        <f>'Revenue &amp; Expenses Modeling'!J8</f>
        <v>47572</v>
      </c>
      <c r="J8" s="73">
        <f>'Revenue &amp; Expenses Modeling'!K8</f>
        <v>47937</v>
      </c>
      <c r="K8" s="73">
        <f>'Revenue &amp; Expenses Modeling'!L8</f>
        <v>48303</v>
      </c>
      <c r="L8" s="73">
        <f>'Revenue &amp; Expenses Modeling'!M8</f>
        <v>48668</v>
      </c>
      <c r="M8" s="73">
        <f>'Revenue &amp; Expenses Modeling'!N8</f>
        <v>49033</v>
      </c>
      <c r="N8" s="73">
        <f>'Revenue &amp; Expenses Modeling'!O8</f>
        <v>49398</v>
      </c>
      <c r="O8" s="73">
        <f>'Revenue &amp; Expenses Modeling'!P8</f>
        <v>49764</v>
      </c>
      <c r="P8" s="73">
        <f>'Revenue &amp; Expenses Modeling'!Q8</f>
        <v>50129</v>
      </c>
      <c r="Q8" s="73">
        <f>'Revenue &amp; Expenses Modeling'!R8</f>
        <v>50494</v>
      </c>
      <c r="R8" s="73">
        <f>'Revenue &amp; Expenses Modeling'!S8</f>
        <v>50859</v>
      </c>
      <c r="S8" s="73">
        <f>'Revenue &amp; Expenses Modeling'!T8</f>
        <v>51225</v>
      </c>
      <c r="T8" s="73">
        <f>'Revenue &amp; Expenses Modeling'!U8</f>
        <v>51590</v>
      </c>
      <c r="U8" s="73">
        <f>'Revenue &amp; Expenses Modeling'!V8</f>
        <v>51955</v>
      </c>
      <c r="V8" s="73">
        <f>'Revenue &amp; Expenses Modeling'!W8</f>
        <v>52320</v>
      </c>
      <c r="W8" s="73">
        <f>'Revenue &amp; Expenses Modeling'!X8</f>
        <v>52686</v>
      </c>
      <c r="X8" s="73">
        <f>'Revenue &amp; Expenses Modeling'!Y8</f>
        <v>53051</v>
      </c>
      <c r="Y8" s="73">
        <f>'Revenue &amp; Expenses Modeling'!Z8</f>
        <v>53416</v>
      </c>
      <c r="Z8" s="73">
        <f>'Revenue &amp; Expenses Modeling'!AA8</f>
        <v>53781</v>
      </c>
      <c r="AA8" s="73">
        <f>'Revenue &amp; Expenses Modeling'!AB8</f>
        <v>54147</v>
      </c>
      <c r="AB8" s="73">
        <f>'Revenue &amp; Expenses Modeling'!AC8</f>
        <v>54512</v>
      </c>
      <c r="AC8" s="73">
        <f>'Revenue &amp; Expenses Modeling'!AD8</f>
        <v>54877</v>
      </c>
    </row>
    <row r="9" spans="2:30" s="78" customFormat="1" ht="12.75">
      <c r="B9" s="74" t="s">
        <v>84</v>
      </c>
      <c r="C9" s="75"/>
      <c r="D9" s="76">
        <v>0</v>
      </c>
      <c r="E9" s="77">
        <v>1</v>
      </c>
      <c r="F9" s="77">
        <v>2</v>
      </c>
      <c r="G9" s="77">
        <v>3</v>
      </c>
      <c r="H9" s="77">
        <v>4</v>
      </c>
      <c r="I9" s="77">
        <v>5</v>
      </c>
      <c r="J9" s="77">
        <v>6</v>
      </c>
      <c r="K9" s="77">
        <v>7</v>
      </c>
      <c r="L9" s="77">
        <v>8</v>
      </c>
      <c r="M9" s="77">
        <v>9</v>
      </c>
      <c r="N9" s="77">
        <v>10</v>
      </c>
      <c r="O9" s="77">
        <v>11</v>
      </c>
      <c r="P9" s="77">
        <v>12</v>
      </c>
      <c r="Q9" s="77">
        <v>13</v>
      </c>
      <c r="R9" s="77">
        <v>14</v>
      </c>
      <c r="S9" s="77">
        <v>15</v>
      </c>
      <c r="T9" s="77">
        <v>16</v>
      </c>
      <c r="U9" s="77">
        <v>17</v>
      </c>
      <c r="V9" s="77">
        <v>18</v>
      </c>
      <c r="W9" s="77">
        <v>19</v>
      </c>
      <c r="X9" s="77">
        <v>20</v>
      </c>
      <c r="Y9" s="77">
        <v>21</v>
      </c>
      <c r="Z9" s="77">
        <v>22</v>
      </c>
      <c r="AA9" s="77">
        <v>23</v>
      </c>
      <c r="AB9" s="77">
        <v>24</v>
      </c>
      <c r="AC9" s="77">
        <v>25</v>
      </c>
    </row>
    <row r="10" spans="2:30" s="78" customFormat="1" ht="12.75">
      <c r="B10" s="74" t="s">
        <v>85</v>
      </c>
      <c r="C10" s="75"/>
      <c r="D10" s="76">
        <f>+BS!C10</f>
        <v>3</v>
      </c>
      <c r="E10" s="75">
        <f t="shared" ref="E10:AC10" si="0">MONTH(E8-D8)</f>
        <v>9</v>
      </c>
      <c r="F10" s="75">
        <f t="shared" si="0"/>
        <v>12</v>
      </c>
      <c r="G10" s="75">
        <f t="shared" si="0"/>
        <v>12</v>
      </c>
      <c r="H10" s="75">
        <f t="shared" si="0"/>
        <v>12</v>
      </c>
      <c r="I10" s="75">
        <f t="shared" si="0"/>
        <v>12</v>
      </c>
      <c r="J10" s="75">
        <f t="shared" si="0"/>
        <v>12</v>
      </c>
      <c r="K10" s="75">
        <f t="shared" si="0"/>
        <v>12</v>
      </c>
      <c r="L10" s="75">
        <f t="shared" si="0"/>
        <v>12</v>
      </c>
      <c r="M10" s="75">
        <f t="shared" si="0"/>
        <v>12</v>
      </c>
      <c r="N10" s="75">
        <f t="shared" si="0"/>
        <v>12</v>
      </c>
      <c r="O10" s="75">
        <f t="shared" si="0"/>
        <v>12</v>
      </c>
      <c r="P10" s="75">
        <f t="shared" si="0"/>
        <v>12</v>
      </c>
      <c r="Q10" s="75">
        <f t="shared" si="0"/>
        <v>12</v>
      </c>
      <c r="R10" s="75">
        <f t="shared" si="0"/>
        <v>12</v>
      </c>
      <c r="S10" s="75">
        <f t="shared" si="0"/>
        <v>12</v>
      </c>
      <c r="T10" s="75">
        <f t="shared" si="0"/>
        <v>12</v>
      </c>
      <c r="U10" s="75">
        <f t="shared" si="0"/>
        <v>12</v>
      </c>
      <c r="V10" s="75">
        <f t="shared" si="0"/>
        <v>12</v>
      </c>
      <c r="W10" s="75">
        <f t="shared" si="0"/>
        <v>12</v>
      </c>
      <c r="X10" s="75">
        <f t="shared" si="0"/>
        <v>12</v>
      </c>
      <c r="Y10" s="75">
        <f t="shared" si="0"/>
        <v>12</v>
      </c>
      <c r="Z10" s="75">
        <f t="shared" si="0"/>
        <v>12</v>
      </c>
      <c r="AA10" s="75">
        <f t="shared" si="0"/>
        <v>12</v>
      </c>
      <c r="AB10" s="75">
        <f t="shared" si="0"/>
        <v>12</v>
      </c>
      <c r="AC10" s="75">
        <f t="shared" si="0"/>
        <v>12</v>
      </c>
    </row>
    <row r="11" spans="2:30">
      <c r="B11" s="131" t="s">
        <v>148</v>
      </c>
    </row>
    <row r="12" spans="2:30">
      <c r="B12" s="68" t="s">
        <v>149</v>
      </c>
      <c r="D12" s="112">
        <f>IS!D24</f>
        <v>0</v>
      </c>
      <c r="E12" s="112">
        <f>IS!E24</f>
        <v>2.1607149962237338</v>
      </c>
      <c r="F12" s="112">
        <f>IS!F24</f>
        <v>3.3417957389092523</v>
      </c>
      <c r="G12" s="112">
        <f>IS!G24</f>
        <v>3.5326278986984874</v>
      </c>
      <c r="H12" s="112">
        <f>IS!H24</f>
        <v>3.6749954967593315</v>
      </c>
      <c r="I12" s="112">
        <f>IS!I24</f>
        <v>3.8392891508389853</v>
      </c>
      <c r="J12" s="112">
        <f>IS!J24</f>
        <v>4.0018540424506153</v>
      </c>
      <c r="K12" s="112">
        <f>IS!K24</f>
        <v>4.1848317449559982</v>
      </c>
      <c r="L12" s="112">
        <f>IS!L24</f>
        <v>4.321183680469959</v>
      </c>
      <c r="M12" s="112">
        <f>IS!M24</f>
        <v>4.4776124338201395</v>
      </c>
      <c r="N12" s="112">
        <f>IS!N24</f>
        <v>4.6316546244723442</v>
      </c>
      <c r="O12" s="112">
        <f>IS!O24</f>
        <v>4.8042494459877814</v>
      </c>
      <c r="P12" s="112">
        <f>IS!P24</f>
        <v>4.9318429433662239</v>
      </c>
      <c r="Q12" s="112">
        <f>IS!Q24</f>
        <v>5.0775878969263823</v>
      </c>
      <c r="R12" s="112">
        <f>IS!R24</f>
        <v>5.2201579671357763</v>
      </c>
      <c r="S12" s="112">
        <f>IS!S24</f>
        <v>4.9579382259486016</v>
      </c>
      <c r="T12" s="112">
        <f>IS!T24</f>
        <v>3.8765173937879918</v>
      </c>
      <c r="U12" s="112">
        <f>IS!U24</f>
        <v>3.654863914826664</v>
      </c>
      <c r="V12" s="112">
        <f>IS!V24</f>
        <v>3.4374235373887063</v>
      </c>
      <c r="W12" s="112">
        <f>IS!W24</f>
        <v>3.2369493581111639</v>
      </c>
      <c r="X12" s="112">
        <f>IS!X24</f>
        <v>3.0097116984155132</v>
      </c>
      <c r="Y12" s="112">
        <f>IS!Y24</f>
        <v>2.7972203058228882</v>
      </c>
      <c r="Z12" s="112">
        <f>IS!Z24</f>
        <v>2.5842638227243078</v>
      </c>
      <c r="AA12" s="112">
        <f>IS!AA24</f>
        <v>2.3829380140703988</v>
      </c>
      <c r="AB12" s="112">
        <f>IS!AB24</f>
        <v>2.1534748481220447</v>
      </c>
      <c r="AC12" s="112">
        <f>IS!AC24</f>
        <v>1.934146990534495</v>
      </c>
    </row>
    <row r="13" spans="2:30">
      <c r="B13" s="68" t="s">
        <v>150</v>
      </c>
      <c r="D13" s="112">
        <f>+'PC &amp; MoF'!F24</f>
        <v>26.796742078170205</v>
      </c>
      <c r="E13" s="112">
        <f>BS!D12-BS!C12</f>
        <v>0</v>
      </c>
      <c r="F13" s="112">
        <f>BS!E12-BS!D12</f>
        <v>0</v>
      </c>
      <c r="G13" s="112">
        <f>BS!F12-BS!E12</f>
        <v>0</v>
      </c>
      <c r="H13" s="112">
        <f>BS!G12-BS!F12</f>
        <v>0</v>
      </c>
      <c r="I13" s="112">
        <f>BS!H12-BS!G12</f>
        <v>0</v>
      </c>
      <c r="J13" s="112">
        <f>BS!I12-BS!H12</f>
        <v>0</v>
      </c>
      <c r="K13" s="112">
        <f>BS!J12-BS!I12</f>
        <v>0</v>
      </c>
      <c r="L13" s="112">
        <f>BS!K12-BS!J12</f>
        <v>0</v>
      </c>
      <c r="M13" s="112">
        <f>BS!L12-BS!K12</f>
        <v>0</v>
      </c>
      <c r="N13" s="112">
        <f>BS!M12-BS!L12</f>
        <v>0</v>
      </c>
      <c r="O13" s="112">
        <f>BS!N12-BS!M12</f>
        <v>0</v>
      </c>
      <c r="P13" s="112">
        <f>BS!O12-BS!N12</f>
        <v>0</v>
      </c>
      <c r="Q13" s="112">
        <f>BS!P12-BS!O12</f>
        <v>0</v>
      </c>
      <c r="R13" s="112">
        <f>BS!Q12-BS!P12</f>
        <v>0</v>
      </c>
      <c r="S13" s="112">
        <f>BS!R12-BS!Q12</f>
        <v>0</v>
      </c>
      <c r="T13" s="112">
        <f>BS!S12-BS!R12</f>
        <v>0</v>
      </c>
      <c r="U13" s="112">
        <f>BS!T12-BS!S12</f>
        <v>0</v>
      </c>
      <c r="V13" s="112">
        <f>BS!U12-BS!T12</f>
        <v>0</v>
      </c>
      <c r="W13" s="112">
        <f>BS!V12-BS!U12</f>
        <v>0</v>
      </c>
      <c r="X13" s="112">
        <f>BS!W12-BS!V12</f>
        <v>0</v>
      </c>
      <c r="Y13" s="112">
        <f>BS!X12-BS!W12</f>
        <v>0</v>
      </c>
      <c r="Z13" s="112">
        <f>BS!Y12-BS!X12</f>
        <v>0</v>
      </c>
      <c r="AA13" s="112">
        <f>BS!Z12-BS!Y12</f>
        <v>0</v>
      </c>
      <c r="AB13" s="112">
        <f>BS!AA12-BS!Z12</f>
        <v>0</v>
      </c>
      <c r="AC13" s="112">
        <f>BS!AB12-BS!AA12</f>
        <v>0</v>
      </c>
    </row>
    <row r="14" spans="2:30">
      <c r="B14" s="68" t="s">
        <v>151</v>
      </c>
      <c r="D14" s="112">
        <f>+'PC &amp; MoF'!F25</f>
        <v>62.525731515730463</v>
      </c>
      <c r="E14" s="112">
        <f>'Loan Schedule'!F12</f>
        <v>0</v>
      </c>
      <c r="F14" s="112">
        <f>'Loan Schedule'!G12</f>
        <v>0</v>
      </c>
      <c r="G14" s="112">
        <f>'Loan Schedule'!H12</f>
        <v>0</v>
      </c>
      <c r="H14" s="112">
        <f>'Loan Schedule'!I12</f>
        <v>0</v>
      </c>
      <c r="I14" s="112">
        <f>'Loan Schedule'!J12</f>
        <v>0</v>
      </c>
      <c r="J14" s="112">
        <f>'Loan Schedule'!K12</f>
        <v>0</v>
      </c>
      <c r="K14" s="112">
        <f>'Loan Schedule'!L12</f>
        <v>0</v>
      </c>
      <c r="L14" s="112">
        <f>'Loan Schedule'!M12</f>
        <v>0</v>
      </c>
      <c r="M14" s="112">
        <f>'Loan Schedule'!N12</f>
        <v>0</v>
      </c>
      <c r="N14" s="112">
        <f>'Loan Schedule'!O12</f>
        <v>0</v>
      </c>
      <c r="O14" s="112">
        <f>'Loan Schedule'!P12</f>
        <v>0</v>
      </c>
      <c r="P14" s="112">
        <f>'Loan Schedule'!Q12</f>
        <v>0</v>
      </c>
      <c r="Q14" s="112">
        <f>'Loan Schedule'!R12</f>
        <v>0</v>
      </c>
      <c r="R14" s="112">
        <f>'Loan Schedule'!S12</f>
        <v>0</v>
      </c>
      <c r="S14" s="112">
        <f>'Loan Schedule'!T12</f>
        <v>0</v>
      </c>
      <c r="T14" s="112">
        <f>'Loan Schedule'!U12</f>
        <v>0</v>
      </c>
      <c r="U14" s="112">
        <f>'Loan Schedule'!V12</f>
        <v>0</v>
      </c>
      <c r="V14" s="112">
        <f>'Loan Schedule'!W12</f>
        <v>0</v>
      </c>
      <c r="W14" s="112">
        <f>'Loan Schedule'!X12</f>
        <v>0</v>
      </c>
      <c r="X14" s="112">
        <f>'Loan Schedule'!Y12</f>
        <v>0</v>
      </c>
      <c r="Y14" s="112">
        <f>'Loan Schedule'!Z12</f>
        <v>0</v>
      </c>
      <c r="Z14" s="112">
        <f>'Loan Schedule'!AA12</f>
        <v>0</v>
      </c>
      <c r="AA14" s="112">
        <f>'Loan Schedule'!AB12</f>
        <v>0</v>
      </c>
      <c r="AB14" s="112">
        <f>'Loan Schedule'!AC12</f>
        <v>0</v>
      </c>
      <c r="AC14" s="112">
        <f>'Loan Schedule'!AD12</f>
        <v>0</v>
      </c>
    </row>
    <row r="15" spans="2:30">
      <c r="B15" s="68" t="s">
        <v>152</v>
      </c>
      <c r="D15" s="112">
        <f>IS!D16</f>
        <v>0</v>
      </c>
      <c r="E15" s="112">
        <f>IS!E16</f>
        <v>2.458095355708108</v>
      </c>
      <c r="F15" s="112">
        <f>IS!F16</f>
        <v>3.2864644865694483</v>
      </c>
      <c r="G15" s="112">
        <f>IS!G16</f>
        <v>3.2954684988614198</v>
      </c>
      <c r="H15" s="112">
        <f>IS!H16</f>
        <v>3.2864644865694483</v>
      </c>
      <c r="I15" s="112">
        <f>IS!I16</f>
        <v>3.2864644865694483</v>
      </c>
      <c r="J15" s="112">
        <f>IS!J16</f>
        <v>3.2864644865694483</v>
      </c>
      <c r="K15" s="112">
        <f>IS!K16</f>
        <v>3.2954684988614198</v>
      </c>
      <c r="L15" s="112">
        <f>IS!L16</f>
        <v>3.2864644865694483</v>
      </c>
      <c r="M15" s="112">
        <f>IS!M16</f>
        <v>3.2864644865694483</v>
      </c>
      <c r="N15" s="112">
        <f>IS!N16</f>
        <v>3.2864644865694483</v>
      </c>
      <c r="O15" s="112">
        <f>IS!O16</f>
        <v>3.2954684988614198</v>
      </c>
      <c r="P15" s="112">
        <f>IS!P16</f>
        <v>3.2864644865694483</v>
      </c>
      <c r="Q15" s="112">
        <f>IS!Q16</f>
        <v>3.2864644865694483</v>
      </c>
      <c r="R15" s="112">
        <f>IS!R16</f>
        <v>3.2864644865694483</v>
      </c>
      <c r="S15" s="112">
        <f>IS!S16</f>
        <v>3.2954684988614198</v>
      </c>
      <c r="T15" s="112">
        <f>IS!T16</f>
        <v>3.2864644865694483</v>
      </c>
      <c r="U15" s="112">
        <f>IS!U16</f>
        <v>3.2864644865694483</v>
      </c>
      <c r="V15" s="112">
        <f>IS!V16</f>
        <v>3.2864644865694483</v>
      </c>
      <c r="W15" s="112">
        <f>IS!W16</f>
        <v>3.2954684988614198</v>
      </c>
      <c r="X15" s="112">
        <f>IS!X16</f>
        <v>3.2864644865694483</v>
      </c>
      <c r="Y15" s="112">
        <f>IS!Y16</f>
        <v>3.2864644865694483</v>
      </c>
      <c r="Z15" s="112">
        <f>IS!Z16</f>
        <v>3.2864644865694483</v>
      </c>
      <c r="AA15" s="112">
        <f>IS!AA16</f>
        <v>3.2954684988614198</v>
      </c>
      <c r="AB15" s="112">
        <f>IS!AB16</f>
        <v>3.2864644865694483</v>
      </c>
      <c r="AC15" s="112">
        <f>IS!AC16</f>
        <v>3.2864644865694483</v>
      </c>
    </row>
    <row r="16" spans="2:30">
      <c r="B16" s="68" t="s">
        <v>153</v>
      </c>
      <c r="E16" s="112">
        <f>+BS!D16</f>
        <v>0.30657136174468769</v>
      </c>
      <c r="F16" s="112">
        <f>+BS!E16-BS!D16</f>
        <v>7.2696500249981255E-2</v>
      </c>
      <c r="G16" s="112">
        <f>+BS!F16-BS!E16</f>
        <v>5.5947562843651766E-3</v>
      </c>
      <c r="H16" s="112">
        <f>+BS!G16-BS!F16</f>
        <v>4.3716627757363624E-3</v>
      </c>
      <c r="I16" s="112">
        <f>+BS!H16-BS!G16</f>
        <v>5.3808105280217511E-3</v>
      </c>
      <c r="J16" s="112">
        <f>+BS!I16-BS!H16</f>
        <v>5.663357072860753E-3</v>
      </c>
      <c r="K16" s="112">
        <f>+BS!J16-BS!I16</f>
        <v>6.6993466939564983E-3</v>
      </c>
      <c r="L16" s="112">
        <f>+BS!K16-BS!J16</f>
        <v>5.5314827058071669E-3</v>
      </c>
      <c r="M16" s="112">
        <f>+BS!L16-BS!K16</f>
        <v>6.5986214545960542E-3</v>
      </c>
      <c r="N16" s="112">
        <f>+BS!M16-BS!L16</f>
        <v>6.9420585457637962E-3</v>
      </c>
      <c r="O16" s="112">
        <f>+BS!N16-BS!M16</f>
        <v>8.0419832405048131E-3</v>
      </c>
      <c r="P16" s="112">
        <f>+BS!O16-BS!N16</f>
        <v>6.9412510796827975E-3</v>
      </c>
      <c r="Q16" s="112">
        <f>+BS!P16-BS!O16</f>
        <v>8.0788782471655218E-3</v>
      </c>
      <c r="R16" s="112">
        <f>+BS!Q16-BS!P16</f>
        <v>8.4963281779618094E-3</v>
      </c>
      <c r="S16" s="112">
        <f>+BS!R16-BS!Q16</f>
        <v>9.6739663543124466E-3</v>
      </c>
      <c r="T16" s="112">
        <f>+BS!S16-BS!R16</f>
        <v>8.6548333491811569E-3</v>
      </c>
      <c r="U16" s="112">
        <f>+BS!T16-BS!S16</f>
        <v>9.8781396301385604E-3</v>
      </c>
      <c r="V16" s="112">
        <f>+BS!U16-BS!T16</f>
        <v>1.0385552630083505E-2</v>
      </c>
      <c r="W16" s="112">
        <f>+BS!V16-BS!U16</f>
        <v>1.1657652029040344E-2</v>
      </c>
      <c r="X16" s="112">
        <f>+BS!W16-BS!V16</f>
        <v>1.0737703307645341E-2</v>
      </c>
      <c r="Y16" s="112">
        <f>+BS!X16-BS!W16</f>
        <v>1.2065153086526004E-2</v>
      </c>
      <c r="Z16" s="112">
        <f>+BS!Y16-BS!X16</f>
        <v>1.2681916759290424E-2</v>
      </c>
      <c r="AA16" s="112">
        <f>+BS!Z16-BS!Y16</f>
        <v>1.4068834364707627E-2</v>
      </c>
      <c r="AB16" s="112">
        <f>+BS!AA16-BS!Z16</f>
        <v>1.3269444760095839E-2</v>
      </c>
      <c r="AC16" s="112">
        <f>+BS!AB16-BS!AA16</f>
        <v>1.4723481611599087E-2</v>
      </c>
      <c r="AD16" s="112"/>
    </row>
    <row r="17" spans="2:29"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</row>
    <row r="18" spans="2:29">
      <c r="B18" s="143" t="s">
        <v>128</v>
      </c>
      <c r="C18" s="143"/>
      <c r="D18" s="144">
        <f t="shared" ref="D18:AC18" si="1">SUM(D12:D16)</f>
        <v>89.322473593900668</v>
      </c>
      <c r="E18" s="144">
        <f t="shared" si="1"/>
        <v>4.9253817136765292</v>
      </c>
      <c r="F18" s="144">
        <f t="shared" si="1"/>
        <v>6.7009567257286822</v>
      </c>
      <c r="G18" s="144">
        <f t="shared" si="1"/>
        <v>6.8336911538442724</v>
      </c>
      <c r="H18" s="144">
        <f t="shared" si="1"/>
        <v>6.9658316461045162</v>
      </c>
      <c r="I18" s="144">
        <f t="shared" si="1"/>
        <v>7.1311344479364553</v>
      </c>
      <c r="J18" s="144">
        <f t="shared" si="1"/>
        <v>7.293981886092924</v>
      </c>
      <c r="K18" s="144">
        <f t="shared" si="1"/>
        <v>7.486999590511374</v>
      </c>
      <c r="L18" s="144">
        <f t="shared" si="1"/>
        <v>7.6131796497452147</v>
      </c>
      <c r="M18" s="144">
        <f t="shared" si="1"/>
        <v>7.7706755418441835</v>
      </c>
      <c r="N18" s="144">
        <f t="shared" si="1"/>
        <v>7.9250611695875559</v>
      </c>
      <c r="O18" s="144">
        <f t="shared" si="1"/>
        <v>8.1077599280897061</v>
      </c>
      <c r="P18" s="144">
        <f t="shared" si="1"/>
        <v>8.2252486810153549</v>
      </c>
      <c r="Q18" s="144">
        <f t="shared" si="1"/>
        <v>8.3721312617429966</v>
      </c>
      <c r="R18" s="144">
        <f t="shared" si="1"/>
        <v>8.5151187818831868</v>
      </c>
      <c r="S18" s="144">
        <f t="shared" si="1"/>
        <v>8.2630806911643351</v>
      </c>
      <c r="T18" s="144">
        <f t="shared" si="1"/>
        <v>7.1716367137066221</v>
      </c>
      <c r="U18" s="144">
        <f t="shared" si="1"/>
        <v>6.9512065410262505</v>
      </c>
      <c r="V18" s="144">
        <f t="shared" si="1"/>
        <v>6.7342735765882384</v>
      </c>
      <c r="W18" s="144">
        <f t="shared" si="1"/>
        <v>6.5440755090016243</v>
      </c>
      <c r="X18" s="144">
        <f t="shared" si="1"/>
        <v>6.3069138882926072</v>
      </c>
      <c r="Y18" s="144">
        <f t="shared" si="1"/>
        <v>6.0957499454788628</v>
      </c>
      <c r="Z18" s="144">
        <f t="shared" si="1"/>
        <v>5.883410226053047</v>
      </c>
      <c r="AA18" s="144">
        <f t="shared" si="1"/>
        <v>5.6924753472965266</v>
      </c>
      <c r="AB18" s="144">
        <f t="shared" si="1"/>
        <v>5.4532087794515887</v>
      </c>
      <c r="AC18" s="144">
        <f t="shared" si="1"/>
        <v>5.2353349587155424</v>
      </c>
    </row>
    <row r="20" spans="2:29">
      <c r="B20" s="131" t="s">
        <v>154</v>
      </c>
    </row>
    <row r="21" spans="2:29">
      <c r="B21" s="68" t="s">
        <v>155</v>
      </c>
      <c r="D21" s="112">
        <f>BS!C23</f>
        <v>86.485907541301259</v>
      </c>
      <c r="E21" s="112">
        <f>BS!D23-BS!C23</f>
        <v>0</v>
      </c>
      <c r="F21" s="112">
        <f>BS!E23-BS!D23</f>
        <v>0</v>
      </c>
      <c r="G21" s="112">
        <f>BS!F23-BS!E23</f>
        <v>0</v>
      </c>
      <c r="H21" s="112">
        <f>BS!G23-BS!F23</f>
        <v>0</v>
      </c>
      <c r="I21" s="112">
        <f>BS!H23-BS!G23</f>
        <v>0</v>
      </c>
      <c r="J21" s="112">
        <f>BS!I23-BS!H23</f>
        <v>0</v>
      </c>
      <c r="K21" s="112">
        <f>BS!J23-BS!I23</f>
        <v>0</v>
      </c>
      <c r="L21" s="112">
        <f>BS!K23-BS!J23</f>
        <v>0</v>
      </c>
      <c r="M21" s="112">
        <f>BS!L23-BS!K23</f>
        <v>0</v>
      </c>
      <c r="N21" s="112">
        <f>BS!M23-BS!L23</f>
        <v>0</v>
      </c>
      <c r="O21" s="112">
        <f>BS!N23-BS!M23</f>
        <v>0</v>
      </c>
      <c r="P21" s="112">
        <f>BS!O23-BS!N23</f>
        <v>0</v>
      </c>
      <c r="Q21" s="112">
        <f>BS!P23-BS!O23</f>
        <v>0</v>
      </c>
      <c r="R21" s="112">
        <f>BS!Q23-BS!P23</f>
        <v>0</v>
      </c>
      <c r="S21" s="112">
        <f>BS!R23-BS!Q23</f>
        <v>0</v>
      </c>
      <c r="T21" s="112">
        <f>BS!S23-BS!R23</f>
        <v>0</v>
      </c>
      <c r="U21" s="112">
        <f>BS!T23-BS!S23</f>
        <v>0</v>
      </c>
      <c r="V21" s="112">
        <f>BS!U23-BS!T23</f>
        <v>0</v>
      </c>
      <c r="W21" s="112">
        <f>BS!V23-BS!U23</f>
        <v>0</v>
      </c>
      <c r="X21" s="112">
        <f>BS!W23-BS!V23</f>
        <v>0</v>
      </c>
      <c r="Y21" s="112">
        <f>BS!X23-BS!W23</f>
        <v>0</v>
      </c>
      <c r="Z21" s="112">
        <f>BS!Y23-BS!X23</f>
        <v>0</v>
      </c>
      <c r="AA21" s="112">
        <f>BS!Z23-BS!Y23</f>
        <v>0</v>
      </c>
      <c r="AB21" s="112">
        <f>BS!AA23-BS!Z23</f>
        <v>0</v>
      </c>
      <c r="AC21" s="112">
        <f>BS!AB23-BS!AA23</f>
        <v>0</v>
      </c>
    </row>
    <row r="22" spans="2:29">
      <c r="B22" s="68" t="s">
        <v>156</v>
      </c>
      <c r="D22" s="112">
        <f>'Loan Schedule'!E13</f>
        <v>0</v>
      </c>
      <c r="E22" s="112">
        <f>'Loan Schedule'!F13</f>
        <v>3.2340895611584726</v>
      </c>
      <c r="F22" s="112">
        <f>'Loan Schedule'!G13</f>
        <v>4.3121194148779631</v>
      </c>
      <c r="G22" s="112">
        <f>'Loan Schedule'!H13</f>
        <v>4.3121194148779631</v>
      </c>
      <c r="H22" s="112">
        <f>'Loan Schedule'!I13</f>
        <v>4.3121194148779631</v>
      </c>
      <c r="I22" s="112">
        <f>'Loan Schedule'!J13</f>
        <v>4.3121194148779631</v>
      </c>
      <c r="J22" s="112">
        <f>'Loan Schedule'!K13</f>
        <v>4.3121194148779631</v>
      </c>
      <c r="K22" s="112">
        <f>'Loan Schedule'!L13</f>
        <v>4.3121194148779631</v>
      </c>
      <c r="L22" s="112">
        <f>'Loan Schedule'!M13</f>
        <v>4.3121194148779631</v>
      </c>
      <c r="M22" s="112">
        <f>'Loan Schedule'!N13</f>
        <v>4.3121194148779631</v>
      </c>
      <c r="N22" s="112">
        <f>'Loan Schedule'!O13</f>
        <v>4.3121194148779631</v>
      </c>
      <c r="O22" s="112">
        <f>'Loan Schedule'!P13</f>
        <v>4.3121194148779631</v>
      </c>
      <c r="P22" s="112">
        <f>'Loan Schedule'!Q13</f>
        <v>4.3121194148779631</v>
      </c>
      <c r="Q22" s="112">
        <f>'Loan Schedule'!R13</f>
        <v>4.3121194148779631</v>
      </c>
      <c r="R22" s="112">
        <f>'Loan Schedule'!S13</f>
        <v>4.3121194148779631</v>
      </c>
      <c r="S22" s="112">
        <f>'Loan Schedule'!T13</f>
        <v>3.2340895611584726</v>
      </c>
      <c r="T22" s="112">
        <f>'Loan Schedule'!U13</f>
        <v>0</v>
      </c>
      <c r="U22" s="112">
        <f>'Loan Schedule'!V13</f>
        <v>0</v>
      </c>
      <c r="V22" s="112">
        <f>'Loan Schedule'!W13</f>
        <v>0</v>
      </c>
      <c r="W22" s="112">
        <f>'Loan Schedule'!X13</f>
        <v>0</v>
      </c>
      <c r="X22" s="112">
        <f>'Loan Schedule'!Y13</f>
        <v>0</v>
      </c>
      <c r="Y22" s="112">
        <f>'Loan Schedule'!Z13</f>
        <v>0</v>
      </c>
      <c r="Z22" s="112">
        <f>'Loan Schedule'!AA13</f>
        <v>0</v>
      </c>
      <c r="AA22" s="112">
        <f>'Loan Schedule'!AB13</f>
        <v>0</v>
      </c>
      <c r="AB22" s="112">
        <f>'Loan Schedule'!AC13</f>
        <v>0</v>
      </c>
      <c r="AC22" s="112">
        <f>'Loan Schedule'!AD13</f>
        <v>0</v>
      </c>
    </row>
    <row r="23" spans="2:29">
      <c r="B23" s="68" t="s">
        <v>157</v>
      </c>
      <c r="D23" s="139">
        <v>0</v>
      </c>
      <c r="E23" s="112">
        <f>+BS!D33</f>
        <v>0.85580996652655261</v>
      </c>
      <c r="F23" s="112">
        <f>+BS!E33-BS!D33</f>
        <v>0.276962675980297</v>
      </c>
      <c r="G23" s="112">
        <f>+BS!F33-BS!E33</f>
        <v>-8.2552746001871569E-3</v>
      </c>
      <c r="H23" s="112">
        <f>+BS!G33-BS!F33</f>
        <v>-1.4286900985699402E-2</v>
      </c>
      <c r="I23" s="112">
        <f>+BS!H33-BS!G33</f>
        <v>-1.1102304669209584E-2</v>
      </c>
      <c r="J23" s="112">
        <f>+BS!I33-BS!H33</f>
        <v>-1.0991281622517501E-2</v>
      </c>
      <c r="K23" s="112">
        <f>+BS!J33-BS!I33</f>
        <v>-7.9299838423940727E-3</v>
      </c>
      <c r="L23" s="112">
        <f>+BS!K33-BS!J33</f>
        <v>-1.372394008212785E-2</v>
      </c>
      <c r="M23" s="112">
        <f>+BS!L33-BS!K33</f>
        <v>-1.0664829567047285E-2</v>
      </c>
      <c r="N23" s="112">
        <f>+BS!M33-BS!L33</f>
        <v>-1.0558181271376643E-2</v>
      </c>
      <c r="O23" s="112">
        <f>+BS!N33-BS!M33</f>
        <v>-7.6175108383680357E-3</v>
      </c>
      <c r="P23" s="112">
        <f>+BS!O33-BS!N33</f>
        <v>-1.3183162084371203E-2</v>
      </c>
      <c r="Q23" s="112">
        <f>+BS!P33-BS!O33</f>
        <v>-1.0244592729435231E-2</v>
      </c>
      <c r="R23" s="112">
        <f>+BS!Q33-BS!P33</f>
        <v>-1.0142146802141205E-2</v>
      </c>
      <c r="S23" s="112">
        <f>+BS!R33-BS!Q33</f>
        <v>-7.3173505174681797E-3</v>
      </c>
      <c r="T23" s="112">
        <f>+BS!S33-BS!R33</f>
        <v>-1.2663692897430412E-2</v>
      </c>
      <c r="U23" s="112">
        <f>+BS!T33-BS!S33</f>
        <v>-9.8409148999704099E-3</v>
      </c>
      <c r="V23" s="112">
        <f>+BS!U33-BS!T33</f>
        <v>-9.742505750971131E-3</v>
      </c>
      <c r="W23" s="112">
        <f>+BS!V33-BS!U33</f>
        <v>-7.029017710851293E-3</v>
      </c>
      <c r="X23" s="112">
        <f>+BS!W33-BS!V33</f>
        <v>-1.2164692869136684E-2</v>
      </c>
      <c r="Y23" s="112">
        <f>+BS!X33-BS!W33</f>
        <v>-9.4531435876613612E-3</v>
      </c>
      <c r="Z23" s="112">
        <f>+BS!Y33-BS!X33</f>
        <v>-9.3586121517850174E-3</v>
      </c>
      <c r="AA23" s="112">
        <f>+BS!Z33-BS!Y33</f>
        <v>-6.7520463672631204E-3</v>
      </c>
      <c r="AB23" s="112">
        <f>+BS!AA33-BS!Z33</f>
        <v>-1.1685355432968336E-2</v>
      </c>
      <c r="AC23" s="112">
        <f>+BS!AB33-BS!AA33</f>
        <v>-9.0806520122646006E-3</v>
      </c>
    </row>
    <row r="24" spans="2:29" hidden="1">
      <c r="B24" s="68" t="s">
        <v>158</v>
      </c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</row>
    <row r="25" spans="2:29">
      <c r="B25" s="68" t="s">
        <v>143</v>
      </c>
      <c r="D25" s="139">
        <v>0</v>
      </c>
      <c r="E25" s="139">
        <v>0</v>
      </c>
      <c r="F25" s="139">
        <v>0</v>
      </c>
      <c r="G25" s="139">
        <v>0</v>
      </c>
      <c r="H25" s="139">
        <v>0</v>
      </c>
      <c r="I25" s="139">
        <v>0</v>
      </c>
      <c r="J25" s="139">
        <v>0</v>
      </c>
      <c r="K25" s="139">
        <v>0</v>
      </c>
      <c r="L25" s="139">
        <v>0</v>
      </c>
      <c r="M25" s="139">
        <v>0</v>
      </c>
      <c r="N25" s="139">
        <v>0</v>
      </c>
      <c r="O25" s="139">
        <v>0</v>
      </c>
      <c r="P25" s="139">
        <v>0</v>
      </c>
      <c r="Q25" s="139">
        <v>0</v>
      </c>
      <c r="R25" s="139">
        <v>0</v>
      </c>
      <c r="S25" s="139">
        <v>0</v>
      </c>
      <c r="T25" s="139">
        <v>0</v>
      </c>
      <c r="U25" s="139">
        <v>0</v>
      </c>
      <c r="V25" s="139">
        <v>0</v>
      </c>
      <c r="W25" s="139">
        <v>0</v>
      </c>
      <c r="X25" s="139">
        <v>0</v>
      </c>
      <c r="Y25" s="139">
        <v>0</v>
      </c>
      <c r="Z25" s="139">
        <v>0</v>
      </c>
      <c r="AA25" s="139">
        <v>0</v>
      </c>
      <c r="AB25" s="139">
        <v>0</v>
      </c>
      <c r="AC25" s="139">
        <v>0</v>
      </c>
    </row>
    <row r="26" spans="2:29">
      <c r="B26" s="68" t="s">
        <v>137</v>
      </c>
      <c r="D26" s="139">
        <f>+SUM('PC &amp; MoF'!L23+'PC &amp; MoF'!L24)</f>
        <v>2.5239373950207575</v>
      </c>
      <c r="E26" s="112">
        <v>0</v>
      </c>
      <c r="F26" s="112">
        <v>0</v>
      </c>
      <c r="G26" s="112">
        <v>0</v>
      </c>
      <c r="H26" s="112">
        <v>0</v>
      </c>
      <c r="I26" s="112">
        <v>0</v>
      </c>
      <c r="J26" s="112">
        <v>0</v>
      </c>
      <c r="K26" s="112">
        <v>0</v>
      </c>
      <c r="L26" s="112">
        <v>0</v>
      </c>
      <c r="M26" s="112">
        <v>0</v>
      </c>
      <c r="N26" s="112">
        <v>0</v>
      </c>
      <c r="O26" s="112">
        <v>0</v>
      </c>
      <c r="P26" s="112">
        <v>0</v>
      </c>
      <c r="Q26" s="112">
        <v>0</v>
      </c>
      <c r="R26" s="112">
        <v>0</v>
      </c>
      <c r="S26" s="112">
        <v>0</v>
      </c>
      <c r="T26" s="112">
        <v>0</v>
      </c>
      <c r="U26" s="112">
        <v>0</v>
      </c>
      <c r="V26" s="112">
        <v>0</v>
      </c>
      <c r="W26" s="112">
        <v>0</v>
      </c>
      <c r="X26" s="112">
        <v>0</v>
      </c>
      <c r="Y26" s="112">
        <v>0</v>
      </c>
      <c r="Z26" s="112">
        <v>0</v>
      </c>
      <c r="AA26" s="112">
        <v>0</v>
      </c>
      <c r="AB26" s="112">
        <v>0</v>
      </c>
      <c r="AC26" s="112">
        <v>0</v>
      </c>
    </row>
    <row r="27" spans="2:29">
      <c r="B27" s="143" t="s">
        <v>128</v>
      </c>
      <c r="C27" s="143"/>
      <c r="D27" s="144">
        <f>SUM(D21:D26)</f>
        <v>89.009844936322011</v>
      </c>
      <c r="E27" s="144">
        <f t="shared" ref="E27:AC27" si="2">SUM(E21:E26)</f>
        <v>4.0898995276850254</v>
      </c>
      <c r="F27" s="144">
        <f t="shared" si="2"/>
        <v>4.5890820908582599</v>
      </c>
      <c r="G27" s="144">
        <f t="shared" si="2"/>
        <v>4.303864140277776</v>
      </c>
      <c r="H27" s="144">
        <f t="shared" si="2"/>
        <v>4.2978325138922635</v>
      </c>
      <c r="I27" s="144">
        <f t="shared" si="2"/>
        <v>4.301017110208754</v>
      </c>
      <c r="J27" s="144">
        <f t="shared" si="2"/>
        <v>4.3011281332554461</v>
      </c>
      <c r="K27" s="144">
        <f t="shared" si="2"/>
        <v>4.3041894310355691</v>
      </c>
      <c r="L27" s="144">
        <f t="shared" si="2"/>
        <v>4.2983954747958357</v>
      </c>
      <c r="M27" s="144">
        <f t="shared" si="2"/>
        <v>4.3014545853109158</v>
      </c>
      <c r="N27" s="144">
        <f t="shared" si="2"/>
        <v>4.301561233606586</v>
      </c>
      <c r="O27" s="144">
        <f t="shared" si="2"/>
        <v>4.3045019040395953</v>
      </c>
      <c r="P27" s="144">
        <f t="shared" si="2"/>
        <v>4.2989362527935917</v>
      </c>
      <c r="Q27" s="144">
        <f t="shared" si="2"/>
        <v>4.3018748221485277</v>
      </c>
      <c r="R27" s="144">
        <f t="shared" si="2"/>
        <v>4.3019772680758219</v>
      </c>
      <c r="S27" s="144">
        <f t="shared" si="2"/>
        <v>3.2267722106410046</v>
      </c>
      <c r="T27" s="144">
        <f t="shared" si="2"/>
        <v>-1.2663692897430412E-2</v>
      </c>
      <c r="U27" s="144">
        <f t="shared" si="2"/>
        <v>-9.8409148999704099E-3</v>
      </c>
      <c r="V27" s="144">
        <f t="shared" si="2"/>
        <v>-9.742505750971131E-3</v>
      </c>
      <c r="W27" s="144">
        <f t="shared" si="2"/>
        <v>-7.029017710851293E-3</v>
      </c>
      <c r="X27" s="144">
        <f t="shared" si="2"/>
        <v>-1.2164692869136684E-2</v>
      </c>
      <c r="Y27" s="144">
        <f t="shared" si="2"/>
        <v>-9.4531435876613612E-3</v>
      </c>
      <c r="Z27" s="144">
        <f t="shared" si="2"/>
        <v>-9.3586121517850174E-3</v>
      </c>
      <c r="AA27" s="144">
        <f t="shared" si="2"/>
        <v>-6.7520463672631204E-3</v>
      </c>
      <c r="AB27" s="144">
        <f t="shared" si="2"/>
        <v>-1.1685355432968336E-2</v>
      </c>
      <c r="AC27" s="144">
        <f t="shared" si="2"/>
        <v>-9.0806520122646006E-3</v>
      </c>
    </row>
    <row r="28" spans="2:29">
      <c r="B28" s="68" t="s">
        <v>159</v>
      </c>
      <c r="D28" s="112">
        <v>0</v>
      </c>
      <c r="E28" s="112">
        <f t="shared" ref="E28:AC28" si="3">D30</f>
        <v>0.31262865757865654</v>
      </c>
      <c r="F28" s="112">
        <f t="shared" si="3"/>
        <v>1.1481108435701604</v>
      </c>
      <c r="G28" s="112">
        <f t="shared" si="3"/>
        <v>3.2599854784405826</v>
      </c>
      <c r="H28" s="112">
        <f t="shared" si="3"/>
        <v>5.789812492007079</v>
      </c>
      <c r="I28" s="112">
        <f t="shared" si="3"/>
        <v>8.4578116242193317</v>
      </c>
      <c r="J28" s="112">
        <f t="shared" si="3"/>
        <v>11.287928961947033</v>
      </c>
      <c r="K28" s="112">
        <f t="shared" si="3"/>
        <v>14.280782714784511</v>
      </c>
      <c r="L28" s="112">
        <f t="shared" si="3"/>
        <v>17.463592874260314</v>
      </c>
      <c r="M28" s="112">
        <f t="shared" si="3"/>
        <v>20.778377049209695</v>
      </c>
      <c r="N28" s="112">
        <f t="shared" si="3"/>
        <v>24.247598005742962</v>
      </c>
      <c r="O28" s="112">
        <f t="shared" si="3"/>
        <v>27.871097941723932</v>
      </c>
      <c r="P28" s="112">
        <f t="shared" si="3"/>
        <v>31.674355965774041</v>
      </c>
      <c r="Q28" s="112">
        <f t="shared" si="3"/>
        <v>35.600668393995804</v>
      </c>
      <c r="R28" s="112">
        <f t="shared" si="3"/>
        <v>39.67092483359027</v>
      </c>
      <c r="S28" s="112">
        <f t="shared" si="3"/>
        <v>43.884066347397635</v>
      </c>
      <c r="T28" s="112">
        <f t="shared" si="3"/>
        <v>48.920374827920966</v>
      </c>
      <c r="U28" s="112">
        <f t="shared" si="3"/>
        <v>56.104675234525018</v>
      </c>
      <c r="V28" s="112">
        <f t="shared" si="3"/>
        <v>63.065722690451238</v>
      </c>
      <c r="W28" s="112">
        <f t="shared" si="3"/>
        <v>69.809738772790453</v>
      </c>
      <c r="X28" s="112">
        <f t="shared" si="3"/>
        <v>76.360843299502932</v>
      </c>
      <c r="Y28" s="112">
        <f t="shared" si="3"/>
        <v>82.679921880664679</v>
      </c>
      <c r="Z28" s="112">
        <f t="shared" si="3"/>
        <v>88.7851249697312</v>
      </c>
      <c r="AA28" s="112">
        <f t="shared" si="3"/>
        <v>94.67789380793603</v>
      </c>
      <c r="AB28" s="112">
        <f t="shared" si="3"/>
        <v>100.37712120159982</v>
      </c>
      <c r="AC28" s="112">
        <f t="shared" si="3"/>
        <v>105.84201533648438</v>
      </c>
    </row>
    <row r="29" spans="2:29">
      <c r="B29" s="68" t="s">
        <v>160</v>
      </c>
      <c r="D29" s="112">
        <f t="shared" ref="D29:AC29" si="4">D18-D27</f>
        <v>0.31262865757865654</v>
      </c>
      <c r="E29" s="112">
        <f t="shared" si="4"/>
        <v>0.83548218599150381</v>
      </c>
      <c r="F29" s="112">
        <f t="shared" si="4"/>
        <v>2.1118746348704223</v>
      </c>
      <c r="G29" s="112">
        <f t="shared" si="4"/>
        <v>2.5298270135664964</v>
      </c>
      <c r="H29" s="112">
        <f t="shared" si="4"/>
        <v>2.6679991322122527</v>
      </c>
      <c r="I29" s="112">
        <f t="shared" si="4"/>
        <v>2.8301173377277014</v>
      </c>
      <c r="J29" s="112">
        <f t="shared" si="4"/>
        <v>2.9928537528374779</v>
      </c>
      <c r="K29" s="112">
        <f t="shared" si="4"/>
        <v>3.1828101594758049</v>
      </c>
      <c r="L29" s="112">
        <f t="shared" si="4"/>
        <v>3.3147841749493789</v>
      </c>
      <c r="M29" s="112">
        <f t="shared" si="4"/>
        <v>3.4692209565332677</v>
      </c>
      <c r="N29" s="112">
        <f t="shared" si="4"/>
        <v>3.6234999359809699</v>
      </c>
      <c r="O29" s="112">
        <f t="shared" si="4"/>
        <v>3.8032580240501108</v>
      </c>
      <c r="P29" s="112">
        <f t="shared" si="4"/>
        <v>3.9263124282217632</v>
      </c>
      <c r="Q29" s="112">
        <f t="shared" si="4"/>
        <v>4.0702564395944689</v>
      </c>
      <c r="R29" s="112">
        <f t="shared" si="4"/>
        <v>4.2131415138073649</v>
      </c>
      <c r="S29" s="112">
        <f t="shared" si="4"/>
        <v>5.0363084805233305</v>
      </c>
      <c r="T29" s="112">
        <f t="shared" si="4"/>
        <v>7.1843004066040521</v>
      </c>
      <c r="U29" s="112">
        <f t="shared" si="4"/>
        <v>6.961047455926221</v>
      </c>
      <c r="V29" s="112">
        <f t="shared" si="4"/>
        <v>6.7440160823392095</v>
      </c>
      <c r="W29" s="112">
        <f t="shared" si="4"/>
        <v>6.5511045267124759</v>
      </c>
      <c r="X29" s="112">
        <f t="shared" si="4"/>
        <v>6.3190785811617438</v>
      </c>
      <c r="Y29" s="112">
        <f t="shared" si="4"/>
        <v>6.1052030890665243</v>
      </c>
      <c r="Z29" s="112">
        <f t="shared" si="4"/>
        <v>5.892768838204832</v>
      </c>
      <c r="AA29" s="112">
        <f t="shared" si="4"/>
        <v>5.6992273936637901</v>
      </c>
      <c r="AB29" s="112">
        <f t="shared" si="4"/>
        <v>5.464894134884557</v>
      </c>
      <c r="AC29" s="112">
        <f t="shared" si="4"/>
        <v>5.244415610727807</v>
      </c>
    </row>
    <row r="30" spans="2:29">
      <c r="B30" s="68" t="s">
        <v>161</v>
      </c>
      <c r="D30" s="112">
        <f t="shared" ref="D30:AC30" si="5">D28+D29</f>
        <v>0.31262865757865654</v>
      </c>
      <c r="E30" s="112">
        <f t="shared" si="5"/>
        <v>1.1481108435701604</v>
      </c>
      <c r="F30" s="112">
        <f t="shared" si="5"/>
        <v>3.2599854784405826</v>
      </c>
      <c r="G30" s="112">
        <f t="shared" si="5"/>
        <v>5.789812492007079</v>
      </c>
      <c r="H30" s="112">
        <f t="shared" si="5"/>
        <v>8.4578116242193317</v>
      </c>
      <c r="I30" s="112">
        <f t="shared" si="5"/>
        <v>11.287928961947033</v>
      </c>
      <c r="J30" s="112">
        <f t="shared" si="5"/>
        <v>14.280782714784511</v>
      </c>
      <c r="K30" s="112">
        <f t="shared" si="5"/>
        <v>17.463592874260314</v>
      </c>
      <c r="L30" s="112">
        <f t="shared" si="5"/>
        <v>20.778377049209695</v>
      </c>
      <c r="M30" s="112">
        <f t="shared" si="5"/>
        <v>24.247598005742962</v>
      </c>
      <c r="N30" s="112">
        <f t="shared" si="5"/>
        <v>27.871097941723932</v>
      </c>
      <c r="O30" s="112">
        <f t="shared" si="5"/>
        <v>31.674355965774041</v>
      </c>
      <c r="P30" s="112">
        <f t="shared" si="5"/>
        <v>35.600668393995804</v>
      </c>
      <c r="Q30" s="112">
        <f t="shared" si="5"/>
        <v>39.67092483359027</v>
      </c>
      <c r="R30" s="112">
        <f t="shared" si="5"/>
        <v>43.884066347397635</v>
      </c>
      <c r="S30" s="112">
        <f t="shared" si="5"/>
        <v>48.920374827920966</v>
      </c>
      <c r="T30" s="112">
        <f t="shared" si="5"/>
        <v>56.104675234525018</v>
      </c>
      <c r="U30" s="112">
        <f t="shared" si="5"/>
        <v>63.065722690451238</v>
      </c>
      <c r="V30" s="112">
        <f t="shared" si="5"/>
        <v>69.809738772790453</v>
      </c>
      <c r="W30" s="112">
        <f t="shared" si="5"/>
        <v>76.360843299502932</v>
      </c>
      <c r="X30" s="112">
        <f t="shared" si="5"/>
        <v>82.679921880664679</v>
      </c>
      <c r="Y30" s="112">
        <f t="shared" si="5"/>
        <v>88.7851249697312</v>
      </c>
      <c r="Z30" s="112">
        <f t="shared" si="5"/>
        <v>94.67789380793603</v>
      </c>
      <c r="AA30" s="112">
        <f t="shared" si="5"/>
        <v>100.37712120159982</v>
      </c>
      <c r="AB30" s="112">
        <f t="shared" si="5"/>
        <v>105.84201533648438</v>
      </c>
      <c r="AC30" s="112">
        <f t="shared" si="5"/>
        <v>111.08643094721219</v>
      </c>
    </row>
    <row r="32" spans="2:29">
      <c r="D32" s="270"/>
    </row>
  </sheetData>
  <mergeCells count="1">
    <mergeCell ref="E7:AC7"/>
  </mergeCells>
  <conditionalFormatting sqref="D28:AC30">
    <cfRule type="cellIs" dxfId="1" priority="1" operator="lessThan">
      <formula>0</formula>
    </cfRule>
  </conditionalFormatting>
  <conditionalFormatting sqref="D29:AC30">
    <cfRule type="cellIs" dxfId="0" priority="3" operator="lessThan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349"/>
  <sheetViews>
    <sheetView showGridLines="0" tabSelected="1" workbookViewId="0">
      <pane xSplit="2" ySplit="8" topLeftCell="C69" activePane="bottomRight" state="frozen"/>
      <selection activeCell="A9" sqref="A9"/>
      <selection pane="topRight" activeCell="A9" sqref="A9"/>
      <selection pane="bottomLeft" activeCell="A9" sqref="A9"/>
      <selection pane="bottomRight" activeCell="I26" sqref="I26"/>
    </sheetView>
  </sheetViews>
  <sheetFormatPr defaultColWidth="13.7109375" defaultRowHeight="15"/>
  <cols>
    <col min="1" max="1" width="4.85546875" style="68" customWidth="1"/>
    <col min="2" max="2" width="64.7109375" style="68" customWidth="1"/>
    <col min="3" max="3" width="7.140625" style="68" customWidth="1"/>
    <col min="4" max="6" width="12.7109375" style="68" customWidth="1"/>
    <col min="7" max="7" width="17.7109375" style="68" customWidth="1"/>
    <col min="8" max="8" width="15.7109375" style="113" customWidth="1"/>
    <col min="9" max="9" width="13" style="68" customWidth="1"/>
    <col min="10" max="15" width="12.7109375" style="68" customWidth="1"/>
    <col min="16" max="16384" width="13.7109375" style="68"/>
  </cols>
  <sheetData>
    <row r="1" spans="2:30" s="1" customFormat="1" ht="19.899999999999999" customHeight="1">
      <c r="B1" s="101" t="str">
        <f>Company</f>
        <v>M/s. OMC Power Private Limited</v>
      </c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</row>
    <row r="2" spans="2:30" s="1" customFormat="1" ht="9" customHeight="1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2:30" s="1" customFormat="1" ht="19.899999999999999" customHeight="1">
      <c r="B3" s="102" t="str">
        <f>Project</f>
        <v>Financial Model for Proposed 35 locations Solar Power Plant (20 MW )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</row>
    <row r="4" spans="2:30" s="1" customFormat="1" ht="9" customHeight="1">
      <c r="B4" s="2"/>
      <c r="C4" s="2"/>
      <c r="D4" s="2"/>
      <c r="E4" s="2"/>
      <c r="F4" s="2"/>
      <c r="G4" s="287"/>
    </row>
    <row r="5" spans="2:30" customFormat="1" ht="15.75">
      <c r="B5" s="69" t="s">
        <v>292</v>
      </c>
      <c r="C5" s="69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</row>
    <row r="6" spans="2:30" customFormat="1">
      <c r="B6" s="288" t="s">
        <v>288</v>
      </c>
      <c r="C6" s="66"/>
      <c r="D6" s="66"/>
      <c r="E6" s="3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 spans="2:30" s="31" customFormat="1" ht="15.75">
      <c r="C7" s="66"/>
      <c r="D7" s="413" t="s">
        <v>22</v>
      </c>
      <c r="E7" s="413"/>
      <c r="F7" s="228" t="s">
        <v>81</v>
      </c>
      <c r="G7" s="228"/>
      <c r="H7" s="228"/>
      <c r="I7" s="228"/>
      <c r="J7" s="228"/>
      <c r="K7" s="228"/>
      <c r="L7" s="228"/>
      <c r="M7" s="228"/>
      <c r="N7" s="228"/>
      <c r="O7" s="228"/>
      <c r="P7" s="228"/>
      <c r="Q7" s="228"/>
      <c r="R7" s="228"/>
      <c r="S7" s="228"/>
      <c r="T7" s="228"/>
      <c r="U7" s="228"/>
      <c r="V7" s="228"/>
      <c r="W7" s="228"/>
      <c r="X7" s="228"/>
      <c r="Y7" s="228"/>
      <c r="Z7" s="228"/>
      <c r="AA7" s="228"/>
      <c r="AB7" s="228"/>
      <c r="AC7" s="228"/>
      <c r="AD7" s="228"/>
    </row>
    <row r="8" spans="2:30" s="31" customFormat="1">
      <c r="B8" s="71" t="s">
        <v>287</v>
      </c>
      <c r="C8" s="72" t="s">
        <v>83</v>
      </c>
      <c r="D8" s="73"/>
      <c r="E8" s="73">
        <f>'Revenue &amp; Expenses Modeling'!E8</f>
        <v>45838</v>
      </c>
      <c r="F8" s="73">
        <f>'Revenue &amp; Expenses Modeling'!F8</f>
        <v>46111</v>
      </c>
      <c r="G8" s="73">
        <f>'Revenue &amp; Expenses Modeling'!G8</f>
        <v>46476</v>
      </c>
      <c r="H8" s="73">
        <f>'Revenue &amp; Expenses Modeling'!H8</f>
        <v>46842</v>
      </c>
      <c r="I8" s="73">
        <f>'Revenue &amp; Expenses Modeling'!I8</f>
        <v>47207</v>
      </c>
      <c r="J8" s="73">
        <f>'Revenue &amp; Expenses Modeling'!J8</f>
        <v>47572</v>
      </c>
      <c r="K8" s="73">
        <f>'Revenue &amp; Expenses Modeling'!K8</f>
        <v>47937</v>
      </c>
      <c r="L8" s="73">
        <f>'Revenue &amp; Expenses Modeling'!L8</f>
        <v>48303</v>
      </c>
      <c r="M8" s="73">
        <f>'Revenue &amp; Expenses Modeling'!M8</f>
        <v>48668</v>
      </c>
      <c r="N8" s="73">
        <f>'Revenue &amp; Expenses Modeling'!N8</f>
        <v>49033</v>
      </c>
      <c r="O8" s="73">
        <f>'Revenue &amp; Expenses Modeling'!O8</f>
        <v>49398</v>
      </c>
      <c r="P8" s="73">
        <f>'Revenue &amp; Expenses Modeling'!P8</f>
        <v>49764</v>
      </c>
      <c r="Q8" s="73">
        <f>'Revenue &amp; Expenses Modeling'!Q8</f>
        <v>50129</v>
      </c>
      <c r="R8" s="73">
        <f>'Revenue &amp; Expenses Modeling'!R8</f>
        <v>50494</v>
      </c>
      <c r="S8" s="73">
        <f>'Revenue &amp; Expenses Modeling'!S8</f>
        <v>50859</v>
      </c>
      <c r="T8" s="73">
        <f>'Revenue &amp; Expenses Modeling'!T8</f>
        <v>51225</v>
      </c>
      <c r="U8" s="73">
        <f>'Revenue &amp; Expenses Modeling'!U8</f>
        <v>51590</v>
      </c>
      <c r="V8" s="73">
        <f>'Revenue &amp; Expenses Modeling'!V8</f>
        <v>51955</v>
      </c>
      <c r="W8" s="73">
        <f>'Revenue &amp; Expenses Modeling'!W8</f>
        <v>52320</v>
      </c>
      <c r="X8" s="73">
        <f>'Revenue &amp; Expenses Modeling'!X8</f>
        <v>52686</v>
      </c>
      <c r="Y8" s="73">
        <f>'Revenue &amp; Expenses Modeling'!Y8</f>
        <v>53051</v>
      </c>
      <c r="Z8" s="73">
        <f>'Revenue &amp; Expenses Modeling'!Z8</f>
        <v>53416</v>
      </c>
      <c r="AA8" s="73">
        <f>'Revenue &amp; Expenses Modeling'!AA8</f>
        <v>53781</v>
      </c>
      <c r="AB8" s="73">
        <f>'Revenue &amp; Expenses Modeling'!AB8</f>
        <v>54147</v>
      </c>
      <c r="AC8" s="73">
        <f>'Revenue &amp; Expenses Modeling'!AC8</f>
        <v>54512</v>
      </c>
      <c r="AD8" s="73">
        <f>'Revenue &amp; Expenses Modeling'!AD8</f>
        <v>54877</v>
      </c>
    </row>
    <row r="9" spans="2:30" s="78" customFormat="1" ht="12.75">
      <c r="B9" s="74" t="s">
        <v>84</v>
      </c>
      <c r="C9" s="75"/>
      <c r="D9" s="76"/>
      <c r="E9" s="76">
        <v>0</v>
      </c>
      <c r="F9" s="77">
        <v>1</v>
      </c>
      <c r="G9" s="77">
        <f>F9+1</f>
        <v>2</v>
      </c>
      <c r="H9" s="77">
        <f t="shared" ref="H9:AD9" si="0">G9+1</f>
        <v>3</v>
      </c>
      <c r="I9" s="77">
        <f t="shared" si="0"/>
        <v>4</v>
      </c>
      <c r="J9" s="77">
        <f t="shared" si="0"/>
        <v>5</v>
      </c>
      <c r="K9" s="77">
        <f t="shared" si="0"/>
        <v>6</v>
      </c>
      <c r="L9" s="77">
        <f t="shared" si="0"/>
        <v>7</v>
      </c>
      <c r="M9" s="77">
        <f t="shared" si="0"/>
        <v>8</v>
      </c>
      <c r="N9" s="77">
        <f t="shared" si="0"/>
        <v>9</v>
      </c>
      <c r="O9" s="77">
        <f t="shared" si="0"/>
        <v>10</v>
      </c>
      <c r="P9" s="77">
        <f t="shared" si="0"/>
        <v>11</v>
      </c>
      <c r="Q9" s="77">
        <f t="shared" si="0"/>
        <v>12</v>
      </c>
      <c r="R9" s="77">
        <f t="shared" si="0"/>
        <v>13</v>
      </c>
      <c r="S9" s="77">
        <f t="shared" si="0"/>
        <v>14</v>
      </c>
      <c r="T9" s="77">
        <f t="shared" si="0"/>
        <v>15</v>
      </c>
      <c r="U9" s="77">
        <f t="shared" si="0"/>
        <v>16</v>
      </c>
      <c r="V9" s="77">
        <f t="shared" si="0"/>
        <v>17</v>
      </c>
      <c r="W9" s="77">
        <f t="shared" si="0"/>
        <v>18</v>
      </c>
      <c r="X9" s="77">
        <f t="shared" si="0"/>
        <v>19</v>
      </c>
      <c r="Y9" s="77">
        <f t="shared" si="0"/>
        <v>20</v>
      </c>
      <c r="Z9" s="77">
        <f t="shared" si="0"/>
        <v>21</v>
      </c>
      <c r="AA9" s="77">
        <f t="shared" si="0"/>
        <v>22</v>
      </c>
      <c r="AB9" s="77">
        <f t="shared" si="0"/>
        <v>23</v>
      </c>
      <c r="AC9" s="77">
        <f t="shared" si="0"/>
        <v>24</v>
      </c>
      <c r="AD9" s="77">
        <f t="shared" si="0"/>
        <v>25</v>
      </c>
    </row>
    <row r="10" spans="2:30" s="78" customFormat="1" ht="12.75">
      <c r="B10" s="74" t="s">
        <v>85</v>
      </c>
      <c r="C10" s="75"/>
      <c r="D10" s="76"/>
      <c r="E10" s="76">
        <v>3</v>
      </c>
      <c r="F10" s="75">
        <f t="shared" ref="F10:AD10" si="1">MONTH(F8-E8)</f>
        <v>9</v>
      </c>
      <c r="G10" s="75">
        <f t="shared" si="1"/>
        <v>12</v>
      </c>
      <c r="H10" s="75">
        <f t="shared" si="1"/>
        <v>12</v>
      </c>
      <c r="I10" s="75">
        <f t="shared" si="1"/>
        <v>12</v>
      </c>
      <c r="J10" s="75">
        <f t="shared" si="1"/>
        <v>12</v>
      </c>
      <c r="K10" s="75">
        <f t="shared" si="1"/>
        <v>12</v>
      </c>
      <c r="L10" s="75">
        <f t="shared" si="1"/>
        <v>12</v>
      </c>
      <c r="M10" s="75">
        <f t="shared" si="1"/>
        <v>12</v>
      </c>
      <c r="N10" s="75">
        <f t="shared" si="1"/>
        <v>12</v>
      </c>
      <c r="O10" s="75">
        <f t="shared" si="1"/>
        <v>12</v>
      </c>
      <c r="P10" s="75">
        <f t="shared" si="1"/>
        <v>12</v>
      </c>
      <c r="Q10" s="75">
        <f t="shared" si="1"/>
        <v>12</v>
      </c>
      <c r="R10" s="75">
        <f t="shared" si="1"/>
        <v>12</v>
      </c>
      <c r="S10" s="75">
        <f t="shared" si="1"/>
        <v>12</v>
      </c>
      <c r="T10" s="75">
        <f t="shared" si="1"/>
        <v>12</v>
      </c>
      <c r="U10" s="75">
        <f t="shared" si="1"/>
        <v>12</v>
      </c>
      <c r="V10" s="75">
        <f t="shared" si="1"/>
        <v>12</v>
      </c>
      <c r="W10" s="75">
        <f t="shared" si="1"/>
        <v>12</v>
      </c>
      <c r="X10" s="75">
        <f t="shared" si="1"/>
        <v>12</v>
      </c>
      <c r="Y10" s="75">
        <f t="shared" si="1"/>
        <v>12</v>
      </c>
      <c r="Z10" s="75">
        <f t="shared" si="1"/>
        <v>12</v>
      </c>
      <c r="AA10" s="75">
        <f t="shared" si="1"/>
        <v>12</v>
      </c>
      <c r="AB10" s="75">
        <f t="shared" si="1"/>
        <v>12</v>
      </c>
      <c r="AC10" s="75">
        <f t="shared" si="1"/>
        <v>12</v>
      </c>
      <c r="AD10" s="75">
        <f t="shared" si="1"/>
        <v>12</v>
      </c>
    </row>
    <row r="11" spans="2:30">
      <c r="B11" s="31" t="s">
        <v>162</v>
      </c>
      <c r="D11" s="112">
        <f>C14</f>
        <v>0</v>
      </c>
      <c r="E11" s="112">
        <f t="shared" ref="E11:AD11" si="2">D14</f>
        <v>0</v>
      </c>
      <c r="F11" s="112">
        <f>E14</f>
        <v>62.525731515730463</v>
      </c>
      <c r="G11" s="112">
        <f t="shared" si="2"/>
        <v>59.291641954571993</v>
      </c>
      <c r="H11" s="112">
        <f t="shared" si="2"/>
        <v>54.979522539694031</v>
      </c>
      <c r="I11" s="112">
        <f t="shared" si="2"/>
        <v>50.667403124816069</v>
      </c>
      <c r="J11" s="112">
        <f t="shared" si="2"/>
        <v>46.355283709938107</v>
      </c>
      <c r="K11" s="112">
        <f t="shared" si="2"/>
        <v>42.043164295060144</v>
      </c>
      <c r="L11" s="112">
        <f t="shared" si="2"/>
        <v>37.731044880182182</v>
      </c>
      <c r="M11" s="112">
        <f t="shared" si="2"/>
        <v>33.41892546530422</v>
      </c>
      <c r="N11" s="112">
        <f t="shared" si="2"/>
        <v>29.106806050426258</v>
      </c>
      <c r="O11" s="112">
        <f t="shared" si="2"/>
        <v>24.794686635548295</v>
      </c>
      <c r="P11" s="112">
        <f t="shared" si="2"/>
        <v>20.482567220670333</v>
      </c>
      <c r="Q11" s="112">
        <f t="shared" si="2"/>
        <v>16.170447805792371</v>
      </c>
      <c r="R11" s="112">
        <f t="shared" si="2"/>
        <v>11.858328390914409</v>
      </c>
      <c r="S11" s="112">
        <f t="shared" si="2"/>
        <v>7.5462089760364455</v>
      </c>
      <c r="T11" s="112">
        <f t="shared" si="2"/>
        <v>3.2340895611584823</v>
      </c>
      <c r="U11" s="112">
        <f t="shared" si="2"/>
        <v>9.7699626167013776E-15</v>
      </c>
      <c r="V11" s="112">
        <f t="shared" si="2"/>
        <v>9.7699626167013776E-15</v>
      </c>
      <c r="W11" s="112">
        <f t="shared" si="2"/>
        <v>9.7699626167013776E-15</v>
      </c>
      <c r="X11" s="112">
        <f t="shared" si="2"/>
        <v>9.7699626167013776E-15</v>
      </c>
      <c r="Y11" s="112">
        <f t="shared" si="2"/>
        <v>9.7699626167013776E-15</v>
      </c>
      <c r="Z11" s="112">
        <f t="shared" si="2"/>
        <v>9.7699626167013776E-15</v>
      </c>
      <c r="AA11" s="112">
        <f t="shared" si="2"/>
        <v>9.7699626167013776E-15</v>
      </c>
      <c r="AB11" s="112">
        <f t="shared" si="2"/>
        <v>9.7699626167013776E-15</v>
      </c>
      <c r="AC11" s="112">
        <f t="shared" si="2"/>
        <v>9.7699626167013776E-15</v>
      </c>
      <c r="AD11" s="112">
        <f t="shared" si="2"/>
        <v>9.7699626167013776E-15</v>
      </c>
    </row>
    <row r="12" spans="2:30">
      <c r="B12" s="31" t="s">
        <v>163</v>
      </c>
      <c r="D12" s="112">
        <v>0</v>
      </c>
      <c r="E12" s="112">
        <f>+C21</f>
        <v>62.525731515730463</v>
      </c>
      <c r="F12" s="112">
        <v>0</v>
      </c>
      <c r="G12" s="112">
        <v>0</v>
      </c>
      <c r="H12" s="112">
        <v>0</v>
      </c>
      <c r="I12" s="112">
        <v>0</v>
      </c>
      <c r="J12" s="112">
        <v>0</v>
      </c>
      <c r="K12" s="112">
        <v>0</v>
      </c>
      <c r="L12" s="112">
        <v>0</v>
      </c>
      <c r="M12" s="112">
        <v>0</v>
      </c>
      <c r="N12" s="112">
        <v>0</v>
      </c>
      <c r="O12" s="112">
        <v>0</v>
      </c>
      <c r="P12" s="112">
        <v>0</v>
      </c>
      <c r="Q12" s="112">
        <v>0</v>
      </c>
      <c r="R12" s="112">
        <v>0</v>
      </c>
      <c r="S12" s="112">
        <v>0</v>
      </c>
      <c r="T12" s="112">
        <v>0</v>
      </c>
      <c r="U12" s="112">
        <v>0</v>
      </c>
      <c r="V12" s="112">
        <v>0</v>
      </c>
      <c r="W12" s="112">
        <v>0</v>
      </c>
      <c r="X12" s="112">
        <v>0</v>
      </c>
      <c r="Y12" s="112">
        <v>0</v>
      </c>
      <c r="Z12" s="112">
        <v>0</v>
      </c>
      <c r="AA12" s="112">
        <v>0</v>
      </c>
      <c r="AB12" s="112">
        <v>0</v>
      </c>
      <c r="AC12" s="112">
        <v>0</v>
      </c>
      <c r="AD12" s="112">
        <v>0</v>
      </c>
    </row>
    <row r="13" spans="2:30">
      <c r="B13" s="31" t="s">
        <v>164</v>
      </c>
      <c r="D13" s="112">
        <f>SUM(D33:D36)</f>
        <v>0</v>
      </c>
      <c r="E13" s="112">
        <v>0</v>
      </c>
      <c r="F13" s="112">
        <f>+SUM(D41:D49)</f>
        <v>3.2340895611584726</v>
      </c>
      <c r="G13" s="112">
        <f>SUM(D51:D62)</f>
        <v>4.3121194148779631</v>
      </c>
      <c r="H13" s="112">
        <f>SUM(D64:D75)</f>
        <v>4.3121194148779631</v>
      </c>
      <c r="I13" s="112">
        <f>SUM(D77:D88)</f>
        <v>4.3121194148779631</v>
      </c>
      <c r="J13" s="112">
        <f>SUM(D90:D101)</f>
        <v>4.3121194148779631</v>
      </c>
      <c r="K13" s="112">
        <f>SUM(D103:D114)</f>
        <v>4.3121194148779631</v>
      </c>
      <c r="L13" s="112">
        <f>SUM(D116:D127)</f>
        <v>4.3121194148779631</v>
      </c>
      <c r="M13" s="112">
        <f>SUM(D129:D140)</f>
        <v>4.3121194148779631</v>
      </c>
      <c r="N13" s="112">
        <f>SUM(D142:D153)</f>
        <v>4.3121194148779631</v>
      </c>
      <c r="O13" s="112">
        <f>SUM(D155:D166)</f>
        <v>4.3121194148779631</v>
      </c>
      <c r="P13" s="112">
        <f>SUM(D168:D179)</f>
        <v>4.3121194148779631</v>
      </c>
      <c r="Q13" s="112">
        <f>SUM(D181:D192)</f>
        <v>4.3121194148779631</v>
      </c>
      <c r="R13" s="112">
        <f>SUM(D194:D205)</f>
        <v>4.3121194148779631</v>
      </c>
      <c r="S13" s="112">
        <f>SUM(D207:D218)</f>
        <v>4.3121194148779631</v>
      </c>
      <c r="T13" s="112">
        <f>SUM(D220:D228)</f>
        <v>3.2340895611584726</v>
      </c>
      <c r="U13" s="112">
        <f>SUM(D246:D257)</f>
        <v>0</v>
      </c>
      <c r="V13" s="112">
        <f>SUM(D259:D270)</f>
        <v>0</v>
      </c>
      <c r="W13" s="112">
        <f>SUM(D272:D283)</f>
        <v>0</v>
      </c>
      <c r="X13" s="112">
        <f>SUM(D285:D296)</f>
        <v>0</v>
      </c>
      <c r="Y13" s="112">
        <f>SUM(D298:D309)</f>
        <v>0</v>
      </c>
      <c r="Z13" s="112">
        <f>SUM(D311:D322)</f>
        <v>0</v>
      </c>
      <c r="AA13" s="112">
        <v>0</v>
      </c>
      <c r="AB13" s="112">
        <v>0</v>
      </c>
      <c r="AC13" s="112">
        <v>0</v>
      </c>
      <c r="AD13" s="112">
        <v>0</v>
      </c>
    </row>
    <row r="14" spans="2:30">
      <c r="B14" s="31" t="s">
        <v>165</v>
      </c>
      <c r="C14" s="132">
        <v>0</v>
      </c>
      <c r="D14" s="112">
        <f>D11+D12-D13</f>
        <v>0</v>
      </c>
      <c r="E14" s="112">
        <f>E11+E12-E13</f>
        <v>62.525731515730463</v>
      </c>
      <c r="F14" s="112">
        <f t="shared" ref="F14:AD14" si="3">F11+F12-F13</f>
        <v>59.291641954571993</v>
      </c>
      <c r="G14" s="112">
        <f t="shared" si="3"/>
        <v>54.979522539694031</v>
      </c>
      <c r="H14" s="112">
        <f t="shared" si="3"/>
        <v>50.667403124816069</v>
      </c>
      <c r="I14" s="112">
        <f t="shared" si="3"/>
        <v>46.355283709938107</v>
      </c>
      <c r="J14" s="112">
        <f t="shared" si="3"/>
        <v>42.043164295060144</v>
      </c>
      <c r="K14" s="112">
        <f t="shared" si="3"/>
        <v>37.731044880182182</v>
      </c>
      <c r="L14" s="112">
        <f t="shared" si="3"/>
        <v>33.41892546530422</v>
      </c>
      <c r="M14" s="112">
        <f t="shared" si="3"/>
        <v>29.106806050426258</v>
      </c>
      <c r="N14" s="112">
        <f t="shared" si="3"/>
        <v>24.794686635548295</v>
      </c>
      <c r="O14" s="112">
        <f t="shared" si="3"/>
        <v>20.482567220670333</v>
      </c>
      <c r="P14" s="112">
        <f t="shared" si="3"/>
        <v>16.170447805792371</v>
      </c>
      <c r="Q14" s="112">
        <f t="shared" si="3"/>
        <v>11.858328390914409</v>
      </c>
      <c r="R14" s="112">
        <f t="shared" si="3"/>
        <v>7.5462089760364455</v>
      </c>
      <c r="S14" s="112">
        <f t="shared" si="3"/>
        <v>3.2340895611584823</v>
      </c>
      <c r="T14" s="112">
        <f t="shared" si="3"/>
        <v>9.7699626167013776E-15</v>
      </c>
      <c r="U14" s="112">
        <f t="shared" si="3"/>
        <v>9.7699626167013776E-15</v>
      </c>
      <c r="V14" s="112">
        <f t="shared" si="3"/>
        <v>9.7699626167013776E-15</v>
      </c>
      <c r="W14" s="112">
        <f t="shared" si="3"/>
        <v>9.7699626167013776E-15</v>
      </c>
      <c r="X14" s="112">
        <f t="shared" si="3"/>
        <v>9.7699626167013776E-15</v>
      </c>
      <c r="Y14" s="112">
        <f t="shared" si="3"/>
        <v>9.7699626167013776E-15</v>
      </c>
      <c r="Z14" s="112">
        <f t="shared" si="3"/>
        <v>9.7699626167013776E-15</v>
      </c>
      <c r="AA14" s="112">
        <f t="shared" si="3"/>
        <v>9.7699626167013776E-15</v>
      </c>
      <c r="AB14" s="112">
        <f t="shared" si="3"/>
        <v>9.7699626167013776E-15</v>
      </c>
      <c r="AC14" s="112">
        <f t="shared" si="3"/>
        <v>9.7699626167013776E-15</v>
      </c>
      <c r="AD14" s="112">
        <f t="shared" si="3"/>
        <v>9.7699626167013776E-15</v>
      </c>
    </row>
    <row r="15" spans="2:30">
      <c r="B15" s="31" t="s">
        <v>166</v>
      </c>
      <c r="D15" s="112">
        <v>0</v>
      </c>
      <c r="E15" s="112">
        <f>+SUM(F38:F40)</f>
        <v>1.445907541301267</v>
      </c>
      <c r="F15" s="112">
        <f>+G49</f>
        <v>4.2255401422511163</v>
      </c>
      <c r="G15" s="112">
        <f>+G62</f>
        <v>5.2850413578598019</v>
      </c>
      <c r="H15" s="112">
        <f>+G75</f>
        <v>4.8861703119835909</v>
      </c>
      <c r="I15" s="112">
        <f>+G88</f>
        <v>4.4872992661073781</v>
      </c>
      <c r="J15" s="112">
        <f>+G101</f>
        <v>4.0884282202311661</v>
      </c>
      <c r="K15" s="112">
        <f>+G114</f>
        <v>3.6895571743549547</v>
      </c>
      <c r="L15" s="112">
        <f>+G127</f>
        <v>3.2906861284787419</v>
      </c>
      <c r="M15" s="112">
        <f>+G140</f>
        <v>2.8918150826025295</v>
      </c>
      <c r="N15" s="112">
        <f>+G153</f>
        <v>2.4929440367263171</v>
      </c>
      <c r="O15" s="112">
        <f>+G166</f>
        <v>2.0940729908501052</v>
      </c>
      <c r="P15" s="112">
        <f>+G179</f>
        <v>1.6952019449738935</v>
      </c>
      <c r="Q15" s="112">
        <f>+G192</f>
        <v>1.296330899097681</v>
      </c>
      <c r="R15" s="112">
        <f>+G205</f>
        <v>0.89745985322146904</v>
      </c>
      <c r="S15" s="112">
        <f>+G218</f>
        <v>0.49858880734525729</v>
      </c>
      <c r="T15" s="112">
        <f>+G231</f>
        <v>0.11218248165267737</v>
      </c>
      <c r="U15" s="112">
        <f>SUM(F246:F257)</f>
        <v>-7.1168071436034104E-15</v>
      </c>
      <c r="V15" s="112">
        <f>SUM(F259:F270)</f>
        <v>-7.1168071436034104E-15</v>
      </c>
      <c r="W15" s="112">
        <f>SUM(F272:F283)</f>
        <v>-7.1168071436034104E-15</v>
      </c>
      <c r="X15" s="112">
        <f>SUM(F285:F296)</f>
        <v>-7.1168071436034104E-15</v>
      </c>
      <c r="Y15" s="112">
        <f>SUM(F298:F309)</f>
        <v>-7.1168071436034104E-15</v>
      </c>
      <c r="Z15" s="112">
        <v>0</v>
      </c>
      <c r="AA15" s="112">
        <v>0</v>
      </c>
      <c r="AB15" s="112">
        <v>0</v>
      </c>
      <c r="AC15" s="112">
        <v>0</v>
      </c>
      <c r="AD15" s="112">
        <v>0</v>
      </c>
    </row>
    <row r="16" spans="2:30">
      <c r="B16" s="145" t="s">
        <v>167</v>
      </c>
      <c r="D16" s="146">
        <f>D15</f>
        <v>0</v>
      </c>
      <c r="E16" s="146">
        <f>E15</f>
        <v>1.445907541301267</v>
      </c>
      <c r="F16" s="112">
        <v>0</v>
      </c>
      <c r="G16" s="112">
        <v>0</v>
      </c>
      <c r="H16" s="112">
        <v>0</v>
      </c>
      <c r="I16" s="112">
        <v>0</v>
      </c>
      <c r="J16" s="112">
        <v>0</v>
      </c>
      <c r="K16" s="112">
        <v>0</v>
      </c>
      <c r="L16" s="112">
        <v>0</v>
      </c>
      <c r="M16" s="112">
        <v>0</v>
      </c>
      <c r="N16" s="112">
        <v>0</v>
      </c>
      <c r="O16" s="112">
        <v>0</v>
      </c>
      <c r="P16" s="112">
        <v>0</v>
      </c>
      <c r="Q16" s="112">
        <v>0</v>
      </c>
      <c r="R16" s="112">
        <v>0</v>
      </c>
      <c r="S16" s="112">
        <v>0</v>
      </c>
      <c r="T16" s="112">
        <v>0</v>
      </c>
      <c r="U16" s="112">
        <v>0</v>
      </c>
      <c r="V16" s="112">
        <v>0</v>
      </c>
      <c r="W16" s="112">
        <v>0</v>
      </c>
      <c r="X16" s="112">
        <v>0</v>
      </c>
      <c r="Y16" s="112">
        <v>0</v>
      </c>
      <c r="Z16" s="112">
        <v>0</v>
      </c>
      <c r="AA16" s="112">
        <v>0</v>
      </c>
      <c r="AB16" s="112">
        <v>0</v>
      </c>
      <c r="AC16" s="112">
        <v>0</v>
      </c>
      <c r="AD16" s="112">
        <v>0</v>
      </c>
    </row>
    <row r="17" spans="2:30">
      <c r="B17" s="71" t="s">
        <v>168</v>
      </c>
      <c r="C17" s="72"/>
      <c r="D17" s="120">
        <f>D15-D16</f>
        <v>0</v>
      </c>
      <c r="E17" s="120">
        <f>E15-E16</f>
        <v>0</v>
      </c>
      <c r="F17" s="120">
        <f t="shared" ref="F17:AD17" si="4">F15-F16</f>
        <v>4.2255401422511163</v>
      </c>
      <c r="G17" s="120">
        <f t="shared" si="4"/>
        <v>5.2850413578598019</v>
      </c>
      <c r="H17" s="120">
        <f t="shared" si="4"/>
        <v>4.8861703119835909</v>
      </c>
      <c r="I17" s="120">
        <f t="shared" si="4"/>
        <v>4.4872992661073781</v>
      </c>
      <c r="J17" s="120">
        <f t="shared" si="4"/>
        <v>4.0884282202311661</v>
      </c>
      <c r="K17" s="120">
        <f t="shared" si="4"/>
        <v>3.6895571743549547</v>
      </c>
      <c r="L17" s="120">
        <f t="shared" si="4"/>
        <v>3.2906861284787419</v>
      </c>
      <c r="M17" s="120">
        <f t="shared" si="4"/>
        <v>2.8918150826025295</v>
      </c>
      <c r="N17" s="120">
        <f t="shared" si="4"/>
        <v>2.4929440367263171</v>
      </c>
      <c r="O17" s="120">
        <f t="shared" si="4"/>
        <v>2.0940729908501052</v>
      </c>
      <c r="P17" s="120">
        <f t="shared" si="4"/>
        <v>1.6952019449738935</v>
      </c>
      <c r="Q17" s="120">
        <f t="shared" si="4"/>
        <v>1.296330899097681</v>
      </c>
      <c r="R17" s="120">
        <f t="shared" si="4"/>
        <v>0.89745985322146904</v>
      </c>
      <c r="S17" s="120">
        <f t="shared" si="4"/>
        <v>0.49858880734525729</v>
      </c>
      <c r="T17" s="120">
        <f t="shared" si="4"/>
        <v>0.11218248165267737</v>
      </c>
      <c r="U17" s="120">
        <f t="shared" si="4"/>
        <v>-7.1168071436034104E-15</v>
      </c>
      <c r="V17" s="120">
        <f t="shared" si="4"/>
        <v>-7.1168071436034104E-15</v>
      </c>
      <c r="W17" s="120">
        <f t="shared" si="4"/>
        <v>-7.1168071436034104E-15</v>
      </c>
      <c r="X17" s="120">
        <f t="shared" si="4"/>
        <v>-7.1168071436034104E-15</v>
      </c>
      <c r="Y17" s="120">
        <f t="shared" si="4"/>
        <v>-7.1168071436034104E-15</v>
      </c>
      <c r="Z17" s="120">
        <f t="shared" si="4"/>
        <v>0</v>
      </c>
      <c r="AA17" s="120">
        <f t="shared" si="4"/>
        <v>0</v>
      </c>
      <c r="AB17" s="120">
        <f t="shared" si="4"/>
        <v>0</v>
      </c>
      <c r="AC17" s="120">
        <f t="shared" si="4"/>
        <v>0</v>
      </c>
      <c r="AD17" s="120">
        <f t="shared" si="4"/>
        <v>0</v>
      </c>
    </row>
    <row r="19" spans="2:30">
      <c r="B19" s="71" t="s">
        <v>57</v>
      </c>
      <c r="C19" s="72"/>
      <c r="D19" s="147"/>
      <c r="E19" s="147"/>
      <c r="F19" s="147"/>
      <c r="G19" s="72"/>
      <c r="H19" s="72"/>
      <c r="I19" s="72"/>
      <c r="J19" s="72"/>
      <c r="K19" s="72"/>
      <c r="L19" s="72"/>
      <c r="M19" s="72"/>
      <c r="N19" s="72"/>
    </row>
    <row r="21" spans="2:30" ht="30">
      <c r="B21" s="71" t="s">
        <v>169</v>
      </c>
      <c r="C21" s="120">
        <f>'PC &amp; MoF'!F25</f>
        <v>62.525731515730463</v>
      </c>
      <c r="D21" s="72"/>
      <c r="E21" s="72" t="s">
        <v>170</v>
      </c>
      <c r="F21" s="229" t="s">
        <v>545</v>
      </c>
      <c r="G21" s="72"/>
      <c r="H21" s="72"/>
      <c r="I21" s="72"/>
    </row>
    <row r="22" spans="2:30">
      <c r="B22" s="71" t="s">
        <v>171</v>
      </c>
      <c r="C22" s="148">
        <f>Assumptions!D46</f>
        <v>9.2499999999999999E-2</v>
      </c>
      <c r="D22" s="148"/>
      <c r="E22" s="72" t="s">
        <v>394</v>
      </c>
      <c r="F22" s="324">
        <f>+C21/174</f>
        <v>0.35934328457316356</v>
      </c>
      <c r="G22" s="72"/>
      <c r="H22" s="72" t="s">
        <v>172</v>
      </c>
      <c r="I22" s="72" t="s">
        <v>172</v>
      </c>
    </row>
    <row r="23" spans="2:30">
      <c r="B23" s="121" t="s">
        <v>0</v>
      </c>
      <c r="C23" s="37" t="s">
        <v>173</v>
      </c>
      <c r="D23" s="37" t="s">
        <v>174</v>
      </c>
      <c r="E23" s="37" t="s">
        <v>175</v>
      </c>
      <c r="F23" s="37" t="s">
        <v>166</v>
      </c>
      <c r="G23" s="37"/>
      <c r="H23" s="37" t="s">
        <v>176</v>
      </c>
      <c r="I23" s="37" t="s">
        <v>177</v>
      </c>
    </row>
    <row r="24" spans="2:30">
      <c r="B24" s="61" t="s">
        <v>178</v>
      </c>
      <c r="C24" s="61"/>
      <c r="D24" s="61"/>
      <c r="E24" s="61"/>
      <c r="F24" s="61"/>
      <c r="G24" s="61"/>
      <c r="H24" s="61"/>
      <c r="I24" s="61"/>
    </row>
    <row r="25" spans="2:30">
      <c r="B25" s="31" t="s">
        <v>179</v>
      </c>
      <c r="C25" s="84">
        <v>0</v>
      </c>
      <c r="D25" s="84">
        <v>0</v>
      </c>
      <c r="E25" s="84">
        <v>0</v>
      </c>
      <c r="F25" s="84">
        <v>0</v>
      </c>
      <c r="G25" s="84"/>
      <c r="H25" s="84"/>
      <c r="I25" s="84"/>
    </row>
    <row r="26" spans="2:30">
      <c r="B26" s="31" t="s">
        <v>180</v>
      </c>
      <c r="C26" s="84">
        <v>0</v>
      </c>
      <c r="D26" s="84">
        <v>0</v>
      </c>
      <c r="E26" s="84">
        <v>0</v>
      </c>
      <c r="F26" s="84">
        <v>0</v>
      </c>
      <c r="G26" s="84"/>
      <c r="H26" s="84"/>
      <c r="I26" s="84"/>
    </row>
    <row r="27" spans="2:30">
      <c r="B27" s="31" t="s">
        <v>181</v>
      </c>
      <c r="C27" s="84">
        <v>0</v>
      </c>
      <c r="D27" s="84">
        <v>0</v>
      </c>
      <c r="E27" s="84">
        <v>0</v>
      </c>
      <c r="F27" s="84">
        <v>0</v>
      </c>
      <c r="G27" s="84"/>
      <c r="H27" s="84"/>
      <c r="I27" s="84"/>
    </row>
    <row r="28" spans="2:30">
      <c r="B28" s="31" t="s">
        <v>182</v>
      </c>
      <c r="C28" s="84">
        <v>0</v>
      </c>
      <c r="D28" s="84">
        <v>0</v>
      </c>
      <c r="E28" s="84">
        <v>0</v>
      </c>
      <c r="F28" s="84">
        <v>0</v>
      </c>
      <c r="G28" s="84"/>
      <c r="H28" s="84"/>
      <c r="I28" s="84"/>
    </row>
    <row r="29" spans="2:30">
      <c r="B29" s="31" t="s">
        <v>183</v>
      </c>
      <c r="C29" s="84">
        <f>E28+$C$19*H29</f>
        <v>0</v>
      </c>
      <c r="D29" s="84">
        <v>0</v>
      </c>
      <c r="E29" s="84">
        <f>C29-D29</f>
        <v>0</v>
      </c>
      <c r="F29" s="84">
        <f>AVERAGE(C29,E29)*$C$20/12</f>
        <v>0</v>
      </c>
      <c r="G29" s="84"/>
      <c r="H29" s="84"/>
      <c r="I29" s="84"/>
    </row>
    <row r="30" spans="2:30">
      <c r="B30" s="31" t="s">
        <v>184</v>
      </c>
      <c r="C30" s="84">
        <f>E29+$C$21*H30</f>
        <v>0</v>
      </c>
      <c r="D30" s="84">
        <v>0</v>
      </c>
      <c r="E30" s="84">
        <f t="shared" ref="E30:E93" si="5">C30-D30</f>
        <v>0</v>
      </c>
      <c r="F30" s="84">
        <f>AVERAGE(C30,E30)*$C$22/12</f>
        <v>0</v>
      </c>
      <c r="G30" s="84"/>
      <c r="H30" s="84"/>
      <c r="I30" s="84"/>
    </row>
    <row r="31" spans="2:30">
      <c r="B31" s="31" t="s">
        <v>185</v>
      </c>
      <c r="C31" s="84">
        <f>E30+$C$21*H31</f>
        <v>0</v>
      </c>
      <c r="D31" s="84">
        <v>0</v>
      </c>
      <c r="E31" s="84">
        <f t="shared" si="5"/>
        <v>0</v>
      </c>
      <c r="F31" s="84">
        <f t="shared" ref="F31:F32" si="6">AVERAGE(C31,E31)*$D$22/12</f>
        <v>0</v>
      </c>
      <c r="G31" s="84"/>
      <c r="H31" s="84"/>
      <c r="I31" s="84"/>
    </row>
    <row r="32" spans="2:30">
      <c r="B32" s="31" t="s">
        <v>186</v>
      </c>
      <c r="C32" s="84">
        <f t="shared" ref="C32:C35" si="7">E31+$C$21*H32</f>
        <v>0</v>
      </c>
      <c r="D32" s="84">
        <v>0</v>
      </c>
      <c r="E32" s="84">
        <f t="shared" si="5"/>
        <v>0</v>
      </c>
      <c r="F32" s="84">
        <f t="shared" si="6"/>
        <v>0</v>
      </c>
      <c r="G32" s="84"/>
      <c r="H32" s="84"/>
      <c r="I32" s="84"/>
    </row>
    <row r="33" spans="2:9">
      <c r="B33" s="31" t="s">
        <v>187</v>
      </c>
      <c r="C33" s="84">
        <v>0</v>
      </c>
      <c r="D33" s="84">
        <v>0</v>
      </c>
      <c r="E33" s="84">
        <f t="shared" si="5"/>
        <v>0</v>
      </c>
      <c r="F33" s="322">
        <f>AVERAGE(C33,E33)*$C$22/12</f>
        <v>0</v>
      </c>
      <c r="G33" s="322"/>
      <c r="H33" s="323"/>
      <c r="I33" s="323"/>
    </row>
    <row r="34" spans="2:9">
      <c r="B34" s="151" t="s">
        <v>188</v>
      </c>
      <c r="C34" s="152">
        <f t="shared" si="7"/>
        <v>0</v>
      </c>
      <c r="D34" s="152">
        <v>0</v>
      </c>
      <c r="E34" s="152">
        <f t="shared" si="5"/>
        <v>0</v>
      </c>
      <c r="F34" s="152">
        <f t="shared" ref="F34:F35" si="8">AVERAGE(C34,E34)*$C$22/12</f>
        <v>0</v>
      </c>
      <c r="G34" s="152"/>
      <c r="H34" s="201"/>
      <c r="I34" s="201"/>
    </row>
    <row r="35" spans="2:9">
      <c r="B35" s="151" t="s">
        <v>189</v>
      </c>
      <c r="C35" s="152">
        <f t="shared" si="7"/>
        <v>0</v>
      </c>
      <c r="D35" s="152">
        <v>0</v>
      </c>
      <c r="E35" s="152">
        <f t="shared" si="5"/>
        <v>0</v>
      </c>
      <c r="F35" s="152">
        <f t="shared" si="8"/>
        <v>0</v>
      </c>
      <c r="G35" s="152"/>
      <c r="H35" s="201"/>
      <c r="I35" s="201"/>
    </row>
    <row r="36" spans="2:9">
      <c r="B36" s="31" t="s">
        <v>190</v>
      </c>
      <c r="C36" s="84"/>
      <c r="D36" s="84">
        <v>0</v>
      </c>
      <c r="E36" s="84">
        <f t="shared" si="5"/>
        <v>0</v>
      </c>
      <c r="F36" s="84">
        <v>0</v>
      </c>
      <c r="G36" s="84"/>
      <c r="H36" s="323"/>
      <c r="I36" s="323"/>
    </row>
    <row r="37" spans="2:9">
      <c r="B37" s="99" t="s">
        <v>191</v>
      </c>
      <c r="C37" s="99"/>
      <c r="D37" s="99"/>
      <c r="E37" s="99"/>
      <c r="F37" s="99"/>
      <c r="G37" s="99"/>
      <c r="H37" s="202"/>
      <c r="I37" s="202"/>
    </row>
    <row r="38" spans="2:9">
      <c r="B38" s="149" t="s">
        <v>179</v>
      </c>
      <c r="C38" s="150">
        <f>+C21</f>
        <v>62.525731515730463</v>
      </c>
      <c r="D38" s="150">
        <v>0</v>
      </c>
      <c r="E38" s="150">
        <f t="shared" si="5"/>
        <v>62.525731515730463</v>
      </c>
      <c r="F38" s="150">
        <f t="shared" ref="F38:F101" si="9">AVERAGE(C38,E38)*$C$22/12</f>
        <v>0.48196918043375564</v>
      </c>
      <c r="G38" s="150"/>
      <c r="H38" s="200"/>
      <c r="I38" s="200"/>
    </row>
    <row r="39" spans="2:9">
      <c r="B39" s="149" t="s">
        <v>180</v>
      </c>
      <c r="C39" s="150">
        <f>E38+$C$21*H39</f>
        <v>62.525731515730463</v>
      </c>
      <c r="D39" s="150">
        <v>0</v>
      </c>
      <c r="E39" s="150">
        <f t="shared" si="5"/>
        <v>62.525731515730463</v>
      </c>
      <c r="F39" s="150">
        <f t="shared" si="9"/>
        <v>0.48196918043375564</v>
      </c>
      <c r="G39" s="150"/>
      <c r="H39" s="200"/>
      <c r="I39" s="200"/>
    </row>
    <row r="40" spans="2:9">
      <c r="B40" s="149" t="s">
        <v>181</v>
      </c>
      <c r="C40" s="150">
        <f>E39+$C$21*H40</f>
        <v>62.525731515730463</v>
      </c>
      <c r="D40" s="150">
        <v>0</v>
      </c>
      <c r="E40" s="150">
        <f t="shared" si="5"/>
        <v>62.525731515730463</v>
      </c>
      <c r="F40" s="150">
        <f t="shared" si="9"/>
        <v>0.48196918043375564</v>
      </c>
      <c r="G40" s="150"/>
      <c r="H40" s="200"/>
      <c r="I40" s="200"/>
    </row>
    <row r="41" spans="2:9">
      <c r="B41" s="153" t="s">
        <v>182</v>
      </c>
      <c r="C41" s="154">
        <f t="shared" ref="C41:C45" si="10">E40+$C$21*H41</f>
        <v>62.525731515730463</v>
      </c>
      <c r="D41" s="154">
        <f t="shared" ref="D41:D103" si="11">+$F$22</f>
        <v>0.35934328457316356</v>
      </c>
      <c r="E41" s="154">
        <f t="shared" si="5"/>
        <v>62.166388231157299</v>
      </c>
      <c r="F41" s="154">
        <f t="shared" si="9"/>
        <v>0.48058421152446323</v>
      </c>
      <c r="G41" s="154"/>
      <c r="H41" s="203"/>
      <c r="I41" s="203"/>
    </row>
    <row r="42" spans="2:9">
      <c r="B42" s="153" t="s">
        <v>183</v>
      </c>
      <c r="C42" s="154">
        <f t="shared" si="10"/>
        <v>62.166388231157299</v>
      </c>
      <c r="D42" s="154">
        <f t="shared" si="11"/>
        <v>0.35934328457316356</v>
      </c>
      <c r="E42" s="154">
        <f t="shared" si="5"/>
        <v>61.807044946584135</v>
      </c>
      <c r="F42" s="154">
        <f t="shared" si="9"/>
        <v>0.47781427370587842</v>
      </c>
      <c r="G42" s="154"/>
      <c r="H42" s="203"/>
      <c r="I42" s="203"/>
    </row>
    <row r="43" spans="2:9">
      <c r="B43" s="153" t="s">
        <v>184</v>
      </c>
      <c r="C43" s="154">
        <f t="shared" si="10"/>
        <v>61.807044946584135</v>
      </c>
      <c r="D43" s="154">
        <f t="shared" si="11"/>
        <v>0.35934328457316356</v>
      </c>
      <c r="E43" s="154">
        <f t="shared" si="5"/>
        <v>61.447701662010971</v>
      </c>
      <c r="F43" s="154">
        <f t="shared" si="9"/>
        <v>0.47504433588729361</v>
      </c>
      <c r="G43" s="154"/>
      <c r="H43" s="203"/>
      <c r="I43" s="203"/>
    </row>
    <row r="44" spans="2:9">
      <c r="B44" s="153" t="s">
        <v>185</v>
      </c>
      <c r="C44" s="154">
        <f t="shared" si="10"/>
        <v>61.447701662010971</v>
      </c>
      <c r="D44" s="154">
        <f t="shared" si="11"/>
        <v>0.35934328457316356</v>
      </c>
      <c r="E44" s="154">
        <f t="shared" si="5"/>
        <v>61.088358377437807</v>
      </c>
      <c r="F44" s="154">
        <f t="shared" si="9"/>
        <v>0.4722743980687088</v>
      </c>
      <c r="G44" s="154"/>
      <c r="H44" s="203"/>
      <c r="I44" s="203"/>
    </row>
    <row r="45" spans="2:9">
      <c r="B45" s="153" t="s">
        <v>186</v>
      </c>
      <c r="C45" s="154">
        <f t="shared" si="10"/>
        <v>61.088358377437807</v>
      </c>
      <c r="D45" s="154">
        <f t="shared" si="11"/>
        <v>0.35934328457316356</v>
      </c>
      <c r="E45" s="154">
        <f t="shared" si="5"/>
        <v>60.729015092864643</v>
      </c>
      <c r="F45" s="154">
        <f t="shared" si="9"/>
        <v>0.46950446025012399</v>
      </c>
      <c r="G45" s="154"/>
      <c r="H45" s="203"/>
      <c r="I45" s="203"/>
    </row>
    <row r="46" spans="2:9">
      <c r="B46" s="153" t="s">
        <v>187</v>
      </c>
      <c r="C46" s="154">
        <f>E45+$C$21*H46</f>
        <v>60.729015092864643</v>
      </c>
      <c r="D46" s="154">
        <f t="shared" si="11"/>
        <v>0.35934328457316356</v>
      </c>
      <c r="E46" s="154">
        <f t="shared" si="5"/>
        <v>60.369671808291478</v>
      </c>
      <c r="F46" s="154">
        <f t="shared" si="9"/>
        <v>0.46673452243153929</v>
      </c>
      <c r="G46" s="154"/>
      <c r="H46" s="203"/>
      <c r="I46" s="203"/>
    </row>
    <row r="47" spans="2:9">
      <c r="B47" s="153" t="s">
        <v>188</v>
      </c>
      <c r="C47" s="154">
        <f t="shared" ref="C47:C49" si="12">E46+$C$19*H47</f>
        <v>60.369671808291478</v>
      </c>
      <c r="D47" s="154">
        <f t="shared" si="11"/>
        <v>0.35934328457316356</v>
      </c>
      <c r="E47" s="154">
        <f t="shared" si="5"/>
        <v>60.010328523718314</v>
      </c>
      <c r="F47" s="154">
        <f t="shared" si="9"/>
        <v>0.46396458461295437</v>
      </c>
      <c r="G47" s="154"/>
      <c r="H47" s="203"/>
      <c r="I47" s="203"/>
    </row>
    <row r="48" spans="2:9">
      <c r="B48" s="153" t="s">
        <v>189</v>
      </c>
      <c r="C48" s="154">
        <f t="shared" si="12"/>
        <v>60.010328523718314</v>
      </c>
      <c r="D48" s="154">
        <f t="shared" si="11"/>
        <v>0.35934328457316356</v>
      </c>
      <c r="E48" s="154">
        <f t="shared" si="5"/>
        <v>59.65098523914515</v>
      </c>
      <c r="F48" s="154">
        <f t="shared" si="9"/>
        <v>0.46119464679436967</v>
      </c>
      <c r="G48" s="154"/>
      <c r="H48" s="203"/>
      <c r="I48" s="203"/>
    </row>
    <row r="49" spans="1:13">
      <c r="B49" s="153" t="s">
        <v>190</v>
      </c>
      <c r="C49" s="154">
        <f t="shared" si="12"/>
        <v>59.65098523914515</v>
      </c>
      <c r="D49" s="154">
        <f t="shared" si="11"/>
        <v>0.35934328457316356</v>
      </c>
      <c r="E49" s="154">
        <f t="shared" si="5"/>
        <v>59.291641954571986</v>
      </c>
      <c r="F49" s="154">
        <f t="shared" si="9"/>
        <v>0.45842470897578474</v>
      </c>
      <c r="G49" s="168">
        <f>+SUM(F41:F49)</f>
        <v>4.2255401422511163</v>
      </c>
      <c r="H49" s="203"/>
      <c r="I49" s="203"/>
    </row>
    <row r="50" spans="1:13">
      <c r="B50" s="155" t="s">
        <v>192</v>
      </c>
      <c r="C50" s="155"/>
      <c r="D50" s="155"/>
      <c r="E50" s="156"/>
      <c r="F50" s="156"/>
      <c r="G50" s="156"/>
      <c r="H50" s="204"/>
      <c r="I50" s="204"/>
    </row>
    <row r="51" spans="1:13">
      <c r="B51" s="157" t="s">
        <v>179</v>
      </c>
      <c r="C51" s="158">
        <f>E49</f>
        <v>59.291641954571986</v>
      </c>
      <c r="D51" s="158">
        <f t="shared" si="11"/>
        <v>0.35934328457316356</v>
      </c>
      <c r="E51" s="158">
        <f t="shared" si="5"/>
        <v>58.932298669998822</v>
      </c>
      <c r="F51" s="158">
        <f t="shared" si="9"/>
        <v>0.45565477115720004</v>
      </c>
      <c r="G51" s="158"/>
      <c r="H51" s="205"/>
      <c r="I51" s="205"/>
    </row>
    <row r="52" spans="1:13">
      <c r="B52" s="157" t="s">
        <v>180</v>
      </c>
      <c r="C52" s="158">
        <f>E51</f>
        <v>58.932298669998822</v>
      </c>
      <c r="D52" s="158">
        <f t="shared" si="11"/>
        <v>0.35934328457316356</v>
      </c>
      <c r="E52" s="158">
        <f t="shared" si="5"/>
        <v>58.572955385425658</v>
      </c>
      <c r="F52" s="158">
        <f t="shared" si="9"/>
        <v>0.45288483333861512</v>
      </c>
      <c r="G52" s="158"/>
      <c r="H52" s="205"/>
      <c r="I52" s="205"/>
    </row>
    <row r="53" spans="1:13">
      <c r="B53" s="157" t="s">
        <v>181</v>
      </c>
      <c r="C53" s="158">
        <f t="shared" ref="C53:C62" si="13">E52</f>
        <v>58.572955385425658</v>
      </c>
      <c r="D53" s="158">
        <f t="shared" si="11"/>
        <v>0.35934328457316356</v>
      </c>
      <c r="E53" s="158">
        <f t="shared" si="5"/>
        <v>58.213612100852494</v>
      </c>
      <c r="F53" s="158">
        <f t="shared" si="9"/>
        <v>0.45011489552003042</v>
      </c>
      <c r="G53" s="158"/>
      <c r="H53" s="205"/>
      <c r="I53" s="205"/>
    </row>
    <row r="54" spans="1:13">
      <c r="B54" s="157" t="s">
        <v>182</v>
      </c>
      <c r="C54" s="158">
        <f t="shared" si="13"/>
        <v>58.213612100852494</v>
      </c>
      <c r="D54" s="158">
        <f t="shared" si="11"/>
        <v>0.35934328457316356</v>
      </c>
      <c r="E54" s="158">
        <f t="shared" si="5"/>
        <v>57.85426881627933</v>
      </c>
      <c r="F54" s="158">
        <f t="shared" si="9"/>
        <v>0.4473449577014455</v>
      </c>
      <c r="G54" s="158"/>
      <c r="H54" s="205"/>
      <c r="I54" s="205"/>
    </row>
    <row r="55" spans="1:13">
      <c r="B55" s="157" t="s">
        <v>183</v>
      </c>
      <c r="C55" s="158">
        <f t="shared" si="13"/>
        <v>57.85426881627933</v>
      </c>
      <c r="D55" s="158">
        <f t="shared" si="11"/>
        <v>0.35934328457316356</v>
      </c>
      <c r="E55" s="158">
        <f t="shared" si="5"/>
        <v>57.494925531706166</v>
      </c>
      <c r="F55" s="158">
        <f t="shared" si="9"/>
        <v>0.4445750198828608</v>
      </c>
      <c r="G55" s="158"/>
      <c r="H55" s="205"/>
      <c r="I55" s="205"/>
    </row>
    <row r="56" spans="1:13">
      <c r="B56" s="157" t="s">
        <v>184</v>
      </c>
      <c r="C56" s="158">
        <f t="shared" si="13"/>
        <v>57.494925531706166</v>
      </c>
      <c r="D56" s="158">
        <f t="shared" si="11"/>
        <v>0.35934328457316356</v>
      </c>
      <c r="E56" s="158">
        <f t="shared" si="5"/>
        <v>57.135582247133001</v>
      </c>
      <c r="F56" s="158">
        <f t="shared" si="9"/>
        <v>0.44180508206427588</v>
      </c>
      <c r="G56" s="158"/>
      <c r="H56" s="205"/>
      <c r="I56" s="205"/>
    </row>
    <row r="57" spans="1:13">
      <c r="B57" s="157" t="s">
        <v>185</v>
      </c>
      <c r="C57" s="158">
        <f t="shared" si="13"/>
        <v>57.135582247133001</v>
      </c>
      <c r="D57" s="158">
        <f t="shared" si="11"/>
        <v>0.35934328457316356</v>
      </c>
      <c r="E57" s="158">
        <f t="shared" si="5"/>
        <v>56.776238962559837</v>
      </c>
      <c r="F57" s="158">
        <f t="shared" si="9"/>
        <v>0.43903514424569118</v>
      </c>
      <c r="G57" s="158"/>
      <c r="H57" s="205"/>
      <c r="I57" s="205"/>
    </row>
    <row r="58" spans="1:13">
      <c r="B58" s="157" t="s">
        <v>186</v>
      </c>
      <c r="C58" s="158">
        <f t="shared" si="13"/>
        <v>56.776238962559837</v>
      </c>
      <c r="D58" s="158">
        <f t="shared" si="11"/>
        <v>0.35934328457316356</v>
      </c>
      <c r="E58" s="158">
        <f t="shared" si="5"/>
        <v>56.416895677986673</v>
      </c>
      <c r="F58" s="158">
        <f t="shared" si="9"/>
        <v>0.43626520642710626</v>
      </c>
      <c r="G58" s="158"/>
      <c r="H58" s="205"/>
      <c r="I58" s="205"/>
    </row>
    <row r="59" spans="1:13">
      <c r="B59" s="157" t="s">
        <v>187</v>
      </c>
      <c r="C59" s="158">
        <f t="shared" si="13"/>
        <v>56.416895677986673</v>
      </c>
      <c r="D59" s="158">
        <f t="shared" si="11"/>
        <v>0.35934328457316356</v>
      </c>
      <c r="E59" s="158">
        <f t="shared" si="5"/>
        <v>56.057552393413509</v>
      </c>
      <c r="F59" s="158">
        <f t="shared" si="9"/>
        <v>0.43349526860852156</v>
      </c>
      <c r="G59" s="158"/>
      <c r="H59" s="205"/>
      <c r="I59" s="205"/>
    </row>
    <row r="60" spans="1:13">
      <c r="B60" s="157" t="s">
        <v>188</v>
      </c>
      <c r="C60" s="158">
        <f t="shared" si="13"/>
        <v>56.057552393413509</v>
      </c>
      <c r="D60" s="158">
        <f t="shared" si="11"/>
        <v>0.35934328457316356</v>
      </c>
      <c r="E60" s="158">
        <f t="shared" si="5"/>
        <v>55.698209108840345</v>
      </c>
      <c r="F60" s="158">
        <f t="shared" si="9"/>
        <v>0.43072533078993674</v>
      </c>
      <c r="G60" s="158"/>
      <c r="H60" s="205"/>
      <c r="I60" s="205"/>
    </row>
    <row r="61" spans="1:13">
      <c r="B61" s="157" t="s">
        <v>189</v>
      </c>
      <c r="C61" s="158">
        <f t="shared" si="13"/>
        <v>55.698209108840345</v>
      </c>
      <c r="D61" s="158">
        <f t="shared" si="11"/>
        <v>0.35934328457316356</v>
      </c>
      <c r="E61" s="158">
        <f t="shared" si="5"/>
        <v>55.338865824267181</v>
      </c>
      <c r="F61" s="158">
        <f t="shared" si="9"/>
        <v>0.42795539297135193</v>
      </c>
      <c r="G61" s="158"/>
      <c r="H61" s="205"/>
      <c r="I61" s="205"/>
    </row>
    <row r="62" spans="1:13">
      <c r="B62" s="157" t="s">
        <v>190</v>
      </c>
      <c r="C62" s="158">
        <f t="shared" si="13"/>
        <v>55.338865824267181</v>
      </c>
      <c r="D62" s="158">
        <f t="shared" si="11"/>
        <v>0.35934328457316356</v>
      </c>
      <c r="E62" s="158">
        <f t="shared" si="5"/>
        <v>54.979522539694017</v>
      </c>
      <c r="F62" s="158">
        <f t="shared" si="9"/>
        <v>0.42518545515276712</v>
      </c>
      <c r="G62" s="168">
        <f>+SUM(F51:F62)</f>
        <v>5.2850413578598019</v>
      </c>
      <c r="H62" s="205"/>
      <c r="I62" s="205"/>
      <c r="M62" s="159"/>
    </row>
    <row r="63" spans="1:13">
      <c r="A63" s="416">
        <v>1</v>
      </c>
      <c r="B63" s="160" t="s">
        <v>193</v>
      </c>
      <c r="C63" s="161"/>
      <c r="D63" s="161"/>
      <c r="E63" s="162"/>
      <c r="F63" s="162"/>
      <c r="G63" s="162"/>
      <c r="H63" s="206"/>
      <c r="I63" s="206"/>
    </row>
    <row r="64" spans="1:13">
      <c r="A64" s="416"/>
      <c r="B64" s="163" t="s">
        <v>179</v>
      </c>
      <c r="C64" s="164">
        <f>E62</f>
        <v>54.979522539694017</v>
      </c>
      <c r="D64" s="83">
        <f t="shared" si="11"/>
        <v>0.35934328457316356</v>
      </c>
      <c r="E64" s="164">
        <f t="shared" si="5"/>
        <v>54.620179255120853</v>
      </c>
      <c r="F64" s="164">
        <f t="shared" si="9"/>
        <v>0.42241551733418237</v>
      </c>
      <c r="G64" s="164"/>
      <c r="H64" s="207"/>
      <c r="I64" s="207"/>
    </row>
    <row r="65" spans="1:9">
      <c r="A65" s="416"/>
      <c r="B65" s="163" t="s">
        <v>180</v>
      </c>
      <c r="C65" s="164">
        <f>E64</f>
        <v>54.620179255120853</v>
      </c>
      <c r="D65" s="83">
        <f t="shared" si="11"/>
        <v>0.35934328457316356</v>
      </c>
      <c r="E65" s="164">
        <f t="shared" si="5"/>
        <v>54.260835970547689</v>
      </c>
      <c r="F65" s="164">
        <f t="shared" si="9"/>
        <v>0.4196455795155975</v>
      </c>
      <c r="G65" s="164"/>
      <c r="H65" s="207"/>
      <c r="I65" s="207"/>
    </row>
    <row r="66" spans="1:9">
      <c r="A66" s="416"/>
      <c r="B66" s="163" t="s">
        <v>181</v>
      </c>
      <c r="C66" s="164">
        <f t="shared" ref="C66:C75" si="14">E65</f>
        <v>54.260835970547689</v>
      </c>
      <c r="D66" s="83">
        <f t="shared" si="11"/>
        <v>0.35934328457316356</v>
      </c>
      <c r="E66" s="164">
        <f t="shared" si="5"/>
        <v>53.901492685974524</v>
      </c>
      <c r="F66" s="164">
        <f t="shared" si="9"/>
        <v>0.41687564169701274</v>
      </c>
      <c r="G66" s="164"/>
      <c r="H66" s="207"/>
      <c r="I66" s="207"/>
    </row>
    <row r="67" spans="1:9">
      <c r="A67" s="416"/>
      <c r="B67" s="163" t="s">
        <v>182</v>
      </c>
      <c r="C67" s="164">
        <f t="shared" si="14"/>
        <v>53.901492685974524</v>
      </c>
      <c r="D67" s="83">
        <f t="shared" si="11"/>
        <v>0.35934328457316356</v>
      </c>
      <c r="E67" s="164">
        <f t="shared" si="5"/>
        <v>53.54214940140136</v>
      </c>
      <c r="F67" s="164">
        <f t="shared" si="9"/>
        <v>0.41410570387842788</v>
      </c>
      <c r="G67" s="164"/>
      <c r="H67" s="207"/>
      <c r="I67" s="207"/>
    </row>
    <row r="68" spans="1:9">
      <c r="A68" s="416"/>
      <c r="B68" s="163" t="s">
        <v>183</v>
      </c>
      <c r="C68" s="164">
        <f t="shared" si="14"/>
        <v>53.54214940140136</v>
      </c>
      <c r="D68" s="83">
        <f t="shared" si="11"/>
        <v>0.35934328457316356</v>
      </c>
      <c r="E68" s="164">
        <f t="shared" si="5"/>
        <v>53.182806116828196</v>
      </c>
      <c r="F68" s="164">
        <f t="shared" si="9"/>
        <v>0.41133576605984312</v>
      </c>
      <c r="G68" s="164"/>
      <c r="H68" s="207"/>
      <c r="I68" s="207"/>
    </row>
    <row r="69" spans="1:9">
      <c r="A69" s="416"/>
      <c r="B69" s="163" t="s">
        <v>184</v>
      </c>
      <c r="C69" s="164">
        <f t="shared" si="14"/>
        <v>53.182806116828196</v>
      </c>
      <c r="D69" s="83">
        <f t="shared" si="11"/>
        <v>0.35934328457316356</v>
      </c>
      <c r="E69" s="164">
        <f t="shared" si="5"/>
        <v>52.823462832255032</v>
      </c>
      <c r="F69" s="164">
        <f t="shared" si="9"/>
        <v>0.40856582824125826</v>
      </c>
      <c r="G69" s="164"/>
      <c r="H69" s="207"/>
      <c r="I69" s="207"/>
    </row>
    <row r="70" spans="1:9">
      <c r="A70" s="416"/>
      <c r="B70" s="163" t="s">
        <v>185</v>
      </c>
      <c r="C70" s="164">
        <f t="shared" si="14"/>
        <v>52.823462832255032</v>
      </c>
      <c r="D70" s="83">
        <f t="shared" si="11"/>
        <v>0.35934328457316356</v>
      </c>
      <c r="E70" s="164">
        <f t="shared" si="5"/>
        <v>52.464119547681868</v>
      </c>
      <c r="F70" s="164">
        <f t="shared" si="9"/>
        <v>0.4057958904226735</v>
      </c>
      <c r="G70" s="164"/>
      <c r="H70" s="207"/>
      <c r="I70" s="207"/>
    </row>
    <row r="71" spans="1:9">
      <c r="A71" s="416"/>
      <c r="B71" s="163" t="s">
        <v>186</v>
      </c>
      <c r="C71" s="164">
        <f t="shared" si="14"/>
        <v>52.464119547681868</v>
      </c>
      <c r="D71" s="83">
        <f t="shared" si="11"/>
        <v>0.35934328457316356</v>
      </c>
      <c r="E71" s="164">
        <f t="shared" si="5"/>
        <v>52.104776263108704</v>
      </c>
      <c r="F71" s="164">
        <f t="shared" si="9"/>
        <v>0.40302595260408863</v>
      </c>
      <c r="G71" s="164"/>
      <c r="H71" s="207"/>
      <c r="I71" s="207"/>
    </row>
    <row r="72" spans="1:9">
      <c r="A72" s="416"/>
      <c r="B72" s="163" t="s">
        <v>187</v>
      </c>
      <c r="C72" s="164">
        <f t="shared" si="14"/>
        <v>52.104776263108704</v>
      </c>
      <c r="D72" s="83">
        <f t="shared" si="11"/>
        <v>0.35934328457316356</v>
      </c>
      <c r="E72" s="164">
        <f t="shared" si="5"/>
        <v>51.74543297853554</v>
      </c>
      <c r="F72" s="164">
        <f t="shared" si="9"/>
        <v>0.40025601478550388</v>
      </c>
      <c r="G72" s="164"/>
      <c r="H72" s="207"/>
      <c r="I72" s="207"/>
    </row>
    <row r="73" spans="1:9">
      <c r="A73" s="416"/>
      <c r="B73" s="163" t="s">
        <v>188</v>
      </c>
      <c r="C73" s="164">
        <f t="shared" si="14"/>
        <v>51.74543297853554</v>
      </c>
      <c r="D73" s="83">
        <f t="shared" si="11"/>
        <v>0.35934328457316356</v>
      </c>
      <c r="E73" s="164">
        <f t="shared" si="5"/>
        <v>51.386089693962376</v>
      </c>
      <c r="F73" s="164">
        <f t="shared" si="9"/>
        <v>0.39748607696691901</v>
      </c>
      <c r="G73" s="164"/>
      <c r="H73" s="207"/>
      <c r="I73" s="207"/>
    </row>
    <row r="74" spans="1:9">
      <c r="A74" s="416"/>
      <c r="B74" s="163" t="s">
        <v>189</v>
      </c>
      <c r="C74" s="164">
        <f t="shared" si="14"/>
        <v>51.386089693962376</v>
      </c>
      <c r="D74" s="83">
        <f t="shared" si="11"/>
        <v>0.35934328457316356</v>
      </c>
      <c r="E74" s="164">
        <f t="shared" si="5"/>
        <v>51.026746409389212</v>
      </c>
      <c r="F74" s="164">
        <f t="shared" si="9"/>
        <v>0.39471613914833426</v>
      </c>
      <c r="G74" s="164"/>
      <c r="H74" s="207"/>
      <c r="I74" s="207"/>
    </row>
    <row r="75" spans="1:9">
      <c r="A75" s="416"/>
      <c r="B75" s="163" t="s">
        <v>190</v>
      </c>
      <c r="C75" s="164">
        <f t="shared" si="14"/>
        <v>51.026746409389212</v>
      </c>
      <c r="D75" s="83">
        <f t="shared" si="11"/>
        <v>0.35934328457316356</v>
      </c>
      <c r="E75" s="164">
        <f t="shared" si="5"/>
        <v>50.667403124816047</v>
      </c>
      <c r="F75" s="164">
        <f t="shared" si="9"/>
        <v>0.39194620132974939</v>
      </c>
      <c r="G75" s="168">
        <f>+SUM(F64:F75)</f>
        <v>4.8861703119835909</v>
      </c>
      <c r="H75" s="207"/>
      <c r="I75" s="207"/>
    </row>
    <row r="76" spans="1:9">
      <c r="A76" s="416">
        <f>A63+1</f>
        <v>2</v>
      </c>
      <c r="B76" s="165" t="s">
        <v>194</v>
      </c>
      <c r="C76" s="165"/>
      <c r="D76" s="165"/>
      <c r="E76" s="166"/>
      <c r="F76" s="166"/>
      <c r="G76" s="166"/>
      <c r="H76" s="208"/>
      <c r="I76" s="208"/>
    </row>
    <row r="77" spans="1:9">
      <c r="A77" s="416"/>
      <c r="B77" s="167" t="s">
        <v>179</v>
      </c>
      <c r="C77" s="168">
        <f>E75</f>
        <v>50.667403124816047</v>
      </c>
      <c r="D77" s="168">
        <f t="shared" si="11"/>
        <v>0.35934328457316356</v>
      </c>
      <c r="E77" s="168">
        <f t="shared" si="5"/>
        <v>50.308059840242883</v>
      </c>
      <c r="F77" s="168">
        <f t="shared" si="9"/>
        <v>0.38917626351116463</v>
      </c>
      <c r="G77" s="168"/>
      <c r="H77" s="209"/>
      <c r="I77" s="209"/>
    </row>
    <row r="78" spans="1:9">
      <c r="A78" s="416"/>
      <c r="B78" s="167" t="s">
        <v>180</v>
      </c>
      <c r="C78" s="168">
        <f t="shared" ref="C78:C114" si="15">E77</f>
        <v>50.308059840242883</v>
      </c>
      <c r="D78" s="168">
        <f t="shared" si="11"/>
        <v>0.35934328457316356</v>
      </c>
      <c r="E78" s="168">
        <f t="shared" si="5"/>
        <v>49.948716555669719</v>
      </c>
      <c r="F78" s="168">
        <f t="shared" si="9"/>
        <v>0.38640632569257982</v>
      </c>
      <c r="G78" s="168"/>
      <c r="H78" s="209"/>
      <c r="I78" s="209"/>
    </row>
    <row r="79" spans="1:9">
      <c r="A79" s="416"/>
      <c r="B79" s="167" t="s">
        <v>181</v>
      </c>
      <c r="C79" s="168">
        <f t="shared" si="15"/>
        <v>49.948716555669719</v>
      </c>
      <c r="D79" s="168">
        <f t="shared" si="11"/>
        <v>0.35934328457316356</v>
      </c>
      <c r="E79" s="168">
        <f t="shared" si="5"/>
        <v>49.589373271096555</v>
      </c>
      <c r="F79" s="168">
        <f t="shared" si="9"/>
        <v>0.38363638787399501</v>
      </c>
      <c r="G79" s="168"/>
      <c r="H79" s="209"/>
      <c r="I79" s="209"/>
    </row>
    <row r="80" spans="1:9">
      <c r="A80" s="416"/>
      <c r="B80" s="167" t="s">
        <v>182</v>
      </c>
      <c r="C80" s="168">
        <f t="shared" si="15"/>
        <v>49.589373271096555</v>
      </c>
      <c r="D80" s="168">
        <f t="shared" si="11"/>
        <v>0.35934328457316356</v>
      </c>
      <c r="E80" s="168">
        <f t="shared" si="5"/>
        <v>49.230029986523391</v>
      </c>
      <c r="F80" s="168">
        <f t="shared" si="9"/>
        <v>0.3808664500554102</v>
      </c>
      <c r="G80" s="168"/>
      <c r="H80" s="209"/>
      <c r="I80" s="209"/>
    </row>
    <row r="81" spans="1:9">
      <c r="A81" s="416"/>
      <c r="B81" s="167" t="s">
        <v>183</v>
      </c>
      <c r="C81" s="168">
        <f t="shared" si="15"/>
        <v>49.230029986523391</v>
      </c>
      <c r="D81" s="168">
        <f t="shared" si="11"/>
        <v>0.35934328457316356</v>
      </c>
      <c r="E81" s="168">
        <f t="shared" si="5"/>
        <v>48.870686701950227</v>
      </c>
      <c r="F81" s="168">
        <f t="shared" si="9"/>
        <v>0.37809651223682539</v>
      </c>
      <c r="G81" s="168"/>
      <c r="H81" s="209"/>
      <c r="I81" s="209"/>
    </row>
    <row r="82" spans="1:9">
      <c r="A82" s="416"/>
      <c r="B82" s="167" t="s">
        <v>184</v>
      </c>
      <c r="C82" s="168">
        <f t="shared" si="15"/>
        <v>48.870686701950227</v>
      </c>
      <c r="D82" s="168">
        <f t="shared" si="11"/>
        <v>0.35934328457316356</v>
      </c>
      <c r="E82" s="168">
        <f t="shared" si="5"/>
        <v>48.511343417377063</v>
      </c>
      <c r="F82" s="168">
        <f t="shared" si="9"/>
        <v>0.37532657441824058</v>
      </c>
      <c r="G82" s="168"/>
      <c r="H82" s="209"/>
      <c r="I82" s="209"/>
    </row>
    <row r="83" spans="1:9">
      <c r="A83" s="416"/>
      <c r="B83" s="167" t="s">
        <v>185</v>
      </c>
      <c r="C83" s="168">
        <f t="shared" si="15"/>
        <v>48.511343417377063</v>
      </c>
      <c r="D83" s="168">
        <f t="shared" si="11"/>
        <v>0.35934328457316356</v>
      </c>
      <c r="E83" s="168">
        <f t="shared" si="5"/>
        <v>48.152000132803899</v>
      </c>
      <c r="F83" s="168">
        <f t="shared" si="9"/>
        <v>0.37255663659965582</v>
      </c>
      <c r="G83" s="168"/>
      <c r="H83" s="209"/>
      <c r="I83" s="209"/>
    </row>
    <row r="84" spans="1:9">
      <c r="A84" s="416"/>
      <c r="B84" s="167" t="s">
        <v>186</v>
      </c>
      <c r="C84" s="168">
        <f t="shared" si="15"/>
        <v>48.152000132803899</v>
      </c>
      <c r="D84" s="168">
        <f t="shared" si="11"/>
        <v>0.35934328457316356</v>
      </c>
      <c r="E84" s="168">
        <f t="shared" si="5"/>
        <v>47.792656848230735</v>
      </c>
      <c r="F84" s="168">
        <f t="shared" si="9"/>
        <v>0.36978669878107095</v>
      </c>
      <c r="G84" s="168"/>
      <c r="H84" s="209"/>
      <c r="I84" s="209"/>
    </row>
    <row r="85" spans="1:9">
      <c r="A85" s="416"/>
      <c r="B85" s="167" t="s">
        <v>187</v>
      </c>
      <c r="C85" s="168">
        <f t="shared" si="15"/>
        <v>47.792656848230735</v>
      </c>
      <c r="D85" s="168">
        <f t="shared" si="11"/>
        <v>0.35934328457316356</v>
      </c>
      <c r="E85" s="168">
        <f t="shared" si="5"/>
        <v>47.43331356365757</v>
      </c>
      <c r="F85" s="168">
        <f t="shared" si="9"/>
        <v>0.3670167609624862</v>
      </c>
      <c r="G85" s="168"/>
      <c r="H85" s="209"/>
      <c r="I85" s="209"/>
    </row>
    <row r="86" spans="1:9">
      <c r="A86" s="416"/>
      <c r="B86" s="167" t="s">
        <v>188</v>
      </c>
      <c r="C86" s="168">
        <f t="shared" si="15"/>
        <v>47.43331356365757</v>
      </c>
      <c r="D86" s="168">
        <f t="shared" si="11"/>
        <v>0.35934328457316356</v>
      </c>
      <c r="E86" s="168">
        <f t="shared" si="5"/>
        <v>47.073970279084406</v>
      </c>
      <c r="F86" s="168">
        <f t="shared" si="9"/>
        <v>0.36424682314390133</v>
      </c>
      <c r="G86" s="168"/>
      <c r="H86" s="209"/>
      <c r="I86" s="209"/>
    </row>
    <row r="87" spans="1:9">
      <c r="A87" s="416"/>
      <c r="B87" s="167" t="s">
        <v>189</v>
      </c>
      <c r="C87" s="168">
        <f t="shared" si="15"/>
        <v>47.073970279084406</v>
      </c>
      <c r="D87" s="168">
        <f t="shared" si="11"/>
        <v>0.35934328457316356</v>
      </c>
      <c r="E87" s="168">
        <f t="shared" si="5"/>
        <v>46.714626994511242</v>
      </c>
      <c r="F87" s="168">
        <f t="shared" si="9"/>
        <v>0.36147688532531658</v>
      </c>
      <c r="G87" s="168"/>
      <c r="H87" s="209"/>
      <c r="I87" s="209"/>
    </row>
    <row r="88" spans="1:9">
      <c r="A88" s="416"/>
      <c r="B88" s="167" t="s">
        <v>190</v>
      </c>
      <c r="C88" s="168">
        <f t="shared" si="15"/>
        <v>46.714626994511242</v>
      </c>
      <c r="D88" s="168">
        <f t="shared" si="11"/>
        <v>0.35934328457316356</v>
      </c>
      <c r="E88" s="168">
        <f t="shared" si="5"/>
        <v>46.355283709938078</v>
      </c>
      <c r="F88" s="168">
        <f t="shared" si="9"/>
        <v>0.35870694750673171</v>
      </c>
      <c r="G88" s="168">
        <f>+SUM(F77:F88)</f>
        <v>4.4872992661073781</v>
      </c>
      <c r="H88" s="209"/>
      <c r="I88" s="209"/>
    </row>
    <row r="89" spans="1:9">
      <c r="A89" s="416">
        <f>A76+1</f>
        <v>3</v>
      </c>
      <c r="B89" s="169" t="s">
        <v>195</v>
      </c>
      <c r="C89" s="170"/>
      <c r="D89" s="169"/>
      <c r="E89" s="170"/>
      <c r="F89" s="170"/>
      <c r="G89" s="170"/>
      <c r="H89" s="210"/>
      <c r="I89" s="210"/>
    </row>
    <row r="90" spans="1:9">
      <c r="A90" s="416"/>
      <c r="B90" s="171" t="s">
        <v>179</v>
      </c>
      <c r="C90" s="172">
        <f>E88</f>
        <v>46.355283709938078</v>
      </c>
      <c r="D90" s="172">
        <f t="shared" si="11"/>
        <v>0.35934328457316356</v>
      </c>
      <c r="E90" s="172">
        <f t="shared" si="5"/>
        <v>45.995940425364914</v>
      </c>
      <c r="F90" s="172">
        <f t="shared" si="9"/>
        <v>0.35593700968814695</v>
      </c>
      <c r="G90" s="172"/>
      <c r="H90" s="211"/>
      <c r="I90" s="211"/>
    </row>
    <row r="91" spans="1:9">
      <c r="A91" s="416"/>
      <c r="B91" s="171" t="s">
        <v>180</v>
      </c>
      <c r="C91" s="172">
        <f t="shared" si="15"/>
        <v>45.995940425364914</v>
      </c>
      <c r="D91" s="172">
        <f t="shared" si="11"/>
        <v>0.35934328457316356</v>
      </c>
      <c r="E91" s="172">
        <f t="shared" si="5"/>
        <v>45.63659714079175</v>
      </c>
      <c r="F91" s="172">
        <f t="shared" si="9"/>
        <v>0.35316707186956209</v>
      </c>
      <c r="G91" s="172"/>
      <c r="H91" s="211"/>
      <c r="I91" s="211"/>
    </row>
    <row r="92" spans="1:9">
      <c r="A92" s="416"/>
      <c r="B92" s="171" t="s">
        <v>181</v>
      </c>
      <c r="C92" s="172">
        <f t="shared" si="15"/>
        <v>45.63659714079175</v>
      </c>
      <c r="D92" s="172">
        <f t="shared" si="11"/>
        <v>0.35934328457316356</v>
      </c>
      <c r="E92" s="172">
        <f t="shared" si="5"/>
        <v>45.277253856218586</v>
      </c>
      <c r="F92" s="172">
        <f t="shared" si="9"/>
        <v>0.35039713405097733</v>
      </c>
      <c r="G92" s="172"/>
      <c r="H92" s="211"/>
      <c r="I92" s="211"/>
    </row>
    <row r="93" spans="1:9">
      <c r="A93" s="416"/>
      <c r="B93" s="171" t="s">
        <v>182</v>
      </c>
      <c r="C93" s="172">
        <f t="shared" si="15"/>
        <v>45.277253856218586</v>
      </c>
      <c r="D93" s="172">
        <f t="shared" si="11"/>
        <v>0.35934328457316356</v>
      </c>
      <c r="E93" s="172">
        <f t="shared" si="5"/>
        <v>44.917910571645422</v>
      </c>
      <c r="F93" s="172">
        <f t="shared" si="9"/>
        <v>0.34762719623239247</v>
      </c>
      <c r="G93" s="172"/>
      <c r="H93" s="211"/>
      <c r="I93" s="211"/>
    </row>
    <row r="94" spans="1:9">
      <c r="A94" s="416"/>
      <c r="B94" s="171" t="s">
        <v>183</v>
      </c>
      <c r="C94" s="172">
        <f t="shared" si="15"/>
        <v>44.917910571645422</v>
      </c>
      <c r="D94" s="172">
        <f t="shared" si="11"/>
        <v>0.35934328457316356</v>
      </c>
      <c r="E94" s="172">
        <f t="shared" ref="E94:E157" si="16">C94-D94</f>
        <v>44.558567287072258</v>
      </c>
      <c r="F94" s="172">
        <f t="shared" si="9"/>
        <v>0.34485725841380771</v>
      </c>
      <c r="G94" s="172"/>
      <c r="H94" s="211"/>
      <c r="I94" s="211"/>
    </row>
    <row r="95" spans="1:9">
      <c r="A95" s="416"/>
      <c r="B95" s="171" t="s">
        <v>184</v>
      </c>
      <c r="C95" s="172">
        <f t="shared" si="15"/>
        <v>44.558567287072258</v>
      </c>
      <c r="D95" s="172">
        <f t="shared" si="11"/>
        <v>0.35934328457316356</v>
      </c>
      <c r="E95" s="172">
        <f t="shared" si="16"/>
        <v>44.199224002499093</v>
      </c>
      <c r="F95" s="172">
        <f t="shared" si="9"/>
        <v>0.3420873205952229</v>
      </c>
      <c r="G95" s="172"/>
      <c r="H95" s="211"/>
      <c r="I95" s="211"/>
    </row>
    <row r="96" spans="1:9">
      <c r="A96" s="416"/>
      <c r="B96" s="171" t="s">
        <v>185</v>
      </c>
      <c r="C96" s="172">
        <f t="shared" si="15"/>
        <v>44.199224002499093</v>
      </c>
      <c r="D96" s="172">
        <f t="shared" si="11"/>
        <v>0.35934328457316356</v>
      </c>
      <c r="E96" s="172">
        <f t="shared" si="16"/>
        <v>43.839880717925929</v>
      </c>
      <c r="F96" s="172">
        <f t="shared" si="9"/>
        <v>0.33931738277663809</v>
      </c>
      <c r="G96" s="172"/>
      <c r="H96" s="211"/>
      <c r="I96" s="211"/>
    </row>
    <row r="97" spans="1:9">
      <c r="A97" s="416"/>
      <c r="B97" s="171" t="s">
        <v>186</v>
      </c>
      <c r="C97" s="172">
        <f t="shared" si="15"/>
        <v>43.839880717925929</v>
      </c>
      <c r="D97" s="172">
        <f t="shared" si="11"/>
        <v>0.35934328457316356</v>
      </c>
      <c r="E97" s="172">
        <f t="shared" si="16"/>
        <v>43.480537433352765</v>
      </c>
      <c r="F97" s="172">
        <f t="shared" si="9"/>
        <v>0.33654744495805328</v>
      </c>
      <c r="G97" s="172"/>
      <c r="H97" s="211"/>
      <c r="I97" s="211"/>
    </row>
    <row r="98" spans="1:9">
      <c r="A98" s="416"/>
      <c r="B98" s="171" t="s">
        <v>187</v>
      </c>
      <c r="C98" s="172">
        <f t="shared" si="15"/>
        <v>43.480537433352765</v>
      </c>
      <c r="D98" s="172">
        <f t="shared" si="11"/>
        <v>0.35934328457316356</v>
      </c>
      <c r="E98" s="172">
        <f t="shared" si="16"/>
        <v>43.121194148779601</v>
      </c>
      <c r="F98" s="172">
        <f t="shared" si="9"/>
        <v>0.33377750713946847</v>
      </c>
      <c r="G98" s="172"/>
      <c r="H98" s="211"/>
      <c r="I98" s="211"/>
    </row>
    <row r="99" spans="1:9">
      <c r="A99" s="416"/>
      <c r="B99" s="171" t="s">
        <v>188</v>
      </c>
      <c r="C99" s="172">
        <f t="shared" si="15"/>
        <v>43.121194148779601</v>
      </c>
      <c r="D99" s="172">
        <f t="shared" si="11"/>
        <v>0.35934328457316356</v>
      </c>
      <c r="E99" s="172">
        <f t="shared" si="16"/>
        <v>42.761850864206437</v>
      </c>
      <c r="F99" s="172">
        <f t="shared" si="9"/>
        <v>0.33100756932088365</v>
      </c>
      <c r="G99" s="172"/>
      <c r="H99" s="211"/>
      <c r="I99" s="211"/>
    </row>
    <row r="100" spans="1:9">
      <c r="A100" s="416"/>
      <c r="B100" s="171" t="s">
        <v>189</v>
      </c>
      <c r="C100" s="172">
        <f t="shared" si="15"/>
        <v>42.761850864206437</v>
      </c>
      <c r="D100" s="172">
        <f t="shared" si="11"/>
        <v>0.35934328457316356</v>
      </c>
      <c r="E100" s="172">
        <f t="shared" si="16"/>
        <v>42.402507579633273</v>
      </c>
      <c r="F100" s="172">
        <f t="shared" si="9"/>
        <v>0.3282376315022989</v>
      </c>
      <c r="G100" s="172"/>
      <c r="H100" s="211"/>
      <c r="I100" s="211"/>
    </row>
    <row r="101" spans="1:9">
      <c r="A101" s="416"/>
      <c r="B101" s="171" t="s">
        <v>190</v>
      </c>
      <c r="C101" s="172">
        <f t="shared" si="15"/>
        <v>42.402507579633273</v>
      </c>
      <c r="D101" s="172">
        <f t="shared" si="11"/>
        <v>0.35934328457316356</v>
      </c>
      <c r="E101" s="172">
        <f t="shared" si="16"/>
        <v>42.043164295060109</v>
      </c>
      <c r="F101" s="172">
        <f t="shared" si="9"/>
        <v>0.32546769368371403</v>
      </c>
      <c r="G101" s="168">
        <f>+SUM(F90:F101)</f>
        <v>4.0884282202311661</v>
      </c>
      <c r="H101" s="211"/>
      <c r="I101" s="211"/>
    </row>
    <row r="102" spans="1:9">
      <c r="A102" s="416">
        <f>A89+1</f>
        <v>4</v>
      </c>
      <c r="B102" s="173" t="s">
        <v>196</v>
      </c>
      <c r="C102" s="174"/>
      <c r="D102" s="173"/>
      <c r="E102" s="174"/>
      <c r="F102" s="174"/>
      <c r="G102" s="174"/>
      <c r="H102" s="212"/>
      <c r="I102" s="212"/>
    </row>
    <row r="103" spans="1:9">
      <c r="A103" s="416"/>
      <c r="B103" s="175" t="s">
        <v>179</v>
      </c>
      <c r="C103" s="176">
        <f>E101</f>
        <v>42.043164295060109</v>
      </c>
      <c r="D103" s="176">
        <f t="shared" si="11"/>
        <v>0.35934328457316356</v>
      </c>
      <c r="E103" s="176">
        <f t="shared" si="16"/>
        <v>41.683821010486945</v>
      </c>
      <c r="F103" s="176">
        <f t="shared" ref="F103:F166" si="17">AVERAGE(C103,E103)*$C$22/12</f>
        <v>0.32269775586512928</v>
      </c>
      <c r="G103" s="176"/>
      <c r="H103" s="213"/>
      <c r="I103" s="213"/>
    </row>
    <row r="104" spans="1:9">
      <c r="A104" s="416"/>
      <c r="B104" s="175" t="s">
        <v>180</v>
      </c>
      <c r="C104" s="176">
        <f t="shared" si="15"/>
        <v>41.683821010486945</v>
      </c>
      <c r="D104" s="176">
        <f t="shared" ref="D104:D166" si="18">+$F$22</f>
        <v>0.35934328457316356</v>
      </c>
      <c r="E104" s="176">
        <f t="shared" si="16"/>
        <v>41.324477725913781</v>
      </c>
      <c r="F104" s="176">
        <f t="shared" si="17"/>
        <v>0.31992781804654441</v>
      </c>
      <c r="G104" s="176"/>
      <c r="H104" s="213"/>
      <c r="I104" s="213"/>
    </row>
    <row r="105" spans="1:9">
      <c r="A105" s="416"/>
      <c r="B105" s="175" t="s">
        <v>181</v>
      </c>
      <c r="C105" s="176">
        <f t="shared" si="15"/>
        <v>41.324477725913781</v>
      </c>
      <c r="D105" s="176">
        <f t="shared" si="18"/>
        <v>0.35934328457316356</v>
      </c>
      <c r="E105" s="176">
        <f t="shared" si="16"/>
        <v>40.965134441340616</v>
      </c>
      <c r="F105" s="176">
        <f t="shared" si="17"/>
        <v>0.31715788022795971</v>
      </c>
      <c r="G105" s="176"/>
      <c r="H105" s="213"/>
      <c r="I105" s="213"/>
    </row>
    <row r="106" spans="1:9">
      <c r="A106" s="416"/>
      <c r="B106" s="175" t="s">
        <v>182</v>
      </c>
      <c r="C106" s="176">
        <f t="shared" si="15"/>
        <v>40.965134441340616</v>
      </c>
      <c r="D106" s="176">
        <f t="shared" si="18"/>
        <v>0.35934328457316356</v>
      </c>
      <c r="E106" s="176">
        <f t="shared" si="16"/>
        <v>40.605791156767452</v>
      </c>
      <c r="F106" s="176">
        <f t="shared" si="17"/>
        <v>0.31438794240937479</v>
      </c>
      <c r="G106" s="176"/>
      <c r="H106" s="213"/>
      <c r="I106" s="213"/>
    </row>
    <row r="107" spans="1:9">
      <c r="A107" s="416"/>
      <c r="B107" s="175" t="s">
        <v>183</v>
      </c>
      <c r="C107" s="176">
        <f t="shared" si="15"/>
        <v>40.605791156767452</v>
      </c>
      <c r="D107" s="176">
        <f t="shared" si="18"/>
        <v>0.35934328457316356</v>
      </c>
      <c r="E107" s="176">
        <f t="shared" si="16"/>
        <v>40.246447872194288</v>
      </c>
      <c r="F107" s="176">
        <f t="shared" si="17"/>
        <v>0.31161800459079009</v>
      </c>
      <c r="G107" s="176"/>
      <c r="H107" s="213"/>
      <c r="I107" s="213"/>
    </row>
    <row r="108" spans="1:9">
      <c r="A108" s="416"/>
      <c r="B108" s="175" t="s">
        <v>184</v>
      </c>
      <c r="C108" s="176">
        <f t="shared" si="15"/>
        <v>40.246447872194288</v>
      </c>
      <c r="D108" s="176">
        <f t="shared" si="18"/>
        <v>0.35934328457316356</v>
      </c>
      <c r="E108" s="176">
        <f t="shared" si="16"/>
        <v>39.887104587621124</v>
      </c>
      <c r="F108" s="176">
        <f t="shared" si="17"/>
        <v>0.30884806677220522</v>
      </c>
      <c r="G108" s="176"/>
      <c r="H108" s="213"/>
      <c r="I108" s="213"/>
    </row>
    <row r="109" spans="1:9">
      <c r="A109" s="416"/>
      <c r="B109" s="175" t="s">
        <v>185</v>
      </c>
      <c r="C109" s="176">
        <f t="shared" si="15"/>
        <v>39.887104587621124</v>
      </c>
      <c r="D109" s="176">
        <f t="shared" si="18"/>
        <v>0.35934328457316356</v>
      </c>
      <c r="E109" s="176">
        <f t="shared" si="16"/>
        <v>39.52776130304796</v>
      </c>
      <c r="F109" s="176">
        <f t="shared" si="17"/>
        <v>0.30607812895362047</v>
      </c>
      <c r="G109" s="176"/>
      <c r="H109" s="213"/>
      <c r="I109" s="213"/>
    </row>
    <row r="110" spans="1:9">
      <c r="A110" s="416"/>
      <c r="B110" s="175" t="s">
        <v>186</v>
      </c>
      <c r="C110" s="176">
        <f t="shared" si="15"/>
        <v>39.52776130304796</v>
      </c>
      <c r="D110" s="176">
        <f t="shared" si="18"/>
        <v>0.35934328457316356</v>
      </c>
      <c r="E110" s="176">
        <f t="shared" si="16"/>
        <v>39.168418018474796</v>
      </c>
      <c r="F110" s="176">
        <f t="shared" si="17"/>
        <v>0.3033081911350356</v>
      </c>
      <c r="G110" s="176"/>
      <c r="H110" s="213"/>
      <c r="I110" s="213"/>
    </row>
    <row r="111" spans="1:9">
      <c r="A111" s="416"/>
      <c r="B111" s="175" t="s">
        <v>187</v>
      </c>
      <c r="C111" s="176">
        <f t="shared" si="15"/>
        <v>39.168418018474796</v>
      </c>
      <c r="D111" s="176">
        <f t="shared" si="18"/>
        <v>0.35934328457316356</v>
      </c>
      <c r="E111" s="176">
        <f t="shared" si="16"/>
        <v>38.809074733901632</v>
      </c>
      <c r="F111" s="176">
        <f t="shared" si="17"/>
        <v>0.30053825331645084</v>
      </c>
      <c r="G111" s="176"/>
      <c r="H111" s="213"/>
      <c r="I111" s="213"/>
    </row>
    <row r="112" spans="1:9">
      <c r="A112" s="416"/>
      <c r="B112" s="175" t="s">
        <v>188</v>
      </c>
      <c r="C112" s="176">
        <f t="shared" si="15"/>
        <v>38.809074733901632</v>
      </c>
      <c r="D112" s="176">
        <f t="shared" si="18"/>
        <v>0.35934328457316356</v>
      </c>
      <c r="E112" s="176">
        <f t="shared" si="16"/>
        <v>38.449731449328468</v>
      </c>
      <c r="F112" s="176">
        <f t="shared" si="17"/>
        <v>0.29776831549786598</v>
      </c>
      <c r="G112" s="176"/>
      <c r="H112" s="213"/>
      <c r="I112" s="213"/>
    </row>
    <row r="113" spans="1:9">
      <c r="A113" s="416"/>
      <c r="B113" s="175" t="s">
        <v>189</v>
      </c>
      <c r="C113" s="176">
        <f t="shared" si="15"/>
        <v>38.449731449328468</v>
      </c>
      <c r="D113" s="176">
        <f t="shared" si="18"/>
        <v>0.35934328457316356</v>
      </c>
      <c r="E113" s="176">
        <f t="shared" si="16"/>
        <v>38.090388164755304</v>
      </c>
      <c r="F113" s="176">
        <f t="shared" si="17"/>
        <v>0.29499837767928122</v>
      </c>
      <c r="G113" s="176"/>
      <c r="H113" s="213"/>
      <c r="I113" s="213"/>
    </row>
    <row r="114" spans="1:9">
      <c r="A114" s="416"/>
      <c r="B114" s="175" t="s">
        <v>190</v>
      </c>
      <c r="C114" s="176">
        <f t="shared" si="15"/>
        <v>38.090388164755304</v>
      </c>
      <c r="D114" s="176">
        <f t="shared" si="18"/>
        <v>0.35934328457316356</v>
      </c>
      <c r="E114" s="176">
        <f t="shared" si="16"/>
        <v>37.731044880182139</v>
      </c>
      <c r="F114" s="176">
        <f t="shared" si="17"/>
        <v>0.29222843986069635</v>
      </c>
      <c r="G114" s="168">
        <f>+SUM(F103:F114)</f>
        <v>3.6895571743549547</v>
      </c>
      <c r="H114" s="213"/>
      <c r="I114" s="213"/>
    </row>
    <row r="115" spans="1:9">
      <c r="A115" s="416">
        <f>A102+1</f>
        <v>5</v>
      </c>
      <c r="B115" s="177" t="s">
        <v>197</v>
      </c>
      <c r="C115" s="178"/>
      <c r="D115" s="177"/>
      <c r="E115" s="178"/>
      <c r="F115" s="178"/>
      <c r="G115" s="178"/>
      <c r="H115" s="214"/>
      <c r="I115" s="214"/>
    </row>
    <row r="116" spans="1:9">
      <c r="A116" s="416"/>
      <c r="B116" s="179" t="s">
        <v>179</v>
      </c>
      <c r="C116" s="180">
        <f>E114</f>
        <v>37.731044880182139</v>
      </c>
      <c r="D116" s="180">
        <f t="shared" si="18"/>
        <v>0.35934328457316356</v>
      </c>
      <c r="E116" s="180">
        <f t="shared" si="16"/>
        <v>37.371701595608975</v>
      </c>
      <c r="F116" s="180">
        <f t="shared" si="17"/>
        <v>0.2894585020421116</v>
      </c>
      <c r="G116" s="180"/>
      <c r="H116" s="215"/>
      <c r="I116" s="215"/>
    </row>
    <row r="117" spans="1:9">
      <c r="A117" s="416"/>
      <c r="B117" s="179" t="s">
        <v>180</v>
      </c>
      <c r="C117" s="180">
        <f t="shared" ref="C117:C153" si="19">E116</f>
        <v>37.371701595608975</v>
      </c>
      <c r="D117" s="180">
        <f t="shared" si="18"/>
        <v>0.35934328457316356</v>
      </c>
      <c r="E117" s="180">
        <f t="shared" si="16"/>
        <v>37.012358311035811</v>
      </c>
      <c r="F117" s="180">
        <f t="shared" si="17"/>
        <v>0.28668856422352679</v>
      </c>
      <c r="G117" s="180"/>
      <c r="H117" s="215"/>
      <c r="I117" s="215"/>
    </row>
    <row r="118" spans="1:9">
      <c r="A118" s="416"/>
      <c r="B118" s="179" t="s">
        <v>181</v>
      </c>
      <c r="C118" s="180">
        <f t="shared" si="19"/>
        <v>37.012358311035811</v>
      </c>
      <c r="D118" s="180">
        <f t="shared" si="18"/>
        <v>0.35934328457316356</v>
      </c>
      <c r="E118" s="180">
        <f t="shared" si="16"/>
        <v>36.653015026462647</v>
      </c>
      <c r="F118" s="180">
        <f t="shared" si="17"/>
        <v>0.28391862640494198</v>
      </c>
      <c r="G118" s="180"/>
      <c r="H118" s="215"/>
      <c r="I118" s="215"/>
    </row>
    <row r="119" spans="1:9">
      <c r="A119" s="416"/>
      <c r="B119" s="179" t="s">
        <v>182</v>
      </c>
      <c r="C119" s="180">
        <f t="shared" si="19"/>
        <v>36.653015026462647</v>
      </c>
      <c r="D119" s="180">
        <f t="shared" si="18"/>
        <v>0.35934328457316356</v>
      </c>
      <c r="E119" s="180">
        <f t="shared" si="16"/>
        <v>36.293671741889483</v>
      </c>
      <c r="F119" s="180">
        <f t="shared" si="17"/>
        <v>0.28114868858635716</v>
      </c>
      <c r="G119" s="180"/>
      <c r="H119" s="215"/>
      <c r="I119" s="215"/>
    </row>
    <row r="120" spans="1:9">
      <c r="A120" s="416"/>
      <c r="B120" s="179" t="s">
        <v>183</v>
      </c>
      <c r="C120" s="180">
        <f t="shared" si="19"/>
        <v>36.293671741889483</v>
      </c>
      <c r="D120" s="180">
        <f t="shared" si="18"/>
        <v>0.35934328457316356</v>
      </c>
      <c r="E120" s="180">
        <f t="shared" si="16"/>
        <v>35.934328457316319</v>
      </c>
      <c r="F120" s="180">
        <f t="shared" si="17"/>
        <v>0.27837875076777235</v>
      </c>
      <c r="G120" s="180"/>
      <c r="H120" s="215"/>
      <c r="I120" s="215"/>
    </row>
    <row r="121" spans="1:9">
      <c r="A121" s="416"/>
      <c r="B121" s="179" t="s">
        <v>184</v>
      </c>
      <c r="C121" s="180">
        <f t="shared" si="19"/>
        <v>35.934328457316319</v>
      </c>
      <c r="D121" s="180">
        <f t="shared" si="18"/>
        <v>0.35934328457316356</v>
      </c>
      <c r="E121" s="180">
        <f t="shared" si="16"/>
        <v>35.574985172743155</v>
      </c>
      <c r="F121" s="180">
        <f t="shared" si="17"/>
        <v>0.27560881294918754</v>
      </c>
      <c r="G121" s="180"/>
      <c r="H121" s="215"/>
      <c r="I121" s="215"/>
    </row>
    <row r="122" spans="1:9">
      <c r="A122" s="416"/>
      <c r="B122" s="179" t="s">
        <v>185</v>
      </c>
      <c r="C122" s="180">
        <f t="shared" si="19"/>
        <v>35.574985172743155</v>
      </c>
      <c r="D122" s="180">
        <f t="shared" si="18"/>
        <v>0.35934328457316356</v>
      </c>
      <c r="E122" s="180">
        <f t="shared" si="16"/>
        <v>35.215641888169991</v>
      </c>
      <c r="F122" s="180">
        <f t="shared" si="17"/>
        <v>0.27283887513060279</v>
      </c>
      <c r="G122" s="180"/>
      <c r="H122" s="215"/>
      <c r="I122" s="215"/>
    </row>
    <row r="123" spans="1:9">
      <c r="A123" s="416"/>
      <c r="B123" s="179" t="s">
        <v>186</v>
      </c>
      <c r="C123" s="180">
        <f t="shared" si="19"/>
        <v>35.215641888169991</v>
      </c>
      <c r="D123" s="180">
        <f t="shared" si="18"/>
        <v>0.35934328457316356</v>
      </c>
      <c r="E123" s="180">
        <f t="shared" si="16"/>
        <v>34.856298603596827</v>
      </c>
      <c r="F123" s="180">
        <f t="shared" si="17"/>
        <v>0.27006893731201792</v>
      </c>
      <c r="G123" s="180"/>
      <c r="H123" s="215"/>
      <c r="I123" s="215"/>
    </row>
    <row r="124" spans="1:9">
      <c r="A124" s="416"/>
      <c r="B124" s="179" t="s">
        <v>187</v>
      </c>
      <c r="C124" s="180">
        <f t="shared" si="19"/>
        <v>34.856298603596827</v>
      </c>
      <c r="D124" s="180">
        <f t="shared" si="18"/>
        <v>0.35934328457316356</v>
      </c>
      <c r="E124" s="180">
        <f t="shared" si="16"/>
        <v>34.496955319023662</v>
      </c>
      <c r="F124" s="180">
        <f t="shared" si="17"/>
        <v>0.26729899949343316</v>
      </c>
      <c r="G124" s="180"/>
      <c r="H124" s="215"/>
      <c r="I124" s="215"/>
    </row>
    <row r="125" spans="1:9">
      <c r="A125" s="416"/>
      <c r="B125" s="179" t="s">
        <v>188</v>
      </c>
      <c r="C125" s="180">
        <f t="shared" si="19"/>
        <v>34.496955319023662</v>
      </c>
      <c r="D125" s="180">
        <f t="shared" si="18"/>
        <v>0.35934328457316356</v>
      </c>
      <c r="E125" s="180">
        <f t="shared" si="16"/>
        <v>34.137612034450498</v>
      </c>
      <c r="F125" s="180">
        <f t="shared" si="17"/>
        <v>0.2645290616748483</v>
      </c>
      <c r="G125" s="180"/>
      <c r="H125" s="215"/>
      <c r="I125" s="215"/>
    </row>
    <row r="126" spans="1:9">
      <c r="A126" s="416"/>
      <c r="B126" s="179" t="s">
        <v>189</v>
      </c>
      <c r="C126" s="180">
        <f t="shared" si="19"/>
        <v>34.137612034450498</v>
      </c>
      <c r="D126" s="180">
        <f t="shared" si="18"/>
        <v>0.35934328457316356</v>
      </c>
      <c r="E126" s="180">
        <f t="shared" si="16"/>
        <v>33.778268749877334</v>
      </c>
      <c r="F126" s="180">
        <f t="shared" si="17"/>
        <v>0.26175912385626354</v>
      </c>
      <c r="G126" s="180"/>
      <c r="H126" s="215"/>
      <c r="I126" s="215"/>
    </row>
    <row r="127" spans="1:9">
      <c r="A127" s="416"/>
      <c r="B127" s="179" t="s">
        <v>190</v>
      </c>
      <c r="C127" s="180">
        <f t="shared" si="19"/>
        <v>33.778268749877334</v>
      </c>
      <c r="D127" s="180">
        <f t="shared" si="18"/>
        <v>0.35934328457316356</v>
      </c>
      <c r="E127" s="180">
        <f t="shared" si="16"/>
        <v>33.41892546530417</v>
      </c>
      <c r="F127" s="180">
        <f t="shared" si="17"/>
        <v>0.25898918603767868</v>
      </c>
      <c r="G127" s="168">
        <f>+SUM(F116:F127)</f>
        <v>3.2906861284787419</v>
      </c>
      <c r="H127" s="215"/>
      <c r="I127" s="215"/>
    </row>
    <row r="128" spans="1:9">
      <c r="A128" s="416">
        <f>A115+1</f>
        <v>6</v>
      </c>
      <c r="B128" s="169" t="s">
        <v>198</v>
      </c>
      <c r="C128" s="170"/>
      <c r="D128" s="169"/>
      <c r="E128" s="170"/>
      <c r="F128" s="170"/>
      <c r="G128" s="170"/>
      <c r="H128" s="210"/>
      <c r="I128" s="210"/>
    </row>
    <row r="129" spans="1:9">
      <c r="A129" s="416"/>
      <c r="B129" s="171" t="s">
        <v>179</v>
      </c>
      <c r="C129" s="172">
        <f>E127</f>
        <v>33.41892546530417</v>
      </c>
      <c r="D129" s="172">
        <f t="shared" si="18"/>
        <v>0.35934328457316356</v>
      </c>
      <c r="E129" s="172">
        <f t="shared" si="16"/>
        <v>33.059582180731006</v>
      </c>
      <c r="F129" s="172">
        <f t="shared" si="17"/>
        <v>0.25621924821909392</v>
      </c>
      <c r="G129" s="172"/>
      <c r="H129" s="211"/>
      <c r="I129" s="211"/>
    </row>
    <row r="130" spans="1:9">
      <c r="A130" s="416"/>
      <c r="B130" s="171" t="s">
        <v>180</v>
      </c>
      <c r="C130" s="172">
        <f t="shared" si="19"/>
        <v>33.059582180731006</v>
      </c>
      <c r="D130" s="172">
        <f t="shared" si="18"/>
        <v>0.35934328457316356</v>
      </c>
      <c r="E130" s="172">
        <f t="shared" si="16"/>
        <v>32.700238896157842</v>
      </c>
      <c r="F130" s="172">
        <f t="shared" si="17"/>
        <v>0.25344931040050905</v>
      </c>
      <c r="G130" s="172"/>
      <c r="H130" s="211"/>
      <c r="I130" s="211"/>
    </row>
    <row r="131" spans="1:9">
      <c r="A131" s="416"/>
      <c r="B131" s="171" t="s">
        <v>181</v>
      </c>
      <c r="C131" s="172">
        <f t="shared" si="19"/>
        <v>32.700238896157842</v>
      </c>
      <c r="D131" s="172">
        <f t="shared" si="18"/>
        <v>0.35934328457316356</v>
      </c>
      <c r="E131" s="172">
        <f t="shared" si="16"/>
        <v>32.340895611584678</v>
      </c>
      <c r="F131" s="172">
        <f t="shared" si="17"/>
        <v>0.25067937258192435</v>
      </c>
      <c r="G131" s="172"/>
      <c r="H131" s="211"/>
      <c r="I131" s="211"/>
    </row>
    <row r="132" spans="1:9">
      <c r="A132" s="416"/>
      <c r="B132" s="171" t="s">
        <v>182</v>
      </c>
      <c r="C132" s="172">
        <f t="shared" si="19"/>
        <v>32.340895611584678</v>
      </c>
      <c r="D132" s="172">
        <f t="shared" si="18"/>
        <v>0.35934328457316356</v>
      </c>
      <c r="E132" s="172">
        <f t="shared" si="16"/>
        <v>31.981552327011514</v>
      </c>
      <c r="F132" s="172">
        <f t="shared" si="17"/>
        <v>0.24790943476333946</v>
      </c>
      <c r="G132" s="172"/>
      <c r="H132" s="211"/>
      <c r="I132" s="211"/>
    </row>
    <row r="133" spans="1:9">
      <c r="A133" s="416"/>
      <c r="B133" s="171" t="s">
        <v>183</v>
      </c>
      <c r="C133" s="172">
        <f t="shared" si="19"/>
        <v>31.981552327011514</v>
      </c>
      <c r="D133" s="172">
        <f t="shared" si="18"/>
        <v>0.35934328457316356</v>
      </c>
      <c r="E133" s="172">
        <f t="shared" si="16"/>
        <v>31.62220904243835</v>
      </c>
      <c r="F133" s="172">
        <f t="shared" si="17"/>
        <v>0.24513949694475468</v>
      </c>
      <c r="G133" s="172"/>
      <c r="H133" s="211"/>
      <c r="I133" s="211"/>
    </row>
    <row r="134" spans="1:9">
      <c r="A134" s="416"/>
      <c r="B134" s="171" t="s">
        <v>184</v>
      </c>
      <c r="C134" s="172">
        <f t="shared" si="19"/>
        <v>31.62220904243835</v>
      </c>
      <c r="D134" s="172">
        <f t="shared" si="18"/>
        <v>0.35934328457316356</v>
      </c>
      <c r="E134" s="172">
        <f t="shared" si="16"/>
        <v>31.262865757865185</v>
      </c>
      <c r="F134" s="172">
        <f t="shared" si="17"/>
        <v>0.24236955912616986</v>
      </c>
      <c r="G134" s="172"/>
      <c r="H134" s="211"/>
      <c r="I134" s="211"/>
    </row>
    <row r="135" spans="1:9">
      <c r="A135" s="416"/>
      <c r="B135" s="171" t="s">
        <v>185</v>
      </c>
      <c r="C135" s="172">
        <f t="shared" si="19"/>
        <v>31.262865757865185</v>
      </c>
      <c r="D135" s="172">
        <f t="shared" si="18"/>
        <v>0.35934328457316356</v>
      </c>
      <c r="E135" s="172">
        <f t="shared" si="16"/>
        <v>30.903522473292021</v>
      </c>
      <c r="F135" s="172">
        <f t="shared" si="17"/>
        <v>0.23959962130758505</v>
      </c>
      <c r="G135" s="172"/>
      <c r="H135" s="211"/>
      <c r="I135" s="211"/>
    </row>
    <row r="136" spans="1:9">
      <c r="A136" s="416"/>
      <c r="B136" s="171" t="s">
        <v>186</v>
      </c>
      <c r="C136" s="172">
        <f t="shared" si="19"/>
        <v>30.903522473292021</v>
      </c>
      <c r="D136" s="172">
        <f t="shared" si="18"/>
        <v>0.35934328457316356</v>
      </c>
      <c r="E136" s="172">
        <f t="shared" si="16"/>
        <v>30.544179188718857</v>
      </c>
      <c r="F136" s="172">
        <f t="shared" si="17"/>
        <v>0.23682968348900024</v>
      </c>
      <c r="G136" s="172"/>
      <c r="H136" s="211"/>
      <c r="I136" s="211"/>
    </row>
    <row r="137" spans="1:9">
      <c r="A137" s="416"/>
      <c r="B137" s="171" t="s">
        <v>187</v>
      </c>
      <c r="C137" s="172">
        <f t="shared" si="19"/>
        <v>30.544179188718857</v>
      </c>
      <c r="D137" s="172">
        <f t="shared" si="18"/>
        <v>0.35934328457316356</v>
      </c>
      <c r="E137" s="172">
        <f t="shared" si="16"/>
        <v>30.184835904145693</v>
      </c>
      <c r="F137" s="172">
        <f t="shared" si="17"/>
        <v>0.23405974567041546</v>
      </c>
      <c r="G137" s="172"/>
      <c r="H137" s="211"/>
      <c r="I137" s="211"/>
    </row>
    <row r="138" spans="1:9">
      <c r="A138" s="416"/>
      <c r="B138" s="171" t="s">
        <v>188</v>
      </c>
      <c r="C138" s="172">
        <f t="shared" si="19"/>
        <v>30.184835904145693</v>
      </c>
      <c r="D138" s="172">
        <f t="shared" si="18"/>
        <v>0.35934328457316356</v>
      </c>
      <c r="E138" s="172">
        <f t="shared" si="16"/>
        <v>29.825492619572529</v>
      </c>
      <c r="F138" s="172">
        <f t="shared" si="17"/>
        <v>0.23128980785183065</v>
      </c>
      <c r="G138" s="172"/>
      <c r="H138" s="211"/>
      <c r="I138" s="211"/>
    </row>
    <row r="139" spans="1:9">
      <c r="A139" s="416"/>
      <c r="B139" s="171" t="s">
        <v>189</v>
      </c>
      <c r="C139" s="172">
        <f t="shared" si="19"/>
        <v>29.825492619572529</v>
      </c>
      <c r="D139" s="172">
        <f t="shared" si="18"/>
        <v>0.35934328457316356</v>
      </c>
      <c r="E139" s="172">
        <f t="shared" si="16"/>
        <v>29.466149334999365</v>
      </c>
      <c r="F139" s="172">
        <f t="shared" si="17"/>
        <v>0.22851987003324584</v>
      </c>
      <c r="G139" s="172"/>
      <c r="H139" s="211"/>
      <c r="I139" s="211"/>
    </row>
    <row r="140" spans="1:9">
      <c r="A140" s="416"/>
      <c r="B140" s="171" t="s">
        <v>190</v>
      </c>
      <c r="C140" s="172">
        <f t="shared" si="19"/>
        <v>29.466149334999365</v>
      </c>
      <c r="D140" s="172">
        <f t="shared" si="18"/>
        <v>0.35934328457316356</v>
      </c>
      <c r="E140" s="172">
        <f t="shared" si="16"/>
        <v>29.106806050426201</v>
      </c>
      <c r="F140" s="172">
        <f t="shared" si="17"/>
        <v>0.22574993221466103</v>
      </c>
      <c r="G140" s="168">
        <f>+SUM(F129:F140)</f>
        <v>2.8918150826025295</v>
      </c>
      <c r="H140" s="211"/>
      <c r="I140" s="211"/>
    </row>
    <row r="141" spans="1:9">
      <c r="A141" s="416">
        <f>A128+1</f>
        <v>7</v>
      </c>
      <c r="B141" s="165" t="s">
        <v>199</v>
      </c>
      <c r="C141" s="166"/>
      <c r="D141" s="326"/>
      <c r="E141" s="166"/>
      <c r="F141" s="166"/>
      <c r="G141" s="166"/>
      <c r="H141" s="208"/>
      <c r="I141" s="208"/>
    </row>
    <row r="142" spans="1:9">
      <c r="A142" s="416"/>
      <c r="B142" s="167" t="s">
        <v>179</v>
      </c>
      <c r="C142" s="168">
        <f>E140</f>
        <v>29.106806050426201</v>
      </c>
      <c r="D142" s="168">
        <f t="shared" si="18"/>
        <v>0.35934328457316356</v>
      </c>
      <c r="E142" s="168">
        <f t="shared" si="16"/>
        <v>28.747462765853037</v>
      </c>
      <c r="F142" s="168">
        <f t="shared" si="17"/>
        <v>0.22297999439607621</v>
      </c>
      <c r="G142" s="168"/>
      <c r="H142" s="209"/>
      <c r="I142" s="209"/>
    </row>
    <row r="143" spans="1:9">
      <c r="A143" s="416"/>
      <c r="B143" s="167" t="s">
        <v>180</v>
      </c>
      <c r="C143" s="168">
        <f t="shared" si="19"/>
        <v>28.747462765853037</v>
      </c>
      <c r="D143" s="168">
        <f t="shared" si="18"/>
        <v>0.35934328457316356</v>
      </c>
      <c r="E143" s="168">
        <f t="shared" si="16"/>
        <v>28.388119481279873</v>
      </c>
      <c r="F143" s="168">
        <f t="shared" si="17"/>
        <v>0.2202100565774914</v>
      </c>
      <c r="G143" s="168"/>
      <c r="H143" s="209"/>
      <c r="I143" s="209"/>
    </row>
    <row r="144" spans="1:9">
      <c r="A144" s="416"/>
      <c r="B144" s="167" t="s">
        <v>181</v>
      </c>
      <c r="C144" s="168">
        <f t="shared" si="19"/>
        <v>28.388119481279873</v>
      </c>
      <c r="D144" s="168">
        <f t="shared" si="18"/>
        <v>0.35934328457316356</v>
      </c>
      <c r="E144" s="168">
        <f t="shared" si="16"/>
        <v>28.028776196706708</v>
      </c>
      <c r="F144" s="168">
        <f t="shared" si="17"/>
        <v>0.21744011875890659</v>
      </c>
      <c r="G144" s="168"/>
      <c r="H144" s="209"/>
      <c r="I144" s="209"/>
    </row>
    <row r="145" spans="1:9">
      <c r="A145" s="416"/>
      <c r="B145" s="167" t="s">
        <v>182</v>
      </c>
      <c r="C145" s="168">
        <f t="shared" si="19"/>
        <v>28.028776196706708</v>
      </c>
      <c r="D145" s="168">
        <f t="shared" si="18"/>
        <v>0.35934328457316356</v>
      </c>
      <c r="E145" s="168">
        <f t="shared" si="16"/>
        <v>27.669432912133544</v>
      </c>
      <c r="F145" s="168">
        <f t="shared" si="17"/>
        <v>0.21467018094032178</v>
      </c>
      <c r="G145" s="168"/>
      <c r="H145" s="209"/>
      <c r="I145" s="209"/>
    </row>
    <row r="146" spans="1:9">
      <c r="A146" s="416"/>
      <c r="B146" s="167" t="s">
        <v>183</v>
      </c>
      <c r="C146" s="168">
        <f t="shared" si="19"/>
        <v>27.669432912133544</v>
      </c>
      <c r="D146" s="168">
        <f t="shared" si="18"/>
        <v>0.35934328457316356</v>
      </c>
      <c r="E146" s="168">
        <f t="shared" si="16"/>
        <v>27.31008962756038</v>
      </c>
      <c r="F146" s="168">
        <f t="shared" si="17"/>
        <v>0.21190024312173703</v>
      </c>
      <c r="G146" s="168"/>
      <c r="H146" s="209"/>
      <c r="I146" s="209"/>
    </row>
    <row r="147" spans="1:9">
      <c r="A147" s="416"/>
      <c r="B147" s="167" t="s">
        <v>184</v>
      </c>
      <c r="C147" s="168">
        <f t="shared" si="19"/>
        <v>27.31008962756038</v>
      </c>
      <c r="D147" s="168">
        <f t="shared" si="18"/>
        <v>0.35934328457316356</v>
      </c>
      <c r="E147" s="168">
        <f t="shared" si="16"/>
        <v>26.950746342987216</v>
      </c>
      <c r="F147" s="168">
        <f t="shared" si="17"/>
        <v>0.20913030530315221</v>
      </c>
      <c r="G147" s="168"/>
      <c r="H147" s="209"/>
      <c r="I147" s="209"/>
    </row>
    <row r="148" spans="1:9">
      <c r="A148" s="416"/>
      <c r="B148" s="167" t="s">
        <v>185</v>
      </c>
      <c r="C148" s="168">
        <f t="shared" si="19"/>
        <v>26.950746342987216</v>
      </c>
      <c r="D148" s="168">
        <f t="shared" si="18"/>
        <v>0.35934328457316356</v>
      </c>
      <c r="E148" s="168">
        <f t="shared" si="16"/>
        <v>26.591403058414052</v>
      </c>
      <c r="F148" s="168">
        <f t="shared" si="17"/>
        <v>0.2063603674845674</v>
      </c>
      <c r="G148" s="168"/>
      <c r="H148" s="209"/>
      <c r="I148" s="209"/>
    </row>
    <row r="149" spans="1:9">
      <c r="A149" s="416"/>
      <c r="B149" s="167" t="s">
        <v>186</v>
      </c>
      <c r="C149" s="168">
        <f t="shared" si="19"/>
        <v>26.591403058414052</v>
      </c>
      <c r="D149" s="168">
        <f t="shared" si="18"/>
        <v>0.35934328457316356</v>
      </c>
      <c r="E149" s="168">
        <f t="shared" si="16"/>
        <v>26.232059773840888</v>
      </c>
      <c r="F149" s="168">
        <f t="shared" si="17"/>
        <v>0.20359042966598259</v>
      </c>
      <c r="G149" s="168"/>
      <c r="H149" s="209"/>
      <c r="I149" s="209"/>
    </row>
    <row r="150" spans="1:9">
      <c r="A150" s="416"/>
      <c r="B150" s="167" t="s">
        <v>187</v>
      </c>
      <c r="C150" s="168">
        <f t="shared" si="19"/>
        <v>26.232059773840888</v>
      </c>
      <c r="D150" s="168">
        <f t="shared" si="18"/>
        <v>0.35934328457316356</v>
      </c>
      <c r="E150" s="168">
        <f t="shared" si="16"/>
        <v>25.872716489267724</v>
      </c>
      <c r="F150" s="168">
        <f t="shared" si="17"/>
        <v>0.20082049184739778</v>
      </c>
      <c r="G150" s="168"/>
      <c r="H150" s="209"/>
      <c r="I150" s="209"/>
    </row>
    <row r="151" spans="1:9">
      <c r="A151" s="416"/>
      <c r="B151" s="167" t="s">
        <v>188</v>
      </c>
      <c r="C151" s="168">
        <f t="shared" si="19"/>
        <v>25.872716489267724</v>
      </c>
      <c r="D151" s="168">
        <f t="shared" si="18"/>
        <v>0.35934328457316356</v>
      </c>
      <c r="E151" s="168">
        <f t="shared" si="16"/>
        <v>25.51337320469456</v>
      </c>
      <c r="F151" s="168">
        <f t="shared" si="17"/>
        <v>0.19805055402881297</v>
      </c>
      <c r="G151" s="168"/>
      <c r="H151" s="209"/>
      <c r="I151" s="209"/>
    </row>
    <row r="152" spans="1:9">
      <c r="A152" s="416"/>
      <c r="B152" s="167" t="s">
        <v>189</v>
      </c>
      <c r="C152" s="168">
        <f t="shared" si="19"/>
        <v>25.51337320469456</v>
      </c>
      <c r="D152" s="168">
        <f t="shared" si="18"/>
        <v>0.35934328457316356</v>
      </c>
      <c r="E152" s="168">
        <f t="shared" si="16"/>
        <v>25.154029920121395</v>
      </c>
      <c r="F152" s="168">
        <f t="shared" si="17"/>
        <v>0.19528061621022816</v>
      </c>
      <c r="G152" s="168"/>
      <c r="H152" s="209"/>
      <c r="I152" s="209"/>
    </row>
    <row r="153" spans="1:9">
      <c r="A153" s="416"/>
      <c r="B153" s="167" t="s">
        <v>190</v>
      </c>
      <c r="C153" s="168">
        <f t="shared" si="19"/>
        <v>25.154029920121395</v>
      </c>
      <c r="D153" s="168">
        <f t="shared" si="18"/>
        <v>0.35934328457316356</v>
      </c>
      <c r="E153" s="168">
        <f t="shared" si="16"/>
        <v>24.794686635548231</v>
      </c>
      <c r="F153" s="168">
        <f t="shared" si="17"/>
        <v>0.19251067839164335</v>
      </c>
      <c r="G153" s="168">
        <f>+SUM(F142:F153)</f>
        <v>2.4929440367263171</v>
      </c>
      <c r="H153" s="209"/>
      <c r="I153" s="209"/>
    </row>
    <row r="154" spans="1:9">
      <c r="A154" s="416">
        <f>A141+1</f>
        <v>8</v>
      </c>
      <c r="B154" s="327" t="s">
        <v>200</v>
      </c>
      <c r="C154" s="178"/>
      <c r="D154" s="330"/>
      <c r="E154" s="178"/>
      <c r="F154" s="178"/>
      <c r="G154" s="178"/>
      <c r="H154" s="214"/>
      <c r="I154" s="328"/>
    </row>
    <row r="155" spans="1:9">
      <c r="A155" s="416"/>
      <c r="B155" s="179" t="s">
        <v>179</v>
      </c>
      <c r="C155" s="180">
        <f>E153</f>
        <v>24.794686635548231</v>
      </c>
      <c r="D155" s="180">
        <f t="shared" si="18"/>
        <v>0.35934328457316356</v>
      </c>
      <c r="E155" s="180">
        <f t="shared" si="16"/>
        <v>24.435343350975067</v>
      </c>
      <c r="F155" s="180">
        <f t="shared" si="17"/>
        <v>0.18974074057305854</v>
      </c>
      <c r="G155" s="180"/>
      <c r="H155" s="215"/>
      <c r="I155" s="215"/>
    </row>
    <row r="156" spans="1:9">
      <c r="A156" s="416"/>
      <c r="B156" s="179" t="s">
        <v>180</v>
      </c>
      <c r="C156" s="180">
        <f t="shared" ref="C156:C166" si="20">E155</f>
        <v>24.435343350975067</v>
      </c>
      <c r="D156" s="180">
        <f t="shared" si="18"/>
        <v>0.35934328457316356</v>
      </c>
      <c r="E156" s="180">
        <f t="shared" si="16"/>
        <v>24.076000066401903</v>
      </c>
      <c r="F156" s="180">
        <f t="shared" si="17"/>
        <v>0.18697080275447375</v>
      </c>
      <c r="G156" s="180"/>
      <c r="H156" s="215"/>
      <c r="I156" s="215"/>
    </row>
    <row r="157" spans="1:9">
      <c r="A157" s="416"/>
      <c r="B157" s="179" t="s">
        <v>181</v>
      </c>
      <c r="C157" s="180">
        <f t="shared" si="20"/>
        <v>24.076000066401903</v>
      </c>
      <c r="D157" s="180">
        <f t="shared" si="18"/>
        <v>0.35934328457316356</v>
      </c>
      <c r="E157" s="180">
        <f t="shared" si="16"/>
        <v>23.716656781828739</v>
      </c>
      <c r="F157" s="180">
        <f t="shared" si="17"/>
        <v>0.18420086493588894</v>
      </c>
      <c r="G157" s="180"/>
      <c r="H157" s="215"/>
      <c r="I157" s="215"/>
    </row>
    <row r="158" spans="1:9">
      <c r="A158" s="416"/>
      <c r="B158" s="179" t="s">
        <v>182</v>
      </c>
      <c r="C158" s="180">
        <f t="shared" si="20"/>
        <v>23.716656781828739</v>
      </c>
      <c r="D158" s="180">
        <f t="shared" si="18"/>
        <v>0.35934328457316356</v>
      </c>
      <c r="E158" s="180">
        <f t="shared" ref="E158:E166" si="21">C158-D158</f>
        <v>23.357313497255575</v>
      </c>
      <c r="F158" s="180">
        <f t="shared" si="17"/>
        <v>0.18143092711730413</v>
      </c>
      <c r="G158" s="180"/>
      <c r="H158" s="215"/>
      <c r="I158" s="215"/>
    </row>
    <row r="159" spans="1:9">
      <c r="A159" s="416"/>
      <c r="B159" s="179" t="s">
        <v>183</v>
      </c>
      <c r="C159" s="180">
        <f t="shared" si="20"/>
        <v>23.357313497255575</v>
      </c>
      <c r="D159" s="180">
        <f t="shared" si="18"/>
        <v>0.35934328457316356</v>
      </c>
      <c r="E159" s="180">
        <f t="shared" si="21"/>
        <v>22.997970212682411</v>
      </c>
      <c r="F159" s="180">
        <f t="shared" si="17"/>
        <v>0.17866098929871932</v>
      </c>
      <c r="G159" s="180"/>
      <c r="H159" s="215"/>
      <c r="I159" s="215"/>
    </row>
    <row r="160" spans="1:9">
      <c r="A160" s="416"/>
      <c r="B160" s="179" t="s">
        <v>184</v>
      </c>
      <c r="C160" s="180">
        <f t="shared" si="20"/>
        <v>22.997970212682411</v>
      </c>
      <c r="D160" s="180">
        <f t="shared" si="18"/>
        <v>0.35934328457316356</v>
      </c>
      <c r="E160" s="180">
        <f t="shared" si="21"/>
        <v>22.638626928109247</v>
      </c>
      <c r="F160" s="180">
        <f t="shared" si="17"/>
        <v>0.17589105148013451</v>
      </c>
      <c r="G160" s="180"/>
      <c r="H160" s="215"/>
      <c r="I160" s="215"/>
    </row>
    <row r="161" spans="1:9">
      <c r="A161" s="416"/>
      <c r="B161" s="179" t="s">
        <v>185</v>
      </c>
      <c r="C161" s="180">
        <f t="shared" si="20"/>
        <v>22.638626928109247</v>
      </c>
      <c r="D161" s="180">
        <f t="shared" si="18"/>
        <v>0.35934328457316356</v>
      </c>
      <c r="E161" s="180">
        <f t="shared" si="21"/>
        <v>22.279283643536083</v>
      </c>
      <c r="F161" s="180">
        <f t="shared" si="17"/>
        <v>0.1731211136615497</v>
      </c>
      <c r="G161" s="180"/>
      <c r="H161" s="215"/>
      <c r="I161" s="215"/>
    </row>
    <row r="162" spans="1:9">
      <c r="A162" s="416"/>
      <c r="B162" s="179" t="s">
        <v>186</v>
      </c>
      <c r="C162" s="180">
        <f t="shared" si="20"/>
        <v>22.279283643536083</v>
      </c>
      <c r="D162" s="180">
        <f t="shared" si="18"/>
        <v>0.35934328457316356</v>
      </c>
      <c r="E162" s="180">
        <f t="shared" si="21"/>
        <v>21.919940358962918</v>
      </c>
      <c r="F162" s="180">
        <f t="shared" si="17"/>
        <v>0.17035117584296489</v>
      </c>
      <c r="G162" s="180"/>
      <c r="H162" s="215"/>
      <c r="I162" s="215"/>
    </row>
    <row r="163" spans="1:9">
      <c r="A163" s="416"/>
      <c r="B163" s="179" t="s">
        <v>187</v>
      </c>
      <c r="C163" s="180">
        <f t="shared" si="20"/>
        <v>21.919940358962918</v>
      </c>
      <c r="D163" s="180">
        <f t="shared" si="18"/>
        <v>0.35934328457316356</v>
      </c>
      <c r="E163" s="180">
        <f t="shared" si="21"/>
        <v>21.560597074389754</v>
      </c>
      <c r="F163" s="180">
        <f t="shared" si="17"/>
        <v>0.16758123802438007</v>
      </c>
      <c r="G163" s="180"/>
      <c r="H163" s="215"/>
      <c r="I163" s="215"/>
    </row>
    <row r="164" spans="1:9">
      <c r="A164" s="416"/>
      <c r="B164" s="179" t="s">
        <v>188</v>
      </c>
      <c r="C164" s="180">
        <f t="shared" si="20"/>
        <v>21.560597074389754</v>
      </c>
      <c r="D164" s="180">
        <f t="shared" si="18"/>
        <v>0.35934328457316356</v>
      </c>
      <c r="E164" s="180">
        <f t="shared" si="21"/>
        <v>21.20125378981659</v>
      </c>
      <c r="F164" s="180">
        <f t="shared" si="17"/>
        <v>0.16481130020579529</v>
      </c>
      <c r="G164" s="180"/>
      <c r="H164" s="215"/>
      <c r="I164" s="215"/>
    </row>
    <row r="165" spans="1:9">
      <c r="A165" s="416"/>
      <c r="B165" s="179" t="s">
        <v>189</v>
      </c>
      <c r="C165" s="180">
        <f t="shared" si="20"/>
        <v>21.20125378981659</v>
      </c>
      <c r="D165" s="180">
        <f t="shared" si="18"/>
        <v>0.35934328457316356</v>
      </c>
      <c r="E165" s="180">
        <f t="shared" si="21"/>
        <v>20.841910505243426</v>
      </c>
      <c r="F165" s="180">
        <f t="shared" si="17"/>
        <v>0.16204136238721048</v>
      </c>
      <c r="G165" s="180"/>
      <c r="H165" s="215"/>
      <c r="I165" s="215"/>
    </row>
    <row r="166" spans="1:9">
      <c r="A166" s="416"/>
      <c r="B166" s="179" t="s">
        <v>190</v>
      </c>
      <c r="C166" s="180">
        <f t="shared" si="20"/>
        <v>20.841910505243426</v>
      </c>
      <c r="D166" s="180">
        <f t="shared" si="18"/>
        <v>0.35934328457316356</v>
      </c>
      <c r="E166" s="180">
        <f t="shared" si="21"/>
        <v>20.482567220670262</v>
      </c>
      <c r="F166" s="180">
        <f t="shared" si="17"/>
        <v>0.15927142456862567</v>
      </c>
      <c r="G166" s="168">
        <f>+SUM(F155:F166)</f>
        <v>2.0940729908501052</v>
      </c>
      <c r="H166" s="215"/>
      <c r="I166" s="215"/>
    </row>
    <row r="167" spans="1:9">
      <c r="A167" s="416">
        <f>A154+1</f>
        <v>9</v>
      </c>
      <c r="B167" s="165" t="s">
        <v>201</v>
      </c>
      <c r="C167" s="166"/>
      <c r="D167" s="168"/>
      <c r="E167" s="166"/>
      <c r="F167" s="166"/>
      <c r="G167" s="166"/>
      <c r="H167" s="208"/>
      <c r="I167" s="208"/>
    </row>
    <row r="168" spans="1:9">
      <c r="A168" s="416"/>
      <c r="B168" s="167" t="s">
        <v>179</v>
      </c>
      <c r="C168" s="168">
        <f>E166</f>
        <v>20.482567220670262</v>
      </c>
      <c r="D168" s="168">
        <f t="shared" ref="D168:D228" si="22">+$F$22</f>
        <v>0.35934328457316356</v>
      </c>
      <c r="E168" s="168">
        <f t="shared" ref="E168:E179" si="23">C168-D168</f>
        <v>20.123223936097098</v>
      </c>
      <c r="F168" s="168">
        <f t="shared" ref="F168:F179" si="24">AVERAGE(C168,E168)*$C$22/12</f>
        <v>0.15650148675004086</v>
      </c>
      <c r="G168" s="168"/>
      <c r="H168" s="209"/>
      <c r="I168" s="209"/>
    </row>
    <row r="169" spans="1:9">
      <c r="A169" s="416"/>
      <c r="B169" s="167" t="s">
        <v>180</v>
      </c>
      <c r="C169" s="168">
        <f t="shared" ref="C169:C179" si="25">E168</f>
        <v>20.123223936097098</v>
      </c>
      <c r="D169" s="168">
        <f t="shared" si="22"/>
        <v>0.35934328457316356</v>
      </c>
      <c r="E169" s="168">
        <f t="shared" si="23"/>
        <v>19.763880651523934</v>
      </c>
      <c r="F169" s="168">
        <f t="shared" si="24"/>
        <v>0.15373154893145605</v>
      </c>
      <c r="G169" s="168"/>
      <c r="H169" s="209"/>
      <c r="I169" s="209"/>
    </row>
    <row r="170" spans="1:9">
      <c r="A170" s="416"/>
      <c r="B170" s="167" t="s">
        <v>181</v>
      </c>
      <c r="C170" s="168">
        <f t="shared" si="25"/>
        <v>19.763880651523934</v>
      </c>
      <c r="D170" s="168">
        <f t="shared" si="22"/>
        <v>0.35934328457316356</v>
      </c>
      <c r="E170" s="168">
        <f t="shared" si="23"/>
        <v>19.40453736695077</v>
      </c>
      <c r="F170" s="168">
        <f t="shared" si="24"/>
        <v>0.15096161111287124</v>
      </c>
      <c r="G170" s="168"/>
      <c r="H170" s="209"/>
      <c r="I170" s="209"/>
    </row>
    <row r="171" spans="1:9">
      <c r="A171" s="416"/>
      <c r="B171" s="167" t="s">
        <v>182</v>
      </c>
      <c r="C171" s="168">
        <f t="shared" si="25"/>
        <v>19.40453736695077</v>
      </c>
      <c r="D171" s="168">
        <f t="shared" si="22"/>
        <v>0.35934328457316356</v>
      </c>
      <c r="E171" s="168">
        <f t="shared" si="23"/>
        <v>19.045194082377606</v>
      </c>
      <c r="F171" s="168">
        <f t="shared" si="24"/>
        <v>0.14819167329428645</v>
      </c>
      <c r="G171" s="168"/>
      <c r="H171" s="209"/>
      <c r="I171" s="209"/>
    </row>
    <row r="172" spans="1:9">
      <c r="A172" s="416"/>
      <c r="B172" s="167" t="s">
        <v>183</v>
      </c>
      <c r="C172" s="168">
        <f t="shared" si="25"/>
        <v>19.045194082377606</v>
      </c>
      <c r="D172" s="168">
        <f t="shared" si="22"/>
        <v>0.35934328457316356</v>
      </c>
      <c r="E172" s="168">
        <f t="shared" si="23"/>
        <v>18.685850797804441</v>
      </c>
      <c r="F172" s="168">
        <f t="shared" si="24"/>
        <v>0.14542173547570164</v>
      </c>
      <c r="G172" s="168"/>
      <c r="H172" s="209"/>
      <c r="I172" s="209"/>
    </row>
    <row r="173" spans="1:9">
      <c r="A173" s="416"/>
      <c r="B173" s="167" t="s">
        <v>184</v>
      </c>
      <c r="C173" s="168">
        <f t="shared" si="25"/>
        <v>18.685850797804441</v>
      </c>
      <c r="D173" s="168">
        <f t="shared" si="22"/>
        <v>0.35934328457316356</v>
      </c>
      <c r="E173" s="168">
        <f t="shared" si="23"/>
        <v>18.326507513231277</v>
      </c>
      <c r="F173" s="168">
        <f t="shared" si="24"/>
        <v>0.14265179765711683</v>
      </c>
      <c r="G173" s="168"/>
      <c r="H173" s="209"/>
      <c r="I173" s="209"/>
    </row>
    <row r="174" spans="1:9">
      <c r="A174" s="416"/>
      <c r="B174" s="167" t="s">
        <v>185</v>
      </c>
      <c r="C174" s="168">
        <f t="shared" si="25"/>
        <v>18.326507513231277</v>
      </c>
      <c r="D174" s="168">
        <f t="shared" si="22"/>
        <v>0.35934328457316356</v>
      </c>
      <c r="E174" s="168">
        <f t="shared" si="23"/>
        <v>17.967164228658113</v>
      </c>
      <c r="F174" s="168">
        <f t="shared" si="24"/>
        <v>0.13988185983853202</v>
      </c>
      <c r="G174" s="168"/>
      <c r="H174" s="209"/>
      <c r="I174" s="209"/>
    </row>
    <row r="175" spans="1:9">
      <c r="A175" s="416"/>
      <c r="B175" s="167" t="s">
        <v>186</v>
      </c>
      <c r="C175" s="168">
        <f t="shared" si="25"/>
        <v>17.967164228658113</v>
      </c>
      <c r="D175" s="168">
        <f t="shared" si="22"/>
        <v>0.35934328457316356</v>
      </c>
      <c r="E175" s="168">
        <f t="shared" si="23"/>
        <v>17.607820944084949</v>
      </c>
      <c r="F175" s="168">
        <f t="shared" si="24"/>
        <v>0.13711192201994724</v>
      </c>
      <c r="G175" s="168"/>
      <c r="H175" s="209"/>
      <c r="I175" s="209"/>
    </row>
    <row r="176" spans="1:9">
      <c r="A176" s="416"/>
      <c r="B176" s="167" t="s">
        <v>187</v>
      </c>
      <c r="C176" s="168">
        <f t="shared" si="25"/>
        <v>17.607820944084949</v>
      </c>
      <c r="D176" s="168">
        <f t="shared" si="22"/>
        <v>0.35934328457316356</v>
      </c>
      <c r="E176" s="168">
        <f t="shared" si="23"/>
        <v>17.248477659511785</v>
      </c>
      <c r="F176" s="168">
        <f t="shared" si="24"/>
        <v>0.13434198420136242</v>
      </c>
      <c r="G176" s="168"/>
      <c r="H176" s="209"/>
      <c r="I176" s="209"/>
    </row>
    <row r="177" spans="1:9">
      <c r="A177" s="416"/>
      <c r="B177" s="167" t="s">
        <v>188</v>
      </c>
      <c r="C177" s="168">
        <f t="shared" si="25"/>
        <v>17.248477659511785</v>
      </c>
      <c r="D177" s="168">
        <f t="shared" si="22"/>
        <v>0.35934328457316356</v>
      </c>
      <c r="E177" s="168">
        <f t="shared" si="23"/>
        <v>16.889134374938621</v>
      </c>
      <c r="F177" s="168">
        <f t="shared" si="24"/>
        <v>0.13157204638277761</v>
      </c>
      <c r="G177" s="168"/>
      <c r="H177" s="209"/>
      <c r="I177" s="209"/>
    </row>
    <row r="178" spans="1:9">
      <c r="A178" s="416"/>
      <c r="B178" s="167" t="s">
        <v>189</v>
      </c>
      <c r="C178" s="168">
        <f t="shared" si="25"/>
        <v>16.889134374938621</v>
      </c>
      <c r="D178" s="168">
        <f t="shared" si="22"/>
        <v>0.35934328457316356</v>
      </c>
      <c r="E178" s="168">
        <f t="shared" si="23"/>
        <v>16.529791090365457</v>
      </c>
      <c r="F178" s="168">
        <f t="shared" si="24"/>
        <v>0.1288021085641928</v>
      </c>
      <c r="G178" s="168"/>
      <c r="H178" s="209"/>
      <c r="I178" s="209"/>
    </row>
    <row r="179" spans="1:9">
      <c r="A179" s="416"/>
      <c r="B179" s="167" t="s">
        <v>190</v>
      </c>
      <c r="C179" s="168">
        <f t="shared" si="25"/>
        <v>16.529791090365457</v>
      </c>
      <c r="D179" s="168">
        <f t="shared" si="22"/>
        <v>0.35934328457316356</v>
      </c>
      <c r="E179" s="168">
        <f t="shared" si="23"/>
        <v>16.170447805792293</v>
      </c>
      <c r="F179" s="168">
        <f t="shared" si="24"/>
        <v>0.12603217074560799</v>
      </c>
      <c r="G179" s="168">
        <f>+SUM(F168:F179)</f>
        <v>1.6952019449738935</v>
      </c>
      <c r="H179" s="209"/>
      <c r="I179" s="209"/>
    </row>
    <row r="180" spans="1:9">
      <c r="A180" s="416">
        <f>A167+1</f>
        <v>10</v>
      </c>
      <c r="B180" s="331" t="s">
        <v>202</v>
      </c>
      <c r="C180" s="97"/>
      <c r="D180" s="162"/>
      <c r="E180" s="97"/>
      <c r="F180" s="97"/>
      <c r="G180" s="97"/>
      <c r="H180" s="216"/>
      <c r="I180" s="332"/>
    </row>
    <row r="181" spans="1:9">
      <c r="A181" s="416"/>
      <c r="B181" s="82" t="s">
        <v>179</v>
      </c>
      <c r="C181" s="83">
        <f>E179</f>
        <v>16.170447805792293</v>
      </c>
      <c r="D181" s="164">
        <f t="shared" si="22"/>
        <v>0.35934328457316356</v>
      </c>
      <c r="E181" s="83">
        <f t="shared" ref="E181:E192" si="26">C181-D181</f>
        <v>15.811104521219129</v>
      </c>
      <c r="F181" s="83">
        <f t="shared" ref="F181:F192" si="27">AVERAGE(C181,E181)*$C$22/12</f>
        <v>0.12326223292702319</v>
      </c>
      <c r="G181" s="83"/>
      <c r="H181" s="217"/>
      <c r="I181" s="217"/>
    </row>
    <row r="182" spans="1:9">
      <c r="A182" s="416"/>
      <c r="B182" s="82" t="s">
        <v>180</v>
      </c>
      <c r="C182" s="83">
        <f t="shared" ref="C182:C192" si="28">E181</f>
        <v>15.811104521219129</v>
      </c>
      <c r="D182" s="164">
        <f t="shared" si="22"/>
        <v>0.35934328457316356</v>
      </c>
      <c r="E182" s="83">
        <f t="shared" si="26"/>
        <v>15.451761236645964</v>
      </c>
      <c r="F182" s="83">
        <f t="shared" si="27"/>
        <v>0.12049229510843838</v>
      </c>
      <c r="G182" s="83"/>
      <c r="H182" s="217"/>
      <c r="I182" s="217"/>
    </row>
    <row r="183" spans="1:9">
      <c r="A183" s="416"/>
      <c r="B183" s="82" t="s">
        <v>181</v>
      </c>
      <c r="C183" s="83">
        <f t="shared" si="28"/>
        <v>15.451761236645964</v>
      </c>
      <c r="D183" s="164">
        <f t="shared" si="22"/>
        <v>0.35934328457316356</v>
      </c>
      <c r="E183" s="83">
        <f t="shared" si="26"/>
        <v>15.0924179520728</v>
      </c>
      <c r="F183" s="83">
        <f t="shared" si="27"/>
        <v>0.11772235728985357</v>
      </c>
      <c r="G183" s="83"/>
      <c r="H183" s="217"/>
      <c r="I183" s="217"/>
    </row>
    <row r="184" spans="1:9">
      <c r="A184" s="416"/>
      <c r="B184" s="82" t="s">
        <v>182</v>
      </c>
      <c r="C184" s="83">
        <f t="shared" si="28"/>
        <v>15.0924179520728</v>
      </c>
      <c r="D184" s="164">
        <f t="shared" si="22"/>
        <v>0.35934328457316356</v>
      </c>
      <c r="E184" s="83">
        <f t="shared" si="26"/>
        <v>14.733074667499636</v>
      </c>
      <c r="F184" s="83">
        <f t="shared" si="27"/>
        <v>0.11495241947126876</v>
      </c>
      <c r="G184" s="83"/>
      <c r="H184" s="217"/>
      <c r="I184" s="217"/>
    </row>
    <row r="185" spans="1:9">
      <c r="A185" s="416"/>
      <c r="B185" s="82" t="s">
        <v>183</v>
      </c>
      <c r="C185" s="83">
        <f t="shared" si="28"/>
        <v>14.733074667499636</v>
      </c>
      <c r="D185" s="164">
        <f t="shared" si="22"/>
        <v>0.35934328457316356</v>
      </c>
      <c r="E185" s="83">
        <f t="shared" si="26"/>
        <v>14.373731382926472</v>
      </c>
      <c r="F185" s="83">
        <f t="shared" si="27"/>
        <v>0.11218248165268396</v>
      </c>
      <c r="G185" s="83"/>
      <c r="H185" s="217"/>
      <c r="I185" s="217"/>
    </row>
    <row r="186" spans="1:9">
      <c r="A186" s="416"/>
      <c r="B186" s="82" t="s">
        <v>184</v>
      </c>
      <c r="C186" s="83">
        <f t="shared" si="28"/>
        <v>14.373731382926472</v>
      </c>
      <c r="D186" s="164">
        <f t="shared" si="22"/>
        <v>0.35934328457316356</v>
      </c>
      <c r="E186" s="83">
        <f t="shared" si="26"/>
        <v>14.014388098353308</v>
      </c>
      <c r="F186" s="83">
        <f t="shared" si="27"/>
        <v>0.10941254383409915</v>
      </c>
      <c r="G186" s="83"/>
      <c r="H186" s="217"/>
      <c r="I186" s="217"/>
    </row>
    <row r="187" spans="1:9">
      <c r="A187" s="416"/>
      <c r="B187" s="82" t="s">
        <v>185</v>
      </c>
      <c r="C187" s="83">
        <f t="shared" si="28"/>
        <v>14.014388098353308</v>
      </c>
      <c r="D187" s="164">
        <f t="shared" si="22"/>
        <v>0.35934328457316356</v>
      </c>
      <c r="E187" s="83">
        <f t="shared" si="26"/>
        <v>13.655044813780144</v>
      </c>
      <c r="F187" s="83">
        <f t="shared" si="27"/>
        <v>0.10664260601551434</v>
      </c>
      <c r="G187" s="83"/>
      <c r="H187" s="217"/>
      <c r="I187" s="217"/>
    </row>
    <row r="188" spans="1:9">
      <c r="A188" s="416"/>
      <c r="B188" s="82" t="s">
        <v>186</v>
      </c>
      <c r="C188" s="83">
        <f t="shared" si="28"/>
        <v>13.655044813780144</v>
      </c>
      <c r="D188" s="164">
        <f t="shared" si="22"/>
        <v>0.35934328457316356</v>
      </c>
      <c r="E188" s="83">
        <f t="shared" si="26"/>
        <v>13.29570152920698</v>
      </c>
      <c r="F188" s="83">
        <f t="shared" si="27"/>
        <v>0.10387266819692953</v>
      </c>
      <c r="G188" s="83"/>
      <c r="H188" s="217"/>
      <c r="I188" s="217"/>
    </row>
    <row r="189" spans="1:9">
      <c r="A189" s="416"/>
      <c r="B189" s="82" t="s">
        <v>187</v>
      </c>
      <c r="C189" s="83">
        <f t="shared" si="28"/>
        <v>13.29570152920698</v>
      </c>
      <c r="D189" s="164">
        <f t="shared" si="22"/>
        <v>0.35934328457316356</v>
      </c>
      <c r="E189" s="83">
        <f t="shared" si="26"/>
        <v>12.936358244633816</v>
      </c>
      <c r="F189" s="83">
        <f t="shared" si="27"/>
        <v>0.10110273037834473</v>
      </c>
      <c r="G189" s="83"/>
      <c r="H189" s="217"/>
      <c r="I189" s="217"/>
    </row>
    <row r="190" spans="1:9">
      <c r="A190" s="416"/>
      <c r="B190" s="82" t="s">
        <v>188</v>
      </c>
      <c r="C190" s="83">
        <f t="shared" si="28"/>
        <v>12.936358244633816</v>
      </c>
      <c r="D190" s="164">
        <f t="shared" si="22"/>
        <v>0.35934328457316356</v>
      </c>
      <c r="E190" s="83">
        <f t="shared" si="26"/>
        <v>12.577014960060652</v>
      </c>
      <c r="F190" s="83">
        <f t="shared" si="27"/>
        <v>9.8332792559759921E-2</v>
      </c>
      <c r="G190" s="83"/>
      <c r="H190" s="217"/>
      <c r="I190" s="217"/>
    </row>
    <row r="191" spans="1:9">
      <c r="A191" s="416"/>
      <c r="B191" s="82" t="s">
        <v>189</v>
      </c>
      <c r="C191" s="83">
        <f t="shared" si="28"/>
        <v>12.577014960060652</v>
      </c>
      <c r="D191" s="164">
        <f t="shared" si="22"/>
        <v>0.35934328457316356</v>
      </c>
      <c r="E191" s="83">
        <f t="shared" si="26"/>
        <v>12.217671675487487</v>
      </c>
      <c r="F191" s="83">
        <f t="shared" si="27"/>
        <v>9.556285474117511E-2</v>
      </c>
      <c r="G191" s="83"/>
      <c r="H191" s="217"/>
      <c r="I191" s="217"/>
    </row>
    <row r="192" spans="1:9">
      <c r="A192" s="416"/>
      <c r="B192" s="82" t="s">
        <v>190</v>
      </c>
      <c r="C192" s="83">
        <f t="shared" si="28"/>
        <v>12.217671675487487</v>
      </c>
      <c r="D192" s="164">
        <f t="shared" si="22"/>
        <v>0.35934328457316356</v>
      </c>
      <c r="E192" s="83">
        <f t="shared" si="26"/>
        <v>11.858328390914323</v>
      </c>
      <c r="F192" s="83">
        <f t="shared" si="27"/>
        <v>9.2792916922590299E-2</v>
      </c>
      <c r="G192" s="168">
        <f>+SUM(F181:F192)</f>
        <v>1.296330899097681</v>
      </c>
      <c r="H192" s="217"/>
      <c r="I192" s="217"/>
    </row>
    <row r="193" spans="1:9">
      <c r="A193" s="416">
        <f>A180+1</f>
        <v>11</v>
      </c>
      <c r="B193" s="333" t="s">
        <v>203</v>
      </c>
      <c r="C193" s="174"/>
      <c r="D193" s="335"/>
      <c r="E193" s="174"/>
      <c r="F193" s="174"/>
      <c r="G193" s="174"/>
      <c r="H193" s="212"/>
      <c r="I193" s="334"/>
    </row>
    <row r="194" spans="1:9">
      <c r="A194" s="416"/>
      <c r="B194" s="175" t="s">
        <v>179</v>
      </c>
      <c r="C194" s="176">
        <f>E192</f>
        <v>11.858328390914323</v>
      </c>
      <c r="D194" s="176">
        <f t="shared" si="22"/>
        <v>0.35934328457316356</v>
      </c>
      <c r="E194" s="176">
        <f t="shared" ref="E194:E205" si="29">C194-D194</f>
        <v>11.498985106341159</v>
      </c>
      <c r="F194" s="176">
        <f t="shared" ref="F194:F205" si="30">AVERAGE(C194,E194)*$C$22/12</f>
        <v>9.0022979104005516E-2</v>
      </c>
      <c r="G194" s="176"/>
      <c r="H194" s="213"/>
      <c r="I194" s="213"/>
    </row>
    <row r="195" spans="1:9">
      <c r="A195" s="416"/>
      <c r="B195" s="175" t="s">
        <v>180</v>
      </c>
      <c r="C195" s="176">
        <f t="shared" ref="C195:C205" si="31">E194</f>
        <v>11.498985106341159</v>
      </c>
      <c r="D195" s="176">
        <f t="shared" si="22"/>
        <v>0.35934328457316356</v>
      </c>
      <c r="E195" s="176">
        <f t="shared" si="29"/>
        <v>11.139641821767995</v>
      </c>
      <c r="F195" s="176">
        <f t="shared" si="30"/>
        <v>8.7253041285420704E-2</v>
      </c>
      <c r="G195" s="176"/>
      <c r="H195" s="213"/>
      <c r="I195" s="213"/>
    </row>
    <row r="196" spans="1:9">
      <c r="A196" s="416"/>
      <c r="B196" s="175" t="s">
        <v>181</v>
      </c>
      <c r="C196" s="176">
        <f t="shared" si="31"/>
        <v>11.139641821767995</v>
      </c>
      <c r="D196" s="176">
        <f t="shared" si="22"/>
        <v>0.35934328457316356</v>
      </c>
      <c r="E196" s="176">
        <f t="shared" si="29"/>
        <v>10.780298537194831</v>
      </c>
      <c r="F196" s="176">
        <f t="shared" si="30"/>
        <v>8.4483103466835893E-2</v>
      </c>
      <c r="G196" s="176"/>
      <c r="H196" s="213"/>
      <c r="I196" s="213"/>
    </row>
    <row r="197" spans="1:9">
      <c r="A197" s="416"/>
      <c r="B197" s="175" t="s">
        <v>182</v>
      </c>
      <c r="C197" s="176">
        <f t="shared" si="31"/>
        <v>10.780298537194831</v>
      </c>
      <c r="D197" s="176">
        <f t="shared" si="22"/>
        <v>0.35934328457316356</v>
      </c>
      <c r="E197" s="176">
        <f t="shared" si="29"/>
        <v>10.420955252621667</v>
      </c>
      <c r="F197" s="176">
        <f t="shared" si="30"/>
        <v>8.1713165648251082E-2</v>
      </c>
      <c r="G197" s="176"/>
      <c r="H197" s="213"/>
      <c r="I197" s="213"/>
    </row>
    <row r="198" spans="1:9">
      <c r="A198" s="416"/>
      <c r="B198" s="175" t="s">
        <v>183</v>
      </c>
      <c r="C198" s="176">
        <f t="shared" si="31"/>
        <v>10.420955252621667</v>
      </c>
      <c r="D198" s="176">
        <f t="shared" si="22"/>
        <v>0.35934328457316356</v>
      </c>
      <c r="E198" s="176">
        <f t="shared" si="29"/>
        <v>10.061611968048503</v>
      </c>
      <c r="F198" s="176">
        <f t="shared" si="30"/>
        <v>7.8943227829666271E-2</v>
      </c>
      <c r="G198" s="176"/>
      <c r="H198" s="213"/>
      <c r="I198" s="213"/>
    </row>
    <row r="199" spans="1:9">
      <c r="A199" s="416"/>
      <c r="B199" s="175" t="s">
        <v>184</v>
      </c>
      <c r="C199" s="176">
        <f t="shared" si="31"/>
        <v>10.061611968048503</v>
      </c>
      <c r="D199" s="176">
        <f t="shared" si="22"/>
        <v>0.35934328457316356</v>
      </c>
      <c r="E199" s="176">
        <f t="shared" si="29"/>
        <v>9.7022686834753387</v>
      </c>
      <c r="F199" s="176">
        <f t="shared" si="30"/>
        <v>7.6173290011081474E-2</v>
      </c>
      <c r="G199" s="176"/>
      <c r="H199" s="213"/>
      <c r="I199" s="213"/>
    </row>
    <row r="200" spans="1:9">
      <c r="A200" s="416"/>
      <c r="B200" s="175" t="s">
        <v>185</v>
      </c>
      <c r="C200" s="176">
        <f t="shared" si="31"/>
        <v>9.7022686834753387</v>
      </c>
      <c r="D200" s="176">
        <f t="shared" si="22"/>
        <v>0.35934328457316356</v>
      </c>
      <c r="E200" s="176">
        <f t="shared" si="29"/>
        <v>9.3429253989021745</v>
      </c>
      <c r="F200" s="176">
        <f t="shared" si="30"/>
        <v>7.3403352192496663E-2</v>
      </c>
      <c r="G200" s="176"/>
      <c r="H200" s="213"/>
      <c r="I200" s="213"/>
    </row>
    <row r="201" spans="1:9">
      <c r="A201" s="416"/>
      <c r="B201" s="175" t="s">
        <v>186</v>
      </c>
      <c r="C201" s="176">
        <f t="shared" si="31"/>
        <v>9.3429253989021745</v>
      </c>
      <c r="D201" s="176">
        <f t="shared" si="22"/>
        <v>0.35934328457316356</v>
      </c>
      <c r="E201" s="176">
        <f t="shared" si="29"/>
        <v>8.9835821143290104</v>
      </c>
      <c r="F201" s="176">
        <f t="shared" si="30"/>
        <v>7.0633414373911865E-2</v>
      </c>
      <c r="G201" s="176"/>
      <c r="H201" s="213"/>
      <c r="I201" s="213"/>
    </row>
    <row r="202" spans="1:9">
      <c r="A202" s="416"/>
      <c r="B202" s="175" t="s">
        <v>187</v>
      </c>
      <c r="C202" s="176">
        <f t="shared" si="31"/>
        <v>8.9835821143290104</v>
      </c>
      <c r="D202" s="176">
        <f t="shared" si="22"/>
        <v>0.35934328457316356</v>
      </c>
      <c r="E202" s="176">
        <f t="shared" si="29"/>
        <v>8.6242388297558463</v>
      </c>
      <c r="F202" s="176">
        <f t="shared" si="30"/>
        <v>6.7863476555327054E-2</v>
      </c>
      <c r="G202" s="176"/>
      <c r="H202" s="213"/>
      <c r="I202" s="213"/>
    </row>
    <row r="203" spans="1:9">
      <c r="A203" s="416"/>
      <c r="B203" s="175" t="s">
        <v>188</v>
      </c>
      <c r="C203" s="176">
        <f t="shared" si="31"/>
        <v>8.6242388297558463</v>
      </c>
      <c r="D203" s="176">
        <f t="shared" si="22"/>
        <v>0.35934328457316356</v>
      </c>
      <c r="E203" s="176">
        <f t="shared" si="29"/>
        <v>8.2648955451826822</v>
      </c>
      <c r="F203" s="176">
        <f t="shared" si="30"/>
        <v>6.5093538736742243E-2</v>
      </c>
      <c r="G203" s="176"/>
      <c r="H203" s="213"/>
      <c r="I203" s="213"/>
    </row>
    <row r="204" spans="1:9">
      <c r="A204" s="416"/>
      <c r="B204" s="175" t="s">
        <v>189</v>
      </c>
      <c r="C204" s="176">
        <f t="shared" si="31"/>
        <v>8.2648955451826822</v>
      </c>
      <c r="D204" s="176">
        <f t="shared" si="22"/>
        <v>0.35934328457316356</v>
      </c>
      <c r="E204" s="176">
        <f t="shared" si="29"/>
        <v>7.905552260609519</v>
      </c>
      <c r="F204" s="176">
        <f t="shared" si="30"/>
        <v>6.2323600918157439E-2</v>
      </c>
      <c r="G204" s="176"/>
      <c r="H204" s="213"/>
      <c r="I204" s="213"/>
    </row>
    <row r="205" spans="1:9">
      <c r="A205" s="416"/>
      <c r="B205" s="175" t="s">
        <v>190</v>
      </c>
      <c r="C205" s="176">
        <f t="shared" si="31"/>
        <v>7.905552260609519</v>
      </c>
      <c r="D205" s="176">
        <f t="shared" si="22"/>
        <v>0.35934328457316356</v>
      </c>
      <c r="E205" s="176">
        <f t="shared" si="29"/>
        <v>7.5462089760363558</v>
      </c>
      <c r="F205" s="176">
        <f t="shared" si="30"/>
        <v>5.9553663099572642E-2</v>
      </c>
      <c r="G205" s="168">
        <f>+SUM(F194:F205)</f>
        <v>0.89745985322146904</v>
      </c>
      <c r="H205" s="213"/>
      <c r="I205" s="213"/>
    </row>
    <row r="206" spans="1:9">
      <c r="A206" s="416">
        <f>A193+1</f>
        <v>12</v>
      </c>
      <c r="B206" s="336" t="s">
        <v>204</v>
      </c>
      <c r="C206" s="181"/>
      <c r="D206" s="329"/>
      <c r="E206" s="181"/>
      <c r="F206" s="181"/>
      <c r="G206" s="181"/>
      <c r="H206" s="218"/>
      <c r="I206" s="337"/>
    </row>
    <row r="207" spans="1:9">
      <c r="A207" s="416"/>
      <c r="B207" s="182" t="s">
        <v>179</v>
      </c>
      <c r="C207" s="183">
        <f>E205</f>
        <v>7.5462089760363558</v>
      </c>
      <c r="D207" s="183">
        <f t="shared" si="22"/>
        <v>0.35934328457316356</v>
      </c>
      <c r="E207" s="183">
        <f t="shared" ref="E207:E218" si="32">C207-D207</f>
        <v>7.1868656914631925</v>
      </c>
      <c r="F207" s="183">
        <f t="shared" ref="F207:F218" si="33">AVERAGE(C207,E207)*$C$22/12</f>
        <v>5.6783725280987844E-2</v>
      </c>
      <c r="G207" s="183"/>
      <c r="H207" s="219"/>
      <c r="I207" s="219"/>
    </row>
    <row r="208" spans="1:9">
      <c r="A208" s="416"/>
      <c r="B208" s="182" t="s">
        <v>180</v>
      </c>
      <c r="C208" s="183">
        <f t="shared" ref="C208:C218" si="34">E207</f>
        <v>7.1868656914631925</v>
      </c>
      <c r="D208" s="183">
        <f t="shared" si="22"/>
        <v>0.35934328457316356</v>
      </c>
      <c r="E208" s="183">
        <f t="shared" si="32"/>
        <v>6.8275224068900293</v>
      </c>
      <c r="F208" s="183">
        <f t="shared" si="33"/>
        <v>5.4013787462403047E-2</v>
      </c>
      <c r="G208" s="183"/>
      <c r="H208" s="219"/>
      <c r="I208" s="219"/>
    </row>
    <row r="209" spans="1:9">
      <c r="A209" s="416"/>
      <c r="B209" s="182" t="s">
        <v>181</v>
      </c>
      <c r="C209" s="183">
        <f t="shared" si="34"/>
        <v>6.8275224068900293</v>
      </c>
      <c r="D209" s="183">
        <f t="shared" si="22"/>
        <v>0.35934328457316356</v>
      </c>
      <c r="E209" s="183">
        <f t="shared" si="32"/>
        <v>6.4681791223168661</v>
      </c>
      <c r="F209" s="183">
        <f t="shared" si="33"/>
        <v>5.1243849643818236E-2</v>
      </c>
      <c r="G209" s="183"/>
      <c r="H209" s="219"/>
      <c r="I209" s="219"/>
    </row>
    <row r="210" spans="1:9">
      <c r="A210" s="416"/>
      <c r="B210" s="182" t="s">
        <v>182</v>
      </c>
      <c r="C210" s="183">
        <f t="shared" si="34"/>
        <v>6.4681791223168661</v>
      </c>
      <c r="D210" s="183">
        <f t="shared" si="22"/>
        <v>0.35934328457316356</v>
      </c>
      <c r="E210" s="183">
        <f t="shared" si="32"/>
        <v>6.1088358377437029</v>
      </c>
      <c r="F210" s="183">
        <f t="shared" si="33"/>
        <v>4.8473911825233446E-2</v>
      </c>
      <c r="G210" s="183"/>
      <c r="H210" s="219"/>
      <c r="I210" s="219"/>
    </row>
    <row r="211" spans="1:9">
      <c r="A211" s="416"/>
      <c r="B211" s="182" t="s">
        <v>183</v>
      </c>
      <c r="C211" s="183">
        <f t="shared" si="34"/>
        <v>6.1088358377437029</v>
      </c>
      <c r="D211" s="183">
        <f t="shared" si="22"/>
        <v>0.35934328457316356</v>
      </c>
      <c r="E211" s="183">
        <f t="shared" si="32"/>
        <v>5.7494925531705396</v>
      </c>
      <c r="F211" s="183">
        <f t="shared" si="33"/>
        <v>4.5703974006648641E-2</v>
      </c>
      <c r="G211" s="183"/>
      <c r="H211" s="219"/>
      <c r="I211" s="219"/>
    </row>
    <row r="212" spans="1:9">
      <c r="A212" s="416"/>
      <c r="B212" s="182" t="s">
        <v>184</v>
      </c>
      <c r="C212" s="183">
        <f t="shared" si="34"/>
        <v>5.7494925531705396</v>
      </c>
      <c r="D212" s="183">
        <f t="shared" si="22"/>
        <v>0.35934328457316356</v>
      </c>
      <c r="E212" s="183">
        <f t="shared" si="32"/>
        <v>5.3901492685973764</v>
      </c>
      <c r="F212" s="183">
        <f t="shared" si="33"/>
        <v>4.2934036188063844E-2</v>
      </c>
      <c r="G212" s="183"/>
      <c r="H212" s="219"/>
      <c r="I212" s="219"/>
    </row>
    <row r="213" spans="1:9">
      <c r="A213" s="416"/>
      <c r="B213" s="182" t="s">
        <v>185</v>
      </c>
      <c r="C213" s="183">
        <f t="shared" si="34"/>
        <v>5.3901492685973764</v>
      </c>
      <c r="D213" s="183">
        <f t="shared" si="22"/>
        <v>0.35934328457316356</v>
      </c>
      <c r="E213" s="183">
        <f t="shared" si="32"/>
        <v>5.0308059840242132</v>
      </c>
      <c r="F213" s="183">
        <f t="shared" si="33"/>
        <v>4.016409836947904E-2</v>
      </c>
      <c r="G213" s="183"/>
      <c r="H213" s="219"/>
      <c r="I213" s="219"/>
    </row>
    <row r="214" spans="1:9">
      <c r="A214" s="416"/>
      <c r="B214" s="182" t="s">
        <v>186</v>
      </c>
      <c r="C214" s="183">
        <f t="shared" si="34"/>
        <v>5.0308059840242132</v>
      </c>
      <c r="D214" s="183">
        <f t="shared" si="22"/>
        <v>0.35934328457316356</v>
      </c>
      <c r="E214" s="183">
        <f t="shared" si="32"/>
        <v>4.67146269945105</v>
      </c>
      <c r="F214" s="183">
        <f t="shared" si="33"/>
        <v>3.739416055089425E-2</v>
      </c>
      <c r="G214" s="183"/>
      <c r="H214" s="219"/>
      <c r="I214" s="219"/>
    </row>
    <row r="215" spans="1:9">
      <c r="A215" s="416"/>
      <c r="B215" s="182" t="s">
        <v>187</v>
      </c>
      <c r="C215" s="183">
        <f t="shared" si="34"/>
        <v>4.67146269945105</v>
      </c>
      <c r="D215" s="183">
        <f t="shared" si="22"/>
        <v>0.35934328457316356</v>
      </c>
      <c r="E215" s="183">
        <f t="shared" si="32"/>
        <v>4.3121194148778867</v>
      </c>
      <c r="F215" s="183">
        <f t="shared" si="33"/>
        <v>3.4624222732309438E-2</v>
      </c>
      <c r="G215" s="183"/>
      <c r="H215" s="219"/>
      <c r="I215" s="219"/>
    </row>
    <row r="216" spans="1:9">
      <c r="A216" s="416"/>
      <c r="B216" s="182" t="s">
        <v>188</v>
      </c>
      <c r="C216" s="183">
        <f t="shared" si="34"/>
        <v>4.3121194148778867</v>
      </c>
      <c r="D216" s="183">
        <f t="shared" si="22"/>
        <v>0.35934328457316356</v>
      </c>
      <c r="E216" s="183">
        <f t="shared" si="32"/>
        <v>3.9527761303047231</v>
      </c>
      <c r="F216" s="183">
        <f t="shared" si="33"/>
        <v>3.1854284913724641E-2</v>
      </c>
      <c r="G216" s="183"/>
      <c r="H216" s="219"/>
      <c r="I216" s="219"/>
    </row>
    <row r="217" spans="1:9">
      <c r="A217" s="416"/>
      <c r="B217" s="182" t="s">
        <v>189</v>
      </c>
      <c r="C217" s="183">
        <f t="shared" si="34"/>
        <v>3.9527761303047231</v>
      </c>
      <c r="D217" s="183">
        <f t="shared" si="22"/>
        <v>0.35934328457316356</v>
      </c>
      <c r="E217" s="183">
        <f t="shared" si="32"/>
        <v>3.5934328457315594</v>
      </c>
      <c r="F217" s="183">
        <f t="shared" si="33"/>
        <v>2.908434709513984E-2</v>
      </c>
      <c r="G217" s="183"/>
      <c r="H217" s="219"/>
      <c r="I217" s="219"/>
    </row>
    <row r="218" spans="1:9">
      <c r="A218" s="416"/>
      <c r="B218" s="182" t="s">
        <v>190</v>
      </c>
      <c r="C218" s="183">
        <f t="shared" si="34"/>
        <v>3.5934328457315594</v>
      </c>
      <c r="D218" s="183">
        <f t="shared" si="22"/>
        <v>0.35934328457316356</v>
      </c>
      <c r="E218" s="183">
        <f t="shared" si="32"/>
        <v>3.2340895611583957</v>
      </c>
      <c r="F218" s="183">
        <f t="shared" si="33"/>
        <v>2.6314409276555036E-2</v>
      </c>
      <c r="G218" s="168">
        <f>+SUM(F207:F218)</f>
        <v>0.49858880734525729</v>
      </c>
      <c r="H218" s="219"/>
      <c r="I218" s="219"/>
    </row>
    <row r="219" spans="1:9">
      <c r="A219" s="416">
        <f>A206+1</f>
        <v>13</v>
      </c>
      <c r="B219" s="327" t="s">
        <v>205</v>
      </c>
      <c r="C219" s="178"/>
      <c r="D219" s="330"/>
      <c r="E219" s="178"/>
      <c r="F219" s="178"/>
      <c r="G219" s="178"/>
      <c r="H219" s="214"/>
      <c r="I219" s="328"/>
    </row>
    <row r="220" spans="1:9">
      <c r="A220" s="416"/>
      <c r="B220" s="179" t="s">
        <v>179</v>
      </c>
      <c r="C220" s="180">
        <f>E218</f>
        <v>3.2340895611583957</v>
      </c>
      <c r="D220" s="180">
        <f t="shared" si="22"/>
        <v>0.35934328457316356</v>
      </c>
      <c r="E220" s="180">
        <f t="shared" ref="E220:E231" si="35">C220-D220</f>
        <v>2.8747462765852321</v>
      </c>
      <c r="F220" s="180">
        <f t="shared" ref="F220:F231" si="36">AVERAGE(C220,E220)*$C$22/12</f>
        <v>2.3544471457970232E-2</v>
      </c>
      <c r="G220" s="180"/>
      <c r="H220" s="215"/>
      <c r="I220" s="215"/>
    </row>
    <row r="221" spans="1:9">
      <c r="A221" s="416"/>
      <c r="B221" s="179" t="s">
        <v>180</v>
      </c>
      <c r="C221" s="180">
        <f t="shared" ref="C221:C231" si="37">E220</f>
        <v>2.8747462765852321</v>
      </c>
      <c r="D221" s="180">
        <f t="shared" si="22"/>
        <v>0.35934328457316356</v>
      </c>
      <c r="E221" s="180">
        <f t="shared" si="35"/>
        <v>2.5154029920120684</v>
      </c>
      <c r="F221" s="180">
        <f t="shared" si="36"/>
        <v>2.0774533639385428E-2</v>
      </c>
      <c r="G221" s="180"/>
      <c r="H221" s="215"/>
      <c r="I221" s="215"/>
    </row>
    <row r="222" spans="1:9">
      <c r="A222" s="416"/>
      <c r="B222" s="179" t="s">
        <v>181</v>
      </c>
      <c r="C222" s="180">
        <f t="shared" si="37"/>
        <v>2.5154029920120684</v>
      </c>
      <c r="D222" s="180">
        <f t="shared" si="22"/>
        <v>0.35934328457316356</v>
      </c>
      <c r="E222" s="180">
        <f t="shared" si="35"/>
        <v>2.1560597074389047</v>
      </c>
      <c r="F222" s="180">
        <f t="shared" si="36"/>
        <v>1.8004595820800627E-2</v>
      </c>
      <c r="G222" s="180"/>
      <c r="H222" s="215"/>
      <c r="I222" s="215"/>
    </row>
    <row r="223" spans="1:9">
      <c r="A223" s="416"/>
      <c r="B223" s="179" t="s">
        <v>182</v>
      </c>
      <c r="C223" s="180">
        <f t="shared" si="37"/>
        <v>2.1560597074389047</v>
      </c>
      <c r="D223" s="180">
        <f t="shared" si="22"/>
        <v>0.35934328457316356</v>
      </c>
      <c r="E223" s="180">
        <f t="shared" si="35"/>
        <v>1.7967164228657411</v>
      </c>
      <c r="F223" s="180">
        <f t="shared" si="36"/>
        <v>1.5234658002215823E-2</v>
      </c>
      <c r="G223" s="180"/>
      <c r="H223" s="215"/>
      <c r="I223" s="215"/>
    </row>
    <row r="224" spans="1:9">
      <c r="A224" s="416"/>
      <c r="B224" s="179" t="s">
        <v>183</v>
      </c>
      <c r="C224" s="180">
        <f t="shared" si="37"/>
        <v>1.7967164228657411</v>
      </c>
      <c r="D224" s="180">
        <f t="shared" si="22"/>
        <v>0.35934328457316356</v>
      </c>
      <c r="E224" s="180">
        <f t="shared" si="35"/>
        <v>1.4373731382925774</v>
      </c>
      <c r="F224" s="180">
        <f t="shared" si="36"/>
        <v>1.2464720183631019E-2</v>
      </c>
      <c r="G224" s="180"/>
      <c r="H224" s="215"/>
      <c r="I224" s="215"/>
    </row>
    <row r="225" spans="1:9">
      <c r="A225" s="416"/>
      <c r="B225" s="179" t="s">
        <v>184</v>
      </c>
      <c r="C225" s="180">
        <f t="shared" si="37"/>
        <v>1.4373731382925774</v>
      </c>
      <c r="D225" s="180">
        <f t="shared" si="22"/>
        <v>0.35934328457316356</v>
      </c>
      <c r="E225" s="180">
        <f t="shared" si="35"/>
        <v>1.0780298537194137</v>
      </c>
      <c r="F225" s="180">
        <f t="shared" si="36"/>
        <v>9.6947823650462162E-3</v>
      </c>
      <c r="G225" s="180"/>
      <c r="H225" s="215"/>
      <c r="I225" s="215"/>
    </row>
    <row r="226" spans="1:9">
      <c r="A226" s="416"/>
      <c r="B226" s="179" t="s">
        <v>185</v>
      </c>
      <c r="C226" s="180">
        <f t="shared" si="37"/>
        <v>1.0780298537194137</v>
      </c>
      <c r="D226" s="180">
        <f t="shared" si="22"/>
        <v>0.35934328457316356</v>
      </c>
      <c r="E226" s="180">
        <f t="shared" si="35"/>
        <v>0.71868656914625018</v>
      </c>
      <c r="F226" s="180">
        <f t="shared" si="36"/>
        <v>6.9248445464614129E-3</v>
      </c>
      <c r="G226" s="180"/>
      <c r="H226" s="215"/>
      <c r="I226" s="215"/>
    </row>
    <row r="227" spans="1:9">
      <c r="A227" s="416"/>
      <c r="B227" s="179" t="s">
        <v>186</v>
      </c>
      <c r="C227" s="180">
        <f t="shared" si="37"/>
        <v>0.71868656914625018</v>
      </c>
      <c r="D227" s="180">
        <f t="shared" si="22"/>
        <v>0.35934328457316356</v>
      </c>
      <c r="E227" s="180">
        <f t="shared" si="35"/>
        <v>0.35934328457308662</v>
      </c>
      <c r="F227" s="180">
        <f t="shared" si="36"/>
        <v>4.1549067278766104E-3</v>
      </c>
      <c r="G227" s="180"/>
      <c r="H227" s="215"/>
      <c r="I227" s="215"/>
    </row>
    <row r="228" spans="1:9">
      <c r="A228" s="416"/>
      <c r="B228" s="179" t="s">
        <v>187</v>
      </c>
      <c r="C228" s="180">
        <f t="shared" si="37"/>
        <v>0.35934328457308662</v>
      </c>
      <c r="D228" s="180">
        <f t="shared" si="22"/>
        <v>0.35934328457316356</v>
      </c>
      <c r="E228" s="180">
        <f t="shared" si="35"/>
        <v>-7.6938455606523348E-14</v>
      </c>
      <c r="F228" s="180">
        <f t="shared" si="36"/>
        <v>1.3849689092918082E-3</v>
      </c>
      <c r="G228" s="180"/>
      <c r="H228" s="215"/>
      <c r="I228" s="215"/>
    </row>
    <row r="229" spans="1:9">
      <c r="A229" s="416"/>
      <c r="B229" s="179" t="s">
        <v>188</v>
      </c>
      <c r="C229" s="180">
        <f t="shared" si="37"/>
        <v>-7.6938455606523348E-14</v>
      </c>
      <c r="D229" s="180"/>
      <c r="E229" s="180">
        <f t="shared" si="35"/>
        <v>-7.6938455606523348E-14</v>
      </c>
      <c r="F229" s="180">
        <f t="shared" si="36"/>
        <v>-5.930672619669509E-16</v>
      </c>
      <c r="G229" s="180"/>
      <c r="H229" s="215"/>
      <c r="I229" s="215"/>
    </row>
    <row r="230" spans="1:9">
      <c r="A230" s="416"/>
      <c r="B230" s="179" t="s">
        <v>189</v>
      </c>
      <c r="C230" s="180">
        <f t="shared" si="37"/>
        <v>-7.6938455606523348E-14</v>
      </c>
      <c r="D230" s="180"/>
      <c r="E230" s="180">
        <f t="shared" si="35"/>
        <v>-7.6938455606523348E-14</v>
      </c>
      <c r="F230" s="180">
        <f t="shared" si="36"/>
        <v>-5.930672619669509E-16</v>
      </c>
      <c r="G230" s="180"/>
      <c r="H230" s="215"/>
      <c r="I230" s="215"/>
    </row>
    <row r="231" spans="1:9">
      <c r="A231" s="416"/>
      <c r="B231" s="179" t="s">
        <v>190</v>
      </c>
      <c r="C231" s="180">
        <f t="shared" si="37"/>
        <v>-7.6938455606523348E-14</v>
      </c>
      <c r="D231" s="180"/>
      <c r="E231" s="180">
        <f t="shared" si="35"/>
        <v>-7.6938455606523348E-14</v>
      </c>
      <c r="F231" s="180">
        <f t="shared" si="36"/>
        <v>-5.930672619669509E-16</v>
      </c>
      <c r="G231" s="168">
        <f>+SUM(F220:F231)</f>
        <v>0.11218248165267737</v>
      </c>
      <c r="H231" s="215"/>
      <c r="I231" s="215"/>
    </row>
    <row r="232" spans="1:9">
      <c r="A232" s="416">
        <f>A219+1</f>
        <v>14</v>
      </c>
      <c r="B232" s="338" t="s">
        <v>206</v>
      </c>
      <c r="C232" s="185"/>
      <c r="D232" s="339"/>
      <c r="E232" s="185"/>
      <c r="F232" s="185"/>
      <c r="G232" s="185"/>
      <c r="H232" s="220"/>
      <c r="I232" s="340"/>
    </row>
    <row r="233" spans="1:9">
      <c r="A233" s="416"/>
      <c r="B233" s="186" t="s">
        <v>179</v>
      </c>
      <c r="C233" s="187">
        <f>E231</f>
        <v>-7.6938455606523348E-14</v>
      </c>
      <c r="D233" s="325"/>
      <c r="E233" s="187">
        <f t="shared" ref="E233:E244" si="38">C233-D233</f>
        <v>-7.6938455606523348E-14</v>
      </c>
      <c r="F233" s="187">
        <f t="shared" ref="F233:F244" si="39">AVERAGE(C233,E233)*$C$22/12</f>
        <v>-5.930672619669509E-16</v>
      </c>
      <c r="G233" s="187"/>
      <c r="H233" s="221"/>
      <c r="I233" s="221"/>
    </row>
    <row r="234" spans="1:9">
      <c r="A234" s="416"/>
      <c r="B234" s="186" t="s">
        <v>180</v>
      </c>
      <c r="C234" s="187">
        <f t="shared" ref="C234:C244" si="40">E233</f>
        <v>-7.6938455606523348E-14</v>
      </c>
      <c r="D234" s="325"/>
      <c r="E234" s="187">
        <f t="shared" si="38"/>
        <v>-7.6938455606523348E-14</v>
      </c>
      <c r="F234" s="187">
        <f t="shared" si="39"/>
        <v>-5.930672619669509E-16</v>
      </c>
      <c r="G234" s="187"/>
      <c r="H234" s="221"/>
      <c r="I234" s="221"/>
    </row>
    <row r="235" spans="1:9">
      <c r="A235" s="416"/>
      <c r="B235" s="186" t="s">
        <v>181</v>
      </c>
      <c r="C235" s="187">
        <f t="shared" si="40"/>
        <v>-7.6938455606523348E-14</v>
      </c>
      <c r="D235" s="325"/>
      <c r="E235" s="187">
        <f t="shared" si="38"/>
        <v>-7.6938455606523348E-14</v>
      </c>
      <c r="F235" s="187">
        <f t="shared" si="39"/>
        <v>-5.930672619669509E-16</v>
      </c>
      <c r="G235" s="187"/>
      <c r="H235" s="221"/>
      <c r="I235" s="221"/>
    </row>
    <row r="236" spans="1:9">
      <c r="A236" s="416"/>
      <c r="B236" s="186" t="s">
        <v>182</v>
      </c>
      <c r="C236" s="187">
        <f t="shared" si="40"/>
        <v>-7.6938455606523348E-14</v>
      </c>
      <c r="D236" s="325"/>
      <c r="E236" s="187">
        <f t="shared" si="38"/>
        <v>-7.6938455606523348E-14</v>
      </c>
      <c r="F236" s="187">
        <f t="shared" si="39"/>
        <v>-5.930672619669509E-16</v>
      </c>
      <c r="G236" s="187"/>
      <c r="H236" s="221"/>
      <c r="I236" s="221"/>
    </row>
    <row r="237" spans="1:9">
      <c r="A237" s="416"/>
      <c r="B237" s="186" t="s">
        <v>183</v>
      </c>
      <c r="C237" s="187">
        <f t="shared" si="40"/>
        <v>-7.6938455606523348E-14</v>
      </c>
      <c r="D237" s="325"/>
      <c r="E237" s="187">
        <f t="shared" si="38"/>
        <v>-7.6938455606523348E-14</v>
      </c>
      <c r="F237" s="187">
        <f t="shared" si="39"/>
        <v>-5.930672619669509E-16</v>
      </c>
      <c r="G237" s="187"/>
      <c r="H237" s="221"/>
      <c r="I237" s="221"/>
    </row>
    <row r="238" spans="1:9">
      <c r="A238" s="416"/>
      <c r="B238" s="186" t="s">
        <v>184</v>
      </c>
      <c r="C238" s="187">
        <f t="shared" si="40"/>
        <v>-7.6938455606523348E-14</v>
      </c>
      <c r="D238" s="325"/>
      <c r="E238" s="187">
        <f t="shared" si="38"/>
        <v>-7.6938455606523348E-14</v>
      </c>
      <c r="F238" s="187">
        <f t="shared" si="39"/>
        <v>-5.930672619669509E-16</v>
      </c>
      <c r="G238" s="187"/>
      <c r="H238" s="221"/>
      <c r="I238" s="221"/>
    </row>
    <row r="239" spans="1:9">
      <c r="A239" s="416"/>
      <c r="B239" s="186" t="s">
        <v>185</v>
      </c>
      <c r="C239" s="187">
        <f t="shared" si="40"/>
        <v>-7.6938455606523348E-14</v>
      </c>
      <c r="D239" s="325"/>
      <c r="E239" s="187">
        <f t="shared" si="38"/>
        <v>-7.6938455606523348E-14</v>
      </c>
      <c r="F239" s="187">
        <f t="shared" si="39"/>
        <v>-5.930672619669509E-16</v>
      </c>
      <c r="G239" s="187"/>
      <c r="H239" s="221"/>
      <c r="I239" s="221"/>
    </row>
    <row r="240" spans="1:9">
      <c r="A240" s="416"/>
      <c r="B240" s="186" t="s">
        <v>186</v>
      </c>
      <c r="C240" s="187">
        <f t="shared" si="40"/>
        <v>-7.6938455606523348E-14</v>
      </c>
      <c r="D240" s="325"/>
      <c r="E240" s="187">
        <f t="shared" si="38"/>
        <v>-7.6938455606523348E-14</v>
      </c>
      <c r="F240" s="187">
        <f t="shared" si="39"/>
        <v>-5.930672619669509E-16</v>
      </c>
      <c r="G240" s="187"/>
      <c r="H240" s="221"/>
      <c r="I240" s="221"/>
    </row>
    <row r="241" spans="1:9">
      <c r="A241" s="416"/>
      <c r="B241" s="186" t="s">
        <v>187</v>
      </c>
      <c r="C241" s="187">
        <f t="shared" si="40"/>
        <v>-7.6938455606523348E-14</v>
      </c>
      <c r="D241" s="325"/>
      <c r="E241" s="187">
        <f t="shared" si="38"/>
        <v>-7.6938455606523348E-14</v>
      </c>
      <c r="F241" s="187">
        <f t="shared" si="39"/>
        <v>-5.930672619669509E-16</v>
      </c>
      <c r="G241" s="187"/>
      <c r="H241" s="221"/>
      <c r="I241" s="221"/>
    </row>
    <row r="242" spans="1:9">
      <c r="A242" s="416"/>
      <c r="B242" s="186" t="s">
        <v>188</v>
      </c>
      <c r="C242" s="187">
        <f t="shared" si="40"/>
        <v>-7.6938455606523348E-14</v>
      </c>
      <c r="D242" s="325"/>
      <c r="E242" s="187">
        <f t="shared" si="38"/>
        <v>-7.6938455606523348E-14</v>
      </c>
      <c r="F242" s="187">
        <f t="shared" si="39"/>
        <v>-5.930672619669509E-16</v>
      </c>
      <c r="G242" s="187"/>
      <c r="H242" s="221"/>
      <c r="I242" s="221"/>
    </row>
    <row r="243" spans="1:9">
      <c r="A243" s="416"/>
      <c r="B243" s="186" t="s">
        <v>189</v>
      </c>
      <c r="C243" s="187">
        <f t="shared" si="40"/>
        <v>-7.6938455606523348E-14</v>
      </c>
      <c r="D243" s="325"/>
      <c r="E243" s="187">
        <f t="shared" si="38"/>
        <v>-7.6938455606523348E-14</v>
      </c>
      <c r="F243" s="187">
        <f t="shared" si="39"/>
        <v>-5.930672619669509E-16</v>
      </c>
      <c r="G243" s="187"/>
      <c r="H243" s="221"/>
      <c r="I243" s="221"/>
    </row>
    <row r="244" spans="1:9">
      <c r="A244" s="416"/>
      <c r="B244" s="186" t="s">
        <v>190</v>
      </c>
      <c r="C244" s="187">
        <f t="shared" si="40"/>
        <v>-7.6938455606523348E-14</v>
      </c>
      <c r="D244" s="325"/>
      <c r="E244" s="187">
        <f t="shared" si="38"/>
        <v>-7.6938455606523348E-14</v>
      </c>
      <c r="F244" s="187">
        <f t="shared" si="39"/>
        <v>-5.930672619669509E-16</v>
      </c>
      <c r="G244" s="187"/>
      <c r="H244" s="221"/>
      <c r="I244" s="221"/>
    </row>
    <row r="245" spans="1:9">
      <c r="A245" s="416">
        <f>A232+1</f>
        <v>15</v>
      </c>
      <c r="B245" s="188" t="s">
        <v>207</v>
      </c>
      <c r="C245" s="189"/>
      <c r="D245" s="191"/>
      <c r="E245" s="189"/>
      <c r="F245" s="189"/>
      <c r="G245" s="189"/>
      <c r="H245" s="222"/>
      <c r="I245" s="222">
        <v>0.05</v>
      </c>
    </row>
    <row r="246" spans="1:9">
      <c r="A246" s="416"/>
      <c r="B246" s="190" t="s">
        <v>179</v>
      </c>
      <c r="C246" s="191">
        <f>E244</f>
        <v>-7.6938455606523348E-14</v>
      </c>
      <c r="D246" s="191"/>
      <c r="E246" s="191">
        <f t="shared" ref="E246:E257" si="41">C246-D246</f>
        <v>-7.6938455606523348E-14</v>
      </c>
      <c r="F246" s="191">
        <f t="shared" ref="F246:F257" si="42">AVERAGE(C246,E246)*$C$22/12</f>
        <v>-5.930672619669509E-16</v>
      </c>
      <c r="G246" s="191"/>
      <c r="H246" s="223"/>
      <c r="I246" s="223"/>
    </row>
    <row r="247" spans="1:9">
      <c r="A247" s="416"/>
      <c r="B247" s="190" t="s">
        <v>180</v>
      </c>
      <c r="C247" s="191">
        <f t="shared" ref="C247:C257" si="43">E246</f>
        <v>-7.6938455606523348E-14</v>
      </c>
      <c r="D247" s="191"/>
      <c r="E247" s="191">
        <f t="shared" si="41"/>
        <v>-7.6938455606523348E-14</v>
      </c>
      <c r="F247" s="191">
        <f t="shared" si="42"/>
        <v>-5.930672619669509E-16</v>
      </c>
      <c r="G247" s="191"/>
      <c r="H247" s="223"/>
      <c r="I247" s="223"/>
    </row>
    <row r="248" spans="1:9">
      <c r="A248" s="416"/>
      <c r="B248" s="190" t="s">
        <v>181</v>
      </c>
      <c r="C248" s="191">
        <f t="shared" si="43"/>
        <v>-7.6938455606523348E-14</v>
      </c>
      <c r="D248" s="191"/>
      <c r="E248" s="191">
        <f t="shared" si="41"/>
        <v>-7.6938455606523348E-14</v>
      </c>
      <c r="F248" s="191">
        <f t="shared" si="42"/>
        <v>-5.930672619669509E-16</v>
      </c>
      <c r="G248" s="191"/>
      <c r="H248" s="223"/>
      <c r="I248" s="223"/>
    </row>
    <row r="249" spans="1:9">
      <c r="A249" s="416"/>
      <c r="B249" s="190" t="s">
        <v>182</v>
      </c>
      <c r="C249" s="191">
        <f t="shared" si="43"/>
        <v>-7.6938455606523348E-14</v>
      </c>
      <c r="D249" s="191"/>
      <c r="E249" s="191">
        <f t="shared" si="41"/>
        <v>-7.6938455606523348E-14</v>
      </c>
      <c r="F249" s="191">
        <f t="shared" si="42"/>
        <v>-5.930672619669509E-16</v>
      </c>
      <c r="G249" s="191"/>
      <c r="H249" s="223"/>
      <c r="I249" s="223"/>
    </row>
    <row r="250" spans="1:9">
      <c r="A250" s="416"/>
      <c r="B250" s="190" t="s">
        <v>183</v>
      </c>
      <c r="C250" s="191">
        <f t="shared" si="43"/>
        <v>-7.6938455606523348E-14</v>
      </c>
      <c r="D250" s="191"/>
      <c r="E250" s="191">
        <f t="shared" si="41"/>
        <v>-7.6938455606523348E-14</v>
      </c>
      <c r="F250" s="191">
        <f t="shared" si="42"/>
        <v>-5.930672619669509E-16</v>
      </c>
      <c r="G250" s="191"/>
      <c r="H250" s="223"/>
      <c r="I250" s="223"/>
    </row>
    <row r="251" spans="1:9">
      <c r="A251" s="416"/>
      <c r="B251" s="190" t="s">
        <v>184</v>
      </c>
      <c r="C251" s="191">
        <f t="shared" si="43"/>
        <v>-7.6938455606523348E-14</v>
      </c>
      <c r="D251" s="191"/>
      <c r="E251" s="191">
        <f t="shared" si="41"/>
        <v>-7.6938455606523348E-14</v>
      </c>
      <c r="F251" s="191">
        <f t="shared" si="42"/>
        <v>-5.930672619669509E-16</v>
      </c>
      <c r="G251" s="191"/>
      <c r="H251" s="223"/>
      <c r="I251" s="223"/>
    </row>
    <row r="252" spans="1:9">
      <c r="A252" s="416"/>
      <c r="B252" s="190" t="s">
        <v>185</v>
      </c>
      <c r="C252" s="191">
        <f t="shared" si="43"/>
        <v>-7.6938455606523348E-14</v>
      </c>
      <c r="D252" s="191"/>
      <c r="E252" s="191">
        <f t="shared" si="41"/>
        <v>-7.6938455606523348E-14</v>
      </c>
      <c r="F252" s="191">
        <f t="shared" si="42"/>
        <v>-5.930672619669509E-16</v>
      </c>
      <c r="G252" s="191"/>
      <c r="H252" s="223"/>
      <c r="I252" s="223"/>
    </row>
    <row r="253" spans="1:9">
      <c r="A253" s="416"/>
      <c r="B253" s="190" t="s">
        <v>186</v>
      </c>
      <c r="C253" s="191">
        <f t="shared" si="43"/>
        <v>-7.6938455606523348E-14</v>
      </c>
      <c r="D253" s="191"/>
      <c r="E253" s="191">
        <f t="shared" si="41"/>
        <v>-7.6938455606523348E-14</v>
      </c>
      <c r="F253" s="191">
        <f t="shared" si="42"/>
        <v>-5.930672619669509E-16</v>
      </c>
      <c r="G253" s="191"/>
      <c r="H253" s="223"/>
      <c r="I253" s="223"/>
    </row>
    <row r="254" spans="1:9">
      <c r="A254" s="416"/>
      <c r="B254" s="190" t="s">
        <v>187</v>
      </c>
      <c r="C254" s="191">
        <f t="shared" si="43"/>
        <v>-7.6938455606523348E-14</v>
      </c>
      <c r="D254" s="191"/>
      <c r="E254" s="191">
        <f t="shared" si="41"/>
        <v>-7.6938455606523348E-14</v>
      </c>
      <c r="F254" s="191">
        <f t="shared" si="42"/>
        <v>-5.930672619669509E-16</v>
      </c>
      <c r="G254" s="191"/>
      <c r="H254" s="223"/>
      <c r="I254" s="223"/>
    </row>
    <row r="255" spans="1:9">
      <c r="A255" s="416"/>
      <c r="B255" s="190" t="s">
        <v>188</v>
      </c>
      <c r="C255" s="191">
        <f t="shared" si="43"/>
        <v>-7.6938455606523348E-14</v>
      </c>
      <c r="D255" s="191"/>
      <c r="E255" s="191">
        <f t="shared" si="41"/>
        <v>-7.6938455606523348E-14</v>
      </c>
      <c r="F255" s="191">
        <f t="shared" si="42"/>
        <v>-5.930672619669509E-16</v>
      </c>
      <c r="G255" s="191"/>
      <c r="H255" s="223"/>
      <c r="I255" s="223"/>
    </row>
    <row r="256" spans="1:9">
      <c r="A256" s="416"/>
      <c r="B256" s="190" t="s">
        <v>189</v>
      </c>
      <c r="C256" s="191">
        <f t="shared" si="43"/>
        <v>-7.6938455606523348E-14</v>
      </c>
      <c r="D256" s="191"/>
      <c r="E256" s="191">
        <f t="shared" si="41"/>
        <v>-7.6938455606523348E-14</v>
      </c>
      <c r="F256" s="191">
        <f t="shared" si="42"/>
        <v>-5.930672619669509E-16</v>
      </c>
      <c r="G256" s="191"/>
      <c r="H256" s="223"/>
      <c r="I256" s="223"/>
    </row>
    <row r="257" spans="1:9">
      <c r="A257" s="416"/>
      <c r="B257" s="190" t="s">
        <v>190</v>
      </c>
      <c r="C257" s="191">
        <f t="shared" si="43"/>
        <v>-7.6938455606523348E-14</v>
      </c>
      <c r="D257" s="191"/>
      <c r="E257" s="191">
        <f t="shared" si="41"/>
        <v>-7.6938455606523348E-14</v>
      </c>
      <c r="F257" s="191">
        <f t="shared" si="42"/>
        <v>-5.930672619669509E-16</v>
      </c>
      <c r="G257" s="191"/>
      <c r="H257" s="223"/>
      <c r="I257" s="223"/>
    </row>
    <row r="258" spans="1:9">
      <c r="A258" s="416">
        <f>A245+1</f>
        <v>16</v>
      </c>
      <c r="B258" s="184" t="s">
        <v>208</v>
      </c>
      <c r="C258" s="185"/>
      <c r="D258" s="184"/>
      <c r="E258" s="185"/>
      <c r="F258" s="185"/>
      <c r="G258" s="185"/>
      <c r="H258" s="220"/>
      <c r="I258" s="220">
        <v>0.05</v>
      </c>
    </row>
    <row r="259" spans="1:9">
      <c r="A259" s="416"/>
      <c r="B259" s="186" t="s">
        <v>179</v>
      </c>
      <c r="C259" s="187">
        <f>E257</f>
        <v>-7.6938455606523348E-14</v>
      </c>
      <c r="D259" s="187"/>
      <c r="E259" s="187">
        <f t="shared" ref="E259:E270" si="44">C259-D259</f>
        <v>-7.6938455606523348E-14</v>
      </c>
      <c r="F259" s="187">
        <f t="shared" ref="F259:F270" si="45">AVERAGE(C259,E259)*$C$22/12</f>
        <v>-5.930672619669509E-16</v>
      </c>
      <c r="G259" s="187"/>
      <c r="H259" s="221"/>
      <c r="I259" s="221"/>
    </row>
    <row r="260" spans="1:9">
      <c r="A260" s="416"/>
      <c r="B260" s="186" t="s">
        <v>180</v>
      </c>
      <c r="C260" s="187">
        <f t="shared" ref="C260:C270" si="46">E259</f>
        <v>-7.6938455606523348E-14</v>
      </c>
      <c r="D260" s="187"/>
      <c r="E260" s="187">
        <f t="shared" si="44"/>
        <v>-7.6938455606523348E-14</v>
      </c>
      <c r="F260" s="187">
        <f t="shared" si="45"/>
        <v>-5.930672619669509E-16</v>
      </c>
      <c r="G260" s="187"/>
      <c r="H260" s="221"/>
      <c r="I260" s="221"/>
    </row>
    <row r="261" spans="1:9">
      <c r="A261" s="416"/>
      <c r="B261" s="186" t="s">
        <v>181</v>
      </c>
      <c r="C261" s="187">
        <f t="shared" si="46"/>
        <v>-7.6938455606523348E-14</v>
      </c>
      <c r="D261" s="187"/>
      <c r="E261" s="187">
        <f t="shared" si="44"/>
        <v>-7.6938455606523348E-14</v>
      </c>
      <c r="F261" s="187">
        <f t="shared" si="45"/>
        <v>-5.930672619669509E-16</v>
      </c>
      <c r="G261" s="187"/>
      <c r="H261" s="221"/>
      <c r="I261" s="221"/>
    </row>
    <row r="262" spans="1:9">
      <c r="A262" s="416"/>
      <c r="B262" s="186" t="s">
        <v>182</v>
      </c>
      <c r="C262" s="187">
        <f t="shared" si="46"/>
        <v>-7.6938455606523348E-14</v>
      </c>
      <c r="D262" s="187"/>
      <c r="E262" s="187">
        <f t="shared" si="44"/>
        <v>-7.6938455606523348E-14</v>
      </c>
      <c r="F262" s="187">
        <f t="shared" si="45"/>
        <v>-5.930672619669509E-16</v>
      </c>
      <c r="G262" s="187"/>
      <c r="H262" s="221"/>
      <c r="I262" s="221"/>
    </row>
    <row r="263" spans="1:9">
      <c r="A263" s="416"/>
      <c r="B263" s="186" t="s">
        <v>183</v>
      </c>
      <c r="C263" s="187">
        <f t="shared" si="46"/>
        <v>-7.6938455606523348E-14</v>
      </c>
      <c r="D263" s="187"/>
      <c r="E263" s="187">
        <f t="shared" si="44"/>
        <v>-7.6938455606523348E-14</v>
      </c>
      <c r="F263" s="187">
        <f t="shared" si="45"/>
        <v>-5.930672619669509E-16</v>
      </c>
      <c r="G263" s="187"/>
      <c r="H263" s="221"/>
      <c r="I263" s="221"/>
    </row>
    <row r="264" spans="1:9">
      <c r="A264" s="416"/>
      <c r="B264" s="186" t="s">
        <v>184</v>
      </c>
      <c r="C264" s="187">
        <f t="shared" si="46"/>
        <v>-7.6938455606523348E-14</v>
      </c>
      <c r="D264" s="187"/>
      <c r="E264" s="187">
        <f t="shared" si="44"/>
        <v>-7.6938455606523348E-14</v>
      </c>
      <c r="F264" s="187">
        <f t="shared" si="45"/>
        <v>-5.930672619669509E-16</v>
      </c>
      <c r="G264" s="187"/>
      <c r="H264" s="221"/>
      <c r="I264" s="221"/>
    </row>
    <row r="265" spans="1:9">
      <c r="A265" s="416"/>
      <c r="B265" s="186" t="s">
        <v>185</v>
      </c>
      <c r="C265" s="187">
        <f t="shared" si="46"/>
        <v>-7.6938455606523348E-14</v>
      </c>
      <c r="D265" s="187"/>
      <c r="E265" s="187">
        <f t="shared" si="44"/>
        <v>-7.6938455606523348E-14</v>
      </c>
      <c r="F265" s="187">
        <f t="shared" si="45"/>
        <v>-5.930672619669509E-16</v>
      </c>
      <c r="G265" s="187"/>
      <c r="H265" s="221"/>
      <c r="I265" s="221"/>
    </row>
    <row r="266" spans="1:9">
      <c r="A266" s="416"/>
      <c r="B266" s="186" t="s">
        <v>186</v>
      </c>
      <c r="C266" s="187">
        <f t="shared" si="46"/>
        <v>-7.6938455606523348E-14</v>
      </c>
      <c r="D266" s="187"/>
      <c r="E266" s="187">
        <f t="shared" si="44"/>
        <v>-7.6938455606523348E-14</v>
      </c>
      <c r="F266" s="187">
        <f t="shared" si="45"/>
        <v>-5.930672619669509E-16</v>
      </c>
      <c r="G266" s="187"/>
      <c r="H266" s="221"/>
      <c r="I266" s="221"/>
    </row>
    <row r="267" spans="1:9">
      <c r="A267" s="416"/>
      <c r="B267" s="186" t="s">
        <v>187</v>
      </c>
      <c r="C267" s="187">
        <f t="shared" si="46"/>
        <v>-7.6938455606523348E-14</v>
      </c>
      <c r="D267" s="187"/>
      <c r="E267" s="187">
        <f t="shared" si="44"/>
        <v>-7.6938455606523348E-14</v>
      </c>
      <c r="F267" s="187">
        <f t="shared" si="45"/>
        <v>-5.930672619669509E-16</v>
      </c>
      <c r="G267" s="187"/>
      <c r="H267" s="221"/>
      <c r="I267" s="221"/>
    </row>
    <row r="268" spans="1:9">
      <c r="A268" s="416"/>
      <c r="B268" s="186" t="s">
        <v>188</v>
      </c>
      <c r="C268" s="187">
        <f t="shared" si="46"/>
        <v>-7.6938455606523348E-14</v>
      </c>
      <c r="D268" s="187"/>
      <c r="E268" s="187">
        <f t="shared" si="44"/>
        <v>-7.6938455606523348E-14</v>
      </c>
      <c r="F268" s="187">
        <f t="shared" si="45"/>
        <v>-5.930672619669509E-16</v>
      </c>
      <c r="G268" s="187"/>
      <c r="H268" s="221"/>
      <c r="I268" s="221"/>
    </row>
    <row r="269" spans="1:9">
      <c r="A269" s="416"/>
      <c r="B269" s="186" t="s">
        <v>189</v>
      </c>
      <c r="C269" s="187">
        <f t="shared" si="46"/>
        <v>-7.6938455606523348E-14</v>
      </c>
      <c r="D269" s="187"/>
      <c r="E269" s="187">
        <f t="shared" si="44"/>
        <v>-7.6938455606523348E-14</v>
      </c>
      <c r="F269" s="187">
        <f t="shared" si="45"/>
        <v>-5.930672619669509E-16</v>
      </c>
      <c r="G269" s="187"/>
      <c r="H269" s="221"/>
      <c r="I269" s="221"/>
    </row>
    <row r="270" spans="1:9">
      <c r="A270" s="416"/>
      <c r="B270" s="186" t="s">
        <v>190</v>
      </c>
      <c r="C270" s="187">
        <f t="shared" si="46"/>
        <v>-7.6938455606523348E-14</v>
      </c>
      <c r="D270" s="187"/>
      <c r="E270" s="187">
        <f t="shared" si="44"/>
        <v>-7.6938455606523348E-14</v>
      </c>
      <c r="F270" s="187">
        <f t="shared" si="45"/>
        <v>-5.930672619669509E-16</v>
      </c>
      <c r="G270" s="187"/>
      <c r="H270" s="221"/>
      <c r="I270" s="221"/>
    </row>
    <row r="271" spans="1:9">
      <c r="A271" s="416">
        <f>A258+1</f>
        <v>17</v>
      </c>
      <c r="B271" s="169" t="s">
        <v>209</v>
      </c>
      <c r="C271" s="170"/>
      <c r="D271" s="169"/>
      <c r="E271" s="170"/>
      <c r="F271" s="170"/>
      <c r="G271" s="170"/>
      <c r="H271" s="210"/>
      <c r="I271" s="210"/>
    </row>
    <row r="272" spans="1:9">
      <c r="A272" s="416"/>
      <c r="B272" s="171" t="s">
        <v>179</v>
      </c>
      <c r="C272" s="172">
        <f>E270</f>
        <v>-7.6938455606523348E-14</v>
      </c>
      <c r="D272" s="172"/>
      <c r="E272" s="172">
        <f t="shared" ref="E272:E283" si="47">C272-D272</f>
        <v>-7.6938455606523348E-14</v>
      </c>
      <c r="F272" s="172">
        <f t="shared" ref="F272:F283" si="48">AVERAGE(C272,E272)*$C$22/12</f>
        <v>-5.930672619669509E-16</v>
      </c>
      <c r="G272" s="172"/>
      <c r="H272" s="211"/>
      <c r="I272" s="211"/>
    </row>
    <row r="273" spans="1:9">
      <c r="A273" s="416"/>
      <c r="B273" s="171" t="s">
        <v>180</v>
      </c>
      <c r="C273" s="172">
        <f t="shared" ref="C273:C283" si="49">E272</f>
        <v>-7.6938455606523348E-14</v>
      </c>
      <c r="D273" s="172"/>
      <c r="E273" s="172">
        <f t="shared" si="47"/>
        <v>-7.6938455606523348E-14</v>
      </c>
      <c r="F273" s="172">
        <f t="shared" si="48"/>
        <v>-5.930672619669509E-16</v>
      </c>
      <c r="G273" s="172"/>
      <c r="H273" s="211"/>
      <c r="I273" s="211"/>
    </row>
    <row r="274" spans="1:9">
      <c r="A274" s="416"/>
      <c r="B274" s="171" t="s">
        <v>181</v>
      </c>
      <c r="C274" s="172">
        <f t="shared" si="49"/>
        <v>-7.6938455606523348E-14</v>
      </c>
      <c r="D274" s="172"/>
      <c r="E274" s="172">
        <f t="shared" si="47"/>
        <v>-7.6938455606523348E-14</v>
      </c>
      <c r="F274" s="172">
        <f t="shared" si="48"/>
        <v>-5.930672619669509E-16</v>
      </c>
      <c r="G274" s="172"/>
      <c r="H274" s="211"/>
      <c r="I274" s="211"/>
    </row>
    <row r="275" spans="1:9">
      <c r="A275" s="416"/>
      <c r="B275" s="171" t="s">
        <v>182</v>
      </c>
      <c r="C275" s="172">
        <f t="shared" si="49"/>
        <v>-7.6938455606523348E-14</v>
      </c>
      <c r="D275" s="172"/>
      <c r="E275" s="172">
        <f t="shared" si="47"/>
        <v>-7.6938455606523348E-14</v>
      </c>
      <c r="F275" s="172">
        <f t="shared" si="48"/>
        <v>-5.930672619669509E-16</v>
      </c>
      <c r="G275" s="172"/>
      <c r="H275" s="211"/>
      <c r="I275" s="211"/>
    </row>
    <row r="276" spans="1:9">
      <c r="A276" s="416"/>
      <c r="B276" s="171" t="s">
        <v>183</v>
      </c>
      <c r="C276" s="172">
        <f t="shared" si="49"/>
        <v>-7.6938455606523348E-14</v>
      </c>
      <c r="D276" s="172"/>
      <c r="E276" s="172">
        <f t="shared" si="47"/>
        <v>-7.6938455606523348E-14</v>
      </c>
      <c r="F276" s="172">
        <f t="shared" si="48"/>
        <v>-5.930672619669509E-16</v>
      </c>
      <c r="G276" s="172"/>
      <c r="H276" s="211"/>
      <c r="I276" s="211"/>
    </row>
    <row r="277" spans="1:9">
      <c r="A277" s="416"/>
      <c r="B277" s="171" t="s">
        <v>184</v>
      </c>
      <c r="C277" s="172">
        <f t="shared" si="49"/>
        <v>-7.6938455606523348E-14</v>
      </c>
      <c r="D277" s="172"/>
      <c r="E277" s="172">
        <f t="shared" si="47"/>
        <v>-7.6938455606523348E-14</v>
      </c>
      <c r="F277" s="172">
        <f t="shared" si="48"/>
        <v>-5.930672619669509E-16</v>
      </c>
      <c r="G277" s="172"/>
      <c r="H277" s="211"/>
      <c r="I277" s="211"/>
    </row>
    <row r="278" spans="1:9">
      <c r="A278" s="416"/>
      <c r="B278" s="171" t="s">
        <v>185</v>
      </c>
      <c r="C278" s="172">
        <f t="shared" si="49"/>
        <v>-7.6938455606523348E-14</v>
      </c>
      <c r="D278" s="172"/>
      <c r="E278" s="172">
        <f t="shared" si="47"/>
        <v>-7.6938455606523348E-14</v>
      </c>
      <c r="F278" s="172">
        <f t="shared" si="48"/>
        <v>-5.930672619669509E-16</v>
      </c>
      <c r="G278" s="172"/>
      <c r="H278" s="211"/>
      <c r="I278" s="211"/>
    </row>
    <row r="279" spans="1:9">
      <c r="A279" s="416"/>
      <c r="B279" s="171" t="s">
        <v>186</v>
      </c>
      <c r="C279" s="172">
        <f t="shared" si="49"/>
        <v>-7.6938455606523348E-14</v>
      </c>
      <c r="D279" s="172"/>
      <c r="E279" s="172">
        <f t="shared" si="47"/>
        <v>-7.6938455606523348E-14</v>
      </c>
      <c r="F279" s="172">
        <f t="shared" si="48"/>
        <v>-5.930672619669509E-16</v>
      </c>
      <c r="G279" s="172"/>
      <c r="H279" s="211"/>
      <c r="I279" s="211"/>
    </row>
    <row r="280" spans="1:9">
      <c r="A280" s="416"/>
      <c r="B280" s="171" t="s">
        <v>187</v>
      </c>
      <c r="C280" s="172">
        <f t="shared" si="49"/>
        <v>-7.6938455606523348E-14</v>
      </c>
      <c r="D280" s="172"/>
      <c r="E280" s="172">
        <f t="shared" si="47"/>
        <v>-7.6938455606523348E-14</v>
      </c>
      <c r="F280" s="172">
        <f t="shared" si="48"/>
        <v>-5.930672619669509E-16</v>
      </c>
      <c r="G280" s="172"/>
      <c r="H280" s="211"/>
      <c r="I280" s="211"/>
    </row>
    <row r="281" spans="1:9">
      <c r="A281" s="416"/>
      <c r="B281" s="171" t="s">
        <v>188</v>
      </c>
      <c r="C281" s="172">
        <f t="shared" si="49"/>
        <v>-7.6938455606523348E-14</v>
      </c>
      <c r="D281" s="172"/>
      <c r="E281" s="172">
        <f t="shared" si="47"/>
        <v>-7.6938455606523348E-14</v>
      </c>
      <c r="F281" s="172">
        <f t="shared" si="48"/>
        <v>-5.930672619669509E-16</v>
      </c>
      <c r="G281" s="172"/>
      <c r="H281" s="211"/>
      <c r="I281" s="211"/>
    </row>
    <row r="282" spans="1:9">
      <c r="A282" s="416"/>
      <c r="B282" s="171" t="s">
        <v>189</v>
      </c>
      <c r="C282" s="172">
        <f t="shared" si="49"/>
        <v>-7.6938455606523348E-14</v>
      </c>
      <c r="D282" s="172"/>
      <c r="E282" s="172">
        <f t="shared" si="47"/>
        <v>-7.6938455606523348E-14</v>
      </c>
      <c r="F282" s="172">
        <f t="shared" si="48"/>
        <v>-5.930672619669509E-16</v>
      </c>
      <c r="G282" s="172"/>
      <c r="H282" s="211"/>
      <c r="I282" s="211"/>
    </row>
    <row r="283" spans="1:9">
      <c r="A283" s="416"/>
      <c r="B283" s="171" t="s">
        <v>190</v>
      </c>
      <c r="C283" s="172">
        <f t="shared" si="49"/>
        <v>-7.6938455606523348E-14</v>
      </c>
      <c r="D283" s="172"/>
      <c r="E283" s="172">
        <f t="shared" si="47"/>
        <v>-7.6938455606523348E-14</v>
      </c>
      <c r="F283" s="172">
        <f t="shared" si="48"/>
        <v>-5.930672619669509E-16</v>
      </c>
      <c r="G283" s="172"/>
      <c r="H283" s="211"/>
      <c r="I283" s="211"/>
    </row>
    <row r="284" spans="1:9">
      <c r="A284" s="416">
        <f>A271+1</f>
        <v>18</v>
      </c>
      <c r="B284" s="177" t="s">
        <v>210</v>
      </c>
      <c r="C284" s="178"/>
      <c r="D284" s="177"/>
      <c r="E284" s="178"/>
      <c r="F284" s="178"/>
      <c r="G284" s="178"/>
      <c r="H284" s="214"/>
      <c r="I284" s="214"/>
    </row>
    <row r="285" spans="1:9">
      <c r="A285" s="416"/>
      <c r="B285" s="179" t="s">
        <v>179</v>
      </c>
      <c r="C285" s="180">
        <f>E283</f>
        <v>-7.6938455606523348E-14</v>
      </c>
      <c r="D285" s="180"/>
      <c r="E285" s="180">
        <f t="shared" ref="E285:E296" si="50">C285-D285</f>
        <v>-7.6938455606523348E-14</v>
      </c>
      <c r="F285" s="180">
        <f t="shared" ref="F285:F296" si="51">AVERAGE(C285,E285)*$C$22/12</f>
        <v>-5.930672619669509E-16</v>
      </c>
      <c r="G285" s="180"/>
      <c r="H285" s="215"/>
      <c r="I285" s="215"/>
    </row>
    <row r="286" spans="1:9">
      <c r="A286" s="416"/>
      <c r="B286" s="179" t="s">
        <v>180</v>
      </c>
      <c r="C286" s="180">
        <f t="shared" ref="C286:C296" si="52">E285</f>
        <v>-7.6938455606523348E-14</v>
      </c>
      <c r="D286" s="180"/>
      <c r="E286" s="180">
        <f t="shared" si="50"/>
        <v>-7.6938455606523348E-14</v>
      </c>
      <c r="F286" s="180">
        <f t="shared" si="51"/>
        <v>-5.930672619669509E-16</v>
      </c>
      <c r="G286" s="180"/>
      <c r="H286" s="215"/>
      <c r="I286" s="215"/>
    </row>
    <row r="287" spans="1:9">
      <c r="A287" s="416"/>
      <c r="B287" s="179" t="s">
        <v>181</v>
      </c>
      <c r="C287" s="180">
        <f t="shared" si="52"/>
        <v>-7.6938455606523348E-14</v>
      </c>
      <c r="D287" s="180"/>
      <c r="E287" s="180">
        <f t="shared" si="50"/>
        <v>-7.6938455606523348E-14</v>
      </c>
      <c r="F287" s="180">
        <f t="shared" si="51"/>
        <v>-5.930672619669509E-16</v>
      </c>
      <c r="G287" s="180"/>
      <c r="H287" s="215"/>
      <c r="I287" s="215"/>
    </row>
    <row r="288" spans="1:9">
      <c r="A288" s="416"/>
      <c r="B288" s="179" t="s">
        <v>182</v>
      </c>
      <c r="C288" s="180">
        <f t="shared" si="52"/>
        <v>-7.6938455606523348E-14</v>
      </c>
      <c r="D288" s="180"/>
      <c r="E288" s="180">
        <f t="shared" si="50"/>
        <v>-7.6938455606523348E-14</v>
      </c>
      <c r="F288" s="180">
        <f t="shared" si="51"/>
        <v>-5.930672619669509E-16</v>
      </c>
      <c r="G288" s="180"/>
      <c r="H288" s="215"/>
      <c r="I288" s="215"/>
    </row>
    <row r="289" spans="1:9">
      <c r="A289" s="416"/>
      <c r="B289" s="179" t="s">
        <v>183</v>
      </c>
      <c r="C289" s="180">
        <f t="shared" si="52"/>
        <v>-7.6938455606523348E-14</v>
      </c>
      <c r="D289" s="180"/>
      <c r="E289" s="180">
        <f t="shared" si="50"/>
        <v>-7.6938455606523348E-14</v>
      </c>
      <c r="F289" s="180">
        <f t="shared" si="51"/>
        <v>-5.930672619669509E-16</v>
      </c>
      <c r="G289" s="180"/>
      <c r="H289" s="215"/>
      <c r="I289" s="215"/>
    </row>
    <row r="290" spans="1:9">
      <c r="A290" s="416"/>
      <c r="B290" s="179" t="s">
        <v>184</v>
      </c>
      <c r="C290" s="180">
        <f t="shared" si="52"/>
        <v>-7.6938455606523348E-14</v>
      </c>
      <c r="D290" s="180"/>
      <c r="E290" s="180">
        <f t="shared" si="50"/>
        <v>-7.6938455606523348E-14</v>
      </c>
      <c r="F290" s="180">
        <f t="shared" si="51"/>
        <v>-5.930672619669509E-16</v>
      </c>
      <c r="G290" s="180"/>
      <c r="H290" s="215"/>
      <c r="I290" s="215"/>
    </row>
    <row r="291" spans="1:9">
      <c r="A291" s="416"/>
      <c r="B291" s="179" t="s">
        <v>185</v>
      </c>
      <c r="C291" s="180">
        <f t="shared" si="52"/>
        <v>-7.6938455606523348E-14</v>
      </c>
      <c r="D291" s="180"/>
      <c r="E291" s="180">
        <f t="shared" si="50"/>
        <v>-7.6938455606523348E-14</v>
      </c>
      <c r="F291" s="180">
        <f t="shared" si="51"/>
        <v>-5.930672619669509E-16</v>
      </c>
      <c r="G291" s="180"/>
      <c r="H291" s="215"/>
      <c r="I291" s="215"/>
    </row>
    <row r="292" spans="1:9">
      <c r="A292" s="416"/>
      <c r="B292" s="179" t="s">
        <v>186</v>
      </c>
      <c r="C292" s="180">
        <f t="shared" si="52"/>
        <v>-7.6938455606523348E-14</v>
      </c>
      <c r="D292" s="180"/>
      <c r="E292" s="180">
        <f t="shared" si="50"/>
        <v>-7.6938455606523348E-14</v>
      </c>
      <c r="F292" s="180">
        <f t="shared" si="51"/>
        <v>-5.930672619669509E-16</v>
      </c>
      <c r="G292" s="180"/>
      <c r="H292" s="215"/>
      <c r="I292" s="215"/>
    </row>
    <row r="293" spans="1:9">
      <c r="A293" s="416"/>
      <c r="B293" s="179" t="s">
        <v>187</v>
      </c>
      <c r="C293" s="180">
        <f t="shared" si="52"/>
        <v>-7.6938455606523348E-14</v>
      </c>
      <c r="D293" s="180"/>
      <c r="E293" s="180">
        <f t="shared" si="50"/>
        <v>-7.6938455606523348E-14</v>
      </c>
      <c r="F293" s="180">
        <f t="shared" si="51"/>
        <v>-5.930672619669509E-16</v>
      </c>
      <c r="G293" s="180"/>
      <c r="H293" s="215"/>
      <c r="I293" s="215"/>
    </row>
    <row r="294" spans="1:9">
      <c r="A294" s="416"/>
      <c r="B294" s="179" t="s">
        <v>188</v>
      </c>
      <c r="C294" s="180">
        <f t="shared" si="52"/>
        <v>-7.6938455606523348E-14</v>
      </c>
      <c r="D294" s="180"/>
      <c r="E294" s="180">
        <f t="shared" si="50"/>
        <v>-7.6938455606523348E-14</v>
      </c>
      <c r="F294" s="180">
        <f t="shared" si="51"/>
        <v>-5.930672619669509E-16</v>
      </c>
      <c r="G294" s="180"/>
      <c r="H294" s="215"/>
      <c r="I294" s="215"/>
    </row>
    <row r="295" spans="1:9">
      <c r="A295" s="416"/>
      <c r="B295" s="179" t="s">
        <v>189</v>
      </c>
      <c r="C295" s="180">
        <f t="shared" si="52"/>
        <v>-7.6938455606523348E-14</v>
      </c>
      <c r="D295" s="180"/>
      <c r="E295" s="180">
        <f t="shared" si="50"/>
        <v>-7.6938455606523348E-14</v>
      </c>
      <c r="F295" s="180">
        <f t="shared" si="51"/>
        <v>-5.930672619669509E-16</v>
      </c>
      <c r="G295" s="180"/>
      <c r="H295" s="215"/>
      <c r="I295" s="215"/>
    </row>
    <row r="296" spans="1:9">
      <c r="A296" s="416"/>
      <c r="B296" s="179" t="s">
        <v>190</v>
      </c>
      <c r="C296" s="180">
        <f t="shared" si="52"/>
        <v>-7.6938455606523348E-14</v>
      </c>
      <c r="D296" s="180"/>
      <c r="E296" s="180">
        <f t="shared" si="50"/>
        <v>-7.6938455606523348E-14</v>
      </c>
      <c r="F296" s="180">
        <f t="shared" si="51"/>
        <v>-5.930672619669509E-16</v>
      </c>
      <c r="G296" s="180"/>
      <c r="H296" s="215"/>
      <c r="I296" s="215"/>
    </row>
    <row r="297" spans="1:9">
      <c r="A297" s="416">
        <f>A284+1</f>
        <v>19</v>
      </c>
      <c r="B297" s="192" t="s">
        <v>211</v>
      </c>
      <c r="C297" s="193"/>
      <c r="D297" s="192"/>
      <c r="E297" s="193"/>
      <c r="F297" s="193"/>
      <c r="G297" s="193"/>
      <c r="H297" s="224"/>
      <c r="I297" s="224"/>
    </row>
    <row r="298" spans="1:9">
      <c r="A298" s="416"/>
      <c r="B298" s="194" t="s">
        <v>179</v>
      </c>
      <c r="C298" s="195">
        <f>E296</f>
        <v>-7.6938455606523348E-14</v>
      </c>
      <c r="D298" s="195"/>
      <c r="E298" s="195">
        <f t="shared" ref="E298:E309" si="53">C298-D298</f>
        <v>-7.6938455606523348E-14</v>
      </c>
      <c r="F298" s="195">
        <f t="shared" ref="F298:F309" si="54">AVERAGE(C298,E298)*$C$22/12</f>
        <v>-5.930672619669509E-16</v>
      </c>
      <c r="G298" s="195"/>
      <c r="H298" s="225"/>
      <c r="I298" s="225"/>
    </row>
    <row r="299" spans="1:9">
      <c r="A299" s="416"/>
      <c r="B299" s="194" t="s">
        <v>180</v>
      </c>
      <c r="C299" s="195">
        <f t="shared" ref="C299:C309" si="55">E298</f>
        <v>-7.6938455606523348E-14</v>
      </c>
      <c r="D299" s="195"/>
      <c r="E299" s="195">
        <f t="shared" si="53"/>
        <v>-7.6938455606523348E-14</v>
      </c>
      <c r="F299" s="195">
        <f t="shared" si="54"/>
        <v>-5.930672619669509E-16</v>
      </c>
      <c r="G299" s="195"/>
      <c r="H299" s="225"/>
      <c r="I299" s="225"/>
    </row>
    <row r="300" spans="1:9">
      <c r="A300" s="416"/>
      <c r="B300" s="194" t="s">
        <v>181</v>
      </c>
      <c r="C300" s="195">
        <f t="shared" si="55"/>
        <v>-7.6938455606523348E-14</v>
      </c>
      <c r="D300" s="195"/>
      <c r="E300" s="195">
        <f t="shared" si="53"/>
        <v>-7.6938455606523348E-14</v>
      </c>
      <c r="F300" s="195">
        <f t="shared" si="54"/>
        <v>-5.930672619669509E-16</v>
      </c>
      <c r="G300" s="195"/>
      <c r="H300" s="225"/>
      <c r="I300" s="225"/>
    </row>
    <row r="301" spans="1:9">
      <c r="A301" s="416"/>
      <c r="B301" s="194" t="s">
        <v>182</v>
      </c>
      <c r="C301" s="195">
        <f t="shared" si="55"/>
        <v>-7.6938455606523348E-14</v>
      </c>
      <c r="D301" s="195"/>
      <c r="E301" s="195">
        <f t="shared" si="53"/>
        <v>-7.6938455606523348E-14</v>
      </c>
      <c r="F301" s="195">
        <f t="shared" si="54"/>
        <v>-5.930672619669509E-16</v>
      </c>
      <c r="G301" s="195"/>
      <c r="H301" s="225"/>
      <c r="I301" s="225"/>
    </row>
    <row r="302" spans="1:9">
      <c r="A302" s="416"/>
      <c r="B302" s="194" t="s">
        <v>183</v>
      </c>
      <c r="C302" s="195">
        <f t="shared" si="55"/>
        <v>-7.6938455606523348E-14</v>
      </c>
      <c r="D302" s="195"/>
      <c r="E302" s="195">
        <f t="shared" si="53"/>
        <v>-7.6938455606523348E-14</v>
      </c>
      <c r="F302" s="195">
        <f t="shared" si="54"/>
        <v>-5.930672619669509E-16</v>
      </c>
      <c r="G302" s="195"/>
      <c r="H302" s="225"/>
      <c r="I302" s="225"/>
    </row>
    <row r="303" spans="1:9">
      <c r="A303" s="416"/>
      <c r="B303" s="194" t="s">
        <v>184</v>
      </c>
      <c r="C303" s="195">
        <f t="shared" si="55"/>
        <v>-7.6938455606523348E-14</v>
      </c>
      <c r="D303" s="195"/>
      <c r="E303" s="195">
        <f t="shared" si="53"/>
        <v>-7.6938455606523348E-14</v>
      </c>
      <c r="F303" s="195">
        <f t="shared" si="54"/>
        <v>-5.930672619669509E-16</v>
      </c>
      <c r="G303" s="195"/>
      <c r="H303" s="225"/>
      <c r="I303" s="225"/>
    </row>
    <row r="304" spans="1:9">
      <c r="A304" s="416"/>
      <c r="B304" s="194" t="s">
        <v>185</v>
      </c>
      <c r="C304" s="195">
        <f t="shared" si="55"/>
        <v>-7.6938455606523348E-14</v>
      </c>
      <c r="D304" s="195"/>
      <c r="E304" s="195">
        <f t="shared" si="53"/>
        <v>-7.6938455606523348E-14</v>
      </c>
      <c r="F304" s="195">
        <f t="shared" si="54"/>
        <v>-5.930672619669509E-16</v>
      </c>
      <c r="G304" s="195"/>
      <c r="H304" s="225"/>
      <c r="I304" s="225"/>
    </row>
    <row r="305" spans="1:9">
      <c r="A305" s="416"/>
      <c r="B305" s="194" t="s">
        <v>186</v>
      </c>
      <c r="C305" s="195">
        <f t="shared" si="55"/>
        <v>-7.6938455606523348E-14</v>
      </c>
      <c r="D305" s="195"/>
      <c r="E305" s="195">
        <f t="shared" si="53"/>
        <v>-7.6938455606523348E-14</v>
      </c>
      <c r="F305" s="195">
        <f t="shared" si="54"/>
        <v>-5.930672619669509E-16</v>
      </c>
      <c r="G305" s="195"/>
      <c r="H305" s="225"/>
      <c r="I305" s="225"/>
    </row>
    <row r="306" spans="1:9">
      <c r="A306" s="416"/>
      <c r="B306" s="194" t="s">
        <v>187</v>
      </c>
      <c r="C306" s="195">
        <f t="shared" si="55"/>
        <v>-7.6938455606523348E-14</v>
      </c>
      <c r="D306" s="195"/>
      <c r="E306" s="195">
        <f t="shared" si="53"/>
        <v>-7.6938455606523348E-14</v>
      </c>
      <c r="F306" s="195">
        <f t="shared" si="54"/>
        <v>-5.930672619669509E-16</v>
      </c>
      <c r="G306" s="195"/>
      <c r="H306" s="225"/>
      <c r="I306" s="225"/>
    </row>
    <row r="307" spans="1:9">
      <c r="A307" s="416"/>
      <c r="B307" s="194" t="s">
        <v>188</v>
      </c>
      <c r="C307" s="195">
        <f t="shared" si="55"/>
        <v>-7.6938455606523348E-14</v>
      </c>
      <c r="D307" s="195"/>
      <c r="E307" s="195">
        <f t="shared" si="53"/>
        <v>-7.6938455606523348E-14</v>
      </c>
      <c r="F307" s="195">
        <f t="shared" si="54"/>
        <v>-5.930672619669509E-16</v>
      </c>
      <c r="G307" s="195"/>
      <c r="H307" s="225"/>
      <c r="I307" s="225"/>
    </row>
    <row r="308" spans="1:9">
      <c r="A308" s="416"/>
      <c r="B308" s="194" t="s">
        <v>189</v>
      </c>
      <c r="C308" s="195">
        <f t="shared" si="55"/>
        <v>-7.6938455606523348E-14</v>
      </c>
      <c r="D308" s="195"/>
      <c r="E308" s="195">
        <f t="shared" si="53"/>
        <v>-7.6938455606523348E-14</v>
      </c>
      <c r="F308" s="195">
        <f t="shared" si="54"/>
        <v>-5.930672619669509E-16</v>
      </c>
      <c r="G308" s="195"/>
      <c r="H308" s="225"/>
      <c r="I308" s="225"/>
    </row>
    <row r="309" spans="1:9">
      <c r="A309" s="416"/>
      <c r="B309" s="194" t="s">
        <v>190</v>
      </c>
      <c r="C309" s="195">
        <f t="shared" si="55"/>
        <v>-7.6938455606523348E-14</v>
      </c>
      <c r="D309" s="195"/>
      <c r="E309" s="195">
        <f t="shared" si="53"/>
        <v>-7.6938455606523348E-14</v>
      </c>
      <c r="F309" s="195">
        <f t="shared" si="54"/>
        <v>-5.930672619669509E-16</v>
      </c>
      <c r="G309" s="195"/>
      <c r="H309" s="225"/>
      <c r="I309" s="225"/>
    </row>
    <row r="310" spans="1:9">
      <c r="A310" s="416">
        <f>A297+1</f>
        <v>20</v>
      </c>
      <c r="B310" s="192" t="s">
        <v>257</v>
      </c>
      <c r="C310" s="193"/>
      <c r="D310" s="192"/>
      <c r="E310" s="193"/>
      <c r="F310" s="193"/>
      <c r="G310" s="193"/>
      <c r="H310" s="224"/>
      <c r="I310" s="224"/>
    </row>
    <row r="311" spans="1:9">
      <c r="A311" s="416"/>
      <c r="B311" s="194" t="s">
        <v>179</v>
      </c>
      <c r="C311" s="195">
        <f>E309</f>
        <v>-7.6938455606523348E-14</v>
      </c>
      <c r="D311" s="195"/>
      <c r="E311" s="195">
        <f t="shared" ref="E311:E321" si="56">C311-D311</f>
        <v>-7.6938455606523348E-14</v>
      </c>
      <c r="F311" s="195">
        <f t="shared" ref="F311:F322" si="57">AVERAGE(C311,E311)*$C$22/12</f>
        <v>-5.930672619669509E-16</v>
      </c>
      <c r="G311" s="195"/>
      <c r="H311" s="225"/>
      <c r="I311" s="225"/>
    </row>
    <row r="312" spans="1:9">
      <c r="A312" s="416"/>
      <c r="B312" s="194" t="s">
        <v>180</v>
      </c>
      <c r="C312" s="195">
        <f t="shared" ref="C312:C322" si="58">E311</f>
        <v>-7.6938455606523348E-14</v>
      </c>
      <c r="D312" s="195"/>
      <c r="E312" s="195">
        <f t="shared" si="56"/>
        <v>-7.6938455606523348E-14</v>
      </c>
      <c r="F312" s="195">
        <f t="shared" si="57"/>
        <v>-5.930672619669509E-16</v>
      </c>
      <c r="G312" s="195"/>
      <c r="H312" s="225"/>
      <c r="I312" s="225"/>
    </row>
    <row r="313" spans="1:9">
      <c r="A313" s="416"/>
      <c r="B313" s="194" t="s">
        <v>181</v>
      </c>
      <c r="C313" s="195">
        <f t="shared" si="58"/>
        <v>-7.6938455606523348E-14</v>
      </c>
      <c r="D313" s="195"/>
      <c r="E313" s="195">
        <f t="shared" si="56"/>
        <v>-7.6938455606523348E-14</v>
      </c>
      <c r="F313" s="195">
        <f t="shared" si="57"/>
        <v>-5.930672619669509E-16</v>
      </c>
      <c r="G313" s="195"/>
      <c r="H313" s="225"/>
      <c r="I313" s="225"/>
    </row>
    <row r="314" spans="1:9">
      <c r="A314" s="416"/>
      <c r="B314" s="194" t="s">
        <v>182</v>
      </c>
      <c r="C314" s="195">
        <f t="shared" si="58"/>
        <v>-7.6938455606523348E-14</v>
      </c>
      <c r="D314" s="195"/>
      <c r="E314" s="195">
        <f t="shared" si="56"/>
        <v>-7.6938455606523348E-14</v>
      </c>
      <c r="F314" s="195">
        <f t="shared" si="57"/>
        <v>-5.930672619669509E-16</v>
      </c>
      <c r="G314" s="195"/>
      <c r="H314" s="225"/>
      <c r="I314" s="225"/>
    </row>
    <row r="315" spans="1:9">
      <c r="A315" s="416"/>
      <c r="B315" s="194" t="s">
        <v>183</v>
      </c>
      <c r="C315" s="195">
        <f t="shared" si="58"/>
        <v>-7.6938455606523348E-14</v>
      </c>
      <c r="D315" s="195"/>
      <c r="E315" s="195">
        <f t="shared" si="56"/>
        <v>-7.6938455606523348E-14</v>
      </c>
      <c r="F315" s="195">
        <f t="shared" si="57"/>
        <v>-5.930672619669509E-16</v>
      </c>
      <c r="G315" s="195"/>
      <c r="H315" s="225"/>
      <c r="I315" s="225"/>
    </row>
    <row r="316" spans="1:9">
      <c r="A316" s="416"/>
      <c r="B316" s="194" t="s">
        <v>184</v>
      </c>
      <c r="C316" s="195">
        <f t="shared" si="58"/>
        <v>-7.6938455606523348E-14</v>
      </c>
      <c r="D316" s="195"/>
      <c r="E316" s="195">
        <f t="shared" si="56"/>
        <v>-7.6938455606523348E-14</v>
      </c>
      <c r="F316" s="195">
        <f t="shared" si="57"/>
        <v>-5.930672619669509E-16</v>
      </c>
      <c r="G316" s="195"/>
      <c r="H316" s="225"/>
      <c r="I316" s="225"/>
    </row>
    <row r="317" spans="1:9">
      <c r="A317" s="416"/>
      <c r="B317" s="194" t="s">
        <v>185</v>
      </c>
      <c r="C317" s="195">
        <f t="shared" si="58"/>
        <v>-7.6938455606523348E-14</v>
      </c>
      <c r="D317" s="195"/>
      <c r="E317" s="195">
        <f t="shared" si="56"/>
        <v>-7.6938455606523348E-14</v>
      </c>
      <c r="F317" s="195">
        <f t="shared" si="57"/>
        <v>-5.930672619669509E-16</v>
      </c>
      <c r="G317" s="195"/>
      <c r="H317" s="225"/>
      <c r="I317" s="225"/>
    </row>
    <row r="318" spans="1:9">
      <c r="A318" s="416"/>
      <c r="B318" s="194" t="s">
        <v>186</v>
      </c>
      <c r="C318" s="195">
        <f t="shared" si="58"/>
        <v>-7.6938455606523348E-14</v>
      </c>
      <c r="D318" s="195"/>
      <c r="E318" s="195">
        <f t="shared" si="56"/>
        <v>-7.6938455606523348E-14</v>
      </c>
      <c r="F318" s="195">
        <f t="shared" si="57"/>
        <v>-5.930672619669509E-16</v>
      </c>
      <c r="G318" s="195"/>
      <c r="H318" s="225"/>
      <c r="I318" s="225"/>
    </row>
    <row r="319" spans="1:9">
      <c r="A319" s="416"/>
      <c r="B319" s="194" t="s">
        <v>187</v>
      </c>
      <c r="C319" s="195">
        <f t="shared" si="58"/>
        <v>-7.6938455606523348E-14</v>
      </c>
      <c r="D319" s="195"/>
      <c r="E319" s="195">
        <f t="shared" si="56"/>
        <v>-7.6938455606523348E-14</v>
      </c>
      <c r="F319" s="195">
        <f t="shared" si="57"/>
        <v>-5.930672619669509E-16</v>
      </c>
      <c r="G319" s="195"/>
      <c r="H319" s="225"/>
      <c r="I319" s="225"/>
    </row>
    <row r="320" spans="1:9">
      <c r="A320" s="416"/>
      <c r="B320" s="194" t="s">
        <v>188</v>
      </c>
      <c r="C320" s="195">
        <f t="shared" si="58"/>
        <v>-7.6938455606523348E-14</v>
      </c>
      <c r="D320" s="195"/>
      <c r="E320" s="195">
        <f t="shared" si="56"/>
        <v>-7.6938455606523348E-14</v>
      </c>
      <c r="F320" s="195">
        <f t="shared" si="57"/>
        <v>-5.930672619669509E-16</v>
      </c>
      <c r="G320" s="195"/>
      <c r="H320" s="225"/>
      <c r="I320" s="225"/>
    </row>
    <row r="321" spans="1:9">
      <c r="A321" s="416"/>
      <c r="B321" s="194" t="s">
        <v>189</v>
      </c>
      <c r="C321" s="195">
        <f t="shared" si="58"/>
        <v>-7.6938455606523348E-14</v>
      </c>
      <c r="D321" s="195"/>
      <c r="E321" s="195">
        <f t="shared" si="56"/>
        <v>-7.6938455606523348E-14</v>
      </c>
      <c r="F321" s="195">
        <f t="shared" si="57"/>
        <v>-5.930672619669509E-16</v>
      </c>
      <c r="G321" s="195"/>
      <c r="H321" s="225"/>
      <c r="I321" s="225"/>
    </row>
    <row r="322" spans="1:9">
      <c r="A322" s="416"/>
      <c r="B322" s="194" t="s">
        <v>190</v>
      </c>
      <c r="C322" s="195">
        <f t="shared" si="58"/>
        <v>-7.6938455606523348E-14</v>
      </c>
      <c r="D322" s="195"/>
      <c r="E322" s="195">
        <f>C322-D322</f>
        <v>-7.6938455606523348E-14</v>
      </c>
      <c r="F322" s="195">
        <f t="shared" si="57"/>
        <v>-5.930672619669509E-16</v>
      </c>
      <c r="G322" s="195"/>
      <c r="H322" s="225"/>
      <c r="I322" s="225"/>
    </row>
    <row r="323" spans="1:9" s="259" customFormat="1" ht="15.75" thickBot="1">
      <c r="A323" s="289"/>
      <c r="B323" s="290"/>
      <c r="C323" s="291"/>
      <c r="D323" s="291">
        <f>SUM(D25:D322)</f>
        <v>62.525731515730534</v>
      </c>
      <c r="E323" s="291"/>
      <c r="F323" s="291">
        <f>SUM(F25:F322)</f>
        <v>43.377226239037938</v>
      </c>
      <c r="G323" s="292"/>
      <c r="H323" s="292">
        <f>SUM(H25:H322)</f>
        <v>0</v>
      </c>
      <c r="I323" s="292"/>
    </row>
    <row r="324" spans="1:9" ht="15.75" thickTop="1">
      <c r="C324" s="196" t="s">
        <v>212</v>
      </c>
      <c r="D324" s="197">
        <f>D323-C21</f>
        <v>7.1054273576010019E-14</v>
      </c>
      <c r="H324" s="226"/>
      <c r="I324" s="227"/>
    </row>
    <row r="325" spans="1:9">
      <c r="H325" s="226"/>
      <c r="I325" s="227"/>
    </row>
    <row r="326" spans="1:9">
      <c r="H326" s="226"/>
      <c r="I326" s="227"/>
    </row>
    <row r="327" spans="1:9">
      <c r="H327" s="226"/>
      <c r="I327" s="227"/>
    </row>
    <row r="328" spans="1:9">
      <c r="H328" s="226"/>
      <c r="I328" s="227"/>
    </row>
    <row r="329" spans="1:9">
      <c r="H329" s="226"/>
      <c r="I329" s="227"/>
    </row>
    <row r="330" spans="1:9">
      <c r="H330" s="226"/>
      <c r="I330" s="227"/>
    </row>
    <row r="331" spans="1:9">
      <c r="H331" s="226"/>
      <c r="I331" s="227"/>
    </row>
    <row r="332" spans="1:9">
      <c r="H332" s="226"/>
      <c r="I332" s="227"/>
    </row>
    <row r="333" spans="1:9">
      <c r="H333" s="226"/>
      <c r="I333" s="227"/>
    </row>
    <row r="334" spans="1:9">
      <c r="H334" s="198"/>
      <c r="I334" s="199"/>
    </row>
    <row r="335" spans="1:9">
      <c r="H335" s="198"/>
      <c r="I335" s="199"/>
    </row>
    <row r="336" spans="1:9">
      <c r="H336" s="198"/>
      <c r="I336" s="199"/>
    </row>
    <row r="337" spans="8:9">
      <c r="H337" s="198"/>
      <c r="I337" s="199"/>
    </row>
    <row r="338" spans="8:9">
      <c r="H338" s="198"/>
      <c r="I338" s="199"/>
    </row>
    <row r="339" spans="8:9">
      <c r="H339" s="198"/>
      <c r="I339" s="199"/>
    </row>
    <row r="340" spans="8:9">
      <c r="H340" s="198"/>
      <c r="I340" s="199"/>
    </row>
    <row r="341" spans="8:9">
      <c r="H341" s="198"/>
      <c r="I341" s="199"/>
    </row>
    <row r="342" spans="8:9">
      <c r="H342" s="198"/>
      <c r="I342" s="199"/>
    </row>
    <row r="343" spans="8:9">
      <c r="H343" s="198"/>
      <c r="I343" s="199"/>
    </row>
    <row r="344" spans="8:9">
      <c r="H344" s="198"/>
      <c r="I344" s="199"/>
    </row>
    <row r="345" spans="8:9">
      <c r="H345" s="198"/>
      <c r="I345" s="199"/>
    </row>
    <row r="346" spans="8:9">
      <c r="H346" s="198"/>
      <c r="I346" s="199"/>
    </row>
    <row r="347" spans="8:9">
      <c r="H347" s="198"/>
      <c r="I347" s="199"/>
    </row>
    <row r="348" spans="8:9">
      <c r="H348" s="198"/>
      <c r="I348" s="199"/>
    </row>
    <row r="349" spans="8:9">
      <c r="H349" s="198"/>
      <c r="I349" s="199"/>
    </row>
  </sheetData>
  <mergeCells count="21">
    <mergeCell ref="D7:E7"/>
    <mergeCell ref="A63:A75"/>
    <mergeCell ref="A76:A88"/>
    <mergeCell ref="A89:A101"/>
    <mergeCell ref="A245:A257"/>
    <mergeCell ref="A102:A114"/>
    <mergeCell ref="A115:A127"/>
    <mergeCell ref="A128:A140"/>
    <mergeCell ref="A141:A153"/>
    <mergeCell ref="A154:A166"/>
    <mergeCell ref="A167:A179"/>
    <mergeCell ref="A180:A192"/>
    <mergeCell ref="A193:A205"/>
    <mergeCell ref="A206:A218"/>
    <mergeCell ref="A219:A231"/>
    <mergeCell ref="A232:A244"/>
    <mergeCell ref="A258:A270"/>
    <mergeCell ref="A271:A283"/>
    <mergeCell ref="A284:A296"/>
    <mergeCell ref="A297:A309"/>
    <mergeCell ref="A310:A3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AD166"/>
  <sheetViews>
    <sheetView showGridLines="0" workbookViewId="0">
      <pane xSplit="2" ySplit="8" topLeftCell="Q19" activePane="bottomRight" state="frozen"/>
      <selection activeCell="A9" sqref="A9"/>
      <selection pane="topRight" activeCell="A9" sqref="A9"/>
      <selection pane="bottomLeft" activeCell="A9" sqref="A9"/>
      <selection pane="bottomRight" activeCell="AF26" sqref="AF26"/>
    </sheetView>
  </sheetViews>
  <sheetFormatPr defaultColWidth="13.7109375" defaultRowHeight="15"/>
  <cols>
    <col min="1" max="1" width="2.28515625" style="68" customWidth="1"/>
    <col min="2" max="2" width="64.7109375" style="68" customWidth="1"/>
    <col min="3" max="3" width="5.42578125" style="68" bestFit="1" customWidth="1"/>
    <col min="4" max="4" width="9.7109375" style="68" bestFit="1" customWidth="1"/>
    <col min="5" max="5" width="12.7109375" style="68" customWidth="1"/>
    <col min="6" max="7" width="9.7109375" style="68" bestFit="1" customWidth="1"/>
    <col min="8" max="8" width="9.7109375" style="113" bestFit="1" customWidth="1"/>
    <col min="9" max="30" width="9.7109375" style="68" bestFit="1" customWidth="1"/>
    <col min="31" max="16384" width="13.7109375" style="68"/>
  </cols>
  <sheetData>
    <row r="1" spans="2:30" s="1" customFormat="1" ht="19.899999999999999" customHeight="1">
      <c r="B1" s="101" t="str">
        <f>Company</f>
        <v>M/s. OMC Power Private Limited</v>
      </c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</row>
    <row r="2" spans="2:30" s="1" customFormat="1" ht="9" customHeight="1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2:30" s="1" customFormat="1" ht="19.899999999999999" customHeight="1">
      <c r="B3" s="102" t="str">
        <f>Project</f>
        <v>Financial Model for Proposed 35 locations Solar Power Plant (20 MW )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</row>
    <row r="4" spans="2:30" s="1" customFormat="1" ht="9" customHeight="1">
      <c r="B4" s="2"/>
      <c r="C4" s="2"/>
      <c r="D4" s="2"/>
      <c r="E4" s="2"/>
      <c r="F4" s="2"/>
      <c r="G4" s="287"/>
    </row>
    <row r="5" spans="2:30" customFormat="1" ht="15.75">
      <c r="B5" s="69" t="s">
        <v>295</v>
      </c>
      <c r="C5" s="69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</row>
    <row r="6" spans="2:30" customFormat="1">
      <c r="B6" s="288" t="s">
        <v>288</v>
      </c>
      <c r="C6" s="66"/>
      <c r="D6" s="66"/>
      <c r="E6" s="3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</row>
    <row r="7" spans="2:30" s="31" customFormat="1" ht="15.75">
      <c r="C7" s="66"/>
      <c r="D7" s="413" t="s">
        <v>22</v>
      </c>
      <c r="E7" s="413"/>
      <c r="F7" s="415" t="s">
        <v>81</v>
      </c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</row>
    <row r="8" spans="2:30" s="31" customFormat="1">
      <c r="B8" s="71" t="s">
        <v>287</v>
      </c>
      <c r="C8" s="72" t="s">
        <v>83</v>
      </c>
      <c r="D8" s="73"/>
      <c r="E8" s="73">
        <f>'Revenue &amp; Expenses Modeling'!E8</f>
        <v>45838</v>
      </c>
      <c r="F8" s="399">
        <f>+EDATE(E8,9)</f>
        <v>46111</v>
      </c>
      <c r="G8" s="73">
        <f>DATE(YEAR(F8)+1,MONTH(F8),DAY(F8))</f>
        <v>46476</v>
      </c>
      <c r="H8" s="73">
        <f t="shared" ref="H8:AD8" si="0">DATE(YEAR(G8)+1,MONTH(G8),DAY(G8))</f>
        <v>46842</v>
      </c>
      <c r="I8" s="73">
        <f t="shared" si="0"/>
        <v>47207</v>
      </c>
      <c r="J8" s="73">
        <f t="shared" si="0"/>
        <v>47572</v>
      </c>
      <c r="K8" s="73">
        <f t="shared" si="0"/>
        <v>47937</v>
      </c>
      <c r="L8" s="73">
        <f t="shared" si="0"/>
        <v>48303</v>
      </c>
      <c r="M8" s="73">
        <f t="shared" si="0"/>
        <v>48668</v>
      </c>
      <c r="N8" s="73">
        <f t="shared" si="0"/>
        <v>49033</v>
      </c>
      <c r="O8" s="73">
        <f t="shared" si="0"/>
        <v>49398</v>
      </c>
      <c r="P8" s="73">
        <f t="shared" si="0"/>
        <v>49764</v>
      </c>
      <c r="Q8" s="73">
        <f t="shared" si="0"/>
        <v>50129</v>
      </c>
      <c r="R8" s="73">
        <f t="shared" si="0"/>
        <v>50494</v>
      </c>
      <c r="S8" s="73">
        <f t="shared" si="0"/>
        <v>50859</v>
      </c>
      <c r="T8" s="73">
        <f t="shared" si="0"/>
        <v>51225</v>
      </c>
      <c r="U8" s="73">
        <f t="shared" si="0"/>
        <v>51590</v>
      </c>
      <c r="V8" s="73">
        <f t="shared" si="0"/>
        <v>51955</v>
      </c>
      <c r="W8" s="73">
        <f t="shared" si="0"/>
        <v>52320</v>
      </c>
      <c r="X8" s="73">
        <f t="shared" si="0"/>
        <v>52686</v>
      </c>
      <c r="Y8" s="73">
        <f t="shared" si="0"/>
        <v>53051</v>
      </c>
      <c r="Z8" s="73">
        <f t="shared" si="0"/>
        <v>53416</v>
      </c>
      <c r="AA8" s="73">
        <f t="shared" si="0"/>
        <v>53781</v>
      </c>
      <c r="AB8" s="73">
        <f t="shared" si="0"/>
        <v>54147</v>
      </c>
      <c r="AC8" s="73">
        <f t="shared" si="0"/>
        <v>54512</v>
      </c>
      <c r="AD8" s="73">
        <f t="shared" si="0"/>
        <v>54877</v>
      </c>
    </row>
    <row r="9" spans="2:30">
      <c r="B9" s="74" t="s">
        <v>84</v>
      </c>
      <c r="C9" s="75"/>
      <c r="D9" s="76"/>
      <c r="E9" s="76">
        <v>0</v>
      </c>
      <c r="F9" s="77">
        <v>1</v>
      </c>
      <c r="G9" s="77">
        <f>F9+1</f>
        <v>2</v>
      </c>
      <c r="H9" s="77">
        <f t="shared" ref="H9:AD9" si="1">G9+1</f>
        <v>3</v>
      </c>
      <c r="I9" s="77">
        <f t="shared" si="1"/>
        <v>4</v>
      </c>
      <c r="J9" s="77">
        <f t="shared" si="1"/>
        <v>5</v>
      </c>
      <c r="K9" s="77">
        <f t="shared" si="1"/>
        <v>6</v>
      </c>
      <c r="L9" s="77">
        <f t="shared" si="1"/>
        <v>7</v>
      </c>
      <c r="M9" s="77">
        <f t="shared" si="1"/>
        <v>8</v>
      </c>
      <c r="N9" s="77">
        <f t="shared" si="1"/>
        <v>9</v>
      </c>
      <c r="O9" s="77">
        <f t="shared" si="1"/>
        <v>10</v>
      </c>
      <c r="P9" s="77">
        <f t="shared" si="1"/>
        <v>11</v>
      </c>
      <c r="Q9" s="77">
        <f t="shared" si="1"/>
        <v>12</v>
      </c>
      <c r="R9" s="77">
        <f t="shared" si="1"/>
        <v>13</v>
      </c>
      <c r="S9" s="77">
        <f t="shared" si="1"/>
        <v>14</v>
      </c>
      <c r="T9" s="77">
        <f t="shared" si="1"/>
        <v>15</v>
      </c>
      <c r="U9" s="77">
        <f t="shared" si="1"/>
        <v>16</v>
      </c>
      <c r="V9" s="77">
        <f t="shared" si="1"/>
        <v>17</v>
      </c>
      <c r="W9" s="77">
        <f t="shared" si="1"/>
        <v>18</v>
      </c>
      <c r="X9" s="77">
        <f t="shared" si="1"/>
        <v>19</v>
      </c>
      <c r="Y9" s="77">
        <f t="shared" si="1"/>
        <v>20</v>
      </c>
      <c r="Z9" s="77">
        <f t="shared" si="1"/>
        <v>21</v>
      </c>
      <c r="AA9" s="77">
        <f t="shared" si="1"/>
        <v>22</v>
      </c>
      <c r="AB9" s="77">
        <f t="shared" si="1"/>
        <v>23</v>
      </c>
      <c r="AC9" s="77">
        <f t="shared" si="1"/>
        <v>24</v>
      </c>
      <c r="AD9" s="77">
        <f t="shared" si="1"/>
        <v>25</v>
      </c>
    </row>
    <row r="10" spans="2:30">
      <c r="B10" s="74" t="s">
        <v>85</v>
      </c>
      <c r="C10" s="75"/>
      <c r="D10" s="76"/>
      <c r="E10" s="76">
        <v>3</v>
      </c>
      <c r="F10" s="75">
        <f>MONTH(F8-E8)</f>
        <v>9</v>
      </c>
      <c r="G10" s="75">
        <f t="shared" ref="G10:AD10" si="2">MONTH(G8-F8)</f>
        <v>12</v>
      </c>
      <c r="H10" s="75">
        <f t="shared" si="2"/>
        <v>12</v>
      </c>
      <c r="I10" s="75">
        <f t="shared" si="2"/>
        <v>12</v>
      </c>
      <c r="J10" s="75">
        <f t="shared" si="2"/>
        <v>12</v>
      </c>
      <c r="K10" s="75">
        <f t="shared" si="2"/>
        <v>12</v>
      </c>
      <c r="L10" s="75">
        <f t="shared" si="2"/>
        <v>12</v>
      </c>
      <c r="M10" s="75">
        <f t="shared" si="2"/>
        <v>12</v>
      </c>
      <c r="N10" s="75">
        <f t="shared" si="2"/>
        <v>12</v>
      </c>
      <c r="O10" s="75">
        <f t="shared" si="2"/>
        <v>12</v>
      </c>
      <c r="P10" s="75">
        <f t="shared" si="2"/>
        <v>12</v>
      </c>
      <c r="Q10" s="75">
        <f t="shared" si="2"/>
        <v>12</v>
      </c>
      <c r="R10" s="75">
        <f t="shared" si="2"/>
        <v>12</v>
      </c>
      <c r="S10" s="75">
        <f t="shared" si="2"/>
        <v>12</v>
      </c>
      <c r="T10" s="75">
        <f t="shared" si="2"/>
        <v>12</v>
      </c>
      <c r="U10" s="75">
        <f t="shared" si="2"/>
        <v>12</v>
      </c>
      <c r="V10" s="75">
        <f t="shared" si="2"/>
        <v>12</v>
      </c>
      <c r="W10" s="75">
        <f t="shared" si="2"/>
        <v>12</v>
      </c>
      <c r="X10" s="75">
        <f t="shared" si="2"/>
        <v>12</v>
      </c>
      <c r="Y10" s="75">
        <f t="shared" si="2"/>
        <v>12</v>
      </c>
      <c r="Z10" s="75">
        <f t="shared" si="2"/>
        <v>12</v>
      </c>
      <c r="AA10" s="75">
        <f t="shared" si="2"/>
        <v>12</v>
      </c>
      <c r="AB10" s="75">
        <f t="shared" si="2"/>
        <v>12</v>
      </c>
      <c r="AC10" s="75">
        <f t="shared" si="2"/>
        <v>12</v>
      </c>
      <c r="AD10" s="75">
        <f t="shared" si="2"/>
        <v>12</v>
      </c>
    </row>
    <row r="11" spans="2:30">
      <c r="H11" s="68"/>
    </row>
    <row r="12" spans="2:30">
      <c r="B12" s="79" t="s">
        <v>86</v>
      </c>
      <c r="C12" s="79"/>
      <c r="D12" s="79"/>
      <c r="E12" s="79"/>
      <c r="F12" s="80">
        <f>F8-E8</f>
        <v>273</v>
      </c>
      <c r="G12" s="80">
        <f>G8-F8</f>
        <v>365</v>
      </c>
      <c r="H12" s="80">
        <f t="shared" ref="H12:AD12" si="3">H8-G8</f>
        <v>366</v>
      </c>
      <c r="I12" s="80">
        <f t="shared" si="3"/>
        <v>365</v>
      </c>
      <c r="J12" s="80">
        <f t="shared" si="3"/>
        <v>365</v>
      </c>
      <c r="K12" s="80">
        <f t="shared" si="3"/>
        <v>365</v>
      </c>
      <c r="L12" s="80">
        <f t="shared" si="3"/>
        <v>366</v>
      </c>
      <c r="M12" s="80">
        <f t="shared" si="3"/>
        <v>365</v>
      </c>
      <c r="N12" s="80">
        <f t="shared" si="3"/>
        <v>365</v>
      </c>
      <c r="O12" s="80">
        <f t="shared" si="3"/>
        <v>365</v>
      </c>
      <c r="P12" s="80">
        <f t="shared" si="3"/>
        <v>366</v>
      </c>
      <c r="Q12" s="80">
        <f t="shared" si="3"/>
        <v>365</v>
      </c>
      <c r="R12" s="80">
        <f t="shared" si="3"/>
        <v>365</v>
      </c>
      <c r="S12" s="80">
        <f t="shared" si="3"/>
        <v>365</v>
      </c>
      <c r="T12" s="80">
        <f t="shared" si="3"/>
        <v>366</v>
      </c>
      <c r="U12" s="80">
        <f t="shared" si="3"/>
        <v>365</v>
      </c>
      <c r="V12" s="80">
        <f t="shared" si="3"/>
        <v>365</v>
      </c>
      <c r="W12" s="80">
        <f t="shared" si="3"/>
        <v>365</v>
      </c>
      <c r="X12" s="80">
        <f t="shared" si="3"/>
        <v>366</v>
      </c>
      <c r="Y12" s="80">
        <f t="shared" si="3"/>
        <v>365</v>
      </c>
      <c r="Z12" s="80">
        <f t="shared" si="3"/>
        <v>365</v>
      </c>
      <c r="AA12" s="80">
        <f t="shared" si="3"/>
        <v>365</v>
      </c>
      <c r="AB12" s="80">
        <f t="shared" si="3"/>
        <v>366</v>
      </c>
      <c r="AC12" s="80">
        <f t="shared" si="3"/>
        <v>365</v>
      </c>
      <c r="AD12" s="80">
        <f t="shared" si="3"/>
        <v>365</v>
      </c>
    </row>
    <row r="13" spans="2:30">
      <c r="H13" s="68"/>
    </row>
    <row r="14" spans="2:30">
      <c r="B14" s="79" t="s">
        <v>87</v>
      </c>
      <c r="C14" s="79"/>
      <c r="D14" s="79"/>
      <c r="E14" s="79"/>
      <c r="F14" s="80">
        <f>'[1]Common Assumption'!D20</f>
        <v>24</v>
      </c>
      <c r="G14" s="80">
        <f>F14</f>
        <v>24</v>
      </c>
      <c r="H14" s="80">
        <f t="shared" ref="H14:AD14" si="4">G14</f>
        <v>24</v>
      </c>
      <c r="I14" s="80">
        <f t="shared" si="4"/>
        <v>24</v>
      </c>
      <c r="J14" s="80">
        <f t="shared" si="4"/>
        <v>24</v>
      </c>
      <c r="K14" s="80">
        <f t="shared" si="4"/>
        <v>24</v>
      </c>
      <c r="L14" s="80">
        <f t="shared" si="4"/>
        <v>24</v>
      </c>
      <c r="M14" s="80">
        <f t="shared" si="4"/>
        <v>24</v>
      </c>
      <c r="N14" s="80">
        <f t="shared" si="4"/>
        <v>24</v>
      </c>
      <c r="O14" s="80">
        <f t="shared" si="4"/>
        <v>24</v>
      </c>
      <c r="P14" s="80">
        <f t="shared" si="4"/>
        <v>24</v>
      </c>
      <c r="Q14" s="80">
        <f t="shared" si="4"/>
        <v>24</v>
      </c>
      <c r="R14" s="80">
        <f t="shared" si="4"/>
        <v>24</v>
      </c>
      <c r="S14" s="80">
        <f t="shared" si="4"/>
        <v>24</v>
      </c>
      <c r="T14" s="80">
        <f t="shared" si="4"/>
        <v>24</v>
      </c>
      <c r="U14" s="80">
        <f t="shared" si="4"/>
        <v>24</v>
      </c>
      <c r="V14" s="80">
        <f t="shared" si="4"/>
        <v>24</v>
      </c>
      <c r="W14" s="80">
        <f t="shared" si="4"/>
        <v>24</v>
      </c>
      <c r="X14" s="80">
        <f t="shared" si="4"/>
        <v>24</v>
      </c>
      <c r="Y14" s="80">
        <f t="shared" si="4"/>
        <v>24</v>
      </c>
      <c r="Z14" s="80">
        <f t="shared" si="4"/>
        <v>24</v>
      </c>
      <c r="AA14" s="80">
        <f t="shared" si="4"/>
        <v>24</v>
      </c>
      <c r="AB14" s="80">
        <f t="shared" si="4"/>
        <v>24</v>
      </c>
      <c r="AC14" s="80">
        <f t="shared" si="4"/>
        <v>24</v>
      </c>
      <c r="AD14" s="80">
        <f t="shared" si="4"/>
        <v>24</v>
      </c>
    </row>
    <row r="15" spans="2:30">
      <c r="G15" s="111"/>
      <c r="H15" s="68"/>
    </row>
    <row r="16" spans="2:30">
      <c r="B16" s="71" t="s">
        <v>294</v>
      </c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</row>
    <row r="17" spans="2:30">
      <c r="B17" s="232" t="s">
        <v>0</v>
      </c>
      <c r="C17" s="233"/>
      <c r="D17" s="234"/>
      <c r="E17" s="234">
        <f t="shared" ref="E17:AD17" si="5">E8</f>
        <v>45838</v>
      </c>
      <c r="F17" s="235">
        <f t="shared" si="5"/>
        <v>46111</v>
      </c>
      <c r="G17" s="235">
        <f t="shared" si="5"/>
        <v>46476</v>
      </c>
      <c r="H17" s="235">
        <f t="shared" si="5"/>
        <v>46842</v>
      </c>
      <c r="I17" s="235">
        <f t="shared" si="5"/>
        <v>47207</v>
      </c>
      <c r="J17" s="235">
        <f t="shared" si="5"/>
        <v>47572</v>
      </c>
      <c r="K17" s="235">
        <f t="shared" si="5"/>
        <v>47937</v>
      </c>
      <c r="L17" s="235">
        <f t="shared" si="5"/>
        <v>48303</v>
      </c>
      <c r="M17" s="235">
        <f t="shared" si="5"/>
        <v>48668</v>
      </c>
      <c r="N17" s="235">
        <f t="shared" si="5"/>
        <v>49033</v>
      </c>
      <c r="O17" s="235">
        <f t="shared" si="5"/>
        <v>49398</v>
      </c>
      <c r="P17" s="235">
        <f t="shared" si="5"/>
        <v>49764</v>
      </c>
      <c r="Q17" s="235">
        <f t="shared" si="5"/>
        <v>50129</v>
      </c>
      <c r="R17" s="235">
        <f t="shared" si="5"/>
        <v>50494</v>
      </c>
      <c r="S17" s="235">
        <f t="shared" si="5"/>
        <v>50859</v>
      </c>
      <c r="T17" s="235">
        <f t="shared" si="5"/>
        <v>51225</v>
      </c>
      <c r="U17" s="235">
        <f t="shared" si="5"/>
        <v>51590</v>
      </c>
      <c r="V17" s="235">
        <f t="shared" si="5"/>
        <v>51955</v>
      </c>
      <c r="W17" s="235">
        <f t="shared" si="5"/>
        <v>52320</v>
      </c>
      <c r="X17" s="235">
        <f t="shared" si="5"/>
        <v>52686</v>
      </c>
      <c r="Y17" s="235">
        <f t="shared" si="5"/>
        <v>53051</v>
      </c>
      <c r="Z17" s="235">
        <f t="shared" si="5"/>
        <v>53416</v>
      </c>
      <c r="AA17" s="235">
        <f t="shared" si="5"/>
        <v>53781</v>
      </c>
      <c r="AB17" s="235">
        <f t="shared" si="5"/>
        <v>54147</v>
      </c>
      <c r="AC17" s="235">
        <f t="shared" si="5"/>
        <v>54512</v>
      </c>
      <c r="AD17" s="235">
        <f t="shared" si="5"/>
        <v>54877</v>
      </c>
    </row>
    <row r="18" spans="2:30">
      <c r="B18" s="31" t="s">
        <v>130</v>
      </c>
      <c r="C18" s="31"/>
      <c r="D18" s="84"/>
      <c r="E18" s="84"/>
      <c r="F18" s="84">
        <f>'PC &amp; MoF'!H7</f>
        <v>0</v>
      </c>
      <c r="G18" s="84">
        <f>F18</f>
        <v>0</v>
      </c>
      <c r="H18" s="84">
        <f t="shared" ref="H18:AD20" si="6">G18</f>
        <v>0</v>
      </c>
      <c r="I18" s="84">
        <f t="shared" si="6"/>
        <v>0</v>
      </c>
      <c r="J18" s="84">
        <f t="shared" si="6"/>
        <v>0</v>
      </c>
      <c r="K18" s="84">
        <f t="shared" si="6"/>
        <v>0</v>
      </c>
      <c r="L18" s="84">
        <f t="shared" si="6"/>
        <v>0</v>
      </c>
      <c r="M18" s="84">
        <f t="shared" si="6"/>
        <v>0</v>
      </c>
      <c r="N18" s="84">
        <f t="shared" si="6"/>
        <v>0</v>
      </c>
      <c r="O18" s="84">
        <f t="shared" si="6"/>
        <v>0</v>
      </c>
      <c r="P18" s="84">
        <f t="shared" si="6"/>
        <v>0</v>
      </c>
      <c r="Q18" s="84">
        <f t="shared" si="6"/>
        <v>0</v>
      </c>
      <c r="R18" s="84">
        <f t="shared" si="6"/>
        <v>0</v>
      </c>
      <c r="S18" s="84">
        <f t="shared" si="6"/>
        <v>0</v>
      </c>
      <c r="T18" s="84">
        <f t="shared" si="6"/>
        <v>0</v>
      </c>
      <c r="U18" s="84">
        <f t="shared" si="6"/>
        <v>0</v>
      </c>
      <c r="V18" s="84">
        <f t="shared" si="6"/>
        <v>0</v>
      </c>
      <c r="W18" s="84">
        <f t="shared" si="6"/>
        <v>0</v>
      </c>
      <c r="X18" s="84">
        <f t="shared" si="6"/>
        <v>0</v>
      </c>
      <c r="Y18" s="84">
        <f t="shared" si="6"/>
        <v>0</v>
      </c>
      <c r="Z18" s="84">
        <f t="shared" si="6"/>
        <v>0</v>
      </c>
      <c r="AA18" s="84">
        <f t="shared" si="6"/>
        <v>0</v>
      </c>
      <c r="AB18" s="84">
        <f t="shared" si="6"/>
        <v>0</v>
      </c>
      <c r="AC18" s="84">
        <f t="shared" si="6"/>
        <v>0</v>
      </c>
      <c r="AD18" s="84">
        <f t="shared" si="6"/>
        <v>0</v>
      </c>
    </row>
    <row r="19" spans="2:30">
      <c r="B19" s="236" t="s">
        <v>218</v>
      </c>
      <c r="C19" s="236"/>
      <c r="D19" s="237"/>
      <c r="E19" s="237"/>
      <c r="F19" s="237">
        <v>0</v>
      </c>
      <c r="G19" s="237">
        <v>0</v>
      </c>
      <c r="H19" s="237">
        <v>0</v>
      </c>
      <c r="I19" s="237">
        <v>0</v>
      </c>
      <c r="J19" s="237">
        <v>0</v>
      </c>
      <c r="K19" s="237">
        <v>0</v>
      </c>
      <c r="L19" s="237">
        <v>0</v>
      </c>
      <c r="M19" s="237">
        <v>0</v>
      </c>
      <c r="N19" s="237">
        <v>0</v>
      </c>
      <c r="O19" s="237">
        <v>0</v>
      </c>
      <c r="P19" s="237">
        <v>0</v>
      </c>
      <c r="Q19" s="237">
        <v>0</v>
      </c>
      <c r="R19" s="237">
        <v>0</v>
      </c>
      <c r="S19" s="237">
        <v>0</v>
      </c>
      <c r="T19" s="237">
        <v>0</v>
      </c>
      <c r="U19" s="237">
        <v>0</v>
      </c>
      <c r="V19" s="237">
        <v>0</v>
      </c>
      <c r="W19" s="237">
        <v>0</v>
      </c>
      <c r="X19" s="237">
        <v>0</v>
      </c>
      <c r="Y19" s="237">
        <v>0</v>
      </c>
      <c r="Z19" s="237">
        <v>0</v>
      </c>
      <c r="AA19" s="237">
        <v>0</v>
      </c>
      <c r="AB19" s="237">
        <v>0</v>
      </c>
      <c r="AC19" s="237">
        <v>0</v>
      </c>
      <c r="AD19" s="237">
        <v>0</v>
      </c>
    </row>
    <row r="20" spans="2:30">
      <c r="B20" s="31" t="s">
        <v>2</v>
      </c>
      <c r="C20" s="31"/>
      <c r="D20" s="84"/>
      <c r="E20" s="84"/>
      <c r="F20" s="84">
        <f>'PC &amp; MoF'!H8</f>
        <v>0</v>
      </c>
      <c r="G20" s="84">
        <f>F20</f>
        <v>0</v>
      </c>
      <c r="H20" s="84">
        <f t="shared" si="6"/>
        <v>0</v>
      </c>
      <c r="I20" s="84">
        <f t="shared" si="6"/>
        <v>0</v>
      </c>
      <c r="J20" s="84">
        <f t="shared" si="6"/>
        <v>0</v>
      </c>
      <c r="K20" s="84">
        <f t="shared" si="6"/>
        <v>0</v>
      </c>
      <c r="L20" s="84">
        <f t="shared" si="6"/>
        <v>0</v>
      </c>
      <c r="M20" s="84">
        <f t="shared" si="6"/>
        <v>0</v>
      </c>
      <c r="N20" s="84">
        <f t="shared" si="6"/>
        <v>0</v>
      </c>
      <c r="O20" s="84">
        <f t="shared" si="6"/>
        <v>0</v>
      </c>
      <c r="P20" s="84">
        <f t="shared" si="6"/>
        <v>0</v>
      </c>
      <c r="Q20" s="84">
        <f t="shared" si="6"/>
        <v>0</v>
      </c>
      <c r="R20" s="84">
        <f t="shared" si="6"/>
        <v>0</v>
      </c>
      <c r="S20" s="84">
        <f t="shared" si="6"/>
        <v>0</v>
      </c>
      <c r="T20" s="84">
        <f t="shared" si="6"/>
        <v>0</v>
      </c>
      <c r="U20" s="84">
        <f t="shared" si="6"/>
        <v>0</v>
      </c>
      <c r="V20" s="84">
        <f t="shared" si="6"/>
        <v>0</v>
      </c>
      <c r="W20" s="84">
        <f t="shared" si="6"/>
        <v>0</v>
      </c>
      <c r="X20" s="84">
        <f t="shared" si="6"/>
        <v>0</v>
      </c>
      <c r="Y20" s="84">
        <f t="shared" si="6"/>
        <v>0</v>
      </c>
      <c r="Z20" s="84">
        <f t="shared" si="6"/>
        <v>0</v>
      </c>
      <c r="AA20" s="84">
        <f t="shared" si="6"/>
        <v>0</v>
      </c>
      <c r="AB20" s="84">
        <f t="shared" si="6"/>
        <v>0</v>
      </c>
      <c r="AC20" s="84">
        <f t="shared" si="6"/>
        <v>0</v>
      </c>
      <c r="AD20" s="84">
        <f t="shared" si="6"/>
        <v>0</v>
      </c>
    </row>
    <row r="21" spans="2:30">
      <c r="B21" s="236" t="str">
        <f>"SLM Depreciation " &amp; B20</f>
        <v>SLM Depreciation Building &amp; Civil Works</v>
      </c>
      <c r="C21" s="236"/>
      <c r="D21" s="237"/>
      <c r="E21" s="237"/>
      <c r="F21" s="238">
        <f>(F20-F20*5%)*Assumptions!$D$61/365*F12</f>
        <v>0</v>
      </c>
      <c r="G21" s="238">
        <f>(G20-G20*5%)*Assumptions!$D$61/365*G12</f>
        <v>0</v>
      </c>
      <c r="H21" s="238">
        <f>(H20-H20*5%)*Assumptions!$D$61/365*H12</f>
        <v>0</v>
      </c>
      <c r="I21" s="238">
        <f>(I20-I20*5%)*Assumptions!$D$61/365*I12</f>
        <v>0</v>
      </c>
      <c r="J21" s="238">
        <f>(J20-J20*5%)*Assumptions!$D$61/365*J12</f>
        <v>0</v>
      </c>
      <c r="K21" s="238">
        <f>(K20-K20*5%)*Assumptions!$D$61/365*K12</f>
        <v>0</v>
      </c>
      <c r="L21" s="238">
        <f>(L20-L20*5%)*Assumptions!$D$61/365*L12</f>
        <v>0</v>
      </c>
      <c r="M21" s="238">
        <f>(M20-M20*5%)*Assumptions!$D$61/365*M12</f>
        <v>0</v>
      </c>
      <c r="N21" s="238">
        <f>(N20-N20*5%)*Assumptions!$D$61/365*N12</f>
        <v>0</v>
      </c>
      <c r="O21" s="238">
        <f>(O20-O20*5%)*Assumptions!$D$61/365*O12</f>
        <v>0</v>
      </c>
      <c r="P21" s="238">
        <f>(P20-P20*5%)*Assumptions!$D$61/365*P12</f>
        <v>0</v>
      </c>
      <c r="Q21" s="238">
        <f>(Q20-Q20*5%)*Assumptions!$D$61/365*Q12</f>
        <v>0</v>
      </c>
      <c r="R21" s="238">
        <f>(R20-R20*5%)*Assumptions!$D$61/365*R12</f>
        <v>0</v>
      </c>
      <c r="S21" s="238">
        <f>(S20-S20*5%)*Assumptions!$D$61/365*S12</f>
        <v>0</v>
      </c>
      <c r="T21" s="238">
        <f>(T20-T20*5%)*Assumptions!$D$61/365*T12</f>
        <v>0</v>
      </c>
      <c r="U21" s="238">
        <f>(U20-U20*5%)*Assumptions!$D$61/365*U12</f>
        <v>0</v>
      </c>
      <c r="V21" s="238">
        <f>(V20-V20*5%)*Assumptions!$D$61/365*V12</f>
        <v>0</v>
      </c>
      <c r="W21" s="238">
        <f>(W20-W20*5%)*Assumptions!$D$61/365*W12</f>
        <v>0</v>
      </c>
      <c r="X21" s="238">
        <f>(X20-X20*5%)*Assumptions!$D$61/365*X12</f>
        <v>0</v>
      </c>
      <c r="Y21" s="238">
        <f>(Y20-Y20*5%)*Assumptions!$D$61/365*Y12</f>
        <v>0</v>
      </c>
      <c r="Z21" s="238">
        <f>(Z20-Z20*5%)*Assumptions!$D$61/365*Z12</f>
        <v>0</v>
      </c>
      <c r="AA21" s="238">
        <f>(AA20-AA20*5%)*Assumptions!$D$61/365*AA12</f>
        <v>0</v>
      </c>
      <c r="AB21" s="238">
        <f>(AB20-AB20*5%)*Assumptions!$D$61/365*AB12</f>
        <v>0</v>
      </c>
      <c r="AC21" s="238">
        <f>(AC20-AC20*5%)*Assumptions!$D$61/365*AC12</f>
        <v>0</v>
      </c>
      <c r="AD21" s="238">
        <f>(AD20-AD20*5%)*Assumptions!$D$61/365*AD12</f>
        <v>0</v>
      </c>
    </row>
    <row r="22" spans="2:30">
      <c r="B22" s="31" t="s">
        <v>132</v>
      </c>
      <c r="C22" s="31"/>
      <c r="D22" s="84"/>
      <c r="E22" s="84"/>
      <c r="F22" s="84">
        <f>'PC &amp; MoF'!H9</f>
        <v>86.485907541301259</v>
      </c>
      <c r="G22" s="84">
        <f>F22</f>
        <v>86.485907541301259</v>
      </c>
      <c r="H22" s="84">
        <f t="shared" ref="H22:AD22" si="7">G22</f>
        <v>86.485907541301259</v>
      </c>
      <c r="I22" s="84">
        <f t="shared" si="7"/>
        <v>86.485907541301259</v>
      </c>
      <c r="J22" s="84">
        <f t="shared" si="7"/>
        <v>86.485907541301259</v>
      </c>
      <c r="K22" s="84">
        <f t="shared" si="7"/>
        <v>86.485907541301259</v>
      </c>
      <c r="L22" s="84">
        <f t="shared" si="7"/>
        <v>86.485907541301259</v>
      </c>
      <c r="M22" s="84">
        <f t="shared" si="7"/>
        <v>86.485907541301259</v>
      </c>
      <c r="N22" s="84">
        <f t="shared" si="7"/>
        <v>86.485907541301259</v>
      </c>
      <c r="O22" s="84">
        <f t="shared" si="7"/>
        <v>86.485907541301259</v>
      </c>
      <c r="P22" s="84">
        <f t="shared" si="7"/>
        <v>86.485907541301259</v>
      </c>
      <c r="Q22" s="84">
        <f t="shared" si="7"/>
        <v>86.485907541301259</v>
      </c>
      <c r="R22" s="84">
        <f t="shared" si="7"/>
        <v>86.485907541301259</v>
      </c>
      <c r="S22" s="84">
        <f t="shared" si="7"/>
        <v>86.485907541301259</v>
      </c>
      <c r="T22" s="84">
        <f t="shared" si="7"/>
        <v>86.485907541301259</v>
      </c>
      <c r="U22" s="84">
        <f t="shared" si="7"/>
        <v>86.485907541301259</v>
      </c>
      <c r="V22" s="84">
        <f t="shared" si="7"/>
        <v>86.485907541301259</v>
      </c>
      <c r="W22" s="84">
        <f t="shared" si="7"/>
        <v>86.485907541301259</v>
      </c>
      <c r="X22" s="84">
        <f t="shared" si="7"/>
        <v>86.485907541301259</v>
      </c>
      <c r="Y22" s="84">
        <f t="shared" si="7"/>
        <v>86.485907541301259</v>
      </c>
      <c r="Z22" s="84">
        <f t="shared" si="7"/>
        <v>86.485907541301259</v>
      </c>
      <c r="AA22" s="84">
        <f t="shared" si="7"/>
        <v>86.485907541301259</v>
      </c>
      <c r="AB22" s="84">
        <f t="shared" si="7"/>
        <v>86.485907541301259</v>
      </c>
      <c r="AC22" s="84">
        <f t="shared" si="7"/>
        <v>86.485907541301259</v>
      </c>
      <c r="AD22" s="84">
        <f t="shared" si="7"/>
        <v>86.485907541301259</v>
      </c>
    </row>
    <row r="23" spans="2:30">
      <c r="B23" s="236" t="str">
        <f>"SLM Depreciation " &amp; B22</f>
        <v>SLM Depreciation Plant &amp; Machinery</v>
      </c>
      <c r="C23" s="236"/>
      <c r="D23" s="236"/>
      <c r="E23" s="236"/>
      <c r="F23" s="237">
        <f>(((F22-F22*5%)*Assumptions!$D$62)/365)*F12</f>
        <v>2.458095355708108</v>
      </c>
      <c r="G23" s="237">
        <f>(((G22-G22*5%)*Assumptions!$D$62)/365)*G12</f>
        <v>3.2864644865694483</v>
      </c>
      <c r="H23" s="237">
        <f>(((H22-H22*5%)*Assumptions!$D$62)/365)*H12</f>
        <v>3.2954684988614198</v>
      </c>
      <c r="I23" s="237">
        <f>(((I22-I22*5%)*Assumptions!$D$62)/365)*I12</f>
        <v>3.2864644865694483</v>
      </c>
      <c r="J23" s="237">
        <f>(((J22-J22*5%)*Assumptions!$D$62)/365)*J12</f>
        <v>3.2864644865694483</v>
      </c>
      <c r="K23" s="237">
        <f>(((K22-K22*5%)*Assumptions!$D$62)/365)*K12</f>
        <v>3.2864644865694483</v>
      </c>
      <c r="L23" s="237">
        <f>(((L22-L22*5%)*Assumptions!$D$62)/365)*L12</f>
        <v>3.2954684988614198</v>
      </c>
      <c r="M23" s="237">
        <f>(((M22-M22*5%)*Assumptions!$D$62)/365)*M12</f>
        <v>3.2864644865694483</v>
      </c>
      <c r="N23" s="237">
        <f>(((N22-N22*5%)*Assumptions!$D$62)/365)*N12</f>
        <v>3.2864644865694483</v>
      </c>
      <c r="O23" s="237">
        <f>(((O22-O22*5%)*Assumptions!$D$62)/365)*O12</f>
        <v>3.2864644865694483</v>
      </c>
      <c r="P23" s="237">
        <f>(((P22-P22*5%)*Assumptions!$D$62)/365)*P12</f>
        <v>3.2954684988614198</v>
      </c>
      <c r="Q23" s="237">
        <f>(((Q22-Q22*5%)*Assumptions!$D$62)/365)*Q12</f>
        <v>3.2864644865694483</v>
      </c>
      <c r="R23" s="237">
        <f>(((R22-R22*5%)*Assumptions!$D$62)/365)*R12</f>
        <v>3.2864644865694483</v>
      </c>
      <c r="S23" s="237">
        <f>(((S22-S22*5%)*Assumptions!$D$62)/365)*S12</f>
        <v>3.2864644865694483</v>
      </c>
      <c r="T23" s="237">
        <f>(((T22-T22*5%)*Assumptions!$D$62)/365)*T12</f>
        <v>3.2954684988614198</v>
      </c>
      <c r="U23" s="237">
        <f>(((U22-U22*5%)*Assumptions!$D$62)/365)*U12</f>
        <v>3.2864644865694483</v>
      </c>
      <c r="V23" s="237">
        <f>(((V22-V22*5%)*Assumptions!$D$62)/365)*V12</f>
        <v>3.2864644865694483</v>
      </c>
      <c r="W23" s="237">
        <f>(((W22-W22*5%)*Assumptions!$D$62)/365)*W12</f>
        <v>3.2864644865694483</v>
      </c>
      <c r="X23" s="237">
        <f>(((X22-X22*5%)*Assumptions!$D$62)/365)*X12</f>
        <v>3.2954684988614198</v>
      </c>
      <c r="Y23" s="237">
        <f>(((Y22-Y22*5%)*Assumptions!$D$62)/365)*Y12</f>
        <v>3.2864644865694483</v>
      </c>
      <c r="Z23" s="237">
        <f>(((Z22-Z22*5%)*Assumptions!$D$62)/365)*Z12</f>
        <v>3.2864644865694483</v>
      </c>
      <c r="AA23" s="237">
        <f>(((AA22-AA22*5%)*Assumptions!$D$62)/365)*AA12</f>
        <v>3.2864644865694483</v>
      </c>
      <c r="AB23" s="237">
        <f>(((AB22-AB22*5%)*Assumptions!$D$62)/365)*AB12</f>
        <v>3.2954684988614198</v>
      </c>
      <c r="AC23" s="237">
        <f>(((AC22-AC22*5%)*Assumptions!$D$62)/365)*AC12</f>
        <v>3.2864644865694483</v>
      </c>
      <c r="AD23" s="237">
        <f>(((AD22-AD22*5%)*Assumptions!$D$62)/365)*AD12</f>
        <v>3.2864644865694483</v>
      </c>
    </row>
    <row r="24" spans="2:30">
      <c r="B24" s="31" t="s">
        <v>219</v>
      </c>
      <c r="C24" s="31"/>
      <c r="D24" s="84"/>
      <c r="E24" s="84"/>
      <c r="F24" s="84">
        <f>'PC &amp; MoF'!H10</f>
        <v>0</v>
      </c>
      <c r="G24" s="84">
        <f>F24</f>
        <v>0</v>
      </c>
      <c r="H24" s="84">
        <f t="shared" ref="H24:AD24" si="8">G24</f>
        <v>0</v>
      </c>
      <c r="I24" s="84">
        <f t="shared" si="8"/>
        <v>0</v>
      </c>
      <c r="J24" s="84">
        <f t="shared" si="8"/>
        <v>0</v>
      </c>
      <c r="K24" s="84">
        <f t="shared" si="8"/>
        <v>0</v>
      </c>
      <c r="L24" s="84">
        <f t="shared" si="8"/>
        <v>0</v>
      </c>
      <c r="M24" s="84">
        <f t="shared" si="8"/>
        <v>0</v>
      </c>
      <c r="N24" s="84">
        <f t="shared" si="8"/>
        <v>0</v>
      </c>
      <c r="O24" s="84">
        <f t="shared" si="8"/>
        <v>0</v>
      </c>
      <c r="P24" s="84">
        <f t="shared" si="8"/>
        <v>0</v>
      </c>
      <c r="Q24" s="84">
        <f t="shared" si="8"/>
        <v>0</v>
      </c>
      <c r="R24" s="84">
        <f t="shared" si="8"/>
        <v>0</v>
      </c>
      <c r="S24" s="84">
        <f t="shared" si="8"/>
        <v>0</v>
      </c>
      <c r="T24" s="84">
        <f t="shared" si="8"/>
        <v>0</v>
      </c>
      <c r="U24" s="84">
        <f t="shared" si="8"/>
        <v>0</v>
      </c>
      <c r="V24" s="84">
        <f t="shared" si="8"/>
        <v>0</v>
      </c>
      <c r="W24" s="84">
        <f t="shared" si="8"/>
        <v>0</v>
      </c>
      <c r="X24" s="84">
        <f t="shared" si="8"/>
        <v>0</v>
      </c>
      <c r="Y24" s="84">
        <f t="shared" si="8"/>
        <v>0</v>
      </c>
      <c r="Z24" s="84">
        <f t="shared" si="8"/>
        <v>0</v>
      </c>
      <c r="AA24" s="84">
        <f t="shared" si="8"/>
        <v>0</v>
      </c>
      <c r="AB24" s="84">
        <f t="shared" si="8"/>
        <v>0</v>
      </c>
      <c r="AC24" s="84">
        <f t="shared" si="8"/>
        <v>0</v>
      </c>
      <c r="AD24" s="84">
        <f t="shared" si="8"/>
        <v>0</v>
      </c>
    </row>
    <row r="25" spans="2:30">
      <c r="B25" s="236" t="str">
        <f>"SLM Depreciation " &amp; B24</f>
        <v>SLM Depreciation Electricity Connection &amp; Infrastructure</v>
      </c>
      <c r="C25" s="236"/>
      <c r="D25" s="236"/>
      <c r="E25" s="236"/>
      <c r="F25" s="237">
        <f>(F24-F24*5%)*Assumptions!$D$63/365*F12</f>
        <v>0</v>
      </c>
      <c r="G25" s="237">
        <f>(G24-G24*5%)*Assumptions!$D$63/365*G12</f>
        <v>0</v>
      </c>
      <c r="H25" s="237">
        <f>(H24-H24*5%)*Assumptions!$D$63/365*H12</f>
        <v>0</v>
      </c>
      <c r="I25" s="237">
        <f>(I24-I24*5%)*Assumptions!$D$63/365*I12</f>
        <v>0</v>
      </c>
      <c r="J25" s="237">
        <f>(J24-J24*5%)*Assumptions!$D$63/365*J12</f>
        <v>0</v>
      </c>
      <c r="K25" s="237">
        <f>(K24-K24*5%)*Assumptions!$D$63/365*K12</f>
        <v>0</v>
      </c>
      <c r="L25" s="237">
        <f>(L24-L24*5%)*Assumptions!$D$63/365*L12</f>
        <v>0</v>
      </c>
      <c r="M25" s="237">
        <f>(M24-M24*5%)*Assumptions!$D$63/365*M12</f>
        <v>0</v>
      </c>
      <c r="N25" s="237">
        <f>(N24-N24*5%)*Assumptions!$D$63/365*N12</f>
        <v>0</v>
      </c>
      <c r="O25" s="237">
        <f>(O24-O24*5%)*Assumptions!$D$63/365*O12</f>
        <v>0</v>
      </c>
      <c r="P25" s="237">
        <f>(P24-P24*5%)*Assumptions!$D$63/365*P12</f>
        <v>0</v>
      </c>
      <c r="Q25" s="237">
        <f>(Q24-Q24*5%)*Assumptions!$D$63/365*Q12</f>
        <v>0</v>
      </c>
      <c r="R25" s="237">
        <f>(R24-R24*5%)*Assumptions!$D$63/365*R12</f>
        <v>0</v>
      </c>
      <c r="S25" s="237">
        <f>(S24-S24*5%)*Assumptions!$D$63/365*S12</f>
        <v>0</v>
      </c>
      <c r="T25" s="237">
        <f>(T24-T24*5%)*Assumptions!$D$63/365*T12</f>
        <v>0</v>
      </c>
      <c r="U25" s="237">
        <f>(U24-U24*5%)*Assumptions!$D$63/365*U12</f>
        <v>0</v>
      </c>
      <c r="V25" s="237">
        <f>(V24-V24*5%)*Assumptions!$D$63/365*V12</f>
        <v>0</v>
      </c>
      <c r="W25" s="237">
        <f>(W24-W24*5%)*Assumptions!$D$63/365*W12</f>
        <v>0</v>
      </c>
      <c r="X25" s="237">
        <f>(X24-X24*5%)*Assumptions!$D$63/365*X12</f>
        <v>0</v>
      </c>
      <c r="Y25" s="237">
        <f>(Y24-Y24*5%)*Assumptions!$D$63/365*Y12</f>
        <v>0</v>
      </c>
      <c r="Z25" s="237">
        <f>(Z24-Z24*5%)*Assumptions!$D$63/365*Z12</f>
        <v>0</v>
      </c>
      <c r="AA25" s="237">
        <f>(AA24-AA24*5%)*Assumptions!$D$63/365*AA12</f>
        <v>0</v>
      </c>
      <c r="AB25" s="237">
        <f>(AB24-AB24*5%)*Assumptions!$D$63/365*AB12</f>
        <v>0</v>
      </c>
      <c r="AC25" s="237">
        <f>(AC24-AC24*5%)*Assumptions!$D$63/365*AC12</f>
        <v>0</v>
      </c>
      <c r="AD25" s="237">
        <f>(AD24-AD24*5%)*Assumptions!$D$63/365*AD12</f>
        <v>0</v>
      </c>
    </row>
    <row r="26" spans="2:30">
      <c r="B26" s="31" t="s">
        <v>5</v>
      </c>
      <c r="C26" s="31"/>
      <c r="D26" s="84"/>
      <c r="E26" s="84"/>
      <c r="F26" s="84">
        <f>'PC &amp; MoF'!H11</f>
        <v>0</v>
      </c>
      <c r="G26" s="84">
        <f>F26</f>
        <v>0</v>
      </c>
      <c r="H26" s="84">
        <f t="shared" ref="H26:AD26" si="9">G26</f>
        <v>0</v>
      </c>
      <c r="I26" s="84">
        <f t="shared" si="9"/>
        <v>0</v>
      </c>
      <c r="J26" s="84">
        <f t="shared" si="9"/>
        <v>0</v>
      </c>
      <c r="K26" s="84">
        <f t="shared" si="9"/>
        <v>0</v>
      </c>
      <c r="L26" s="84">
        <f t="shared" si="9"/>
        <v>0</v>
      </c>
      <c r="M26" s="84">
        <f t="shared" si="9"/>
        <v>0</v>
      </c>
      <c r="N26" s="84">
        <f t="shared" si="9"/>
        <v>0</v>
      </c>
      <c r="O26" s="84">
        <f t="shared" si="9"/>
        <v>0</v>
      </c>
      <c r="P26" s="84">
        <f t="shared" si="9"/>
        <v>0</v>
      </c>
      <c r="Q26" s="84">
        <f t="shared" si="9"/>
        <v>0</v>
      </c>
      <c r="R26" s="84">
        <f t="shared" si="9"/>
        <v>0</v>
      </c>
      <c r="S26" s="84">
        <f t="shared" si="9"/>
        <v>0</v>
      </c>
      <c r="T26" s="84">
        <f t="shared" si="9"/>
        <v>0</v>
      </c>
      <c r="U26" s="84">
        <f t="shared" si="9"/>
        <v>0</v>
      </c>
      <c r="V26" s="84">
        <f t="shared" si="9"/>
        <v>0</v>
      </c>
      <c r="W26" s="84">
        <f t="shared" si="9"/>
        <v>0</v>
      </c>
      <c r="X26" s="84">
        <f t="shared" si="9"/>
        <v>0</v>
      </c>
      <c r="Y26" s="84">
        <f t="shared" si="9"/>
        <v>0</v>
      </c>
      <c r="Z26" s="84">
        <f t="shared" si="9"/>
        <v>0</v>
      </c>
      <c r="AA26" s="84">
        <f t="shared" si="9"/>
        <v>0</v>
      </c>
      <c r="AB26" s="84">
        <f t="shared" si="9"/>
        <v>0</v>
      </c>
      <c r="AC26" s="84">
        <f t="shared" si="9"/>
        <v>0</v>
      </c>
      <c r="AD26" s="84">
        <f t="shared" si="9"/>
        <v>0</v>
      </c>
    </row>
    <row r="27" spans="2:30">
      <c r="B27" s="236" t="str">
        <f>"SLM Depreciation " &amp; B26</f>
        <v>SLM Depreciation Vehicles</v>
      </c>
      <c r="C27" s="236"/>
      <c r="D27" s="236"/>
      <c r="E27" s="236"/>
      <c r="F27" s="237">
        <f>(F26-F26*5%)/Assumptions!$D$64/365*F12</f>
        <v>0</v>
      </c>
      <c r="G27" s="237">
        <f>(G26-G26*5%)/Assumptions!$D$64/365*G12</f>
        <v>0</v>
      </c>
      <c r="H27" s="237">
        <f>(H26-H26*5%)/Assumptions!$D$64/365*H12</f>
        <v>0</v>
      </c>
      <c r="I27" s="237">
        <f>(I26-I26*5%)/Assumptions!$D$64/365*I12</f>
        <v>0</v>
      </c>
      <c r="J27" s="237">
        <f>(J26-J26*5%)/Assumptions!$D$64/365*J12</f>
        <v>0</v>
      </c>
      <c r="K27" s="237">
        <f>(K26-K26*5%)/Assumptions!$D$64/365*K12</f>
        <v>0</v>
      </c>
      <c r="L27" s="237">
        <f>(L26-L26*5%)/Assumptions!$D$64/365*L12</f>
        <v>0</v>
      </c>
      <c r="M27" s="237">
        <f>(M26-M26*5%)/Assumptions!$D$64/365*M12</f>
        <v>0</v>
      </c>
      <c r="N27" s="237">
        <f>(N26-N26*5%)/Assumptions!$D$64/365*N12</f>
        <v>0</v>
      </c>
      <c r="O27" s="237">
        <f>(O26-O26*5%)/Assumptions!$D$64/365*O12</f>
        <v>0</v>
      </c>
      <c r="P27" s="237">
        <f>(P26-P26*5%)/Assumptions!$D$64/365*P12</f>
        <v>0</v>
      </c>
      <c r="Q27" s="237">
        <f>(Q26-Q26*5%)/Assumptions!$D$64/365*Q12</f>
        <v>0</v>
      </c>
      <c r="R27" s="237">
        <f>(R26-R26*5%)/Assumptions!$D$64/365*R12</f>
        <v>0</v>
      </c>
      <c r="S27" s="237">
        <f>(S26-S26*5%)/Assumptions!$D$64/365*S12</f>
        <v>0</v>
      </c>
      <c r="T27" s="237">
        <f>(T26-T26*5%)/Assumptions!$D$64/365*T12</f>
        <v>0</v>
      </c>
      <c r="U27" s="237">
        <f>(U26-U26*5%)/Assumptions!$D$64/365*U12</f>
        <v>0</v>
      </c>
      <c r="V27" s="237">
        <f>(V26-V26*5%)/Assumptions!$D$64/365*V12</f>
        <v>0</v>
      </c>
      <c r="W27" s="237">
        <f>(W26-W26*5%)/Assumptions!$D$64/365*W12</f>
        <v>0</v>
      </c>
      <c r="X27" s="237">
        <f>(X26-X26*5%)/Assumptions!$D$64/365*X12</f>
        <v>0</v>
      </c>
      <c r="Y27" s="237">
        <f>(Y26-Y26*5%)/Assumptions!$D$64/365*Y12</f>
        <v>0</v>
      </c>
      <c r="Z27" s="237">
        <f>(Z26-Z26*5%)/Assumptions!$D$64/365*Z12</f>
        <v>0</v>
      </c>
      <c r="AA27" s="237">
        <f>(AA26-AA26*5%)/Assumptions!$D$64/365*AA12</f>
        <v>0</v>
      </c>
      <c r="AB27" s="237">
        <f>(AB26-AB26*5%)/Assumptions!$D$64/365*AB12</f>
        <v>0</v>
      </c>
      <c r="AC27" s="237">
        <f>(AC26-AC26*5%)/Assumptions!$D$64/365*AC12</f>
        <v>0</v>
      </c>
      <c r="AD27" s="237">
        <f>(AD26-AD26*5%)/Assumptions!$D$64/365*AD12</f>
        <v>0</v>
      </c>
    </row>
    <row r="28" spans="2:30">
      <c r="B28" s="31" t="s">
        <v>220</v>
      </c>
      <c r="C28" s="31"/>
      <c r="D28" s="84"/>
      <c r="E28" s="84"/>
      <c r="F28" s="84">
        <f>'PC &amp; MoF'!H12</f>
        <v>0</v>
      </c>
      <c r="G28" s="84">
        <f>F28</f>
        <v>0</v>
      </c>
      <c r="H28" s="84">
        <f t="shared" ref="H28:AD28" si="10">G28</f>
        <v>0</v>
      </c>
      <c r="I28" s="84">
        <f t="shared" si="10"/>
        <v>0</v>
      </c>
      <c r="J28" s="84">
        <f t="shared" si="10"/>
        <v>0</v>
      </c>
      <c r="K28" s="84">
        <f t="shared" si="10"/>
        <v>0</v>
      </c>
      <c r="L28" s="84">
        <f t="shared" si="10"/>
        <v>0</v>
      </c>
      <c r="M28" s="84">
        <f t="shared" si="10"/>
        <v>0</v>
      </c>
      <c r="N28" s="84">
        <f t="shared" si="10"/>
        <v>0</v>
      </c>
      <c r="O28" s="84">
        <f t="shared" si="10"/>
        <v>0</v>
      </c>
      <c r="P28" s="84">
        <f t="shared" si="10"/>
        <v>0</v>
      </c>
      <c r="Q28" s="84">
        <f t="shared" si="10"/>
        <v>0</v>
      </c>
      <c r="R28" s="84">
        <f t="shared" si="10"/>
        <v>0</v>
      </c>
      <c r="S28" s="84">
        <f t="shared" si="10"/>
        <v>0</v>
      </c>
      <c r="T28" s="84">
        <f t="shared" si="10"/>
        <v>0</v>
      </c>
      <c r="U28" s="84">
        <f t="shared" si="10"/>
        <v>0</v>
      </c>
      <c r="V28" s="84">
        <f t="shared" si="10"/>
        <v>0</v>
      </c>
      <c r="W28" s="84">
        <f t="shared" si="10"/>
        <v>0</v>
      </c>
      <c r="X28" s="84">
        <f t="shared" si="10"/>
        <v>0</v>
      </c>
      <c r="Y28" s="84">
        <f t="shared" si="10"/>
        <v>0</v>
      </c>
      <c r="Z28" s="84">
        <f t="shared" si="10"/>
        <v>0</v>
      </c>
      <c r="AA28" s="84">
        <f t="shared" si="10"/>
        <v>0</v>
      </c>
      <c r="AB28" s="84">
        <f t="shared" si="10"/>
        <v>0</v>
      </c>
      <c r="AC28" s="84">
        <f t="shared" si="10"/>
        <v>0</v>
      </c>
      <c r="AD28" s="84">
        <f t="shared" si="10"/>
        <v>0</v>
      </c>
    </row>
    <row r="29" spans="2:30">
      <c r="B29" s="236" t="str">
        <f>"SLM Depreciation " &amp; B28</f>
        <v>SLM Depreciation Office equipment</v>
      </c>
      <c r="C29" s="236"/>
      <c r="D29" s="236"/>
      <c r="E29" s="236"/>
      <c r="F29" s="238">
        <f>(F28-F28*5%)*Assumptions!$D$65/365*F12</f>
        <v>0</v>
      </c>
      <c r="G29" s="238">
        <f>(G28-G28*5%)*Assumptions!$D$65/365*G12</f>
        <v>0</v>
      </c>
      <c r="H29" s="238">
        <f>(H28-H28*5%)*Assumptions!$D$65/365*H12</f>
        <v>0</v>
      </c>
      <c r="I29" s="238">
        <f>(I28-I28*5%)*Assumptions!$D$65/365*I12</f>
        <v>0</v>
      </c>
      <c r="J29" s="238">
        <f>(J28-J28*5%)*Assumptions!$D$65/365*J12</f>
        <v>0</v>
      </c>
      <c r="K29" s="238">
        <f>(K28-K28*5%)*Assumptions!$D$65/365*K12</f>
        <v>0</v>
      </c>
      <c r="L29" s="238">
        <f>(L28-L28*5%)*Assumptions!$D$65/365*L12</f>
        <v>0</v>
      </c>
      <c r="M29" s="238">
        <f>(M28-M28*5%)*Assumptions!$D$65/365*M12</f>
        <v>0</v>
      </c>
      <c r="N29" s="238">
        <f>(N28-N28*5%)*Assumptions!$D$65/365*N12</f>
        <v>0</v>
      </c>
      <c r="O29" s="238">
        <f>(O28-O28*5%)*Assumptions!$D$65/365*O12</f>
        <v>0</v>
      </c>
      <c r="P29" s="238">
        <f>(P28-P28*5%)*Assumptions!$D$65/365*P12</f>
        <v>0</v>
      </c>
      <c r="Q29" s="238">
        <f>(Q28-Q28*5%)*Assumptions!$D$65/365*Q12</f>
        <v>0</v>
      </c>
      <c r="R29" s="238">
        <f>(R28-R28*5%)*Assumptions!$D$65/365*R12</f>
        <v>0</v>
      </c>
      <c r="S29" s="238">
        <f>(S28-S28*5%)*Assumptions!$D$65/365*S12</f>
        <v>0</v>
      </c>
      <c r="T29" s="238">
        <f>(T28-T28*5%)*Assumptions!$D$65/365*T12</f>
        <v>0</v>
      </c>
      <c r="U29" s="238">
        <f>(U28-U28*5%)*Assumptions!$D$65/365*U12</f>
        <v>0</v>
      </c>
      <c r="V29" s="238">
        <f>(V28-V28*5%)*Assumptions!$D$65/365*V12</f>
        <v>0</v>
      </c>
      <c r="W29" s="238">
        <f>(W28-W28*5%)*Assumptions!$D$65/365*W12</f>
        <v>0</v>
      </c>
      <c r="X29" s="238">
        <f>(X28-X28*5%)*Assumptions!$D$65/365*X12</f>
        <v>0</v>
      </c>
      <c r="Y29" s="238">
        <f>(Y28-Y28*5%)*Assumptions!$D$65/365*Y12</f>
        <v>0</v>
      </c>
      <c r="Z29" s="238">
        <f>(Z28-Z28*5%)*Assumptions!$D$65/365*Z12</f>
        <v>0</v>
      </c>
      <c r="AA29" s="238">
        <f>(AA28-AA28*5%)*Assumptions!$D$65/365*AA12</f>
        <v>0</v>
      </c>
      <c r="AB29" s="238">
        <f>(AB28-AB28*5%)*Assumptions!$D$65/365*AB12</f>
        <v>0</v>
      </c>
      <c r="AC29" s="238">
        <f>(AC28-AC28*5%)*Assumptions!$D$65/365*AC12</f>
        <v>0</v>
      </c>
      <c r="AD29" s="238">
        <f>(AD28-AD28*5%)*Assumptions!$D$65/365*AD12</f>
        <v>0</v>
      </c>
    </row>
    <row r="30" spans="2:30">
      <c r="B30" s="96" t="s">
        <v>221</v>
      </c>
      <c r="C30" s="96"/>
      <c r="D30" s="96"/>
      <c r="E30" s="96"/>
      <c r="F30" s="97">
        <f>F19+F21+F23+F25+F27+F29</f>
        <v>2.458095355708108</v>
      </c>
      <c r="G30" s="97">
        <f t="shared" ref="G30:AD30" si="11">G19+G21+G23+G25+G27+G29</f>
        <v>3.2864644865694483</v>
      </c>
      <c r="H30" s="97">
        <f t="shared" si="11"/>
        <v>3.2954684988614198</v>
      </c>
      <c r="I30" s="97">
        <f t="shared" si="11"/>
        <v>3.2864644865694483</v>
      </c>
      <c r="J30" s="97">
        <f t="shared" si="11"/>
        <v>3.2864644865694483</v>
      </c>
      <c r="K30" s="97">
        <f t="shared" si="11"/>
        <v>3.2864644865694483</v>
      </c>
      <c r="L30" s="97">
        <f t="shared" si="11"/>
        <v>3.2954684988614198</v>
      </c>
      <c r="M30" s="97">
        <f t="shared" si="11"/>
        <v>3.2864644865694483</v>
      </c>
      <c r="N30" s="97">
        <f t="shared" si="11"/>
        <v>3.2864644865694483</v>
      </c>
      <c r="O30" s="97">
        <f t="shared" si="11"/>
        <v>3.2864644865694483</v>
      </c>
      <c r="P30" s="97">
        <f t="shared" si="11"/>
        <v>3.2954684988614198</v>
      </c>
      <c r="Q30" s="97">
        <f t="shared" si="11"/>
        <v>3.2864644865694483</v>
      </c>
      <c r="R30" s="97">
        <f t="shared" si="11"/>
        <v>3.2864644865694483</v>
      </c>
      <c r="S30" s="97">
        <f t="shared" si="11"/>
        <v>3.2864644865694483</v>
      </c>
      <c r="T30" s="97">
        <f t="shared" si="11"/>
        <v>3.2954684988614198</v>
      </c>
      <c r="U30" s="97">
        <f t="shared" si="11"/>
        <v>3.2864644865694483</v>
      </c>
      <c r="V30" s="97">
        <f t="shared" si="11"/>
        <v>3.2864644865694483</v>
      </c>
      <c r="W30" s="97">
        <f t="shared" si="11"/>
        <v>3.2864644865694483</v>
      </c>
      <c r="X30" s="97">
        <f t="shared" si="11"/>
        <v>3.2954684988614198</v>
      </c>
      <c r="Y30" s="97">
        <f t="shared" si="11"/>
        <v>3.2864644865694483</v>
      </c>
      <c r="Z30" s="97">
        <f t="shared" si="11"/>
        <v>3.2864644865694483</v>
      </c>
      <c r="AA30" s="97">
        <f t="shared" si="11"/>
        <v>3.2864644865694483</v>
      </c>
      <c r="AB30" s="97">
        <f t="shared" si="11"/>
        <v>3.2954684988614198</v>
      </c>
      <c r="AC30" s="97">
        <f t="shared" si="11"/>
        <v>3.2864644865694483</v>
      </c>
      <c r="AD30" s="97">
        <f t="shared" si="11"/>
        <v>3.2864644865694483</v>
      </c>
    </row>
    <row r="31" spans="2:30" hidden="1">
      <c r="B31" s="96" t="s">
        <v>281</v>
      </c>
      <c r="C31" s="96"/>
      <c r="D31" s="96"/>
      <c r="E31" s="96"/>
      <c r="F31" s="97">
        <f>(F18+F20+F22+F24+F26+F28)-($F$30:F30)</f>
        <v>84.027812185593149</v>
      </c>
      <c r="G31" s="97">
        <f>(G18+G20+G22+G24+G26+G28)-(SUM($F$30:G30))</f>
        <v>80.741347699023706</v>
      </c>
      <c r="H31" s="97">
        <f>(H18+H20+H22+H24+H26+H28)-(SUM($F$30:H30))</f>
        <v>77.445879200162281</v>
      </c>
      <c r="I31" s="97">
        <f>(I18+I20+I22+I24+I26+I28)-(SUM($F$30:I30))</f>
        <v>74.159414713592838</v>
      </c>
      <c r="J31" s="97">
        <f>(J18+J20+J22+J24+J26+J28)-(SUM($F$30:J30))</f>
        <v>70.872950227023381</v>
      </c>
      <c r="K31" s="97">
        <f>(K18+K20+K22+K24+K26+K28)-(SUM($F$30:K30))</f>
        <v>67.586485740453938</v>
      </c>
      <c r="L31" s="97">
        <f>(L18+L20+L22+L24+L26+L28)-(SUM($F$30:L30))</f>
        <v>64.291017241592513</v>
      </c>
      <c r="M31" s="97">
        <f>(M18+M20+M22+M24+M26+M28)-(SUM($F$30:M30))</f>
        <v>61.00455275502307</v>
      </c>
      <c r="N31" s="97">
        <f>(N18+N20+N22+N24+N26+N28)-(SUM($F$30:N30))</f>
        <v>57.71808826845362</v>
      </c>
      <c r="O31" s="97">
        <f>(O18+O20+O22+O24+O26+O28)-(SUM($F$30:O30))</f>
        <v>54.43162378188417</v>
      </c>
      <c r="P31" s="97">
        <f>(P18+P20+P22+P24+P26+P28)-(SUM($F$30:P30))</f>
        <v>51.136155283022752</v>
      </c>
      <c r="Q31" s="97">
        <f>(Q18+Q20+Q22+Q24+Q26+Q28)-(SUM($F$30:Q30))</f>
        <v>47.849690796453302</v>
      </c>
      <c r="R31" s="97">
        <f>(R18+R20+R22+R24+R26+R28)-(SUM($F$30:R30))</f>
        <v>44.563226309883852</v>
      </c>
      <c r="S31" s="97">
        <f>(S18+S20+S22+S24+S26+S28)-(SUM($F$30:S30))</f>
        <v>41.276761823314402</v>
      </c>
      <c r="T31" s="97">
        <f>(T18+T20+T22+T24+T26+T28)-(SUM($F$30:T30))</f>
        <v>37.981293324452984</v>
      </c>
      <c r="U31" s="97">
        <f>(U18+U20+U22+U24+U26+U28)-(SUM($F$30:U30))</f>
        <v>34.694828837883534</v>
      </c>
      <c r="V31" s="97">
        <f>(V18+V20+V22+V24+V26+V28)-(SUM($F$30:V30))</f>
        <v>31.408364351314084</v>
      </c>
      <c r="W31" s="97">
        <f>(W18+W20+W22+W24+W26+W28)-(SUM($F$30:W30))</f>
        <v>28.121899864744634</v>
      </c>
      <c r="X31" s="97">
        <f>(X18+X20+X22+X24+X26+X28)-(SUM($F$30:X30))</f>
        <v>24.826431365883217</v>
      </c>
      <c r="Y31" s="97">
        <f>(Y18+Y20+Y22+Y24+Y26+Y28)-(SUM($F$30:Y30))</f>
        <v>21.539966879313766</v>
      </c>
      <c r="Z31" s="97">
        <f>(Z18+Z20+Z22+Z24+Z26+Z28)-(SUM($F$30:Z30))</f>
        <v>18.253502392744323</v>
      </c>
      <c r="AA31" s="97">
        <f>(AA18+AA20+AA22+AA24+AA26+AA28)-(SUM($F$30:AA30))</f>
        <v>14.96703790617488</v>
      </c>
      <c r="AB31" s="97">
        <f>(AB18+AB20+AB22+AB24+AB26+AB28)-(SUM($F$30:AB30))</f>
        <v>11.671569407313456</v>
      </c>
      <c r="AC31" s="97">
        <f>(AC18+AC20+AC22+AC24+AC26+AC28)-(SUM($F$30:AC30))</f>
        <v>8.3851049207440127</v>
      </c>
      <c r="AD31" s="97">
        <f>(AD18+AD20+AD22+AD24+AD26+AD28)-(SUM($F$30:AD30))</f>
        <v>5.0986404341745697</v>
      </c>
    </row>
    <row r="32" spans="2:30">
      <c r="H32" s="68"/>
    </row>
    <row r="33" spans="2:30">
      <c r="B33" s="71" t="s">
        <v>293</v>
      </c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</row>
    <row r="34" spans="2:30">
      <c r="B34" s="232" t="s">
        <v>0</v>
      </c>
      <c r="C34" s="233"/>
      <c r="D34" s="234"/>
      <c r="E34" s="234">
        <f t="shared" ref="E34:AD34" si="12">E8</f>
        <v>45838</v>
      </c>
      <c r="F34" s="235">
        <f t="shared" si="12"/>
        <v>46111</v>
      </c>
      <c r="G34" s="235">
        <f t="shared" si="12"/>
        <v>46476</v>
      </c>
      <c r="H34" s="235">
        <f t="shared" si="12"/>
        <v>46842</v>
      </c>
      <c r="I34" s="235">
        <f t="shared" si="12"/>
        <v>47207</v>
      </c>
      <c r="J34" s="235">
        <f t="shared" si="12"/>
        <v>47572</v>
      </c>
      <c r="K34" s="235">
        <f t="shared" si="12"/>
        <v>47937</v>
      </c>
      <c r="L34" s="235">
        <f t="shared" si="12"/>
        <v>48303</v>
      </c>
      <c r="M34" s="235">
        <f t="shared" si="12"/>
        <v>48668</v>
      </c>
      <c r="N34" s="235">
        <f t="shared" si="12"/>
        <v>49033</v>
      </c>
      <c r="O34" s="235">
        <f t="shared" si="12"/>
        <v>49398</v>
      </c>
      <c r="P34" s="235">
        <f t="shared" si="12"/>
        <v>49764</v>
      </c>
      <c r="Q34" s="235">
        <f t="shared" si="12"/>
        <v>50129</v>
      </c>
      <c r="R34" s="235">
        <f t="shared" si="12"/>
        <v>50494</v>
      </c>
      <c r="S34" s="235">
        <f t="shared" si="12"/>
        <v>50859</v>
      </c>
      <c r="T34" s="235">
        <f t="shared" si="12"/>
        <v>51225</v>
      </c>
      <c r="U34" s="235">
        <f t="shared" si="12"/>
        <v>51590</v>
      </c>
      <c r="V34" s="235">
        <f t="shared" si="12"/>
        <v>51955</v>
      </c>
      <c r="W34" s="235">
        <f t="shared" si="12"/>
        <v>52320</v>
      </c>
      <c r="X34" s="235">
        <f t="shared" si="12"/>
        <v>52686</v>
      </c>
      <c r="Y34" s="235">
        <f t="shared" si="12"/>
        <v>53051</v>
      </c>
      <c r="Z34" s="235">
        <f t="shared" si="12"/>
        <v>53416</v>
      </c>
      <c r="AA34" s="235">
        <f t="shared" si="12"/>
        <v>53781</v>
      </c>
      <c r="AB34" s="235">
        <f t="shared" si="12"/>
        <v>54147</v>
      </c>
      <c r="AC34" s="235">
        <f t="shared" si="12"/>
        <v>54512</v>
      </c>
      <c r="AD34" s="235">
        <f t="shared" si="12"/>
        <v>54877</v>
      </c>
    </row>
    <row r="35" spans="2:30">
      <c r="B35" s="31" t="s">
        <v>130</v>
      </c>
      <c r="C35" s="31"/>
      <c r="D35" s="31"/>
      <c r="E35" s="31"/>
      <c r="F35" s="84">
        <f>F18</f>
        <v>0</v>
      </c>
      <c r="G35" s="84">
        <f>F37</f>
        <v>0</v>
      </c>
      <c r="H35" s="84">
        <f t="shared" ref="H35:AD35" si="13">G37</f>
        <v>0</v>
      </c>
      <c r="I35" s="84">
        <f t="shared" si="13"/>
        <v>0</v>
      </c>
      <c r="J35" s="84">
        <f t="shared" si="13"/>
        <v>0</v>
      </c>
      <c r="K35" s="84">
        <f t="shared" si="13"/>
        <v>0</v>
      </c>
      <c r="L35" s="84">
        <f t="shared" si="13"/>
        <v>0</v>
      </c>
      <c r="M35" s="84">
        <f t="shared" si="13"/>
        <v>0</v>
      </c>
      <c r="N35" s="84">
        <f t="shared" si="13"/>
        <v>0</v>
      </c>
      <c r="O35" s="84">
        <f t="shared" si="13"/>
        <v>0</v>
      </c>
      <c r="P35" s="84">
        <f t="shared" si="13"/>
        <v>0</v>
      </c>
      <c r="Q35" s="84">
        <f t="shared" si="13"/>
        <v>0</v>
      </c>
      <c r="R35" s="84">
        <f t="shared" si="13"/>
        <v>0</v>
      </c>
      <c r="S35" s="84">
        <f t="shared" si="13"/>
        <v>0</v>
      </c>
      <c r="T35" s="84">
        <f t="shared" si="13"/>
        <v>0</v>
      </c>
      <c r="U35" s="84">
        <f t="shared" si="13"/>
        <v>0</v>
      </c>
      <c r="V35" s="84">
        <f t="shared" si="13"/>
        <v>0</v>
      </c>
      <c r="W35" s="84">
        <f t="shared" si="13"/>
        <v>0</v>
      </c>
      <c r="X35" s="84">
        <f t="shared" si="13"/>
        <v>0</v>
      </c>
      <c r="Y35" s="84">
        <f t="shared" si="13"/>
        <v>0</v>
      </c>
      <c r="Z35" s="84">
        <f t="shared" si="13"/>
        <v>0</v>
      </c>
      <c r="AA35" s="84">
        <f t="shared" si="13"/>
        <v>0</v>
      </c>
      <c r="AB35" s="84">
        <f t="shared" si="13"/>
        <v>0</v>
      </c>
      <c r="AC35" s="84">
        <f t="shared" si="13"/>
        <v>0</v>
      </c>
      <c r="AD35" s="84">
        <f t="shared" si="13"/>
        <v>0</v>
      </c>
    </row>
    <row r="36" spans="2:30">
      <c r="B36" s="239" t="str">
        <f>"Depreciation " &amp; B35</f>
        <v>Depreciation Land</v>
      </c>
      <c r="C36" s="239"/>
      <c r="D36" s="239"/>
      <c r="E36" s="239"/>
      <c r="F36" s="240">
        <f>F35*Assumptions!$E$60/365*F12</f>
        <v>0</v>
      </c>
      <c r="G36" s="240">
        <f>G35*Assumptions!$E$60/365*G12</f>
        <v>0</v>
      </c>
      <c r="H36" s="240">
        <f>H35*Assumptions!$E$60/365*H12</f>
        <v>0</v>
      </c>
      <c r="I36" s="240">
        <f>I35*Assumptions!$E$60/365*I12</f>
        <v>0</v>
      </c>
      <c r="J36" s="240">
        <f>J35*Assumptions!$E$60/365*J12</f>
        <v>0</v>
      </c>
      <c r="K36" s="240">
        <f>K35*Assumptions!$E$60/365*K12</f>
        <v>0</v>
      </c>
      <c r="L36" s="240">
        <f>L35*Assumptions!$E$60/365*L12</f>
        <v>0</v>
      </c>
      <c r="M36" s="240">
        <f>M35*Assumptions!$E$60/365*M12</f>
        <v>0</v>
      </c>
      <c r="N36" s="240">
        <f>N35*Assumptions!$E$60/365*N12</f>
        <v>0</v>
      </c>
      <c r="O36" s="240">
        <f>O35*Assumptions!$E$60/365*O12</f>
        <v>0</v>
      </c>
      <c r="P36" s="240">
        <f>P35*Assumptions!$E$60/365*P12</f>
        <v>0</v>
      </c>
      <c r="Q36" s="240">
        <f>Q35*Assumptions!$E$60/365*Q12</f>
        <v>0</v>
      </c>
      <c r="R36" s="240">
        <f>R35*Assumptions!$E$60/365*R12</f>
        <v>0</v>
      </c>
      <c r="S36" s="240">
        <f>S35*Assumptions!$E$60/365*S12</f>
        <v>0</v>
      </c>
      <c r="T36" s="240">
        <f>T35*Assumptions!$E$60/365*T12</f>
        <v>0</v>
      </c>
      <c r="U36" s="240">
        <f>U35*Assumptions!$E$60/365*U12</f>
        <v>0</v>
      </c>
      <c r="V36" s="240">
        <f>V35*Assumptions!$E$60/365*V12</f>
        <v>0</v>
      </c>
      <c r="W36" s="240">
        <f>W35*Assumptions!$E$60/365*W12</f>
        <v>0</v>
      </c>
      <c r="X36" s="240">
        <f>X35*Assumptions!$E$60/365*X12</f>
        <v>0</v>
      </c>
      <c r="Y36" s="240">
        <f>Y35*Assumptions!$E$60/365*Y12</f>
        <v>0</v>
      </c>
      <c r="Z36" s="240">
        <f>Z35*Assumptions!$E$60/365*Z12</f>
        <v>0</v>
      </c>
      <c r="AA36" s="240">
        <f>AA35*Assumptions!$E$60/365*AA12</f>
        <v>0</v>
      </c>
      <c r="AB36" s="240">
        <f>AB35*Assumptions!$E$60/365*AB12</f>
        <v>0</v>
      </c>
      <c r="AC36" s="240">
        <f>AC35*Assumptions!$E$60/365*AC12</f>
        <v>0</v>
      </c>
      <c r="AD36" s="240">
        <f>AD35*Assumptions!$E$60/365*AD12</f>
        <v>0</v>
      </c>
    </row>
    <row r="37" spans="2:30" s="259" customFormat="1">
      <c r="B37" s="123" t="str">
        <f>"WDV " &amp; "of "&amp; B35</f>
        <v>WDV of Land</v>
      </c>
      <c r="C37" s="123"/>
      <c r="D37" s="123"/>
      <c r="E37" s="123"/>
      <c r="F37" s="258">
        <f>F35-F36</f>
        <v>0</v>
      </c>
      <c r="G37" s="258">
        <f t="shared" ref="G37:AD37" si="14">G35-G36</f>
        <v>0</v>
      </c>
      <c r="H37" s="258">
        <f t="shared" si="14"/>
        <v>0</v>
      </c>
      <c r="I37" s="258">
        <f t="shared" si="14"/>
        <v>0</v>
      </c>
      <c r="J37" s="258">
        <f t="shared" si="14"/>
        <v>0</v>
      </c>
      <c r="K37" s="258">
        <f t="shared" si="14"/>
        <v>0</v>
      </c>
      <c r="L37" s="258">
        <f t="shared" si="14"/>
        <v>0</v>
      </c>
      <c r="M37" s="258">
        <f t="shared" si="14"/>
        <v>0</v>
      </c>
      <c r="N37" s="258">
        <f t="shared" si="14"/>
        <v>0</v>
      </c>
      <c r="O37" s="258">
        <f t="shared" si="14"/>
        <v>0</v>
      </c>
      <c r="P37" s="258">
        <f t="shared" si="14"/>
        <v>0</v>
      </c>
      <c r="Q37" s="258">
        <f t="shared" si="14"/>
        <v>0</v>
      </c>
      <c r="R37" s="258">
        <f t="shared" si="14"/>
        <v>0</v>
      </c>
      <c r="S37" s="258">
        <f t="shared" si="14"/>
        <v>0</v>
      </c>
      <c r="T37" s="258">
        <f t="shared" si="14"/>
        <v>0</v>
      </c>
      <c r="U37" s="258">
        <f t="shared" si="14"/>
        <v>0</v>
      </c>
      <c r="V37" s="258">
        <f t="shared" si="14"/>
        <v>0</v>
      </c>
      <c r="W37" s="258">
        <f t="shared" si="14"/>
        <v>0</v>
      </c>
      <c r="X37" s="258">
        <f t="shared" si="14"/>
        <v>0</v>
      </c>
      <c r="Y37" s="258">
        <f t="shared" si="14"/>
        <v>0</v>
      </c>
      <c r="Z37" s="258">
        <f t="shared" si="14"/>
        <v>0</v>
      </c>
      <c r="AA37" s="258">
        <f t="shared" si="14"/>
        <v>0</v>
      </c>
      <c r="AB37" s="258">
        <f t="shared" si="14"/>
        <v>0</v>
      </c>
      <c r="AC37" s="258">
        <f t="shared" si="14"/>
        <v>0</v>
      </c>
      <c r="AD37" s="258">
        <f t="shared" si="14"/>
        <v>0</v>
      </c>
    </row>
    <row r="38" spans="2:30">
      <c r="B38" s="31" t="s">
        <v>2</v>
      </c>
      <c r="C38" s="31"/>
      <c r="D38" s="31"/>
      <c r="E38" s="31"/>
      <c r="F38" s="84">
        <f>F20</f>
        <v>0</v>
      </c>
      <c r="G38" s="84">
        <f>F40</f>
        <v>0</v>
      </c>
      <c r="H38" s="84">
        <f t="shared" ref="H38:AD38" si="15">G40</f>
        <v>0</v>
      </c>
      <c r="I38" s="84">
        <f t="shared" si="15"/>
        <v>0</v>
      </c>
      <c r="J38" s="84">
        <f t="shared" si="15"/>
        <v>0</v>
      </c>
      <c r="K38" s="84">
        <f t="shared" si="15"/>
        <v>0</v>
      </c>
      <c r="L38" s="84">
        <f t="shared" si="15"/>
        <v>0</v>
      </c>
      <c r="M38" s="84">
        <f t="shared" si="15"/>
        <v>0</v>
      </c>
      <c r="N38" s="84">
        <f t="shared" si="15"/>
        <v>0</v>
      </c>
      <c r="O38" s="84">
        <f t="shared" si="15"/>
        <v>0</v>
      </c>
      <c r="P38" s="84">
        <f t="shared" si="15"/>
        <v>0</v>
      </c>
      <c r="Q38" s="84">
        <f t="shared" si="15"/>
        <v>0</v>
      </c>
      <c r="R38" s="84">
        <f t="shared" si="15"/>
        <v>0</v>
      </c>
      <c r="S38" s="84">
        <f t="shared" si="15"/>
        <v>0</v>
      </c>
      <c r="T38" s="84">
        <f t="shared" si="15"/>
        <v>0</v>
      </c>
      <c r="U38" s="84">
        <f t="shared" si="15"/>
        <v>0</v>
      </c>
      <c r="V38" s="84">
        <f t="shared" si="15"/>
        <v>0</v>
      </c>
      <c r="W38" s="84">
        <f t="shared" si="15"/>
        <v>0</v>
      </c>
      <c r="X38" s="84">
        <f t="shared" si="15"/>
        <v>0</v>
      </c>
      <c r="Y38" s="84">
        <f t="shared" si="15"/>
        <v>0</v>
      </c>
      <c r="Z38" s="84">
        <f t="shared" si="15"/>
        <v>0</v>
      </c>
      <c r="AA38" s="84">
        <f t="shared" si="15"/>
        <v>0</v>
      </c>
      <c r="AB38" s="84">
        <f t="shared" si="15"/>
        <v>0</v>
      </c>
      <c r="AC38" s="84">
        <f t="shared" si="15"/>
        <v>0</v>
      </c>
      <c r="AD38" s="84">
        <f t="shared" si="15"/>
        <v>0</v>
      </c>
    </row>
    <row r="39" spans="2:30">
      <c r="B39" s="239" t="str">
        <f>"Depreciation " &amp; B38</f>
        <v>Depreciation Building &amp; Civil Works</v>
      </c>
      <c r="C39" s="239"/>
      <c r="D39" s="239"/>
      <c r="E39" s="239"/>
      <c r="F39" s="240">
        <f>F38*Assumptions!$E$61/365*F12</f>
        <v>0</v>
      </c>
      <c r="G39" s="240">
        <f>G38*Assumptions!$E$61/365*G12</f>
        <v>0</v>
      </c>
      <c r="H39" s="240">
        <f>H38*Assumptions!$E$61/365*H12</f>
        <v>0</v>
      </c>
      <c r="I39" s="240">
        <f>I38*Assumptions!$E$61/365*I12</f>
        <v>0</v>
      </c>
      <c r="J39" s="240">
        <f>J38*Assumptions!$E$61/365*J12</f>
        <v>0</v>
      </c>
      <c r="K39" s="240">
        <f>K38*Assumptions!$E$61/365*K12</f>
        <v>0</v>
      </c>
      <c r="L39" s="240">
        <f>L38*Assumptions!$E$61/365*L12</f>
        <v>0</v>
      </c>
      <c r="M39" s="240">
        <f>M38*Assumptions!$E$61/365*M12</f>
        <v>0</v>
      </c>
      <c r="N39" s="240">
        <f>N38*Assumptions!$E$61/365*N12</f>
        <v>0</v>
      </c>
      <c r="O39" s="240">
        <f>O38*Assumptions!$E$61/365*O12</f>
        <v>0</v>
      </c>
      <c r="P39" s="240">
        <f>P38*Assumptions!$E$61/365*P12</f>
        <v>0</v>
      </c>
      <c r="Q39" s="240">
        <f>Q38*Assumptions!$E$61/365*Q12</f>
        <v>0</v>
      </c>
      <c r="R39" s="240">
        <f>R38*Assumptions!$E$61/365*R12</f>
        <v>0</v>
      </c>
      <c r="S39" s="240">
        <f>S38*Assumptions!$E$61/365*S12</f>
        <v>0</v>
      </c>
      <c r="T39" s="240">
        <f>T38*Assumptions!$E$61/365*T12</f>
        <v>0</v>
      </c>
      <c r="U39" s="240">
        <f>U38*Assumptions!$E$61/365*U12</f>
        <v>0</v>
      </c>
      <c r="V39" s="240">
        <f>V38*Assumptions!$E$61/365*V12</f>
        <v>0</v>
      </c>
      <c r="W39" s="240">
        <f>W38*Assumptions!$E$61/365*W12</f>
        <v>0</v>
      </c>
      <c r="X39" s="240">
        <f>X38*Assumptions!$E$61/365*X12</f>
        <v>0</v>
      </c>
      <c r="Y39" s="240">
        <f>Y38*Assumptions!$E$61/365*Y12</f>
        <v>0</v>
      </c>
      <c r="Z39" s="240">
        <f>Z38*Assumptions!$E$61/365*Z12</f>
        <v>0</v>
      </c>
      <c r="AA39" s="240">
        <f>AA38*Assumptions!$E$61/365*AA12</f>
        <v>0</v>
      </c>
      <c r="AB39" s="240">
        <f>AB38*Assumptions!$E$61/365*AB12</f>
        <v>0</v>
      </c>
      <c r="AC39" s="240">
        <f>AC38*Assumptions!$E$61/365*AC12</f>
        <v>0</v>
      </c>
      <c r="AD39" s="240">
        <f>AD38*Assumptions!$E$61/365*AD12</f>
        <v>0</v>
      </c>
    </row>
    <row r="40" spans="2:30" s="259" customFormat="1">
      <c r="B40" s="123" t="str">
        <f>"WDV " &amp; "of "&amp; B38</f>
        <v>WDV of Building &amp; Civil Works</v>
      </c>
      <c r="C40" s="123"/>
      <c r="D40" s="123"/>
      <c r="E40" s="123"/>
      <c r="F40" s="258">
        <f>F38-F39</f>
        <v>0</v>
      </c>
      <c r="G40" s="258">
        <f t="shared" ref="G40:AD40" si="16">G38-G39</f>
        <v>0</v>
      </c>
      <c r="H40" s="258">
        <f t="shared" si="16"/>
        <v>0</v>
      </c>
      <c r="I40" s="258">
        <f t="shared" si="16"/>
        <v>0</v>
      </c>
      <c r="J40" s="258">
        <f t="shared" si="16"/>
        <v>0</v>
      </c>
      <c r="K40" s="258">
        <f t="shared" si="16"/>
        <v>0</v>
      </c>
      <c r="L40" s="258">
        <f t="shared" si="16"/>
        <v>0</v>
      </c>
      <c r="M40" s="258">
        <f t="shared" si="16"/>
        <v>0</v>
      </c>
      <c r="N40" s="258">
        <f t="shared" si="16"/>
        <v>0</v>
      </c>
      <c r="O40" s="258">
        <f t="shared" si="16"/>
        <v>0</v>
      </c>
      <c r="P40" s="258">
        <f t="shared" si="16"/>
        <v>0</v>
      </c>
      <c r="Q40" s="258">
        <f t="shared" si="16"/>
        <v>0</v>
      </c>
      <c r="R40" s="258">
        <f t="shared" si="16"/>
        <v>0</v>
      </c>
      <c r="S40" s="258">
        <f t="shared" si="16"/>
        <v>0</v>
      </c>
      <c r="T40" s="258">
        <f t="shared" si="16"/>
        <v>0</v>
      </c>
      <c r="U40" s="258">
        <f t="shared" si="16"/>
        <v>0</v>
      </c>
      <c r="V40" s="258">
        <f t="shared" si="16"/>
        <v>0</v>
      </c>
      <c r="W40" s="258">
        <f t="shared" si="16"/>
        <v>0</v>
      </c>
      <c r="X40" s="258">
        <f t="shared" si="16"/>
        <v>0</v>
      </c>
      <c r="Y40" s="258">
        <f t="shared" si="16"/>
        <v>0</v>
      </c>
      <c r="Z40" s="258">
        <f t="shared" si="16"/>
        <v>0</v>
      </c>
      <c r="AA40" s="258">
        <f t="shared" si="16"/>
        <v>0</v>
      </c>
      <c r="AB40" s="258">
        <f t="shared" si="16"/>
        <v>0</v>
      </c>
      <c r="AC40" s="258">
        <f t="shared" si="16"/>
        <v>0</v>
      </c>
      <c r="AD40" s="258">
        <f t="shared" si="16"/>
        <v>0</v>
      </c>
    </row>
    <row r="41" spans="2:30">
      <c r="B41" s="31" t="s">
        <v>132</v>
      </c>
      <c r="C41" s="31"/>
      <c r="D41" s="84"/>
      <c r="E41" s="84"/>
      <c r="F41" s="84">
        <f>F22</f>
        <v>86.485907541301259</v>
      </c>
      <c r="G41" s="84">
        <f>F43</f>
        <v>76.782899558242946</v>
      </c>
      <c r="H41" s="84">
        <f>G43</f>
        <v>65.265464624506507</v>
      </c>
      <c r="I41" s="84">
        <f t="shared" ref="I41:AD41" si="17">H43</f>
        <v>55.448823507012243</v>
      </c>
      <c r="J41" s="84">
        <f t="shared" si="17"/>
        <v>47.131499980960406</v>
      </c>
      <c r="K41" s="84">
        <f t="shared" si="17"/>
        <v>40.061774983816349</v>
      </c>
      <c r="L41" s="84">
        <f t="shared" si="17"/>
        <v>34.052508736243894</v>
      </c>
      <c r="M41" s="84">
        <f t="shared" si="17"/>
        <v>28.930638244134879</v>
      </c>
      <c r="N41" s="84">
        <f t="shared" si="17"/>
        <v>24.591042507514647</v>
      </c>
      <c r="O41" s="84">
        <f t="shared" si="17"/>
        <v>20.902386131387452</v>
      </c>
      <c r="P41" s="84">
        <f t="shared" si="17"/>
        <v>17.767028211679335</v>
      </c>
      <c r="Q41" s="84">
        <f t="shared" si="17"/>
        <v>15.094672461484279</v>
      </c>
      <c r="R41" s="84">
        <f t="shared" si="17"/>
        <v>12.830471592261638</v>
      </c>
      <c r="S41" s="84">
        <f t="shared" si="17"/>
        <v>10.905900853422393</v>
      </c>
      <c r="T41" s="84">
        <f t="shared" si="17"/>
        <v>9.270015725409035</v>
      </c>
      <c r="U41" s="84">
        <f t="shared" si="17"/>
        <v>7.8757037710940869</v>
      </c>
      <c r="V41" s="84">
        <f t="shared" si="17"/>
        <v>6.6943482054299741</v>
      </c>
      <c r="W41" s="84">
        <f t="shared" si="17"/>
        <v>5.6901959746154782</v>
      </c>
      <c r="X41" s="84">
        <f t="shared" si="17"/>
        <v>4.8366665784231566</v>
      </c>
      <c r="Y41" s="84">
        <f t="shared" si="17"/>
        <v>4.1091789204630711</v>
      </c>
      <c r="Z41" s="84">
        <f t="shared" si="17"/>
        <v>3.4928020823936103</v>
      </c>
      <c r="AA41" s="84">
        <f t="shared" si="17"/>
        <v>2.9688817700345687</v>
      </c>
      <c r="AB41" s="84">
        <f t="shared" si="17"/>
        <v>2.5235495045293832</v>
      </c>
      <c r="AC41" s="84">
        <f t="shared" si="17"/>
        <v>2.1439800037111278</v>
      </c>
      <c r="AD41" s="84">
        <f t="shared" si="17"/>
        <v>1.8223830031544588</v>
      </c>
    </row>
    <row r="42" spans="2:30">
      <c r="B42" s="239" t="str">
        <f>"Depreciation " &amp; B41</f>
        <v>Depreciation Plant &amp; Machinery</v>
      </c>
      <c r="C42" s="239"/>
      <c r="D42" s="239"/>
      <c r="E42" s="239"/>
      <c r="F42" s="240">
        <f>F41*Assumptions!$E$62/365*F12</f>
        <v>9.7030079830583187</v>
      </c>
      <c r="G42" s="240">
        <f>G41*Assumptions!$E$62/365*G12</f>
        <v>11.517434933736443</v>
      </c>
      <c r="H42" s="240">
        <f>H41*Assumptions!$E$62/365*H12</f>
        <v>9.8166411174942656</v>
      </c>
      <c r="I42" s="240">
        <f>I41*Assumptions!$E$62/365*I12</f>
        <v>8.3173235260518368</v>
      </c>
      <c r="J42" s="240">
        <f>J41*Assumptions!$E$62/365*J12</f>
        <v>7.0697249971440606</v>
      </c>
      <c r="K42" s="240">
        <f>K41*Assumptions!$E$62/365*K12</f>
        <v>6.0092662475724525</v>
      </c>
      <c r="L42" s="240">
        <f>L41*Assumptions!$E$62/365*L12</f>
        <v>5.1218704921090135</v>
      </c>
      <c r="M42" s="240">
        <f>M41*Assumptions!$E$62/365*M12</f>
        <v>4.3395957366202316</v>
      </c>
      <c r="N42" s="240">
        <f>N41*Assumptions!$E$62/365*N12</f>
        <v>3.6886563761271964</v>
      </c>
      <c r="O42" s="240">
        <f>O41*Assumptions!$E$62/365*O12</f>
        <v>3.1353579197081181</v>
      </c>
      <c r="P42" s="240">
        <f>P41*Assumptions!$E$62/365*P12</f>
        <v>2.6723557501950563</v>
      </c>
      <c r="Q42" s="240">
        <f>Q41*Assumptions!$E$62/365*Q12</f>
        <v>2.2642008692226416</v>
      </c>
      <c r="R42" s="240">
        <f>R41*Assumptions!$E$62/365*R12</f>
        <v>1.9245707388392457</v>
      </c>
      <c r="S42" s="240">
        <f>S41*Assumptions!$E$62/365*S12</f>
        <v>1.6358851280133588</v>
      </c>
      <c r="T42" s="240">
        <f>T41*Assumptions!$E$62/365*T12</f>
        <v>1.394311954314948</v>
      </c>
      <c r="U42" s="240">
        <f>U41*Assumptions!$E$62/365*U12</f>
        <v>1.181355565664113</v>
      </c>
      <c r="V42" s="240">
        <f>V41*Assumptions!$E$62/365*V12</f>
        <v>1.0041522308144961</v>
      </c>
      <c r="W42" s="240">
        <f>W41*Assumptions!$E$62/365*W12</f>
        <v>0.85352939619232171</v>
      </c>
      <c r="X42" s="240">
        <f>X41*Assumptions!$E$62/365*X12</f>
        <v>0.72748765796008585</v>
      </c>
      <c r="Y42" s="240">
        <f>Y41*Assumptions!$E$62/365*Y12</f>
        <v>0.61637683806946064</v>
      </c>
      <c r="Z42" s="240">
        <f>Z41*Assumptions!$E$62/365*Z12</f>
        <v>0.52392031235904157</v>
      </c>
      <c r="AA42" s="240">
        <f>AA41*Assumptions!$E$62/365*AA12</f>
        <v>0.44533226550518529</v>
      </c>
      <c r="AB42" s="240">
        <f>AB41*Assumptions!$E$62/365*AB12</f>
        <v>0.37956950081825519</v>
      </c>
      <c r="AC42" s="240">
        <f>AC41*Assumptions!$E$62/365*AC12</f>
        <v>0.32159700055666918</v>
      </c>
      <c r="AD42" s="240">
        <f>AD41*Assumptions!$E$62/365*AD12</f>
        <v>0.27335745047316878</v>
      </c>
    </row>
    <row r="43" spans="2:30" s="259" customFormat="1">
      <c r="B43" s="123" t="str">
        <f>"WDV " &amp; "of "&amp; B41</f>
        <v>WDV of Plant &amp; Machinery</v>
      </c>
      <c r="C43" s="123"/>
      <c r="D43" s="123"/>
      <c r="E43" s="123"/>
      <c r="F43" s="258">
        <f>F41-F42</f>
        <v>76.782899558242946</v>
      </c>
      <c r="G43" s="258">
        <f>G41-G42</f>
        <v>65.265464624506507</v>
      </c>
      <c r="H43" s="258">
        <f t="shared" ref="H43:AD43" si="18">H41-H42</f>
        <v>55.448823507012243</v>
      </c>
      <c r="I43" s="258">
        <f t="shared" si="18"/>
        <v>47.131499980960406</v>
      </c>
      <c r="J43" s="258">
        <f t="shared" si="18"/>
        <v>40.061774983816349</v>
      </c>
      <c r="K43" s="258">
        <f t="shared" si="18"/>
        <v>34.052508736243894</v>
      </c>
      <c r="L43" s="258">
        <f t="shared" si="18"/>
        <v>28.930638244134879</v>
      </c>
      <c r="M43" s="258">
        <f t="shared" si="18"/>
        <v>24.591042507514647</v>
      </c>
      <c r="N43" s="258">
        <f t="shared" si="18"/>
        <v>20.902386131387452</v>
      </c>
      <c r="O43" s="258">
        <f t="shared" si="18"/>
        <v>17.767028211679335</v>
      </c>
      <c r="P43" s="258">
        <f t="shared" si="18"/>
        <v>15.094672461484279</v>
      </c>
      <c r="Q43" s="258">
        <f t="shared" si="18"/>
        <v>12.830471592261638</v>
      </c>
      <c r="R43" s="258">
        <f t="shared" si="18"/>
        <v>10.905900853422393</v>
      </c>
      <c r="S43" s="258">
        <f t="shared" si="18"/>
        <v>9.270015725409035</v>
      </c>
      <c r="T43" s="258">
        <f t="shared" si="18"/>
        <v>7.8757037710940869</v>
      </c>
      <c r="U43" s="258">
        <f t="shared" si="18"/>
        <v>6.6943482054299741</v>
      </c>
      <c r="V43" s="258">
        <f t="shared" si="18"/>
        <v>5.6901959746154782</v>
      </c>
      <c r="W43" s="258">
        <f t="shared" si="18"/>
        <v>4.8366665784231566</v>
      </c>
      <c r="X43" s="258">
        <f t="shared" si="18"/>
        <v>4.1091789204630711</v>
      </c>
      <c r="Y43" s="258">
        <f t="shared" si="18"/>
        <v>3.4928020823936103</v>
      </c>
      <c r="Z43" s="258">
        <f t="shared" si="18"/>
        <v>2.9688817700345687</v>
      </c>
      <c r="AA43" s="258">
        <f t="shared" si="18"/>
        <v>2.5235495045293832</v>
      </c>
      <c r="AB43" s="258">
        <f t="shared" si="18"/>
        <v>2.1439800037111278</v>
      </c>
      <c r="AC43" s="258">
        <f t="shared" si="18"/>
        <v>1.8223830031544588</v>
      </c>
      <c r="AD43" s="258">
        <f t="shared" si="18"/>
        <v>1.5490255526812899</v>
      </c>
    </row>
    <row r="44" spans="2:30">
      <c r="B44" s="31" t="s">
        <v>219</v>
      </c>
      <c r="C44" s="31"/>
      <c r="D44" s="31"/>
      <c r="E44" s="31"/>
      <c r="F44" s="84">
        <f>F24</f>
        <v>0</v>
      </c>
      <c r="G44" s="84">
        <f>F46</f>
        <v>0</v>
      </c>
      <c r="H44" s="84">
        <f t="shared" ref="H44:AD44" si="19">G46</f>
        <v>0</v>
      </c>
      <c r="I44" s="84">
        <f t="shared" si="19"/>
        <v>0</v>
      </c>
      <c r="J44" s="84">
        <f t="shared" si="19"/>
        <v>0</v>
      </c>
      <c r="K44" s="84">
        <f t="shared" si="19"/>
        <v>0</v>
      </c>
      <c r="L44" s="84">
        <f t="shared" si="19"/>
        <v>0</v>
      </c>
      <c r="M44" s="84">
        <f t="shared" si="19"/>
        <v>0</v>
      </c>
      <c r="N44" s="84">
        <f t="shared" si="19"/>
        <v>0</v>
      </c>
      <c r="O44" s="84">
        <f t="shared" si="19"/>
        <v>0</v>
      </c>
      <c r="P44" s="84">
        <f t="shared" si="19"/>
        <v>0</v>
      </c>
      <c r="Q44" s="84">
        <f t="shared" si="19"/>
        <v>0</v>
      </c>
      <c r="R44" s="84">
        <f t="shared" si="19"/>
        <v>0</v>
      </c>
      <c r="S44" s="84">
        <f t="shared" si="19"/>
        <v>0</v>
      </c>
      <c r="T44" s="84">
        <f t="shared" si="19"/>
        <v>0</v>
      </c>
      <c r="U44" s="84">
        <f t="shared" si="19"/>
        <v>0</v>
      </c>
      <c r="V44" s="84">
        <f t="shared" si="19"/>
        <v>0</v>
      </c>
      <c r="W44" s="84">
        <f t="shared" si="19"/>
        <v>0</v>
      </c>
      <c r="X44" s="84">
        <f t="shared" si="19"/>
        <v>0</v>
      </c>
      <c r="Y44" s="84">
        <f t="shared" si="19"/>
        <v>0</v>
      </c>
      <c r="Z44" s="84">
        <f t="shared" si="19"/>
        <v>0</v>
      </c>
      <c r="AA44" s="84">
        <f t="shared" si="19"/>
        <v>0</v>
      </c>
      <c r="AB44" s="84">
        <f t="shared" si="19"/>
        <v>0</v>
      </c>
      <c r="AC44" s="84">
        <f t="shared" si="19"/>
        <v>0</v>
      </c>
      <c r="AD44" s="84">
        <f t="shared" si="19"/>
        <v>0</v>
      </c>
    </row>
    <row r="45" spans="2:30">
      <c r="B45" s="239" t="str">
        <f>"Depreciation " &amp; B44</f>
        <v>Depreciation Electricity Connection &amp; Infrastructure</v>
      </c>
      <c r="C45" s="239"/>
      <c r="D45" s="239"/>
      <c r="E45" s="239"/>
      <c r="F45" s="240">
        <f>F44*Assumptions!$E$63/365*F12</f>
        <v>0</v>
      </c>
      <c r="G45" s="240">
        <f>G44*Assumptions!$E$63/365*G12</f>
        <v>0</v>
      </c>
      <c r="H45" s="240">
        <f>H44*Assumptions!$E$63/365*H12</f>
        <v>0</v>
      </c>
      <c r="I45" s="240">
        <f>I44*Assumptions!$E$63/365*I12</f>
        <v>0</v>
      </c>
      <c r="J45" s="240">
        <f>J44*Assumptions!$E$63/365*J12</f>
        <v>0</v>
      </c>
      <c r="K45" s="240">
        <f>K44*Assumptions!$E$63/365*K12</f>
        <v>0</v>
      </c>
      <c r="L45" s="240">
        <f>L44*Assumptions!$E$63/365*L12</f>
        <v>0</v>
      </c>
      <c r="M45" s="240">
        <f>M44*Assumptions!$E$63/365*M12</f>
        <v>0</v>
      </c>
      <c r="N45" s="240">
        <f>N44*Assumptions!$E$63/365*N12</f>
        <v>0</v>
      </c>
      <c r="O45" s="240">
        <f>O44*Assumptions!$E$63/365*O12</f>
        <v>0</v>
      </c>
      <c r="P45" s="240">
        <f>P44*Assumptions!$E$63/365*P12</f>
        <v>0</v>
      </c>
      <c r="Q45" s="240">
        <f>Q44*Assumptions!$E$63/365*Q12</f>
        <v>0</v>
      </c>
      <c r="R45" s="240">
        <f>R44*Assumptions!$E$63/365*R12</f>
        <v>0</v>
      </c>
      <c r="S45" s="240">
        <f>S44*Assumptions!$E$63/365*S12</f>
        <v>0</v>
      </c>
      <c r="T45" s="240">
        <f>T44*Assumptions!$E$63/365*T12</f>
        <v>0</v>
      </c>
      <c r="U45" s="240">
        <f>U44*Assumptions!$E$63/365*U12</f>
        <v>0</v>
      </c>
      <c r="V45" s="240">
        <f>V44*Assumptions!$E$63/365*V12</f>
        <v>0</v>
      </c>
      <c r="W45" s="240">
        <f>W44*Assumptions!$E$63/365*W12</f>
        <v>0</v>
      </c>
      <c r="X45" s="240">
        <f>X44*Assumptions!$E$63/365*X12</f>
        <v>0</v>
      </c>
      <c r="Y45" s="240">
        <f>Y44*Assumptions!$E$63/365*Y12</f>
        <v>0</v>
      </c>
      <c r="Z45" s="240">
        <f>Z44*Assumptions!$E$63/365*Z12</f>
        <v>0</v>
      </c>
      <c r="AA45" s="240">
        <f>AA44*Assumptions!$E$63/365*AA12</f>
        <v>0</v>
      </c>
      <c r="AB45" s="240">
        <f>AB44*Assumptions!$E$63/365*AB12</f>
        <v>0</v>
      </c>
      <c r="AC45" s="240">
        <f>AC44*Assumptions!$E$63/365*AC12</f>
        <v>0</v>
      </c>
      <c r="AD45" s="240">
        <f>AD44*Assumptions!$E$63/365*AD12</f>
        <v>0</v>
      </c>
    </row>
    <row r="46" spans="2:30" s="259" customFormat="1">
      <c r="B46" s="123" t="str">
        <f>"WDV " &amp; "of "&amp; B44</f>
        <v>WDV of Electricity Connection &amp; Infrastructure</v>
      </c>
      <c r="C46" s="123"/>
      <c r="D46" s="123"/>
      <c r="E46" s="123"/>
      <c r="F46" s="258">
        <f>F44-F45</f>
        <v>0</v>
      </c>
      <c r="G46" s="258">
        <f t="shared" ref="G46:AD46" si="20">G44-G45</f>
        <v>0</v>
      </c>
      <c r="H46" s="258">
        <f t="shared" si="20"/>
        <v>0</v>
      </c>
      <c r="I46" s="258">
        <f t="shared" si="20"/>
        <v>0</v>
      </c>
      <c r="J46" s="258">
        <f t="shared" si="20"/>
        <v>0</v>
      </c>
      <c r="K46" s="258">
        <f t="shared" si="20"/>
        <v>0</v>
      </c>
      <c r="L46" s="258">
        <f t="shared" si="20"/>
        <v>0</v>
      </c>
      <c r="M46" s="258">
        <f t="shared" si="20"/>
        <v>0</v>
      </c>
      <c r="N46" s="258">
        <f t="shared" si="20"/>
        <v>0</v>
      </c>
      <c r="O46" s="258">
        <f t="shared" si="20"/>
        <v>0</v>
      </c>
      <c r="P46" s="258">
        <f t="shared" si="20"/>
        <v>0</v>
      </c>
      <c r="Q46" s="258">
        <f t="shared" si="20"/>
        <v>0</v>
      </c>
      <c r="R46" s="258">
        <f t="shared" si="20"/>
        <v>0</v>
      </c>
      <c r="S46" s="258">
        <f t="shared" si="20"/>
        <v>0</v>
      </c>
      <c r="T46" s="258">
        <f t="shared" si="20"/>
        <v>0</v>
      </c>
      <c r="U46" s="258">
        <f t="shared" si="20"/>
        <v>0</v>
      </c>
      <c r="V46" s="258">
        <f t="shared" si="20"/>
        <v>0</v>
      </c>
      <c r="W46" s="258">
        <f t="shared" si="20"/>
        <v>0</v>
      </c>
      <c r="X46" s="258">
        <f t="shared" si="20"/>
        <v>0</v>
      </c>
      <c r="Y46" s="258">
        <f t="shared" si="20"/>
        <v>0</v>
      </c>
      <c r="Z46" s="258">
        <f t="shared" si="20"/>
        <v>0</v>
      </c>
      <c r="AA46" s="258">
        <f t="shared" si="20"/>
        <v>0</v>
      </c>
      <c r="AB46" s="258">
        <f t="shared" si="20"/>
        <v>0</v>
      </c>
      <c r="AC46" s="258">
        <f t="shared" si="20"/>
        <v>0</v>
      </c>
      <c r="AD46" s="258">
        <f t="shared" si="20"/>
        <v>0</v>
      </c>
    </row>
    <row r="47" spans="2:30">
      <c r="B47" s="31" t="s">
        <v>5</v>
      </c>
      <c r="C47" s="31"/>
      <c r="D47" s="31"/>
      <c r="E47" s="31"/>
      <c r="F47" s="84">
        <f>F26</f>
        <v>0</v>
      </c>
      <c r="G47" s="84">
        <f>F49</f>
        <v>0</v>
      </c>
      <c r="H47" s="84">
        <f t="shared" ref="H47:AD47" si="21">G49</f>
        <v>0</v>
      </c>
      <c r="I47" s="84">
        <f t="shared" si="21"/>
        <v>0</v>
      </c>
      <c r="J47" s="84">
        <f t="shared" si="21"/>
        <v>0</v>
      </c>
      <c r="K47" s="84">
        <f t="shared" si="21"/>
        <v>0</v>
      </c>
      <c r="L47" s="84">
        <f t="shared" si="21"/>
        <v>0</v>
      </c>
      <c r="M47" s="84">
        <f t="shared" si="21"/>
        <v>0</v>
      </c>
      <c r="N47" s="84">
        <f t="shared" si="21"/>
        <v>0</v>
      </c>
      <c r="O47" s="84">
        <f t="shared" si="21"/>
        <v>0</v>
      </c>
      <c r="P47" s="84">
        <f t="shared" si="21"/>
        <v>0</v>
      </c>
      <c r="Q47" s="84">
        <f t="shared" si="21"/>
        <v>0</v>
      </c>
      <c r="R47" s="84">
        <f t="shared" si="21"/>
        <v>0</v>
      </c>
      <c r="S47" s="84">
        <f t="shared" si="21"/>
        <v>0</v>
      </c>
      <c r="T47" s="84">
        <f t="shared" si="21"/>
        <v>0</v>
      </c>
      <c r="U47" s="84">
        <f t="shared" si="21"/>
        <v>0</v>
      </c>
      <c r="V47" s="84">
        <f t="shared" si="21"/>
        <v>0</v>
      </c>
      <c r="W47" s="84">
        <f t="shared" si="21"/>
        <v>0</v>
      </c>
      <c r="X47" s="84">
        <f t="shared" si="21"/>
        <v>0</v>
      </c>
      <c r="Y47" s="84">
        <f t="shared" si="21"/>
        <v>0</v>
      </c>
      <c r="Z47" s="84">
        <f t="shared" si="21"/>
        <v>0</v>
      </c>
      <c r="AA47" s="84">
        <f t="shared" si="21"/>
        <v>0</v>
      </c>
      <c r="AB47" s="84">
        <f t="shared" si="21"/>
        <v>0</v>
      </c>
      <c r="AC47" s="84">
        <f t="shared" si="21"/>
        <v>0</v>
      </c>
      <c r="AD47" s="84">
        <f t="shared" si="21"/>
        <v>0</v>
      </c>
    </row>
    <row r="48" spans="2:30">
      <c r="B48" s="239" t="str">
        <f>"Depreciation " &amp; B47</f>
        <v>Depreciation Vehicles</v>
      </c>
      <c r="C48" s="239"/>
      <c r="D48" s="239"/>
      <c r="E48" s="239"/>
      <c r="F48" s="240">
        <f>F47*Assumptions!$E$64/365*F12</f>
        <v>0</v>
      </c>
      <c r="G48" s="240">
        <f>G47*Assumptions!$E$64/365*G12</f>
        <v>0</v>
      </c>
      <c r="H48" s="240">
        <f>H47*Assumptions!$E$64/365*H12</f>
        <v>0</v>
      </c>
      <c r="I48" s="240">
        <f>I47*Assumptions!$E$64/365*I12</f>
        <v>0</v>
      </c>
      <c r="J48" s="240">
        <f>J47*Assumptions!$E$64/365*J12</f>
        <v>0</v>
      </c>
      <c r="K48" s="240">
        <f>K47*Assumptions!$E$64/365*K12</f>
        <v>0</v>
      </c>
      <c r="L48" s="240">
        <f>L47*Assumptions!$E$64/365*L12</f>
        <v>0</v>
      </c>
      <c r="M48" s="240">
        <f>M47*Assumptions!$E$64/365*M12</f>
        <v>0</v>
      </c>
      <c r="N48" s="240">
        <f>N47*Assumptions!$E$64/365*N12</f>
        <v>0</v>
      </c>
      <c r="O48" s="240">
        <f>O47*Assumptions!$E$64/365*O12</f>
        <v>0</v>
      </c>
      <c r="P48" s="240">
        <f>P47*Assumptions!$E$64/365*P12</f>
        <v>0</v>
      </c>
      <c r="Q48" s="240">
        <f>Q47*Assumptions!$E$64/365*Q12</f>
        <v>0</v>
      </c>
      <c r="R48" s="240">
        <f>R47*Assumptions!$E$64/365*R12</f>
        <v>0</v>
      </c>
      <c r="S48" s="240">
        <f>S47*Assumptions!$E$64/365*S12</f>
        <v>0</v>
      </c>
      <c r="T48" s="240">
        <f>T47*Assumptions!$E$64/365*T12</f>
        <v>0</v>
      </c>
      <c r="U48" s="240">
        <f>U47*Assumptions!$E$64/365*U12</f>
        <v>0</v>
      </c>
      <c r="V48" s="240">
        <f>V47*Assumptions!$E$64/365*V12</f>
        <v>0</v>
      </c>
      <c r="W48" s="240">
        <f>W47*Assumptions!$E$64/365*W12</f>
        <v>0</v>
      </c>
      <c r="X48" s="240">
        <f>X47*Assumptions!$E$64/365*X12</f>
        <v>0</v>
      </c>
      <c r="Y48" s="240">
        <f>Y47*Assumptions!$E$64/365*Y12</f>
        <v>0</v>
      </c>
      <c r="Z48" s="240">
        <f>Z47*Assumptions!$E$64/365*Z12</f>
        <v>0</v>
      </c>
      <c r="AA48" s="240">
        <f>AA47*Assumptions!$E$64/365*AA12</f>
        <v>0</v>
      </c>
      <c r="AB48" s="240">
        <f>AB47*Assumptions!$E$64/365*AB12</f>
        <v>0</v>
      </c>
      <c r="AC48" s="240">
        <f>AC47*Assumptions!$E$64/365*AC12</f>
        <v>0</v>
      </c>
      <c r="AD48" s="240">
        <f>AD47*Assumptions!$E$64/365*AD12</f>
        <v>0</v>
      </c>
    </row>
    <row r="49" spans="2:30" s="259" customFormat="1">
      <c r="B49" s="123" t="str">
        <f>"WDV " &amp; "of "&amp; B47</f>
        <v>WDV of Vehicles</v>
      </c>
      <c r="C49" s="123"/>
      <c r="D49" s="123"/>
      <c r="E49" s="123"/>
      <c r="F49" s="258">
        <f>F47-F48</f>
        <v>0</v>
      </c>
      <c r="G49" s="258">
        <f t="shared" ref="G49:AD49" si="22">G47-G48</f>
        <v>0</v>
      </c>
      <c r="H49" s="258">
        <f t="shared" si="22"/>
        <v>0</v>
      </c>
      <c r="I49" s="258">
        <f t="shared" si="22"/>
        <v>0</v>
      </c>
      <c r="J49" s="258">
        <f t="shared" si="22"/>
        <v>0</v>
      </c>
      <c r="K49" s="258">
        <f t="shared" si="22"/>
        <v>0</v>
      </c>
      <c r="L49" s="258">
        <f t="shared" si="22"/>
        <v>0</v>
      </c>
      <c r="M49" s="258">
        <f t="shared" si="22"/>
        <v>0</v>
      </c>
      <c r="N49" s="258">
        <f t="shared" si="22"/>
        <v>0</v>
      </c>
      <c r="O49" s="258">
        <f t="shared" si="22"/>
        <v>0</v>
      </c>
      <c r="P49" s="258">
        <f t="shared" si="22"/>
        <v>0</v>
      </c>
      <c r="Q49" s="258">
        <f t="shared" si="22"/>
        <v>0</v>
      </c>
      <c r="R49" s="258">
        <f t="shared" si="22"/>
        <v>0</v>
      </c>
      <c r="S49" s="258">
        <f t="shared" si="22"/>
        <v>0</v>
      </c>
      <c r="T49" s="258">
        <f t="shared" si="22"/>
        <v>0</v>
      </c>
      <c r="U49" s="258">
        <f t="shared" si="22"/>
        <v>0</v>
      </c>
      <c r="V49" s="258">
        <f t="shared" si="22"/>
        <v>0</v>
      </c>
      <c r="W49" s="258">
        <f t="shared" si="22"/>
        <v>0</v>
      </c>
      <c r="X49" s="258">
        <f t="shared" si="22"/>
        <v>0</v>
      </c>
      <c r="Y49" s="258">
        <f t="shared" si="22"/>
        <v>0</v>
      </c>
      <c r="Z49" s="258">
        <f t="shared" si="22"/>
        <v>0</v>
      </c>
      <c r="AA49" s="258">
        <f t="shared" si="22"/>
        <v>0</v>
      </c>
      <c r="AB49" s="258">
        <f t="shared" si="22"/>
        <v>0</v>
      </c>
      <c r="AC49" s="258">
        <f t="shared" si="22"/>
        <v>0</v>
      </c>
      <c r="AD49" s="258">
        <f t="shared" si="22"/>
        <v>0</v>
      </c>
    </row>
    <row r="50" spans="2:30">
      <c r="B50" s="31" t="s">
        <v>220</v>
      </c>
      <c r="C50" s="31"/>
      <c r="D50" s="31"/>
      <c r="E50" s="31"/>
      <c r="F50" s="84">
        <f>F28</f>
        <v>0</v>
      </c>
      <c r="G50" s="84">
        <f>F52</f>
        <v>0</v>
      </c>
      <c r="H50" s="84">
        <f t="shared" ref="H50:AD50" si="23">G52</f>
        <v>0</v>
      </c>
      <c r="I50" s="84">
        <f t="shared" si="23"/>
        <v>0</v>
      </c>
      <c r="J50" s="84">
        <f t="shared" si="23"/>
        <v>0</v>
      </c>
      <c r="K50" s="84">
        <f t="shared" si="23"/>
        <v>0</v>
      </c>
      <c r="L50" s="84">
        <f t="shared" si="23"/>
        <v>0</v>
      </c>
      <c r="M50" s="84">
        <f t="shared" si="23"/>
        <v>0</v>
      </c>
      <c r="N50" s="84">
        <f t="shared" si="23"/>
        <v>0</v>
      </c>
      <c r="O50" s="84">
        <f t="shared" si="23"/>
        <v>0</v>
      </c>
      <c r="P50" s="84">
        <f t="shared" si="23"/>
        <v>0</v>
      </c>
      <c r="Q50" s="84">
        <f t="shared" si="23"/>
        <v>0</v>
      </c>
      <c r="R50" s="84">
        <f t="shared" si="23"/>
        <v>0</v>
      </c>
      <c r="S50" s="84">
        <f t="shared" si="23"/>
        <v>0</v>
      </c>
      <c r="T50" s="84">
        <f t="shared" si="23"/>
        <v>0</v>
      </c>
      <c r="U50" s="84">
        <f t="shared" si="23"/>
        <v>0</v>
      </c>
      <c r="V50" s="84">
        <f t="shared" si="23"/>
        <v>0</v>
      </c>
      <c r="W50" s="84">
        <f t="shared" si="23"/>
        <v>0</v>
      </c>
      <c r="X50" s="84">
        <f t="shared" si="23"/>
        <v>0</v>
      </c>
      <c r="Y50" s="84">
        <f t="shared" si="23"/>
        <v>0</v>
      </c>
      <c r="Z50" s="84">
        <f t="shared" si="23"/>
        <v>0</v>
      </c>
      <c r="AA50" s="84">
        <f t="shared" si="23"/>
        <v>0</v>
      </c>
      <c r="AB50" s="84">
        <f t="shared" si="23"/>
        <v>0</v>
      </c>
      <c r="AC50" s="84">
        <f t="shared" si="23"/>
        <v>0</v>
      </c>
      <c r="AD50" s="84">
        <f t="shared" si="23"/>
        <v>0</v>
      </c>
    </row>
    <row r="51" spans="2:30">
      <c r="B51" s="239" t="str">
        <f>"Depreciation " &amp; B50</f>
        <v>Depreciation Office equipment</v>
      </c>
      <c r="C51" s="239"/>
      <c r="D51" s="239"/>
      <c r="E51" s="239"/>
      <c r="F51" s="240">
        <f>F50*Assumptions!$E$65/365*F12</f>
        <v>0</v>
      </c>
      <c r="G51" s="240">
        <f>G50*Assumptions!$E$65/365*G12</f>
        <v>0</v>
      </c>
      <c r="H51" s="240">
        <f>H50*Assumptions!$E$65/365*H12</f>
        <v>0</v>
      </c>
      <c r="I51" s="240">
        <f>I50*Assumptions!$E$65/365*I12</f>
        <v>0</v>
      </c>
      <c r="J51" s="240">
        <f>J50*Assumptions!$E$65/365*J12</f>
        <v>0</v>
      </c>
      <c r="K51" s="240">
        <f>K50*Assumptions!$E$65/365*K12</f>
        <v>0</v>
      </c>
      <c r="L51" s="240">
        <f>L50*Assumptions!$E$65/365*L12</f>
        <v>0</v>
      </c>
      <c r="M51" s="240">
        <f>M50*Assumptions!$E$65/365*M12</f>
        <v>0</v>
      </c>
      <c r="N51" s="240">
        <f>N50*Assumptions!$E$65/365*N12</f>
        <v>0</v>
      </c>
      <c r="O51" s="240">
        <f>O50*Assumptions!$E$65/365*O12</f>
        <v>0</v>
      </c>
      <c r="P51" s="240">
        <f>P50*Assumptions!$E$65/365*P12</f>
        <v>0</v>
      </c>
      <c r="Q51" s="240">
        <f>Q50*Assumptions!$E$65/365*Q12</f>
        <v>0</v>
      </c>
      <c r="R51" s="240">
        <f>R50*Assumptions!$E$65/365*R12</f>
        <v>0</v>
      </c>
      <c r="S51" s="240">
        <f>S50*Assumptions!$E$65/365*S12</f>
        <v>0</v>
      </c>
      <c r="T51" s="240">
        <f>T50*Assumptions!$E$65/365*T12</f>
        <v>0</v>
      </c>
      <c r="U51" s="240">
        <f>U50*Assumptions!$E$65/365*U12</f>
        <v>0</v>
      </c>
      <c r="V51" s="240">
        <f>V50*Assumptions!$E$65/365*V12</f>
        <v>0</v>
      </c>
      <c r="W51" s="240">
        <f>W50*Assumptions!$E$65/365*W12</f>
        <v>0</v>
      </c>
      <c r="X51" s="240">
        <f>X50*Assumptions!$E$65/365*X12</f>
        <v>0</v>
      </c>
      <c r="Y51" s="240">
        <f>Y50*Assumptions!$E$65/365*Y12</f>
        <v>0</v>
      </c>
      <c r="Z51" s="240">
        <f>Z50*Assumptions!$E$65/365*Z12</f>
        <v>0</v>
      </c>
      <c r="AA51" s="240">
        <f>AA50*Assumptions!$E$65/365*AA12</f>
        <v>0</v>
      </c>
      <c r="AB51" s="240">
        <f>AB50*Assumptions!$E$65/365*AB12</f>
        <v>0</v>
      </c>
      <c r="AC51" s="240">
        <f>AC50*Assumptions!$E$65/365*AC12</f>
        <v>0</v>
      </c>
      <c r="AD51" s="240">
        <f>AD50*Assumptions!$E$65/365*AD12</f>
        <v>0</v>
      </c>
    </row>
    <row r="52" spans="2:30" s="259" customFormat="1">
      <c r="B52" s="123" t="str">
        <f>"WDV " &amp; "of "&amp; B50</f>
        <v>WDV of Office equipment</v>
      </c>
      <c r="C52" s="123"/>
      <c r="D52" s="123"/>
      <c r="E52" s="123"/>
      <c r="F52" s="258">
        <f>F50-F51</f>
        <v>0</v>
      </c>
      <c r="G52" s="258">
        <f t="shared" ref="G52:AD52" si="24">G50-G51</f>
        <v>0</v>
      </c>
      <c r="H52" s="258">
        <f t="shared" si="24"/>
        <v>0</v>
      </c>
      <c r="I52" s="258">
        <f t="shared" si="24"/>
        <v>0</v>
      </c>
      <c r="J52" s="258">
        <f t="shared" si="24"/>
        <v>0</v>
      </c>
      <c r="K52" s="258">
        <f t="shared" si="24"/>
        <v>0</v>
      </c>
      <c r="L52" s="258">
        <f t="shared" si="24"/>
        <v>0</v>
      </c>
      <c r="M52" s="258">
        <f t="shared" si="24"/>
        <v>0</v>
      </c>
      <c r="N52" s="258">
        <f t="shared" si="24"/>
        <v>0</v>
      </c>
      <c r="O52" s="258">
        <f t="shared" si="24"/>
        <v>0</v>
      </c>
      <c r="P52" s="258">
        <f t="shared" si="24"/>
        <v>0</v>
      </c>
      <c r="Q52" s="258">
        <f t="shared" si="24"/>
        <v>0</v>
      </c>
      <c r="R52" s="258">
        <f t="shared" si="24"/>
        <v>0</v>
      </c>
      <c r="S52" s="258">
        <f t="shared" si="24"/>
        <v>0</v>
      </c>
      <c r="T52" s="258">
        <f t="shared" si="24"/>
        <v>0</v>
      </c>
      <c r="U52" s="258">
        <f t="shared" si="24"/>
        <v>0</v>
      </c>
      <c r="V52" s="258">
        <f t="shared" si="24"/>
        <v>0</v>
      </c>
      <c r="W52" s="258">
        <f t="shared" si="24"/>
        <v>0</v>
      </c>
      <c r="X52" s="258">
        <f t="shared" si="24"/>
        <v>0</v>
      </c>
      <c r="Y52" s="258">
        <f t="shared" si="24"/>
        <v>0</v>
      </c>
      <c r="Z52" s="258">
        <f t="shared" si="24"/>
        <v>0</v>
      </c>
      <c r="AA52" s="258">
        <f t="shared" si="24"/>
        <v>0</v>
      </c>
      <c r="AB52" s="258">
        <f t="shared" si="24"/>
        <v>0</v>
      </c>
      <c r="AC52" s="258">
        <f t="shared" si="24"/>
        <v>0</v>
      </c>
      <c r="AD52" s="258">
        <f t="shared" si="24"/>
        <v>0</v>
      </c>
    </row>
    <row r="53" spans="2:30">
      <c r="B53" s="236" t="s">
        <v>222</v>
      </c>
      <c r="C53" s="236"/>
      <c r="D53" s="236"/>
      <c r="E53" s="236"/>
      <c r="F53" s="237">
        <f>F37+F40+F43+F46+F49+F52</f>
        <v>76.782899558242946</v>
      </c>
      <c r="G53" s="237">
        <f t="shared" ref="G53:AD53" si="25">G37+G40+G43+G46+G49+G52</f>
        <v>65.265464624506507</v>
      </c>
      <c r="H53" s="237">
        <f t="shared" si="25"/>
        <v>55.448823507012243</v>
      </c>
      <c r="I53" s="237">
        <f t="shared" si="25"/>
        <v>47.131499980960406</v>
      </c>
      <c r="J53" s="237">
        <f t="shared" si="25"/>
        <v>40.061774983816349</v>
      </c>
      <c r="K53" s="237">
        <f t="shared" si="25"/>
        <v>34.052508736243894</v>
      </c>
      <c r="L53" s="237">
        <f t="shared" si="25"/>
        <v>28.930638244134879</v>
      </c>
      <c r="M53" s="237">
        <f t="shared" si="25"/>
        <v>24.591042507514647</v>
      </c>
      <c r="N53" s="237">
        <f t="shared" si="25"/>
        <v>20.902386131387452</v>
      </c>
      <c r="O53" s="237">
        <f t="shared" si="25"/>
        <v>17.767028211679335</v>
      </c>
      <c r="P53" s="237">
        <f t="shared" si="25"/>
        <v>15.094672461484279</v>
      </c>
      <c r="Q53" s="237">
        <f t="shared" si="25"/>
        <v>12.830471592261638</v>
      </c>
      <c r="R53" s="237">
        <f t="shared" si="25"/>
        <v>10.905900853422393</v>
      </c>
      <c r="S53" s="237">
        <f t="shared" si="25"/>
        <v>9.270015725409035</v>
      </c>
      <c r="T53" s="237">
        <f t="shared" si="25"/>
        <v>7.8757037710940869</v>
      </c>
      <c r="U53" s="237">
        <f t="shared" si="25"/>
        <v>6.6943482054299741</v>
      </c>
      <c r="V53" s="237">
        <f t="shared" si="25"/>
        <v>5.6901959746154782</v>
      </c>
      <c r="W53" s="237">
        <f t="shared" si="25"/>
        <v>4.8366665784231566</v>
      </c>
      <c r="X53" s="237">
        <f t="shared" si="25"/>
        <v>4.1091789204630711</v>
      </c>
      <c r="Y53" s="237">
        <f t="shared" si="25"/>
        <v>3.4928020823936103</v>
      </c>
      <c r="Z53" s="237">
        <f t="shared" si="25"/>
        <v>2.9688817700345687</v>
      </c>
      <c r="AA53" s="237">
        <f t="shared" si="25"/>
        <v>2.5235495045293832</v>
      </c>
      <c r="AB53" s="237">
        <f t="shared" si="25"/>
        <v>2.1439800037111278</v>
      </c>
      <c r="AC53" s="237">
        <f t="shared" si="25"/>
        <v>1.8223830031544588</v>
      </c>
      <c r="AD53" s="237">
        <f t="shared" si="25"/>
        <v>1.5490255526812899</v>
      </c>
    </row>
    <row r="54" spans="2:30">
      <c r="B54" s="96" t="s">
        <v>223</v>
      </c>
      <c r="C54" s="96"/>
      <c r="D54" s="96"/>
      <c r="E54" s="96"/>
      <c r="F54" s="97">
        <f>F36+F39+F42+F45+F48+F51</f>
        <v>9.7030079830583187</v>
      </c>
      <c r="G54" s="97">
        <f t="shared" ref="G54:AD54" si="26">G36+G39+G42+G45+G48+G51</f>
        <v>11.517434933736443</v>
      </c>
      <c r="H54" s="97">
        <f t="shared" si="26"/>
        <v>9.8166411174942656</v>
      </c>
      <c r="I54" s="97">
        <f t="shared" si="26"/>
        <v>8.3173235260518368</v>
      </c>
      <c r="J54" s="97">
        <f t="shared" si="26"/>
        <v>7.0697249971440606</v>
      </c>
      <c r="K54" s="97">
        <f t="shared" si="26"/>
        <v>6.0092662475724525</v>
      </c>
      <c r="L54" s="97">
        <f t="shared" si="26"/>
        <v>5.1218704921090135</v>
      </c>
      <c r="M54" s="97">
        <f t="shared" si="26"/>
        <v>4.3395957366202316</v>
      </c>
      <c r="N54" s="97">
        <f t="shared" si="26"/>
        <v>3.6886563761271964</v>
      </c>
      <c r="O54" s="97">
        <f t="shared" si="26"/>
        <v>3.1353579197081181</v>
      </c>
      <c r="P54" s="97">
        <f t="shared" si="26"/>
        <v>2.6723557501950563</v>
      </c>
      <c r="Q54" s="97">
        <f t="shared" si="26"/>
        <v>2.2642008692226416</v>
      </c>
      <c r="R54" s="97">
        <f t="shared" si="26"/>
        <v>1.9245707388392457</v>
      </c>
      <c r="S54" s="97">
        <f t="shared" si="26"/>
        <v>1.6358851280133588</v>
      </c>
      <c r="T54" s="97">
        <f t="shared" si="26"/>
        <v>1.394311954314948</v>
      </c>
      <c r="U54" s="97">
        <f t="shared" si="26"/>
        <v>1.181355565664113</v>
      </c>
      <c r="V54" s="97">
        <f t="shared" si="26"/>
        <v>1.0041522308144961</v>
      </c>
      <c r="W54" s="97">
        <f t="shared" si="26"/>
        <v>0.85352939619232171</v>
      </c>
      <c r="X54" s="97">
        <f t="shared" si="26"/>
        <v>0.72748765796008585</v>
      </c>
      <c r="Y54" s="97">
        <f t="shared" si="26"/>
        <v>0.61637683806946064</v>
      </c>
      <c r="Z54" s="97">
        <f t="shared" si="26"/>
        <v>0.52392031235904157</v>
      </c>
      <c r="AA54" s="97">
        <f t="shared" si="26"/>
        <v>0.44533226550518529</v>
      </c>
      <c r="AB54" s="97">
        <f t="shared" si="26"/>
        <v>0.37956950081825519</v>
      </c>
      <c r="AC54" s="97">
        <f t="shared" si="26"/>
        <v>0.32159700055666918</v>
      </c>
      <c r="AD54" s="97">
        <f t="shared" si="26"/>
        <v>0.27335745047316878</v>
      </c>
    </row>
    <row r="55" spans="2:30">
      <c r="H55" s="68"/>
    </row>
    <row r="56" spans="2:30">
      <c r="H56" s="68"/>
    </row>
    <row r="57" spans="2:30">
      <c r="H57" s="68"/>
    </row>
    <row r="58" spans="2:30">
      <c r="H58" s="68"/>
    </row>
    <row r="59" spans="2:30">
      <c r="H59" s="68"/>
    </row>
    <row r="60" spans="2:30">
      <c r="H60" s="68"/>
    </row>
    <row r="61" spans="2:30">
      <c r="H61" s="68"/>
    </row>
    <row r="62" spans="2:30">
      <c r="H62" s="68"/>
    </row>
    <row r="63" spans="2:30">
      <c r="H63" s="68"/>
    </row>
    <row r="64" spans="2:30">
      <c r="H64" s="68"/>
    </row>
    <row r="65" spans="8:8">
      <c r="H65" s="68"/>
    </row>
    <row r="66" spans="8:8">
      <c r="H66" s="68"/>
    </row>
    <row r="67" spans="8:8">
      <c r="H67" s="68"/>
    </row>
    <row r="68" spans="8:8">
      <c r="H68" s="68"/>
    </row>
    <row r="69" spans="8:8">
      <c r="H69" s="68"/>
    </row>
    <row r="70" spans="8:8">
      <c r="H70" s="68"/>
    </row>
    <row r="71" spans="8:8">
      <c r="H71" s="68"/>
    </row>
    <row r="72" spans="8:8">
      <c r="H72" s="68"/>
    </row>
    <row r="73" spans="8:8">
      <c r="H73" s="68"/>
    </row>
    <row r="74" spans="8:8">
      <c r="H74" s="68"/>
    </row>
    <row r="75" spans="8:8">
      <c r="H75" s="68"/>
    </row>
    <row r="76" spans="8:8">
      <c r="H76" s="68"/>
    </row>
    <row r="77" spans="8:8">
      <c r="H77" s="68"/>
    </row>
    <row r="78" spans="8:8">
      <c r="H78" s="68"/>
    </row>
    <row r="79" spans="8:8">
      <c r="H79" s="68"/>
    </row>
    <row r="80" spans="8:8">
      <c r="H80" s="68"/>
    </row>
    <row r="81" spans="8:8">
      <c r="H81" s="68"/>
    </row>
    <row r="82" spans="8:8">
      <c r="H82" s="68"/>
    </row>
    <row r="83" spans="8:8">
      <c r="H83" s="68"/>
    </row>
    <row r="84" spans="8:8">
      <c r="H84" s="68"/>
    </row>
    <row r="85" spans="8:8">
      <c r="H85" s="68"/>
    </row>
    <row r="86" spans="8:8">
      <c r="H86" s="68"/>
    </row>
    <row r="87" spans="8:8">
      <c r="H87" s="68"/>
    </row>
    <row r="88" spans="8:8">
      <c r="H88" s="68"/>
    </row>
    <row r="89" spans="8:8">
      <c r="H89" s="68"/>
    </row>
    <row r="90" spans="8:8">
      <c r="H90" s="68"/>
    </row>
    <row r="91" spans="8:8">
      <c r="H91" s="68"/>
    </row>
    <row r="92" spans="8:8">
      <c r="H92" s="68"/>
    </row>
    <row r="93" spans="8:8">
      <c r="H93" s="68"/>
    </row>
    <row r="94" spans="8:8">
      <c r="H94" s="68"/>
    </row>
    <row r="95" spans="8:8">
      <c r="H95" s="68"/>
    </row>
    <row r="96" spans="8:8">
      <c r="H96" s="68"/>
    </row>
    <row r="97" spans="8:8">
      <c r="H97" s="68"/>
    </row>
    <row r="98" spans="8:8">
      <c r="H98" s="68"/>
    </row>
    <row r="99" spans="8:8">
      <c r="H99" s="68"/>
    </row>
    <row r="100" spans="8:8">
      <c r="H100" s="68"/>
    </row>
    <row r="101" spans="8:8">
      <c r="H101" s="68"/>
    </row>
    <row r="102" spans="8:8">
      <c r="H102" s="68"/>
    </row>
    <row r="103" spans="8:8">
      <c r="H103" s="68"/>
    </row>
    <row r="104" spans="8:8">
      <c r="H104" s="68"/>
    </row>
    <row r="105" spans="8:8">
      <c r="H105" s="68"/>
    </row>
    <row r="106" spans="8:8">
      <c r="H106" s="68"/>
    </row>
    <row r="107" spans="8:8">
      <c r="H107" s="68"/>
    </row>
    <row r="108" spans="8:8">
      <c r="H108" s="68"/>
    </row>
    <row r="109" spans="8:8">
      <c r="H109" s="68"/>
    </row>
    <row r="110" spans="8:8">
      <c r="H110" s="68"/>
    </row>
    <row r="111" spans="8:8">
      <c r="H111" s="68"/>
    </row>
    <row r="112" spans="8:8">
      <c r="H112" s="68"/>
    </row>
    <row r="113" spans="8:8">
      <c r="H113" s="68"/>
    </row>
    <row r="114" spans="8:8">
      <c r="H114" s="68"/>
    </row>
    <row r="115" spans="8:8">
      <c r="H115" s="68"/>
    </row>
    <row r="116" spans="8:8">
      <c r="H116" s="68"/>
    </row>
    <row r="117" spans="8:8">
      <c r="H117" s="68"/>
    </row>
    <row r="118" spans="8:8">
      <c r="H118" s="68"/>
    </row>
    <row r="119" spans="8:8">
      <c r="H119" s="68"/>
    </row>
    <row r="120" spans="8:8">
      <c r="H120" s="68"/>
    </row>
    <row r="121" spans="8:8">
      <c r="H121" s="68"/>
    </row>
    <row r="122" spans="8:8">
      <c r="H122" s="68"/>
    </row>
    <row r="123" spans="8:8">
      <c r="H123" s="68"/>
    </row>
    <row r="124" spans="8:8">
      <c r="H124" s="68"/>
    </row>
    <row r="125" spans="8:8">
      <c r="H125" s="68"/>
    </row>
    <row r="126" spans="8:8">
      <c r="H126" s="68"/>
    </row>
    <row r="127" spans="8:8">
      <c r="H127" s="68"/>
    </row>
    <row r="128" spans="8:8">
      <c r="H128" s="68"/>
    </row>
    <row r="129" spans="8:8">
      <c r="H129" s="68"/>
    </row>
    <row r="130" spans="8:8">
      <c r="H130" s="68"/>
    </row>
    <row r="131" spans="8:8">
      <c r="H131" s="68"/>
    </row>
    <row r="132" spans="8:8">
      <c r="H132" s="68"/>
    </row>
    <row r="133" spans="8:8">
      <c r="H133" s="68"/>
    </row>
    <row r="134" spans="8:8">
      <c r="H134" s="68"/>
    </row>
    <row r="135" spans="8:8">
      <c r="H135" s="68"/>
    </row>
    <row r="136" spans="8:8">
      <c r="H136" s="68"/>
    </row>
    <row r="137" spans="8:8">
      <c r="H137" s="68"/>
    </row>
    <row r="138" spans="8:8">
      <c r="H138" s="68"/>
    </row>
    <row r="139" spans="8:8">
      <c r="H139" s="68"/>
    </row>
    <row r="140" spans="8:8">
      <c r="H140" s="68"/>
    </row>
    <row r="141" spans="8:8">
      <c r="H141" s="68"/>
    </row>
    <row r="142" spans="8:8">
      <c r="H142" s="68"/>
    </row>
    <row r="143" spans="8:8">
      <c r="H143" s="68"/>
    </row>
    <row r="144" spans="8:8">
      <c r="H144" s="68"/>
    </row>
    <row r="145" spans="8:8">
      <c r="H145" s="68"/>
    </row>
    <row r="146" spans="8:8">
      <c r="H146" s="68"/>
    </row>
    <row r="147" spans="8:8">
      <c r="H147" s="68"/>
    </row>
    <row r="148" spans="8:8">
      <c r="H148" s="68"/>
    </row>
    <row r="149" spans="8:8">
      <c r="H149" s="68"/>
    </row>
    <row r="150" spans="8:8">
      <c r="H150" s="68"/>
    </row>
    <row r="151" spans="8:8">
      <c r="H151" s="68"/>
    </row>
    <row r="152" spans="8:8">
      <c r="H152" s="68"/>
    </row>
    <row r="153" spans="8:8">
      <c r="H153" s="68"/>
    </row>
    <row r="154" spans="8:8">
      <c r="H154" s="68"/>
    </row>
    <row r="155" spans="8:8">
      <c r="H155" s="68"/>
    </row>
    <row r="156" spans="8:8">
      <c r="H156" s="68"/>
    </row>
    <row r="157" spans="8:8">
      <c r="H157" s="68"/>
    </row>
    <row r="158" spans="8:8">
      <c r="H158" s="68"/>
    </row>
    <row r="159" spans="8:8">
      <c r="H159" s="68"/>
    </row>
    <row r="160" spans="8:8">
      <c r="H160" s="68"/>
    </row>
    <row r="161" spans="8:8">
      <c r="H161" s="68"/>
    </row>
    <row r="162" spans="8:8">
      <c r="H162" s="68"/>
    </row>
    <row r="163" spans="8:8">
      <c r="H163" s="68"/>
    </row>
    <row r="164" spans="8:8">
      <c r="H164" s="68"/>
    </row>
    <row r="165" spans="8:8">
      <c r="H165" s="68"/>
    </row>
    <row r="166" spans="8:8">
      <c r="H166" s="68"/>
    </row>
  </sheetData>
  <mergeCells count="2">
    <mergeCell ref="D7:E7"/>
    <mergeCell ref="F7:AD7"/>
  </mergeCells>
  <pageMargins left="0.7" right="0.7" top="0.75" bottom="0.75" header="0.3" footer="0.3"/>
  <ignoredErrors>
    <ignoredError sqref="G22:AD22 G24:AD24 G26:AD26 G28:AD28 G30:AD30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AE47"/>
  <sheetViews>
    <sheetView showGridLines="0" workbookViewId="0">
      <pane xSplit="2" ySplit="8" topLeftCell="C19" activePane="bottomRight" state="frozen"/>
      <selection activeCell="A9" sqref="A9"/>
      <selection pane="topRight" activeCell="A9" sqref="A9"/>
      <selection pane="bottomLeft" activeCell="A9" sqref="A9"/>
      <selection pane="bottomRight" activeCell="E11" sqref="E11"/>
    </sheetView>
  </sheetViews>
  <sheetFormatPr defaultColWidth="13.7109375" defaultRowHeight="15"/>
  <cols>
    <col min="1" max="1" width="2.28515625" style="68" customWidth="1"/>
    <col min="2" max="2" width="64.7109375" style="68" customWidth="1"/>
    <col min="3" max="3" width="7.140625" style="68" customWidth="1"/>
    <col min="4" max="15" width="12.7109375" style="68" customWidth="1"/>
    <col min="16" max="16384" width="13.7109375" style="68"/>
  </cols>
  <sheetData>
    <row r="1" spans="2:31" s="1" customFormat="1" ht="19.899999999999999" customHeight="1">
      <c r="B1" s="101" t="str">
        <f>Company</f>
        <v>M/s. OMC Power Private Limited</v>
      </c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</row>
    <row r="2" spans="2:31" s="1" customFormat="1" ht="9" customHeight="1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2:31" s="1" customFormat="1" ht="19.899999999999999" customHeight="1">
      <c r="B3" s="102" t="str">
        <f>Project</f>
        <v>Financial Model for Proposed 35 locations Solar Power Plant (20 MW )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</row>
    <row r="4" spans="2:31" s="1" customFormat="1" ht="9" customHeight="1">
      <c r="B4" s="2"/>
      <c r="C4" s="2"/>
      <c r="D4" s="2"/>
      <c r="E4" s="2"/>
      <c r="F4" s="2"/>
      <c r="G4" s="287"/>
    </row>
    <row r="5" spans="2:31" customFormat="1" ht="15.75">
      <c r="B5" s="69" t="s">
        <v>296</v>
      </c>
      <c r="C5" s="69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</row>
    <row r="6" spans="2:31" customFormat="1">
      <c r="B6" s="288" t="s">
        <v>288</v>
      </c>
      <c r="C6" s="66"/>
      <c r="D6" s="66"/>
      <c r="E6" s="31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</row>
    <row r="7" spans="2:31" s="31" customFormat="1" ht="15.75">
      <c r="C7" s="66"/>
      <c r="D7" s="413" t="s">
        <v>22</v>
      </c>
      <c r="E7" s="413"/>
      <c r="F7" s="415" t="s">
        <v>81</v>
      </c>
      <c r="G7" s="415"/>
      <c r="H7" s="415"/>
      <c r="I7" s="415"/>
      <c r="J7" s="415"/>
      <c r="K7" s="415"/>
      <c r="L7" s="415"/>
      <c r="M7" s="415"/>
      <c r="N7" s="415"/>
      <c r="O7" s="415"/>
      <c r="P7" s="415"/>
      <c r="Q7" s="415"/>
      <c r="R7" s="415"/>
      <c r="S7" s="415"/>
      <c r="T7" s="415"/>
      <c r="U7" s="415"/>
      <c r="V7" s="415"/>
      <c r="W7" s="415"/>
      <c r="X7" s="415"/>
      <c r="Y7" s="415"/>
      <c r="Z7" s="415"/>
      <c r="AA7" s="415"/>
      <c r="AB7" s="415"/>
      <c r="AC7" s="415"/>
      <c r="AD7" s="415"/>
      <c r="AE7" s="415"/>
    </row>
    <row r="8" spans="2:31" s="31" customFormat="1">
      <c r="B8" s="71" t="s">
        <v>287</v>
      </c>
      <c r="C8" s="72" t="s">
        <v>83</v>
      </c>
      <c r="D8" s="73">
        <f>'Revenue &amp; Expenses Modeling'!D8</f>
        <v>0</v>
      </c>
      <c r="E8" s="73">
        <f>'Revenue &amp; Expenses Modeling'!E8</f>
        <v>45838</v>
      </c>
      <c r="F8" s="399">
        <f>+EDATE(E8,9)</f>
        <v>46111</v>
      </c>
      <c r="G8" s="73">
        <f>DATE(YEAR(F8)+1,MONTH(F8),DAY(F8))</f>
        <v>46476</v>
      </c>
      <c r="H8" s="73">
        <f t="shared" ref="H8:AE8" si="0">DATE(YEAR(G8)+1,MONTH(G8),DAY(G8))</f>
        <v>46842</v>
      </c>
      <c r="I8" s="73">
        <f t="shared" si="0"/>
        <v>47207</v>
      </c>
      <c r="J8" s="73">
        <f t="shared" si="0"/>
        <v>47572</v>
      </c>
      <c r="K8" s="73">
        <f t="shared" si="0"/>
        <v>47937</v>
      </c>
      <c r="L8" s="73">
        <f t="shared" si="0"/>
        <v>48303</v>
      </c>
      <c r="M8" s="73">
        <f t="shared" si="0"/>
        <v>48668</v>
      </c>
      <c r="N8" s="73">
        <f t="shared" si="0"/>
        <v>49033</v>
      </c>
      <c r="O8" s="73">
        <f t="shared" si="0"/>
        <v>49398</v>
      </c>
      <c r="P8" s="73">
        <f t="shared" si="0"/>
        <v>49764</v>
      </c>
      <c r="Q8" s="73">
        <f t="shared" si="0"/>
        <v>50129</v>
      </c>
      <c r="R8" s="73">
        <f t="shared" si="0"/>
        <v>50494</v>
      </c>
      <c r="S8" s="73">
        <f t="shared" si="0"/>
        <v>50859</v>
      </c>
      <c r="T8" s="73">
        <f t="shared" si="0"/>
        <v>51225</v>
      </c>
      <c r="U8" s="73">
        <f t="shared" si="0"/>
        <v>51590</v>
      </c>
      <c r="V8" s="73">
        <f t="shared" si="0"/>
        <v>51955</v>
      </c>
      <c r="W8" s="73">
        <f t="shared" si="0"/>
        <v>52320</v>
      </c>
      <c r="X8" s="73">
        <f t="shared" si="0"/>
        <v>52686</v>
      </c>
      <c r="Y8" s="73">
        <f t="shared" si="0"/>
        <v>53051</v>
      </c>
      <c r="Z8" s="73">
        <f t="shared" si="0"/>
        <v>53416</v>
      </c>
      <c r="AA8" s="73">
        <f t="shared" si="0"/>
        <v>53781</v>
      </c>
      <c r="AB8" s="73">
        <f t="shared" si="0"/>
        <v>54147</v>
      </c>
      <c r="AC8" s="73">
        <f t="shared" si="0"/>
        <v>54512</v>
      </c>
      <c r="AD8" s="73">
        <f t="shared" si="0"/>
        <v>54877</v>
      </c>
      <c r="AE8" s="73">
        <f t="shared" si="0"/>
        <v>55242</v>
      </c>
    </row>
    <row r="9" spans="2:31" s="78" customFormat="1" ht="12.75">
      <c r="B9" s="74" t="s">
        <v>84</v>
      </c>
      <c r="C9" s="75"/>
      <c r="D9" s="76">
        <v>0</v>
      </c>
      <c r="E9" s="76">
        <v>0</v>
      </c>
      <c r="F9" s="77">
        <v>1</v>
      </c>
      <c r="G9" s="77">
        <f>F9+1</f>
        <v>2</v>
      </c>
      <c r="H9" s="77">
        <f t="shared" ref="H9:AE9" si="1">G9+1</f>
        <v>3</v>
      </c>
      <c r="I9" s="77">
        <f t="shared" si="1"/>
        <v>4</v>
      </c>
      <c r="J9" s="77">
        <f t="shared" si="1"/>
        <v>5</v>
      </c>
      <c r="K9" s="77">
        <f t="shared" si="1"/>
        <v>6</v>
      </c>
      <c r="L9" s="77">
        <f t="shared" si="1"/>
        <v>7</v>
      </c>
      <c r="M9" s="77">
        <f t="shared" si="1"/>
        <v>8</v>
      </c>
      <c r="N9" s="77">
        <f t="shared" si="1"/>
        <v>9</v>
      </c>
      <c r="O9" s="77">
        <f t="shared" si="1"/>
        <v>10</v>
      </c>
      <c r="P9" s="77">
        <f t="shared" si="1"/>
        <v>11</v>
      </c>
      <c r="Q9" s="77">
        <f t="shared" si="1"/>
        <v>12</v>
      </c>
      <c r="R9" s="77">
        <f t="shared" si="1"/>
        <v>13</v>
      </c>
      <c r="S9" s="77">
        <f t="shared" si="1"/>
        <v>14</v>
      </c>
      <c r="T9" s="77">
        <f t="shared" si="1"/>
        <v>15</v>
      </c>
      <c r="U9" s="77">
        <f t="shared" si="1"/>
        <v>16</v>
      </c>
      <c r="V9" s="77">
        <f t="shared" si="1"/>
        <v>17</v>
      </c>
      <c r="W9" s="77">
        <f t="shared" si="1"/>
        <v>18</v>
      </c>
      <c r="X9" s="77">
        <f t="shared" si="1"/>
        <v>19</v>
      </c>
      <c r="Y9" s="77">
        <f t="shared" si="1"/>
        <v>20</v>
      </c>
      <c r="Z9" s="77">
        <f t="shared" si="1"/>
        <v>21</v>
      </c>
      <c r="AA9" s="77">
        <f t="shared" si="1"/>
        <v>22</v>
      </c>
      <c r="AB9" s="77">
        <f t="shared" si="1"/>
        <v>23</v>
      </c>
      <c r="AC9" s="77">
        <f t="shared" si="1"/>
        <v>24</v>
      </c>
      <c r="AD9" s="77">
        <f t="shared" si="1"/>
        <v>25</v>
      </c>
      <c r="AE9" s="77">
        <f t="shared" si="1"/>
        <v>26</v>
      </c>
    </row>
    <row r="10" spans="2:31" s="78" customFormat="1" ht="12.75">
      <c r="B10" s="74" t="s">
        <v>85</v>
      </c>
      <c r="C10" s="75"/>
      <c r="D10" s="76" t="e">
        <f>MONTH(D8-Assumptions!E10)</f>
        <v>#NUM!</v>
      </c>
      <c r="E10" s="76">
        <v>3</v>
      </c>
      <c r="F10" s="75">
        <f>MONTH(F8-E8)</f>
        <v>9</v>
      </c>
      <c r="G10" s="75">
        <f t="shared" ref="G10:AE10" si="2">MONTH(G8-F8)</f>
        <v>12</v>
      </c>
      <c r="H10" s="75">
        <f t="shared" si="2"/>
        <v>12</v>
      </c>
      <c r="I10" s="75">
        <f t="shared" si="2"/>
        <v>12</v>
      </c>
      <c r="J10" s="75">
        <f t="shared" si="2"/>
        <v>12</v>
      </c>
      <c r="K10" s="75">
        <f t="shared" si="2"/>
        <v>12</v>
      </c>
      <c r="L10" s="75">
        <f t="shared" si="2"/>
        <v>12</v>
      </c>
      <c r="M10" s="75">
        <f t="shared" si="2"/>
        <v>12</v>
      </c>
      <c r="N10" s="75">
        <f t="shared" si="2"/>
        <v>12</v>
      </c>
      <c r="O10" s="75">
        <f t="shared" si="2"/>
        <v>12</v>
      </c>
      <c r="P10" s="75">
        <f t="shared" si="2"/>
        <v>12</v>
      </c>
      <c r="Q10" s="75">
        <f t="shared" si="2"/>
        <v>12</v>
      </c>
      <c r="R10" s="75">
        <f t="shared" si="2"/>
        <v>12</v>
      </c>
      <c r="S10" s="75">
        <f t="shared" si="2"/>
        <v>12</v>
      </c>
      <c r="T10" s="75">
        <f t="shared" si="2"/>
        <v>12</v>
      </c>
      <c r="U10" s="75">
        <f t="shared" si="2"/>
        <v>12</v>
      </c>
      <c r="V10" s="75">
        <f t="shared" si="2"/>
        <v>12</v>
      </c>
      <c r="W10" s="75">
        <f t="shared" si="2"/>
        <v>12</v>
      </c>
      <c r="X10" s="75">
        <f t="shared" si="2"/>
        <v>12</v>
      </c>
      <c r="Y10" s="75">
        <f t="shared" si="2"/>
        <v>12</v>
      </c>
      <c r="Z10" s="75">
        <f t="shared" si="2"/>
        <v>12</v>
      </c>
      <c r="AA10" s="75">
        <f t="shared" si="2"/>
        <v>12</v>
      </c>
      <c r="AB10" s="75">
        <f t="shared" si="2"/>
        <v>12</v>
      </c>
      <c r="AC10" s="75">
        <f t="shared" si="2"/>
        <v>12</v>
      </c>
      <c r="AD10" s="75">
        <f t="shared" si="2"/>
        <v>12</v>
      </c>
      <c r="AE10" s="75">
        <f t="shared" si="2"/>
        <v>12</v>
      </c>
    </row>
    <row r="12" spans="2:31">
      <c r="B12" s="79" t="s">
        <v>86</v>
      </c>
      <c r="C12" s="79"/>
      <c r="D12" s="79"/>
      <c r="E12" s="79"/>
      <c r="F12" s="80">
        <f>F8-E8</f>
        <v>273</v>
      </c>
      <c r="G12" s="80">
        <f>G8-F8</f>
        <v>365</v>
      </c>
      <c r="H12" s="80">
        <f t="shared" ref="H12:AE12" si="3">H8-G8</f>
        <v>366</v>
      </c>
      <c r="I12" s="80">
        <f t="shared" si="3"/>
        <v>365</v>
      </c>
      <c r="J12" s="80">
        <f t="shared" si="3"/>
        <v>365</v>
      </c>
      <c r="K12" s="80">
        <f t="shared" si="3"/>
        <v>365</v>
      </c>
      <c r="L12" s="80">
        <f t="shared" si="3"/>
        <v>366</v>
      </c>
      <c r="M12" s="80">
        <f t="shared" si="3"/>
        <v>365</v>
      </c>
      <c r="N12" s="80">
        <f t="shared" si="3"/>
        <v>365</v>
      </c>
      <c r="O12" s="80">
        <f t="shared" si="3"/>
        <v>365</v>
      </c>
      <c r="P12" s="80">
        <f t="shared" si="3"/>
        <v>366</v>
      </c>
      <c r="Q12" s="80">
        <f t="shared" si="3"/>
        <v>365</v>
      </c>
      <c r="R12" s="80">
        <f t="shared" si="3"/>
        <v>365</v>
      </c>
      <c r="S12" s="80">
        <f t="shared" si="3"/>
        <v>365</v>
      </c>
      <c r="T12" s="80">
        <f t="shared" si="3"/>
        <v>366</v>
      </c>
      <c r="U12" s="80">
        <f t="shared" si="3"/>
        <v>365</v>
      </c>
      <c r="V12" s="80">
        <f t="shared" si="3"/>
        <v>365</v>
      </c>
      <c r="W12" s="80">
        <f t="shared" si="3"/>
        <v>365</v>
      </c>
      <c r="X12" s="80">
        <f t="shared" si="3"/>
        <v>366</v>
      </c>
      <c r="Y12" s="80">
        <f t="shared" si="3"/>
        <v>365</v>
      </c>
      <c r="Z12" s="80">
        <f t="shared" si="3"/>
        <v>365</v>
      </c>
      <c r="AA12" s="80">
        <f t="shared" si="3"/>
        <v>365</v>
      </c>
      <c r="AB12" s="80">
        <f t="shared" si="3"/>
        <v>366</v>
      </c>
      <c r="AC12" s="80">
        <f t="shared" si="3"/>
        <v>365</v>
      </c>
      <c r="AD12" s="80">
        <f t="shared" si="3"/>
        <v>365</v>
      </c>
      <c r="AE12" s="80">
        <f t="shared" si="3"/>
        <v>365</v>
      </c>
    </row>
    <row r="14" spans="2:31">
      <c r="B14" s="79" t="s">
        <v>87</v>
      </c>
      <c r="C14" s="79"/>
      <c r="D14" s="79"/>
      <c r="E14" s="79"/>
      <c r="F14" s="80">
        <f>'[1]Common Assumption'!D20</f>
        <v>24</v>
      </c>
      <c r="G14" s="80">
        <f>F14</f>
        <v>24</v>
      </c>
      <c r="H14" s="80">
        <f t="shared" ref="H14:AE14" si="4">G14</f>
        <v>24</v>
      </c>
      <c r="I14" s="80">
        <f t="shared" si="4"/>
        <v>24</v>
      </c>
      <c r="J14" s="80">
        <f t="shared" si="4"/>
        <v>24</v>
      </c>
      <c r="K14" s="80">
        <f t="shared" si="4"/>
        <v>24</v>
      </c>
      <c r="L14" s="80">
        <f t="shared" si="4"/>
        <v>24</v>
      </c>
      <c r="M14" s="80">
        <f t="shared" si="4"/>
        <v>24</v>
      </c>
      <c r="N14" s="80">
        <f t="shared" si="4"/>
        <v>24</v>
      </c>
      <c r="O14" s="80">
        <f t="shared" si="4"/>
        <v>24</v>
      </c>
      <c r="P14" s="80">
        <f t="shared" si="4"/>
        <v>24</v>
      </c>
      <c r="Q14" s="80">
        <f t="shared" si="4"/>
        <v>24</v>
      </c>
      <c r="R14" s="80">
        <f t="shared" si="4"/>
        <v>24</v>
      </c>
      <c r="S14" s="80">
        <f t="shared" si="4"/>
        <v>24</v>
      </c>
      <c r="T14" s="80">
        <f t="shared" si="4"/>
        <v>24</v>
      </c>
      <c r="U14" s="80">
        <f t="shared" si="4"/>
        <v>24</v>
      </c>
      <c r="V14" s="80">
        <f t="shared" si="4"/>
        <v>24</v>
      </c>
      <c r="W14" s="80">
        <f t="shared" si="4"/>
        <v>24</v>
      </c>
      <c r="X14" s="80">
        <f t="shared" si="4"/>
        <v>24</v>
      </c>
      <c r="Y14" s="80">
        <f t="shared" si="4"/>
        <v>24</v>
      </c>
      <c r="Z14" s="80">
        <f t="shared" si="4"/>
        <v>24</v>
      </c>
      <c r="AA14" s="80">
        <f t="shared" si="4"/>
        <v>24</v>
      </c>
      <c r="AB14" s="80">
        <f t="shared" si="4"/>
        <v>24</v>
      </c>
      <c r="AC14" s="80">
        <f t="shared" si="4"/>
        <v>24</v>
      </c>
      <c r="AD14" s="80">
        <f t="shared" si="4"/>
        <v>24</v>
      </c>
      <c r="AE14" s="80">
        <f t="shared" si="4"/>
        <v>24</v>
      </c>
    </row>
    <row r="15" spans="2:31" ht="15.75" thickBot="1"/>
    <row r="16" spans="2:31">
      <c r="B16" s="261" t="s">
        <v>227</v>
      </c>
      <c r="C16" s="262">
        <f>Assumptions!E52</f>
        <v>0.1716</v>
      </c>
    </row>
    <row r="17" spans="2:31" ht="15.75" thickBot="1">
      <c r="B17" s="263" t="s">
        <v>228</v>
      </c>
      <c r="C17" s="264">
        <f>Assumptions!E57</f>
        <v>0.29120000000000001</v>
      </c>
    </row>
    <row r="19" spans="2:31">
      <c r="B19" s="68" t="s">
        <v>229</v>
      </c>
      <c r="F19" s="112">
        <f>IS!E22</f>
        <v>2.6082991262961537</v>
      </c>
      <c r="G19" s="112">
        <f>IS!F22</f>
        <v>4.0340363820729745</v>
      </c>
      <c r="H19" s="112">
        <f>IS!G22</f>
        <v>4.2643987188537995</v>
      </c>
      <c r="I19" s="112">
        <f>IS!H22</f>
        <v>4.4362572389658759</v>
      </c>
      <c r="J19" s="112">
        <f>IS!I22</f>
        <v>4.6345837166091082</v>
      </c>
      <c r="K19" s="112">
        <f>IS!J22</f>
        <v>4.8308233250248858</v>
      </c>
      <c r="L19" s="112">
        <f>IS!K22</f>
        <v>5.0517041827088338</v>
      </c>
      <c r="M19" s="112">
        <f>IS!L22</f>
        <v>5.2163009179985016</v>
      </c>
      <c r="N19" s="112">
        <f>IS!M22</f>
        <v>5.4051333097780532</v>
      </c>
      <c r="O19" s="112">
        <f>IS!N22</f>
        <v>5.5910847712123903</v>
      </c>
      <c r="P19" s="112">
        <f>IS!O22</f>
        <v>5.7994319724623145</v>
      </c>
      <c r="Q19" s="112">
        <f>IS!P22</f>
        <v>5.9534559915092036</v>
      </c>
      <c r="R19" s="112">
        <f>IS!Q22</f>
        <v>6.1293914738367725</v>
      </c>
      <c r="S19" s="112">
        <f>IS!R22</f>
        <v>6.3014944074550652</v>
      </c>
      <c r="T19" s="112">
        <f>IS!S22</f>
        <v>6.481173044540979</v>
      </c>
      <c r="U19" s="112">
        <f>IS!T22</f>
        <v>6.33398012352656</v>
      </c>
      <c r="V19" s="112">
        <f>IS!U22</f>
        <v>6.0940649600768992</v>
      </c>
      <c r="W19" s="112">
        <f>IS!V22</f>
        <v>5.849173583107401</v>
      </c>
      <c r="X19" s="112">
        <f>IS!W22</f>
        <v>5.6218191012720542</v>
      </c>
      <c r="Y19" s="112">
        <f>IS!X22</f>
        <v>5.3431732811212047</v>
      </c>
      <c r="Z19" s="112">
        <f>IS!Y22</f>
        <v>5.0813673382519173</v>
      </c>
      <c r="AA19" s="112">
        <f>IS!Z22</f>
        <v>4.8132075698338337</v>
      </c>
      <c r="AB19" s="112">
        <f>IS!AA22</f>
        <v>4.5598868542615243</v>
      </c>
      <c r="AC19" s="112">
        <f>IS!AB22</f>
        <v>4.2562701185792413</v>
      </c>
      <c r="AD19" s="112">
        <f>IS!AC22</f>
        <v>3.9666531594888994</v>
      </c>
      <c r="AE19" s="112" t="e">
        <f>IS!#REF!</f>
        <v>#REF!</v>
      </c>
    </row>
    <row r="20" spans="2:31">
      <c r="B20" s="68" t="s">
        <v>230</v>
      </c>
      <c r="F20" s="132">
        <v>0</v>
      </c>
      <c r="G20" s="132">
        <v>0</v>
      </c>
      <c r="H20" s="132">
        <v>0</v>
      </c>
      <c r="I20" s="132">
        <v>0</v>
      </c>
      <c r="J20" s="132">
        <v>0</v>
      </c>
      <c r="K20" s="132">
        <v>0</v>
      </c>
      <c r="L20" s="132">
        <v>0</v>
      </c>
      <c r="M20" s="132">
        <v>0</v>
      </c>
      <c r="N20" s="132">
        <v>0</v>
      </c>
      <c r="O20" s="132">
        <v>0</v>
      </c>
      <c r="P20" s="132">
        <v>0</v>
      </c>
      <c r="Q20" s="132">
        <v>0</v>
      </c>
      <c r="R20" s="132">
        <v>0</v>
      </c>
      <c r="S20" s="132">
        <v>0</v>
      </c>
      <c r="T20" s="132">
        <v>0</v>
      </c>
      <c r="U20" s="132">
        <v>0</v>
      </c>
      <c r="V20" s="132">
        <v>0</v>
      </c>
      <c r="W20" s="132">
        <v>0</v>
      </c>
      <c r="X20" s="132">
        <v>0</v>
      </c>
      <c r="Y20" s="132">
        <v>0</v>
      </c>
      <c r="Z20" s="132">
        <v>0</v>
      </c>
      <c r="AA20" s="132">
        <v>0</v>
      </c>
      <c r="AB20" s="132">
        <v>0</v>
      </c>
      <c r="AC20" s="132">
        <v>0</v>
      </c>
      <c r="AD20" s="132">
        <v>0</v>
      </c>
      <c r="AE20" s="132">
        <v>0</v>
      </c>
    </row>
    <row r="21" spans="2:31">
      <c r="B21" s="68" t="s">
        <v>231</v>
      </c>
      <c r="F21" s="132">
        <v>0</v>
      </c>
      <c r="G21" s="132">
        <v>0</v>
      </c>
      <c r="H21" s="132">
        <v>0</v>
      </c>
      <c r="I21" s="132">
        <v>0</v>
      </c>
      <c r="J21" s="132">
        <v>0</v>
      </c>
      <c r="K21" s="132">
        <v>0</v>
      </c>
      <c r="L21" s="132">
        <v>0</v>
      </c>
      <c r="M21" s="132">
        <v>0</v>
      </c>
      <c r="N21" s="132">
        <v>0</v>
      </c>
      <c r="O21" s="132">
        <v>0</v>
      </c>
      <c r="P21" s="132">
        <v>0</v>
      </c>
      <c r="Q21" s="132">
        <v>0</v>
      </c>
      <c r="R21" s="132">
        <v>0</v>
      </c>
      <c r="S21" s="132">
        <v>0</v>
      </c>
      <c r="T21" s="132">
        <v>0</v>
      </c>
      <c r="U21" s="132">
        <v>0</v>
      </c>
      <c r="V21" s="132">
        <v>0</v>
      </c>
      <c r="W21" s="132">
        <v>0</v>
      </c>
      <c r="X21" s="132">
        <v>0</v>
      </c>
      <c r="Y21" s="132">
        <v>0</v>
      </c>
      <c r="Z21" s="132">
        <v>0</v>
      </c>
      <c r="AA21" s="132">
        <v>0</v>
      </c>
      <c r="AB21" s="132">
        <v>0</v>
      </c>
      <c r="AC21" s="132">
        <v>0</v>
      </c>
      <c r="AD21" s="132">
        <v>0</v>
      </c>
      <c r="AE21" s="132">
        <v>0</v>
      </c>
    </row>
    <row r="22" spans="2:31">
      <c r="B22" s="68" t="s">
        <v>232</v>
      </c>
      <c r="F22" s="112">
        <f>'Dep Schedule'!F30</f>
        <v>2.458095355708108</v>
      </c>
      <c r="G22" s="112">
        <f>'Dep Schedule'!G30</f>
        <v>3.2864644865694483</v>
      </c>
      <c r="H22" s="112">
        <f>'Dep Schedule'!H30</f>
        <v>3.2954684988614198</v>
      </c>
      <c r="I22" s="112">
        <f>'Dep Schedule'!I30</f>
        <v>3.2864644865694483</v>
      </c>
      <c r="J22" s="112">
        <f>'Dep Schedule'!J30</f>
        <v>3.2864644865694483</v>
      </c>
      <c r="K22" s="112">
        <f>'Dep Schedule'!K30</f>
        <v>3.2864644865694483</v>
      </c>
      <c r="L22" s="112">
        <f>'Dep Schedule'!L30</f>
        <v>3.2954684988614198</v>
      </c>
      <c r="M22" s="112">
        <f>'Dep Schedule'!M30</f>
        <v>3.2864644865694483</v>
      </c>
      <c r="N22" s="112">
        <f>'Dep Schedule'!N30</f>
        <v>3.2864644865694483</v>
      </c>
      <c r="O22" s="112">
        <f>'Dep Schedule'!O30</f>
        <v>3.2864644865694483</v>
      </c>
      <c r="P22" s="112">
        <f>'Dep Schedule'!P30</f>
        <v>3.2954684988614198</v>
      </c>
      <c r="Q22" s="112">
        <f>'Dep Schedule'!Q30</f>
        <v>3.2864644865694483</v>
      </c>
      <c r="R22" s="112">
        <f>'Dep Schedule'!R30</f>
        <v>3.2864644865694483</v>
      </c>
      <c r="S22" s="112">
        <f>'Dep Schedule'!S30</f>
        <v>3.2864644865694483</v>
      </c>
      <c r="T22" s="112">
        <f>'Dep Schedule'!T30</f>
        <v>3.2954684988614198</v>
      </c>
      <c r="U22" s="112">
        <f>'Dep Schedule'!U30</f>
        <v>3.2864644865694483</v>
      </c>
      <c r="V22" s="112">
        <f>'Dep Schedule'!V30</f>
        <v>3.2864644865694483</v>
      </c>
      <c r="W22" s="112">
        <f>'Dep Schedule'!W30</f>
        <v>3.2864644865694483</v>
      </c>
      <c r="X22" s="112">
        <f>'Dep Schedule'!X30</f>
        <v>3.2954684988614198</v>
      </c>
      <c r="Y22" s="112">
        <f>'Dep Schedule'!Y30</f>
        <v>3.2864644865694483</v>
      </c>
      <c r="Z22" s="112">
        <f>'Dep Schedule'!Z30</f>
        <v>3.2864644865694483</v>
      </c>
      <c r="AA22" s="112">
        <f>'Dep Schedule'!AA30</f>
        <v>3.2864644865694483</v>
      </c>
      <c r="AB22" s="112">
        <f>'Dep Schedule'!AB30</f>
        <v>3.2954684988614198</v>
      </c>
      <c r="AC22" s="112">
        <f>'Dep Schedule'!AC30</f>
        <v>3.2864644865694483</v>
      </c>
      <c r="AD22" s="112">
        <f>'Dep Schedule'!AD30</f>
        <v>3.2864644865694483</v>
      </c>
      <c r="AE22" s="112" t="e">
        <f>'Dep Schedule'!#REF!</f>
        <v>#REF!</v>
      </c>
    </row>
    <row r="23" spans="2:31">
      <c r="B23" s="68" t="s">
        <v>233</v>
      </c>
      <c r="F23" s="112">
        <f>'Dep Schedule'!F54</f>
        <v>9.7030079830583187</v>
      </c>
      <c r="G23" s="112">
        <f>'Dep Schedule'!G54</f>
        <v>11.517434933736443</v>
      </c>
      <c r="H23" s="112">
        <f>'Dep Schedule'!H54</f>
        <v>9.8166411174942656</v>
      </c>
      <c r="I23" s="112">
        <f>'Dep Schedule'!I54</f>
        <v>8.3173235260518368</v>
      </c>
      <c r="J23" s="112">
        <f>'Dep Schedule'!J54</f>
        <v>7.0697249971440606</v>
      </c>
      <c r="K23" s="112">
        <f>'Dep Schedule'!K54</f>
        <v>6.0092662475724525</v>
      </c>
      <c r="L23" s="112">
        <f>'Dep Schedule'!L54</f>
        <v>5.1218704921090135</v>
      </c>
      <c r="M23" s="112">
        <f>'Dep Schedule'!M54</f>
        <v>4.3395957366202316</v>
      </c>
      <c r="N23" s="112">
        <f>'Dep Schedule'!N54</f>
        <v>3.6886563761271964</v>
      </c>
      <c r="O23" s="112">
        <f>'Dep Schedule'!O54</f>
        <v>3.1353579197081181</v>
      </c>
      <c r="P23" s="112">
        <f>'Dep Schedule'!P54</f>
        <v>2.6723557501950563</v>
      </c>
      <c r="Q23" s="112">
        <f>'Dep Schedule'!Q54</f>
        <v>2.2642008692226416</v>
      </c>
      <c r="R23" s="112">
        <f>'Dep Schedule'!R54</f>
        <v>1.9245707388392457</v>
      </c>
      <c r="S23" s="112">
        <f>'Dep Schedule'!S54</f>
        <v>1.6358851280133588</v>
      </c>
      <c r="T23" s="112">
        <f>'Dep Schedule'!T54</f>
        <v>1.394311954314948</v>
      </c>
      <c r="U23" s="112">
        <f>'Dep Schedule'!U54</f>
        <v>1.181355565664113</v>
      </c>
      <c r="V23" s="112">
        <f>'Dep Schedule'!V54</f>
        <v>1.0041522308144961</v>
      </c>
      <c r="W23" s="112">
        <f>'Dep Schedule'!W54</f>
        <v>0.85352939619232171</v>
      </c>
      <c r="X23" s="112">
        <f>'Dep Schedule'!X54</f>
        <v>0.72748765796008585</v>
      </c>
      <c r="Y23" s="112">
        <f>'Dep Schedule'!Y54</f>
        <v>0.61637683806946064</v>
      </c>
      <c r="Z23" s="112">
        <f>'Dep Schedule'!Z54</f>
        <v>0.52392031235904157</v>
      </c>
      <c r="AA23" s="112">
        <f>'Dep Schedule'!AA54</f>
        <v>0.44533226550518529</v>
      </c>
      <c r="AB23" s="112">
        <f>'Dep Schedule'!AB54</f>
        <v>0.37956950081825519</v>
      </c>
      <c r="AC23" s="112">
        <f>'Dep Schedule'!AC54</f>
        <v>0.32159700055666918</v>
      </c>
      <c r="AD23" s="112">
        <f>'Dep Schedule'!AD54</f>
        <v>0.27335745047316878</v>
      </c>
      <c r="AE23" s="112" t="e">
        <f>'Dep Schedule'!#REF!</f>
        <v>#REF!</v>
      </c>
    </row>
    <row r="24" spans="2:31">
      <c r="B24" s="135" t="s">
        <v>234</v>
      </c>
      <c r="C24" s="135"/>
      <c r="D24" s="135"/>
      <c r="E24" s="135"/>
      <c r="F24" s="136">
        <f>F19+F20+F21+F22-F23</f>
        <v>-4.6366135010540575</v>
      </c>
      <c r="G24" s="136">
        <f t="shared" ref="G24:AE24" si="5">G19+G20+G21+G22-G23</f>
        <v>-4.1969340650940197</v>
      </c>
      <c r="H24" s="136">
        <f t="shared" si="5"/>
        <v>-2.2567738997790467</v>
      </c>
      <c r="I24" s="136">
        <f t="shared" si="5"/>
        <v>-0.59460180051651257</v>
      </c>
      <c r="J24" s="136">
        <f t="shared" si="5"/>
        <v>0.85132320603449596</v>
      </c>
      <c r="K24" s="136">
        <f t="shared" si="5"/>
        <v>2.1080215640218816</v>
      </c>
      <c r="L24" s="136">
        <f t="shared" si="5"/>
        <v>3.2253021894612397</v>
      </c>
      <c r="M24" s="136">
        <f t="shared" si="5"/>
        <v>4.1631696679477175</v>
      </c>
      <c r="N24" s="136">
        <f t="shared" si="5"/>
        <v>5.0029414202203046</v>
      </c>
      <c r="O24" s="136">
        <f t="shared" si="5"/>
        <v>5.7421913380737202</v>
      </c>
      <c r="P24" s="136">
        <f t="shared" si="5"/>
        <v>6.4225447211286788</v>
      </c>
      <c r="Q24" s="136">
        <f t="shared" si="5"/>
        <v>6.9757196088560107</v>
      </c>
      <c r="R24" s="136">
        <f t="shared" si="5"/>
        <v>7.491285221566975</v>
      </c>
      <c r="S24" s="136">
        <f t="shared" si="5"/>
        <v>7.9520737660111545</v>
      </c>
      <c r="T24" s="136">
        <f t="shared" si="5"/>
        <v>8.3823295890874512</v>
      </c>
      <c r="U24" s="136">
        <f t="shared" si="5"/>
        <v>8.4390890444318956</v>
      </c>
      <c r="V24" s="136">
        <f t="shared" si="5"/>
        <v>8.3763772158318517</v>
      </c>
      <c r="W24" s="136">
        <f t="shared" si="5"/>
        <v>8.2821086734845277</v>
      </c>
      <c r="X24" s="136">
        <f t="shared" si="5"/>
        <v>8.1897999421733871</v>
      </c>
      <c r="Y24" s="136">
        <f t="shared" si="5"/>
        <v>8.0132609296211932</v>
      </c>
      <c r="Z24" s="136">
        <f t="shared" si="5"/>
        <v>7.8439115124623244</v>
      </c>
      <c r="AA24" s="136">
        <f t="shared" si="5"/>
        <v>7.6543397908980966</v>
      </c>
      <c r="AB24" s="136">
        <f t="shared" si="5"/>
        <v>7.4757858523046883</v>
      </c>
      <c r="AC24" s="136">
        <f t="shared" si="5"/>
        <v>7.2211376045920206</v>
      </c>
      <c r="AD24" s="136">
        <f t="shared" si="5"/>
        <v>6.9797601955851789</v>
      </c>
      <c r="AE24" s="136" t="e">
        <f t="shared" si="5"/>
        <v>#REF!</v>
      </c>
    </row>
    <row r="25" spans="2:31">
      <c r="B25" s="68" t="s">
        <v>235</v>
      </c>
      <c r="F25" s="112">
        <f>E28</f>
        <v>0</v>
      </c>
      <c r="G25" s="112">
        <f t="shared" ref="G25:AE26" si="6">F28</f>
        <v>-4.6366135010540575</v>
      </c>
      <c r="H25" s="112">
        <f t="shared" si="6"/>
        <v>-8.8335475661480771</v>
      </c>
      <c r="I25" s="112">
        <f t="shared" si="6"/>
        <v>-11.090321465927124</v>
      </c>
      <c r="J25" s="112">
        <f t="shared" si="6"/>
        <v>-11.684923266443636</v>
      </c>
      <c r="K25" s="112">
        <f t="shared" si="6"/>
        <v>-10.83360006040914</v>
      </c>
      <c r="L25" s="112">
        <f t="shared" si="6"/>
        <v>-8.7255784963872571</v>
      </c>
      <c r="M25" s="112">
        <f t="shared" si="6"/>
        <v>-5.5002763069260174</v>
      </c>
      <c r="N25" s="112">
        <f t="shared" si="6"/>
        <v>-1.3371066389783</v>
      </c>
      <c r="O25" s="112">
        <f t="shared" si="6"/>
        <v>0</v>
      </c>
      <c r="P25" s="112">
        <f t="shared" si="6"/>
        <v>0</v>
      </c>
      <c r="Q25" s="112">
        <f t="shared" si="6"/>
        <v>0</v>
      </c>
      <c r="R25" s="112">
        <f t="shared" si="6"/>
        <v>0</v>
      </c>
      <c r="S25" s="112">
        <f t="shared" si="6"/>
        <v>0</v>
      </c>
      <c r="T25" s="112">
        <f t="shared" si="6"/>
        <v>0</v>
      </c>
      <c r="U25" s="112">
        <f t="shared" si="6"/>
        <v>0</v>
      </c>
      <c r="V25" s="112">
        <f t="shared" si="6"/>
        <v>0</v>
      </c>
      <c r="W25" s="112">
        <f t="shared" si="6"/>
        <v>0</v>
      </c>
      <c r="X25" s="112">
        <f t="shared" si="6"/>
        <v>0</v>
      </c>
      <c r="Y25" s="112">
        <f t="shared" si="6"/>
        <v>0</v>
      </c>
      <c r="Z25" s="112">
        <f t="shared" si="6"/>
        <v>0</v>
      </c>
      <c r="AA25" s="112">
        <f t="shared" si="6"/>
        <v>0</v>
      </c>
      <c r="AB25" s="112">
        <f t="shared" si="6"/>
        <v>0</v>
      </c>
      <c r="AC25" s="112">
        <f t="shared" si="6"/>
        <v>0</v>
      </c>
      <c r="AD25" s="112">
        <f t="shared" si="6"/>
        <v>0</v>
      </c>
      <c r="AE25" s="112">
        <f t="shared" si="6"/>
        <v>0</v>
      </c>
    </row>
    <row r="26" spans="2:31">
      <c r="B26" s="68" t="s">
        <v>236</v>
      </c>
      <c r="F26" s="112">
        <f>E29</f>
        <v>0</v>
      </c>
      <c r="G26" s="112">
        <f t="shared" si="6"/>
        <v>0</v>
      </c>
      <c r="H26" s="112">
        <f t="shared" si="6"/>
        <v>0</v>
      </c>
      <c r="I26" s="112">
        <f t="shared" si="6"/>
        <v>0</v>
      </c>
      <c r="J26" s="112">
        <f t="shared" si="6"/>
        <v>0</v>
      </c>
      <c r="K26" s="112">
        <f t="shared" si="6"/>
        <v>0</v>
      </c>
      <c r="L26" s="112">
        <f t="shared" si="6"/>
        <v>0</v>
      </c>
      <c r="M26" s="112">
        <f t="shared" si="6"/>
        <v>0</v>
      </c>
      <c r="N26" s="112">
        <f t="shared" si="6"/>
        <v>0</v>
      </c>
      <c r="O26" s="112">
        <f t="shared" si="6"/>
        <v>0</v>
      </c>
      <c r="P26" s="112">
        <f t="shared" si="6"/>
        <v>0</v>
      </c>
      <c r="Q26" s="112">
        <f t="shared" si="6"/>
        <v>0</v>
      </c>
      <c r="R26" s="112">
        <f t="shared" si="6"/>
        <v>0</v>
      </c>
      <c r="S26" s="112">
        <f t="shared" si="6"/>
        <v>0</v>
      </c>
      <c r="T26" s="112">
        <f t="shared" si="6"/>
        <v>0</v>
      </c>
      <c r="U26" s="112">
        <f t="shared" si="6"/>
        <v>0</v>
      </c>
      <c r="V26" s="112">
        <f t="shared" si="6"/>
        <v>0</v>
      </c>
      <c r="W26" s="112">
        <f t="shared" si="6"/>
        <v>0</v>
      </c>
      <c r="X26" s="112">
        <f t="shared" si="6"/>
        <v>0</v>
      </c>
      <c r="Y26" s="112">
        <f t="shared" si="6"/>
        <v>0</v>
      </c>
      <c r="Z26" s="112">
        <f t="shared" si="6"/>
        <v>0</v>
      </c>
      <c r="AA26" s="112">
        <f t="shared" si="6"/>
        <v>0</v>
      </c>
      <c r="AB26" s="112">
        <f t="shared" si="6"/>
        <v>0</v>
      </c>
      <c r="AC26" s="112">
        <f t="shared" si="6"/>
        <v>0</v>
      </c>
      <c r="AD26" s="112">
        <f t="shared" si="6"/>
        <v>0</v>
      </c>
      <c r="AE26" s="112">
        <f t="shared" si="6"/>
        <v>0</v>
      </c>
    </row>
    <row r="27" spans="2:31">
      <c r="B27" s="135" t="s">
        <v>237</v>
      </c>
      <c r="C27" s="135"/>
      <c r="D27" s="135"/>
      <c r="E27" s="135"/>
      <c r="F27" s="136">
        <f>IF((F24+F25+F26)&gt;0,(F24+F25+F26),0)</f>
        <v>0</v>
      </c>
      <c r="G27" s="136">
        <f>IF((G24+G25+G26)&gt;0,(G24+G25+G26),0)</f>
        <v>0</v>
      </c>
      <c r="H27" s="136">
        <f t="shared" ref="H27:AE27" si="7">IF((H24+H25+H26)&gt;0,(H24+H25+H26),0)</f>
        <v>0</v>
      </c>
      <c r="I27" s="136">
        <f t="shared" si="7"/>
        <v>0</v>
      </c>
      <c r="J27" s="136">
        <f t="shared" si="7"/>
        <v>0</v>
      </c>
      <c r="K27" s="136">
        <f t="shared" si="7"/>
        <v>0</v>
      </c>
      <c r="L27" s="136">
        <f t="shared" si="7"/>
        <v>0</v>
      </c>
      <c r="M27" s="136">
        <f t="shared" si="7"/>
        <v>0</v>
      </c>
      <c r="N27" s="136">
        <f t="shared" si="7"/>
        <v>3.6658347812420047</v>
      </c>
      <c r="O27" s="136">
        <f t="shared" si="7"/>
        <v>5.7421913380737202</v>
      </c>
      <c r="P27" s="136">
        <f t="shared" si="7"/>
        <v>6.4225447211286788</v>
      </c>
      <c r="Q27" s="136">
        <f t="shared" si="7"/>
        <v>6.9757196088560107</v>
      </c>
      <c r="R27" s="136">
        <f t="shared" si="7"/>
        <v>7.491285221566975</v>
      </c>
      <c r="S27" s="136">
        <f t="shared" si="7"/>
        <v>7.9520737660111545</v>
      </c>
      <c r="T27" s="136">
        <f t="shared" si="7"/>
        <v>8.3823295890874512</v>
      </c>
      <c r="U27" s="136">
        <f t="shared" si="7"/>
        <v>8.4390890444318956</v>
      </c>
      <c r="V27" s="136">
        <f t="shared" si="7"/>
        <v>8.3763772158318517</v>
      </c>
      <c r="W27" s="136">
        <f t="shared" si="7"/>
        <v>8.2821086734845277</v>
      </c>
      <c r="X27" s="136">
        <f t="shared" si="7"/>
        <v>8.1897999421733871</v>
      </c>
      <c r="Y27" s="136">
        <f t="shared" si="7"/>
        <v>8.0132609296211932</v>
      </c>
      <c r="Z27" s="136">
        <f t="shared" si="7"/>
        <v>7.8439115124623244</v>
      </c>
      <c r="AA27" s="136">
        <f t="shared" si="7"/>
        <v>7.6543397908980966</v>
      </c>
      <c r="AB27" s="136">
        <f t="shared" si="7"/>
        <v>7.4757858523046883</v>
      </c>
      <c r="AC27" s="136">
        <f t="shared" si="7"/>
        <v>7.2211376045920206</v>
      </c>
      <c r="AD27" s="136">
        <f t="shared" si="7"/>
        <v>6.9797601955851789</v>
      </c>
      <c r="AE27" s="136" t="e">
        <f t="shared" si="7"/>
        <v>#REF!</v>
      </c>
    </row>
    <row r="28" spans="2:31">
      <c r="B28" s="68" t="s">
        <v>238</v>
      </c>
      <c r="E28" s="265">
        <v>0</v>
      </c>
      <c r="F28" s="112">
        <f>IF((F24+F25)&lt;0,(F24+F25),0)</f>
        <v>-4.6366135010540575</v>
      </c>
      <c r="G28" s="112">
        <f t="shared" ref="G28:AE28" si="8">IF(G24+G25&lt;0,G24+G25,0)</f>
        <v>-8.8335475661480771</v>
      </c>
      <c r="H28" s="112">
        <f t="shared" si="8"/>
        <v>-11.090321465927124</v>
      </c>
      <c r="I28" s="112">
        <f t="shared" si="8"/>
        <v>-11.684923266443636</v>
      </c>
      <c r="J28" s="112">
        <f t="shared" si="8"/>
        <v>-10.83360006040914</v>
      </c>
      <c r="K28" s="112">
        <f t="shared" si="8"/>
        <v>-8.7255784963872571</v>
      </c>
      <c r="L28" s="112">
        <f t="shared" si="8"/>
        <v>-5.5002763069260174</v>
      </c>
      <c r="M28" s="112">
        <f t="shared" si="8"/>
        <v>-1.3371066389783</v>
      </c>
      <c r="N28" s="112">
        <f t="shared" si="8"/>
        <v>0</v>
      </c>
      <c r="O28" s="112">
        <f t="shared" si="8"/>
        <v>0</v>
      </c>
      <c r="P28" s="112">
        <f t="shared" si="8"/>
        <v>0</v>
      </c>
      <c r="Q28" s="112">
        <f t="shared" si="8"/>
        <v>0</v>
      </c>
      <c r="R28" s="112">
        <f t="shared" si="8"/>
        <v>0</v>
      </c>
      <c r="S28" s="112">
        <f t="shared" si="8"/>
        <v>0</v>
      </c>
      <c r="T28" s="112">
        <f t="shared" si="8"/>
        <v>0</v>
      </c>
      <c r="U28" s="112">
        <f t="shared" si="8"/>
        <v>0</v>
      </c>
      <c r="V28" s="112">
        <f t="shared" si="8"/>
        <v>0</v>
      </c>
      <c r="W28" s="112">
        <f t="shared" si="8"/>
        <v>0</v>
      </c>
      <c r="X28" s="112">
        <f t="shared" si="8"/>
        <v>0</v>
      </c>
      <c r="Y28" s="112">
        <f t="shared" si="8"/>
        <v>0</v>
      </c>
      <c r="Z28" s="112">
        <f t="shared" si="8"/>
        <v>0</v>
      </c>
      <c r="AA28" s="112">
        <f t="shared" si="8"/>
        <v>0</v>
      </c>
      <c r="AB28" s="112">
        <f t="shared" si="8"/>
        <v>0</v>
      </c>
      <c r="AC28" s="112">
        <f t="shared" si="8"/>
        <v>0</v>
      </c>
      <c r="AD28" s="112">
        <f t="shared" si="8"/>
        <v>0</v>
      </c>
      <c r="AE28" s="112" t="e">
        <f t="shared" si="8"/>
        <v>#REF!</v>
      </c>
    </row>
    <row r="29" spans="2:31">
      <c r="B29" s="68" t="s">
        <v>239</v>
      </c>
      <c r="E29" s="265">
        <v>0</v>
      </c>
      <c r="F29" s="112">
        <f>IF(F24+F25&gt;0,IF(F24+F25+F26&lt;0,F24+F25+F26,0),F26)</f>
        <v>0</v>
      </c>
      <c r="G29" s="112">
        <f t="shared" ref="G29:AE29" si="9">IF(G24+G25&gt;0,IF(G24+G25+G26&lt;0,G24+G25+G26,0),G26)</f>
        <v>0</v>
      </c>
      <c r="H29" s="112">
        <f t="shared" si="9"/>
        <v>0</v>
      </c>
      <c r="I29" s="112">
        <f t="shared" si="9"/>
        <v>0</v>
      </c>
      <c r="J29" s="112">
        <f t="shared" si="9"/>
        <v>0</v>
      </c>
      <c r="K29" s="112">
        <f t="shared" si="9"/>
        <v>0</v>
      </c>
      <c r="L29" s="112">
        <f t="shared" si="9"/>
        <v>0</v>
      </c>
      <c r="M29" s="112">
        <f t="shared" si="9"/>
        <v>0</v>
      </c>
      <c r="N29" s="112">
        <f t="shared" si="9"/>
        <v>0</v>
      </c>
      <c r="O29" s="112">
        <f t="shared" si="9"/>
        <v>0</v>
      </c>
      <c r="P29" s="112">
        <f t="shared" si="9"/>
        <v>0</v>
      </c>
      <c r="Q29" s="112">
        <f t="shared" si="9"/>
        <v>0</v>
      </c>
      <c r="R29" s="112">
        <f t="shared" si="9"/>
        <v>0</v>
      </c>
      <c r="S29" s="112">
        <f t="shared" si="9"/>
        <v>0</v>
      </c>
      <c r="T29" s="112">
        <f t="shared" si="9"/>
        <v>0</v>
      </c>
      <c r="U29" s="112">
        <f t="shared" si="9"/>
        <v>0</v>
      </c>
      <c r="V29" s="112">
        <f t="shared" si="9"/>
        <v>0</v>
      </c>
      <c r="W29" s="112">
        <f t="shared" si="9"/>
        <v>0</v>
      </c>
      <c r="X29" s="112">
        <f t="shared" si="9"/>
        <v>0</v>
      </c>
      <c r="Y29" s="112">
        <f t="shared" si="9"/>
        <v>0</v>
      </c>
      <c r="Z29" s="112">
        <f t="shared" si="9"/>
        <v>0</v>
      </c>
      <c r="AA29" s="112">
        <f t="shared" si="9"/>
        <v>0</v>
      </c>
      <c r="AB29" s="112">
        <f t="shared" si="9"/>
        <v>0</v>
      </c>
      <c r="AC29" s="112">
        <f t="shared" si="9"/>
        <v>0</v>
      </c>
      <c r="AD29" s="112">
        <f t="shared" si="9"/>
        <v>0</v>
      </c>
      <c r="AE29" s="112" t="e">
        <f t="shared" si="9"/>
        <v>#REF!</v>
      </c>
    </row>
    <row r="31" spans="2:31">
      <c r="B31" s="259" t="s">
        <v>240</v>
      </c>
      <c r="C31" s="259"/>
      <c r="D31" s="259"/>
      <c r="E31" s="259"/>
      <c r="F31" s="266">
        <f>F27*$C$17</f>
        <v>0</v>
      </c>
      <c r="G31" s="266">
        <f t="shared" ref="G31:AE31" si="10">G27*$C$17</f>
        <v>0</v>
      </c>
      <c r="H31" s="266">
        <f t="shared" si="10"/>
        <v>0</v>
      </c>
      <c r="I31" s="266">
        <f t="shared" si="10"/>
        <v>0</v>
      </c>
      <c r="J31" s="266">
        <f t="shared" si="10"/>
        <v>0</v>
      </c>
      <c r="K31" s="266">
        <f t="shared" si="10"/>
        <v>0</v>
      </c>
      <c r="L31" s="266">
        <f t="shared" si="10"/>
        <v>0</v>
      </c>
      <c r="M31" s="266">
        <f t="shared" si="10"/>
        <v>0</v>
      </c>
      <c r="N31" s="266">
        <f t="shared" si="10"/>
        <v>1.0674910882976718</v>
      </c>
      <c r="O31" s="266">
        <f t="shared" si="10"/>
        <v>1.6721261176470674</v>
      </c>
      <c r="P31" s="266">
        <f t="shared" si="10"/>
        <v>1.8702450227926715</v>
      </c>
      <c r="Q31" s="266">
        <f t="shared" si="10"/>
        <v>2.0313295500988704</v>
      </c>
      <c r="R31" s="266">
        <f t="shared" si="10"/>
        <v>2.181462256520303</v>
      </c>
      <c r="S31" s="266">
        <f t="shared" si="10"/>
        <v>2.3156438806624484</v>
      </c>
      <c r="T31" s="266">
        <f t="shared" si="10"/>
        <v>2.4409343763422657</v>
      </c>
      <c r="U31" s="266">
        <f t="shared" si="10"/>
        <v>2.4574627297385683</v>
      </c>
      <c r="V31" s="266">
        <f t="shared" si="10"/>
        <v>2.4392010452502353</v>
      </c>
      <c r="W31" s="266">
        <f t="shared" si="10"/>
        <v>2.4117500457186947</v>
      </c>
      <c r="X31" s="266">
        <f t="shared" si="10"/>
        <v>2.3848697431608903</v>
      </c>
      <c r="Y31" s="266">
        <f t="shared" si="10"/>
        <v>2.3334615827056915</v>
      </c>
      <c r="Z31" s="266">
        <f t="shared" si="10"/>
        <v>2.2841470324290292</v>
      </c>
      <c r="AA31" s="266">
        <f t="shared" si="10"/>
        <v>2.2289437471095259</v>
      </c>
      <c r="AB31" s="266">
        <f t="shared" si="10"/>
        <v>2.1769488401911254</v>
      </c>
      <c r="AC31" s="266">
        <f t="shared" si="10"/>
        <v>2.1027952704571966</v>
      </c>
      <c r="AD31" s="266">
        <f t="shared" si="10"/>
        <v>2.0325061689544044</v>
      </c>
      <c r="AE31" s="266" t="e">
        <f t="shared" si="10"/>
        <v>#REF!</v>
      </c>
    </row>
    <row r="33" spans="2:31">
      <c r="B33" s="259" t="s">
        <v>241</v>
      </c>
    </row>
    <row r="35" spans="2:31">
      <c r="B35" s="68" t="s">
        <v>242</v>
      </c>
      <c r="F35" s="112">
        <f>IF(F19&gt;0,F19*$C$16,0)</f>
        <v>0.44758413007241998</v>
      </c>
      <c r="G35" s="112">
        <f t="shared" ref="G35:AE35" si="11">IF(G19&gt;0,G19*$C$16,0)</f>
        <v>0.69224064316372247</v>
      </c>
      <c r="H35" s="112">
        <f t="shared" si="11"/>
        <v>0.73177082015531203</v>
      </c>
      <c r="I35" s="112">
        <f t="shared" si="11"/>
        <v>0.7612617422065443</v>
      </c>
      <c r="J35" s="112">
        <f t="shared" si="11"/>
        <v>0.79529456577012292</v>
      </c>
      <c r="K35" s="112">
        <f t="shared" si="11"/>
        <v>0.82896928257427038</v>
      </c>
      <c r="L35" s="112">
        <f t="shared" si="11"/>
        <v>0.86687243775283584</v>
      </c>
      <c r="M35" s="112">
        <f t="shared" si="11"/>
        <v>0.89511723752854289</v>
      </c>
      <c r="N35" s="112">
        <f t="shared" si="11"/>
        <v>0.92752087595791399</v>
      </c>
      <c r="O35" s="112">
        <f t="shared" si="11"/>
        <v>0.95943014674004623</v>
      </c>
      <c r="P35" s="112">
        <f t="shared" si="11"/>
        <v>0.9951825264745332</v>
      </c>
      <c r="Q35" s="112">
        <f t="shared" si="11"/>
        <v>1.0216130481429793</v>
      </c>
      <c r="R35" s="112">
        <f t="shared" si="11"/>
        <v>1.0518035769103902</v>
      </c>
      <c r="S35" s="112">
        <f t="shared" si="11"/>
        <v>1.0813364403192891</v>
      </c>
      <c r="T35" s="112">
        <f t="shared" si="11"/>
        <v>1.112169294443232</v>
      </c>
      <c r="U35" s="112">
        <f t="shared" si="11"/>
        <v>1.0869109891971578</v>
      </c>
      <c r="V35" s="112">
        <f t="shared" si="11"/>
        <v>1.045741547149196</v>
      </c>
      <c r="W35" s="112">
        <f t="shared" si="11"/>
        <v>1.0037181868612299</v>
      </c>
      <c r="X35" s="112">
        <f t="shared" si="11"/>
        <v>0.96470415777828455</v>
      </c>
      <c r="Y35" s="112">
        <f t="shared" si="11"/>
        <v>0.91688853504039869</v>
      </c>
      <c r="Z35" s="112">
        <f t="shared" si="11"/>
        <v>0.87196263524402906</v>
      </c>
      <c r="AA35" s="112">
        <f t="shared" si="11"/>
        <v>0.82594641898348586</v>
      </c>
      <c r="AB35" s="112">
        <f t="shared" si="11"/>
        <v>0.78247658419127764</v>
      </c>
      <c r="AC35" s="112">
        <f t="shared" si="11"/>
        <v>0.73037595234819785</v>
      </c>
      <c r="AD35" s="112">
        <f t="shared" si="11"/>
        <v>0.68067768216829516</v>
      </c>
      <c r="AE35" s="112" t="e">
        <f t="shared" si="11"/>
        <v>#REF!</v>
      </c>
    </row>
    <row r="36" spans="2:31">
      <c r="B36" s="68" t="s">
        <v>240</v>
      </c>
      <c r="F36" s="112">
        <f t="shared" ref="F36:AE36" si="12">F31</f>
        <v>0</v>
      </c>
      <c r="G36" s="112">
        <f t="shared" si="12"/>
        <v>0</v>
      </c>
      <c r="H36" s="112">
        <f t="shared" si="12"/>
        <v>0</v>
      </c>
      <c r="I36" s="112">
        <f t="shared" si="12"/>
        <v>0</v>
      </c>
      <c r="J36" s="112">
        <f t="shared" si="12"/>
        <v>0</v>
      </c>
      <c r="K36" s="112">
        <f t="shared" si="12"/>
        <v>0</v>
      </c>
      <c r="L36" s="112">
        <f t="shared" si="12"/>
        <v>0</v>
      </c>
      <c r="M36" s="112">
        <f t="shared" si="12"/>
        <v>0</v>
      </c>
      <c r="N36" s="112">
        <f t="shared" si="12"/>
        <v>1.0674910882976718</v>
      </c>
      <c r="O36" s="112">
        <f t="shared" si="12"/>
        <v>1.6721261176470674</v>
      </c>
      <c r="P36" s="112">
        <f t="shared" si="12"/>
        <v>1.8702450227926715</v>
      </c>
      <c r="Q36" s="112">
        <f t="shared" si="12"/>
        <v>2.0313295500988704</v>
      </c>
      <c r="R36" s="112">
        <f t="shared" si="12"/>
        <v>2.181462256520303</v>
      </c>
      <c r="S36" s="112">
        <f t="shared" si="12"/>
        <v>2.3156438806624484</v>
      </c>
      <c r="T36" s="112">
        <f t="shared" si="12"/>
        <v>2.4409343763422657</v>
      </c>
      <c r="U36" s="112">
        <f t="shared" si="12"/>
        <v>2.4574627297385683</v>
      </c>
      <c r="V36" s="112">
        <f t="shared" si="12"/>
        <v>2.4392010452502353</v>
      </c>
      <c r="W36" s="112">
        <f t="shared" si="12"/>
        <v>2.4117500457186947</v>
      </c>
      <c r="X36" s="112">
        <f t="shared" si="12"/>
        <v>2.3848697431608903</v>
      </c>
      <c r="Y36" s="112">
        <f t="shared" si="12"/>
        <v>2.3334615827056915</v>
      </c>
      <c r="Z36" s="112">
        <f t="shared" si="12"/>
        <v>2.2841470324290292</v>
      </c>
      <c r="AA36" s="112">
        <f t="shared" si="12"/>
        <v>2.2289437471095259</v>
      </c>
      <c r="AB36" s="112">
        <f t="shared" si="12"/>
        <v>2.1769488401911254</v>
      </c>
      <c r="AC36" s="112">
        <f t="shared" si="12"/>
        <v>2.1027952704571966</v>
      </c>
      <c r="AD36" s="112">
        <f t="shared" si="12"/>
        <v>2.0325061689544044</v>
      </c>
      <c r="AE36" s="112" t="e">
        <f t="shared" si="12"/>
        <v>#REF!</v>
      </c>
    </row>
    <row r="38" spans="2:31">
      <c r="B38" s="68" t="s">
        <v>243</v>
      </c>
      <c r="F38" s="112">
        <f>MAX(F35,F36)</f>
        <v>0.44758413007241998</v>
      </c>
      <c r="G38" s="112">
        <f t="shared" ref="G38:AE38" si="13">MAX(G35,G36)</f>
        <v>0.69224064316372247</v>
      </c>
      <c r="H38" s="112">
        <f t="shared" si="13"/>
        <v>0.73177082015531203</v>
      </c>
      <c r="I38" s="112">
        <f t="shared" si="13"/>
        <v>0.7612617422065443</v>
      </c>
      <c r="J38" s="112">
        <f t="shared" si="13"/>
        <v>0.79529456577012292</v>
      </c>
      <c r="K38" s="112">
        <f t="shared" si="13"/>
        <v>0.82896928257427038</v>
      </c>
      <c r="L38" s="112">
        <f t="shared" si="13"/>
        <v>0.86687243775283584</v>
      </c>
      <c r="M38" s="112">
        <f t="shared" si="13"/>
        <v>0.89511723752854289</v>
      </c>
      <c r="N38" s="112">
        <f t="shared" si="13"/>
        <v>1.0674910882976718</v>
      </c>
      <c r="O38" s="112">
        <f t="shared" si="13"/>
        <v>1.6721261176470674</v>
      </c>
      <c r="P38" s="112">
        <f t="shared" si="13"/>
        <v>1.8702450227926715</v>
      </c>
      <c r="Q38" s="112">
        <f t="shared" si="13"/>
        <v>2.0313295500988704</v>
      </c>
      <c r="R38" s="112">
        <f t="shared" si="13"/>
        <v>2.181462256520303</v>
      </c>
      <c r="S38" s="112">
        <f t="shared" si="13"/>
        <v>2.3156438806624484</v>
      </c>
      <c r="T38" s="112">
        <f t="shared" si="13"/>
        <v>2.4409343763422657</v>
      </c>
      <c r="U38" s="112">
        <f t="shared" si="13"/>
        <v>2.4574627297385683</v>
      </c>
      <c r="V38" s="112">
        <f t="shared" si="13"/>
        <v>2.4392010452502353</v>
      </c>
      <c r="W38" s="112">
        <f t="shared" si="13"/>
        <v>2.4117500457186947</v>
      </c>
      <c r="X38" s="112">
        <f t="shared" si="13"/>
        <v>2.3848697431608903</v>
      </c>
      <c r="Y38" s="112">
        <f t="shared" si="13"/>
        <v>2.3334615827056915</v>
      </c>
      <c r="Z38" s="112">
        <f t="shared" si="13"/>
        <v>2.2841470324290292</v>
      </c>
      <c r="AA38" s="112">
        <f t="shared" si="13"/>
        <v>2.2289437471095259</v>
      </c>
      <c r="AB38" s="112">
        <f t="shared" si="13"/>
        <v>2.1769488401911254</v>
      </c>
      <c r="AC38" s="112">
        <f t="shared" si="13"/>
        <v>2.1027952704571966</v>
      </c>
      <c r="AD38" s="112">
        <f t="shared" si="13"/>
        <v>2.0325061689544044</v>
      </c>
      <c r="AE38" s="112" t="e">
        <f t="shared" si="13"/>
        <v>#REF!</v>
      </c>
    </row>
    <row r="39" spans="2:31">
      <c r="B39" s="68" t="s">
        <v>244</v>
      </c>
      <c r="F39" s="112">
        <f>IF((F36-F35)&lt;0,0,MIN((F36-F35),E45))</f>
        <v>0</v>
      </c>
      <c r="G39" s="112">
        <f t="shared" ref="G39:AE39" si="14">IF((G36-G35)&lt;0,0,MIN((G36-G35),F45))</f>
        <v>0</v>
      </c>
      <c r="H39" s="112">
        <f t="shared" si="14"/>
        <v>0</v>
      </c>
      <c r="I39" s="112">
        <f t="shared" si="14"/>
        <v>0</v>
      </c>
      <c r="J39" s="112">
        <f t="shared" si="14"/>
        <v>0</v>
      </c>
      <c r="K39" s="112">
        <f t="shared" si="14"/>
        <v>0</v>
      </c>
      <c r="L39" s="112">
        <f t="shared" si="14"/>
        <v>0</v>
      </c>
      <c r="M39" s="112">
        <f t="shared" si="14"/>
        <v>0</v>
      </c>
      <c r="N39" s="112">
        <f t="shared" si="14"/>
        <v>0.13997021233975782</v>
      </c>
      <c r="O39" s="112">
        <f t="shared" si="14"/>
        <v>0.71269597090702119</v>
      </c>
      <c r="P39" s="112">
        <f t="shared" si="14"/>
        <v>0.87506249631813826</v>
      </c>
      <c r="Q39" s="112">
        <f t="shared" si="14"/>
        <v>1.0097165019558911</v>
      </c>
      <c r="R39" s="112">
        <f t="shared" si="14"/>
        <v>1.1296586796099128</v>
      </c>
      <c r="S39" s="112">
        <f t="shared" si="14"/>
        <v>1.2343074403431593</v>
      </c>
      <c r="T39" s="112">
        <f t="shared" si="14"/>
        <v>0.91769955774988854</v>
      </c>
      <c r="U39" s="112">
        <f t="shared" si="14"/>
        <v>0</v>
      </c>
      <c r="V39" s="112">
        <f t="shared" si="14"/>
        <v>0</v>
      </c>
      <c r="W39" s="112">
        <f t="shared" si="14"/>
        <v>0</v>
      </c>
      <c r="X39" s="112">
        <f t="shared" si="14"/>
        <v>0</v>
      </c>
      <c r="Y39" s="112">
        <f t="shared" si="14"/>
        <v>0</v>
      </c>
      <c r="Z39" s="112">
        <f t="shared" si="14"/>
        <v>0</v>
      </c>
      <c r="AA39" s="112">
        <f t="shared" si="14"/>
        <v>0</v>
      </c>
      <c r="AB39" s="112">
        <f t="shared" si="14"/>
        <v>0</v>
      </c>
      <c r="AC39" s="112">
        <f t="shared" si="14"/>
        <v>0</v>
      </c>
      <c r="AD39" s="112">
        <f t="shared" si="14"/>
        <v>0</v>
      </c>
      <c r="AE39" s="112" t="e">
        <f t="shared" si="14"/>
        <v>#REF!</v>
      </c>
    </row>
    <row r="40" spans="2:31">
      <c r="B40" s="143" t="s">
        <v>245</v>
      </c>
      <c r="C40" s="143"/>
      <c r="D40" s="143"/>
      <c r="E40" s="143"/>
      <c r="F40" s="144">
        <f>F38-F39</f>
        <v>0.44758413007241998</v>
      </c>
      <c r="G40" s="144">
        <f t="shared" ref="G40:AE40" si="15">G38-G39</f>
        <v>0.69224064316372247</v>
      </c>
      <c r="H40" s="144">
        <f t="shared" si="15"/>
        <v>0.73177082015531203</v>
      </c>
      <c r="I40" s="144">
        <f t="shared" si="15"/>
        <v>0.7612617422065443</v>
      </c>
      <c r="J40" s="144">
        <f t="shared" si="15"/>
        <v>0.79529456577012292</v>
      </c>
      <c r="K40" s="144">
        <f t="shared" si="15"/>
        <v>0.82896928257427038</v>
      </c>
      <c r="L40" s="144">
        <f t="shared" si="15"/>
        <v>0.86687243775283584</v>
      </c>
      <c r="M40" s="144">
        <f t="shared" si="15"/>
        <v>0.89511723752854289</v>
      </c>
      <c r="N40" s="144">
        <f t="shared" si="15"/>
        <v>0.92752087595791399</v>
      </c>
      <c r="O40" s="144">
        <f t="shared" si="15"/>
        <v>0.95943014674004623</v>
      </c>
      <c r="P40" s="144">
        <f t="shared" si="15"/>
        <v>0.9951825264745332</v>
      </c>
      <c r="Q40" s="144">
        <f t="shared" si="15"/>
        <v>1.0216130481429793</v>
      </c>
      <c r="R40" s="144">
        <f t="shared" si="15"/>
        <v>1.0518035769103902</v>
      </c>
      <c r="S40" s="144">
        <f t="shared" si="15"/>
        <v>1.0813364403192891</v>
      </c>
      <c r="T40" s="144">
        <f t="shared" si="15"/>
        <v>1.5232348185923772</v>
      </c>
      <c r="U40" s="144">
        <f t="shared" si="15"/>
        <v>2.4574627297385683</v>
      </c>
      <c r="V40" s="144">
        <f t="shared" si="15"/>
        <v>2.4392010452502353</v>
      </c>
      <c r="W40" s="144">
        <f t="shared" si="15"/>
        <v>2.4117500457186947</v>
      </c>
      <c r="X40" s="144">
        <f t="shared" si="15"/>
        <v>2.3848697431608903</v>
      </c>
      <c r="Y40" s="144">
        <f t="shared" si="15"/>
        <v>2.3334615827056915</v>
      </c>
      <c r="Z40" s="144">
        <f t="shared" si="15"/>
        <v>2.2841470324290292</v>
      </c>
      <c r="AA40" s="144">
        <f t="shared" si="15"/>
        <v>2.2289437471095259</v>
      </c>
      <c r="AB40" s="144">
        <f t="shared" si="15"/>
        <v>2.1769488401911254</v>
      </c>
      <c r="AC40" s="144">
        <f t="shared" si="15"/>
        <v>2.1027952704571966</v>
      </c>
      <c r="AD40" s="144">
        <f t="shared" si="15"/>
        <v>2.0325061689544044</v>
      </c>
      <c r="AE40" s="144" t="e">
        <f t="shared" si="15"/>
        <v>#REF!</v>
      </c>
    </row>
    <row r="42" spans="2:31">
      <c r="B42" s="68" t="s">
        <v>246</v>
      </c>
      <c r="F42" s="112">
        <f>E45</f>
        <v>0</v>
      </c>
      <c r="G42" s="112">
        <f t="shared" ref="G42:AE42" si="16">F45</f>
        <v>0.44758413007241998</v>
      </c>
      <c r="H42" s="112">
        <f t="shared" si="16"/>
        <v>1.1398247732361424</v>
      </c>
      <c r="I42" s="112">
        <f t="shared" si="16"/>
        <v>1.8715955933914543</v>
      </c>
      <c r="J42" s="112">
        <f t="shared" si="16"/>
        <v>2.6328573355979987</v>
      </c>
      <c r="K42" s="112">
        <f t="shared" si="16"/>
        <v>3.4281519013681216</v>
      </c>
      <c r="L42" s="112">
        <f t="shared" si="16"/>
        <v>4.2571211839423917</v>
      </c>
      <c r="M42" s="112">
        <f t="shared" si="16"/>
        <v>5.1239936216952273</v>
      </c>
      <c r="N42" s="112">
        <f t="shared" si="16"/>
        <v>6.0191108592237699</v>
      </c>
      <c r="O42" s="112">
        <f t="shared" si="16"/>
        <v>5.8791406468840117</v>
      </c>
      <c r="P42" s="112">
        <f t="shared" si="16"/>
        <v>5.1664446759769902</v>
      </c>
      <c r="Q42" s="112">
        <f t="shared" si="16"/>
        <v>4.2913821796588518</v>
      </c>
      <c r="R42" s="112">
        <f t="shared" si="16"/>
        <v>3.2816656777029607</v>
      </c>
      <c r="S42" s="112">
        <f t="shared" si="16"/>
        <v>2.1520069980930479</v>
      </c>
      <c r="T42" s="112">
        <f t="shared" si="16"/>
        <v>0.91769955774988854</v>
      </c>
      <c r="U42" s="112">
        <f t="shared" si="16"/>
        <v>0</v>
      </c>
      <c r="V42" s="112">
        <f t="shared" si="16"/>
        <v>0</v>
      </c>
      <c r="W42" s="112">
        <f t="shared" si="16"/>
        <v>0</v>
      </c>
      <c r="X42" s="112">
        <f t="shared" si="16"/>
        <v>0</v>
      </c>
      <c r="Y42" s="112">
        <f t="shared" si="16"/>
        <v>0</v>
      </c>
      <c r="Z42" s="112">
        <f t="shared" si="16"/>
        <v>0</v>
      </c>
      <c r="AA42" s="112">
        <f t="shared" si="16"/>
        <v>0</v>
      </c>
      <c r="AB42" s="112">
        <f t="shared" si="16"/>
        <v>0</v>
      </c>
      <c r="AC42" s="112">
        <f t="shared" si="16"/>
        <v>0</v>
      </c>
      <c r="AD42" s="112">
        <f t="shared" si="16"/>
        <v>0</v>
      </c>
      <c r="AE42" s="112">
        <f t="shared" si="16"/>
        <v>0</v>
      </c>
    </row>
    <row r="43" spans="2:31">
      <c r="B43" s="68" t="s">
        <v>247</v>
      </c>
      <c r="F43" s="112">
        <f>IF(F35&gt;F36,F35,0)</f>
        <v>0.44758413007241998</v>
      </c>
      <c r="G43" s="112">
        <f t="shared" ref="G43:AE43" si="17">IF(G35&gt;G36,G35,0)</f>
        <v>0.69224064316372247</v>
      </c>
      <c r="H43" s="112">
        <f t="shared" si="17"/>
        <v>0.73177082015531203</v>
      </c>
      <c r="I43" s="112">
        <f t="shared" si="17"/>
        <v>0.7612617422065443</v>
      </c>
      <c r="J43" s="112">
        <f t="shared" si="17"/>
        <v>0.79529456577012292</v>
      </c>
      <c r="K43" s="112">
        <f t="shared" si="17"/>
        <v>0.82896928257427038</v>
      </c>
      <c r="L43" s="112">
        <f t="shared" si="17"/>
        <v>0.86687243775283584</v>
      </c>
      <c r="M43" s="112">
        <f t="shared" si="17"/>
        <v>0.89511723752854289</v>
      </c>
      <c r="N43" s="112">
        <f t="shared" si="17"/>
        <v>0</v>
      </c>
      <c r="O43" s="112">
        <f t="shared" si="17"/>
        <v>0</v>
      </c>
      <c r="P43" s="112">
        <f t="shared" si="17"/>
        <v>0</v>
      </c>
      <c r="Q43" s="112">
        <f t="shared" si="17"/>
        <v>0</v>
      </c>
      <c r="R43" s="112">
        <f t="shared" si="17"/>
        <v>0</v>
      </c>
      <c r="S43" s="112">
        <f t="shared" si="17"/>
        <v>0</v>
      </c>
      <c r="T43" s="112">
        <f t="shared" si="17"/>
        <v>0</v>
      </c>
      <c r="U43" s="112">
        <f t="shared" si="17"/>
        <v>0</v>
      </c>
      <c r="V43" s="112">
        <f t="shared" si="17"/>
        <v>0</v>
      </c>
      <c r="W43" s="112">
        <f t="shared" si="17"/>
        <v>0</v>
      </c>
      <c r="X43" s="112">
        <f t="shared" si="17"/>
        <v>0</v>
      </c>
      <c r="Y43" s="112">
        <f t="shared" si="17"/>
        <v>0</v>
      </c>
      <c r="Z43" s="112">
        <f t="shared" si="17"/>
        <v>0</v>
      </c>
      <c r="AA43" s="112">
        <f t="shared" si="17"/>
        <v>0</v>
      </c>
      <c r="AB43" s="112">
        <f t="shared" si="17"/>
        <v>0</v>
      </c>
      <c r="AC43" s="112">
        <f t="shared" si="17"/>
        <v>0</v>
      </c>
      <c r="AD43" s="112">
        <f t="shared" si="17"/>
        <v>0</v>
      </c>
      <c r="AE43" s="112" t="e">
        <f t="shared" si="17"/>
        <v>#REF!</v>
      </c>
    </row>
    <row r="44" spans="2:31">
      <c r="B44" s="68" t="s">
        <v>248</v>
      </c>
      <c r="F44" s="112">
        <f>-F39</f>
        <v>0</v>
      </c>
      <c r="G44" s="112">
        <f t="shared" ref="G44:AE44" si="18">-G39</f>
        <v>0</v>
      </c>
      <c r="H44" s="112">
        <f t="shared" si="18"/>
        <v>0</v>
      </c>
      <c r="I44" s="112">
        <f t="shared" si="18"/>
        <v>0</v>
      </c>
      <c r="J44" s="112">
        <f t="shared" si="18"/>
        <v>0</v>
      </c>
      <c r="K44" s="112">
        <f t="shared" si="18"/>
        <v>0</v>
      </c>
      <c r="L44" s="112">
        <f t="shared" si="18"/>
        <v>0</v>
      </c>
      <c r="M44" s="112">
        <f t="shared" si="18"/>
        <v>0</v>
      </c>
      <c r="N44" s="112">
        <f t="shared" si="18"/>
        <v>-0.13997021233975782</v>
      </c>
      <c r="O44" s="112">
        <f t="shared" si="18"/>
        <v>-0.71269597090702119</v>
      </c>
      <c r="P44" s="112">
        <f t="shared" si="18"/>
        <v>-0.87506249631813826</v>
      </c>
      <c r="Q44" s="112">
        <f t="shared" si="18"/>
        <v>-1.0097165019558911</v>
      </c>
      <c r="R44" s="112">
        <f t="shared" si="18"/>
        <v>-1.1296586796099128</v>
      </c>
      <c r="S44" s="112">
        <f t="shared" si="18"/>
        <v>-1.2343074403431593</v>
      </c>
      <c r="T44" s="112">
        <f t="shared" si="18"/>
        <v>-0.91769955774988854</v>
      </c>
      <c r="U44" s="112">
        <f t="shared" si="18"/>
        <v>0</v>
      </c>
      <c r="V44" s="112">
        <f t="shared" si="18"/>
        <v>0</v>
      </c>
      <c r="W44" s="112">
        <f t="shared" si="18"/>
        <v>0</v>
      </c>
      <c r="X44" s="112">
        <f t="shared" si="18"/>
        <v>0</v>
      </c>
      <c r="Y44" s="112">
        <f t="shared" si="18"/>
        <v>0</v>
      </c>
      <c r="Z44" s="112">
        <f t="shared" si="18"/>
        <v>0</v>
      </c>
      <c r="AA44" s="112">
        <f t="shared" si="18"/>
        <v>0</v>
      </c>
      <c r="AB44" s="112">
        <f t="shared" si="18"/>
        <v>0</v>
      </c>
      <c r="AC44" s="112">
        <f t="shared" si="18"/>
        <v>0</v>
      </c>
      <c r="AD44" s="112">
        <f t="shared" si="18"/>
        <v>0</v>
      </c>
      <c r="AE44" s="112" t="e">
        <f t="shared" si="18"/>
        <v>#REF!</v>
      </c>
    </row>
    <row r="45" spans="2:31">
      <c r="B45" s="135" t="s">
        <v>249</v>
      </c>
      <c r="C45" s="135"/>
      <c r="D45" s="135"/>
      <c r="E45" s="267"/>
      <c r="F45" s="136">
        <f>SUM(F42:F44)</f>
        <v>0.44758413007241998</v>
      </c>
      <c r="G45" s="136">
        <f t="shared" ref="G45:AE45" si="19">SUM(G42:G44)</f>
        <v>1.1398247732361424</v>
      </c>
      <c r="H45" s="136">
        <f t="shared" si="19"/>
        <v>1.8715955933914543</v>
      </c>
      <c r="I45" s="136">
        <f t="shared" si="19"/>
        <v>2.6328573355979987</v>
      </c>
      <c r="J45" s="136">
        <f t="shared" si="19"/>
        <v>3.4281519013681216</v>
      </c>
      <c r="K45" s="136">
        <f t="shared" si="19"/>
        <v>4.2571211839423917</v>
      </c>
      <c r="L45" s="136">
        <f t="shared" si="19"/>
        <v>5.1239936216952273</v>
      </c>
      <c r="M45" s="136">
        <f t="shared" si="19"/>
        <v>6.0191108592237699</v>
      </c>
      <c r="N45" s="136">
        <f t="shared" si="19"/>
        <v>5.8791406468840117</v>
      </c>
      <c r="O45" s="136">
        <f t="shared" si="19"/>
        <v>5.1664446759769902</v>
      </c>
      <c r="P45" s="136">
        <f t="shared" si="19"/>
        <v>4.2913821796588518</v>
      </c>
      <c r="Q45" s="136">
        <f t="shared" si="19"/>
        <v>3.2816656777029607</v>
      </c>
      <c r="R45" s="136">
        <f t="shared" si="19"/>
        <v>2.1520069980930479</v>
      </c>
      <c r="S45" s="136">
        <f t="shared" si="19"/>
        <v>0.91769955774988854</v>
      </c>
      <c r="T45" s="136">
        <f t="shared" si="19"/>
        <v>0</v>
      </c>
      <c r="U45" s="136">
        <f t="shared" si="19"/>
        <v>0</v>
      </c>
      <c r="V45" s="136">
        <f t="shared" si="19"/>
        <v>0</v>
      </c>
      <c r="W45" s="136">
        <f t="shared" si="19"/>
        <v>0</v>
      </c>
      <c r="X45" s="136">
        <f t="shared" si="19"/>
        <v>0</v>
      </c>
      <c r="Y45" s="136">
        <f t="shared" si="19"/>
        <v>0</v>
      </c>
      <c r="Z45" s="136">
        <f t="shared" si="19"/>
        <v>0</v>
      </c>
      <c r="AA45" s="136">
        <f t="shared" si="19"/>
        <v>0</v>
      </c>
      <c r="AB45" s="136">
        <f t="shared" si="19"/>
        <v>0</v>
      </c>
      <c r="AC45" s="136">
        <f t="shared" si="19"/>
        <v>0</v>
      </c>
      <c r="AD45" s="136">
        <f t="shared" si="19"/>
        <v>0</v>
      </c>
      <c r="AE45" s="136" t="e">
        <f t="shared" si="19"/>
        <v>#REF!</v>
      </c>
    </row>
    <row r="46" spans="2:31">
      <c r="F46" s="112"/>
      <c r="G46" s="112"/>
      <c r="H46" s="112"/>
      <c r="I46" s="112"/>
      <c r="J46" s="112"/>
      <c r="K46" s="112"/>
      <c r="L46" s="112"/>
      <c r="M46" s="112"/>
      <c r="N46" s="112"/>
      <c r="O46" s="112"/>
    </row>
    <row r="47" spans="2:31">
      <c r="F47" s="112"/>
      <c r="G47" s="112"/>
      <c r="H47" s="112"/>
      <c r="I47" s="112"/>
      <c r="J47" s="112"/>
      <c r="K47" s="112"/>
      <c r="L47" s="112"/>
      <c r="M47" s="112"/>
      <c r="N47" s="112"/>
      <c r="O47" s="112"/>
    </row>
  </sheetData>
  <mergeCells count="2">
    <mergeCell ref="D7:E7"/>
    <mergeCell ref="F7:A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PC &amp; MoF</vt:lpstr>
      <vt:lpstr>Assumptions</vt:lpstr>
      <vt:lpstr>Revenue &amp; Expenses Modeling</vt:lpstr>
      <vt:lpstr>IS</vt:lpstr>
      <vt:lpstr>BS</vt:lpstr>
      <vt:lpstr>CFS</vt:lpstr>
      <vt:lpstr>Loan Schedule</vt:lpstr>
      <vt:lpstr>Dep Schedule</vt:lpstr>
      <vt:lpstr>Tax Schedule</vt:lpstr>
      <vt:lpstr>Ratio</vt:lpstr>
      <vt:lpstr>PO wise details</vt:lpstr>
      <vt:lpstr>Sheet1</vt:lpstr>
      <vt:lpstr>Sheet2</vt:lpstr>
      <vt:lpstr>Company</vt:lpstr>
      <vt:lpstr>'PO wise details'!Print_Area</vt:lpstr>
      <vt:lpstr>Project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krunal kansara</dc:creator>
  <cp:lastModifiedBy>Mohammad Umair</cp:lastModifiedBy>
  <cp:lastPrinted>2025-03-07T09:24:30Z</cp:lastPrinted>
  <dcterms:created xsi:type="dcterms:W3CDTF">2024-10-04T06:45:08Z</dcterms:created>
  <dcterms:modified xsi:type="dcterms:W3CDTF">2025-03-07T11:36:42Z</dcterms:modified>
</cp:coreProperties>
</file>