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Files For Review\Anuj Sharma\VIS(2024-25)-PL777-701-955-Himenviro Engineering Enivronmental Co Pvt Ltd\Working\"/>
    </mc:Choice>
  </mc:AlternateContent>
  <bookViews>
    <workbookView xWindow="0" yWindow="0" windowWidth="24000" windowHeight="9735"/>
  </bookViews>
  <sheets>
    <sheet name="Sheet1" sheetId="4" r:id="rId1"/>
    <sheet name="Sheet2" sheetId="6" r:id="rId2"/>
    <sheet name="Boundary Wall Length" sheetId="5" r:id="rId3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0" i="4" l="1"/>
  <c r="AD19" i="4"/>
  <c r="AD16" i="4"/>
  <c r="T20" i="4" l="1"/>
  <c r="Q17" i="4" l="1"/>
  <c r="F9" i="4"/>
  <c r="K7" i="4" l="1"/>
  <c r="K6" i="4"/>
  <c r="K3" i="4"/>
  <c r="W15" i="4" l="1"/>
  <c r="N3" i="4"/>
  <c r="G3" i="4"/>
  <c r="H3" i="4" s="1"/>
  <c r="P3" i="4" s="1"/>
  <c r="N6" i="4"/>
  <c r="N7" i="4"/>
  <c r="U6" i="4"/>
  <c r="U7" i="4"/>
  <c r="H8" i="4"/>
  <c r="G6" i="4"/>
  <c r="H6" i="4" s="1"/>
  <c r="P6" i="4" s="1"/>
  <c r="G7" i="4"/>
  <c r="H7" i="4" s="1"/>
  <c r="P7" i="4" s="1"/>
  <c r="Q7" i="4" s="1"/>
  <c r="G5" i="4"/>
  <c r="H5" i="4" s="1"/>
  <c r="G4" i="4"/>
  <c r="H4" i="4" s="1"/>
  <c r="AC4" i="4"/>
  <c r="K7" i="5" s="1"/>
  <c r="K8" i="5" s="1"/>
  <c r="E22" i="5"/>
  <c r="E24" i="5" s="1"/>
  <c r="E25" i="5" s="1"/>
  <c r="D22" i="5"/>
  <c r="D24" i="5" s="1"/>
  <c r="D25" i="5" s="1"/>
  <c r="E13" i="6"/>
  <c r="J23" i="4"/>
  <c r="Q3" i="4" l="1"/>
  <c r="S3" i="4" s="1"/>
  <c r="Q6" i="4"/>
  <c r="S6" i="4" s="1"/>
  <c r="S7" i="4"/>
  <c r="S24" i="4"/>
  <c r="J22" i="4" l="1"/>
  <c r="N23" i="4" l="1"/>
  <c r="U5" i="4" l="1"/>
  <c r="U8" i="4"/>
  <c r="U4" i="4"/>
  <c r="AA4" i="4"/>
  <c r="X4" i="4"/>
  <c r="U9" i="4" l="1"/>
  <c r="P8" i="4"/>
  <c r="N5" i="4"/>
  <c r="N8" i="4"/>
  <c r="K5" i="4"/>
  <c r="K8" i="4"/>
  <c r="Q8" i="4" l="1"/>
  <c r="S8" i="4" s="1"/>
  <c r="N4" i="4"/>
  <c r="K4" i="4"/>
  <c r="P4" i="4" l="1"/>
  <c r="Q4" i="4" s="1"/>
  <c r="S4" i="4" s="1"/>
  <c r="P5" i="4" l="1"/>
  <c r="Q5" i="4" s="1"/>
  <c r="S5" i="4" s="1"/>
  <c r="Y21" i="4" l="1"/>
  <c r="D9" i="5"/>
  <c r="D10" i="5" s="1"/>
  <c r="F10" i="5" s="1"/>
  <c r="I4" i="5"/>
  <c r="J4" i="5" s="1"/>
  <c r="K4" i="5" s="1"/>
  <c r="L4" i="5" s="1"/>
  <c r="I3" i="5"/>
  <c r="J3" i="5" l="1"/>
  <c r="K3" i="5" s="1"/>
  <c r="L3" i="5" s="1"/>
  <c r="L5" i="5" s="1"/>
  <c r="K5" i="5" l="1"/>
  <c r="K20" i="4"/>
  <c r="M19" i="4"/>
  <c r="N19" i="4" s="1"/>
  <c r="J18" i="4"/>
  <c r="G9" i="4"/>
  <c r="N20" i="4" l="1"/>
  <c r="M20" i="4" s="1"/>
  <c r="R9" i="4"/>
  <c r="AA5" i="4"/>
  <c r="AA13" i="4" s="1"/>
  <c r="P9" i="4" l="1"/>
  <c r="AC12" i="4" s="1"/>
  <c r="Q9" i="4" l="1"/>
  <c r="S9" i="4"/>
  <c r="S25" i="4" l="1"/>
  <c r="S26" i="4" s="1"/>
  <c r="AC5" i="4"/>
  <c r="AD8" i="4" s="1"/>
  <c r="AD18" i="4" s="1"/>
  <c r="S27" i="4"/>
  <c r="AE8" i="4" l="1"/>
  <c r="AC9" i="4" s="1"/>
  <c r="AC10" i="4" s="1"/>
  <c r="AC11" i="4" l="1"/>
</calcChain>
</file>

<file path=xl/sharedStrings.xml><?xml version="1.0" encoding="utf-8"?>
<sst xmlns="http://schemas.openxmlformats.org/spreadsheetml/2006/main" count="88" uniqueCount="82">
  <si>
    <t>Market Value</t>
  </si>
  <si>
    <t>Sr. No.</t>
  </si>
  <si>
    <t>Height 
(in ft.)</t>
  </si>
  <si>
    <t>Type of Structure</t>
  </si>
  <si>
    <t>Built-up Area 
(in sq mtr)</t>
  </si>
  <si>
    <t>Built-up area 
(in sq ft.)</t>
  </si>
  <si>
    <t xml:space="preserve">Year of Construction 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</si>
  <si>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</si>
  <si>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</si>
  <si>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</si>
  <si>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</si>
  <si>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</si>
  <si>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(INR per sq feet)</t>
  </si>
  <si>
    <t>Gross Replacement value
(INR)</t>
  </si>
  <si>
    <t xml:space="preserve">Depreciation
(INR) </t>
  </si>
  <si>
    <t>Deterioration</t>
  </si>
  <si>
    <t>Depreciated Replacement Cost
(INR)</t>
  </si>
  <si>
    <t>Land Area in Sq.mtr.</t>
  </si>
  <si>
    <t>Govt. Rate per sq.mtr.</t>
  </si>
  <si>
    <t xml:space="preserve">Govt. Value </t>
  </si>
  <si>
    <t xml:space="preserve">Total Value - </t>
  </si>
  <si>
    <t>L&amp;B</t>
  </si>
  <si>
    <t>Aesthtics</t>
  </si>
  <si>
    <t>RCC Structure</t>
  </si>
  <si>
    <t>Total</t>
  </si>
  <si>
    <t>Diff. in value</t>
  </si>
  <si>
    <t>FMV</t>
  </si>
  <si>
    <t>RV</t>
  </si>
  <si>
    <t>DV</t>
  </si>
  <si>
    <t>Insurance</t>
  </si>
  <si>
    <t>Remarks:</t>
  </si>
  <si>
    <t>1. All the details pertaining to the building area statement such as area, floor, etc has been taken from the documents provided to us.</t>
  </si>
  <si>
    <t>3. Age of construction taken from the information as per documents provided to us.</t>
  </si>
  <si>
    <t>4. The Valuation is done by considering the depreciated replacement cost and while calculating D.R.C. 10% salvage value is considered.</t>
  </si>
  <si>
    <t>Land Area in Sq.yds.</t>
  </si>
  <si>
    <t>builtup</t>
  </si>
  <si>
    <t>land</t>
  </si>
  <si>
    <t>S.No.</t>
  </si>
  <si>
    <t>Running   mtr.</t>
  </si>
  <si>
    <t>Height/Width (in ft.)</t>
  </si>
  <si>
    <t>CoC</t>
  </si>
  <si>
    <t>EL</t>
  </si>
  <si>
    <t>SV</t>
  </si>
  <si>
    <t>GCRC</t>
  </si>
  <si>
    <t>Dep.</t>
  </si>
  <si>
    <t>DRC</t>
  </si>
  <si>
    <t>LENGTH OF BOUNDARY WALL</t>
  </si>
  <si>
    <t>Internal Roads</t>
  </si>
  <si>
    <t>Total Built-up Area</t>
  </si>
  <si>
    <t xml:space="preserve">Floor </t>
  </si>
  <si>
    <t>GF</t>
  </si>
  <si>
    <t>Description</t>
  </si>
  <si>
    <t>Floor</t>
  </si>
  <si>
    <t>Area (Sq.mt)</t>
  </si>
  <si>
    <t>Guideline construction rate (Sq.m.)</t>
  </si>
  <si>
    <t>Guideline value (INR)</t>
  </si>
  <si>
    <t>Area</t>
  </si>
  <si>
    <t>Permissible GF coverage</t>
  </si>
  <si>
    <t>Sq.mt</t>
  </si>
  <si>
    <t>Permissible FAR</t>
  </si>
  <si>
    <t>Setback</t>
  </si>
  <si>
    <t>Stilt Parking Area</t>
  </si>
  <si>
    <t>GF FAR Area</t>
  </si>
  <si>
    <t>GF Covered Area</t>
  </si>
  <si>
    <t>SF covered Area</t>
  </si>
  <si>
    <t>FF CA</t>
  </si>
  <si>
    <t>TF CA</t>
  </si>
  <si>
    <t>Total FAR</t>
  </si>
  <si>
    <t>Mumty</t>
  </si>
  <si>
    <t xml:space="preserve">Open Parking </t>
  </si>
  <si>
    <t>ECS</t>
  </si>
  <si>
    <t>Stilt</t>
  </si>
  <si>
    <t>Premium</t>
  </si>
  <si>
    <t>Market Rate per sq.mts.</t>
  </si>
  <si>
    <t>Structure</t>
  </si>
  <si>
    <t>Rate</t>
  </si>
  <si>
    <t>Amount</t>
  </si>
  <si>
    <t>MS Shed</t>
  </si>
  <si>
    <t>M/S HIMENVIRO ENGINEERING ENVIRONMENTAL CO PVT. LTD</t>
  </si>
  <si>
    <t xml:space="preserve">2.The maintenance of the building was average as per site survey observation . </t>
  </si>
  <si>
    <t>Land Rate</t>
  </si>
  <si>
    <t>Final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</si>
</sst>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₹&quot;\ #,##0;[Red]&quot;₹&quot;\ \-#,##0"/>
    <numFmt numFmtId="43" formatCode="_ * #,##0.00_ ;_ * \-#,##0.00_ ;_ * &quot;-&quot;??_ ;_ @_ "/>
    <numFmt numFmtId="164" formatCode="_ * #,##0_ ;_ * \-#,##0_ ;_ * &quot;-&quot;??_ ;_ @_ "/>
    <numFmt numFmtId="165" formatCode="_ [$₹-439]* #,##0_ ;_ [$₹-439]* \-#,##0_ ;_ [$₹-439]* &quot;-&quot;??_ ;_ @_ "/>
    <numFmt numFmtId="166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8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3" applyFont="1" applyFill="1" applyBorder="1" applyAlignment="1">
      <alignment horizontal="center" vertical="center" wrapText="1"/>
    </xf>
    <xf numFmtId="0" fontId="2" fillId="2" borderId="1" xfId="3" applyFont="1" applyBorder="1" applyAlignment="1">
      <alignment horizontal="center" vertical="center" wrapText="1"/>
    </xf>
    <xf numFmtId="165" fontId="2" fillId="2" borderId="1" xfId="3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 vertical="center" wrapText="1"/>
    </xf>
    <xf numFmtId="9" fontId="5" fillId="0" borderId="1" xfId="2" applyFont="1" applyBorder="1" applyAlignment="1">
      <alignment horizontal="center" vertical="center" wrapText="1"/>
    </xf>
    <xf numFmtId="164" fontId="1" fillId="0" borderId="0" xfId="1" applyNumberFormat="1" applyFont="1" applyAlignment="1">
      <alignment horizontal="center" vertical="center"/>
    </xf>
    <xf numFmtId="164" fontId="0" fillId="5" borderId="1" xfId="0" applyNumberFormat="1" applyFill="1" applyBorder="1"/>
    <xf numFmtId="0" fontId="0" fillId="0" borderId="1" xfId="0" applyBorder="1" applyAlignment="1">
      <alignment horizontal="center" vertical="center"/>
    </xf>
    <xf numFmtId="9" fontId="0" fillId="0" borderId="1" xfId="2" applyFont="1" applyBorder="1"/>
    <xf numFmtId="9" fontId="0" fillId="0" borderId="0" xfId="2" applyFont="1" applyBorder="1"/>
    <xf numFmtId="164" fontId="0" fillId="0" borderId="0" xfId="0" applyNumberFormat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0" xfId="0" applyNumberFormat="1"/>
    <xf numFmtId="6" fontId="0" fillId="0" borderId="0" xfId="0" applyNumberFormat="1"/>
    <xf numFmtId="0" fontId="2" fillId="0" borderId="1" xfId="0" applyFont="1" applyBorder="1" applyAlignment="1">
      <alignment vertical="center" wrapText="1"/>
    </xf>
    <xf numFmtId="2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64" fontId="0" fillId="0" borderId="1" xfId="1" applyNumberFormat="1" applyFont="1" applyBorder="1"/>
    <xf numFmtId="1" fontId="0" fillId="0" borderId="1" xfId="0" applyNumberFormat="1" applyBorder="1"/>
    <xf numFmtId="164" fontId="0" fillId="0" borderId="1" xfId="0" applyNumberFormat="1" applyBorder="1"/>
    <xf numFmtId="9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2" fillId="0" borderId="1" xfId="0" applyFont="1" applyBorder="1"/>
    <xf numFmtId="164" fontId="0" fillId="0" borderId="0" xfId="1" applyNumberFormat="1" applyFont="1" applyBorder="1" applyAlignment="1">
      <alignment horizontal="center"/>
    </xf>
    <xf numFmtId="1" fontId="0" fillId="0" borderId="0" xfId="0" applyNumberFormat="1"/>
    <xf numFmtId="9" fontId="0" fillId="0" borderId="0" xfId="2" applyFont="1"/>
    <xf numFmtId="2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right"/>
    </xf>
    <xf numFmtId="164" fontId="0" fillId="5" borderId="0" xfId="0" applyNumberFormat="1" applyFill="1"/>
    <xf numFmtId="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9" fontId="0" fillId="0" borderId="0" xfId="0" applyNumberFormat="1"/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43" fontId="0" fillId="0" borderId="0" xfId="1" applyFont="1"/>
    <xf numFmtId="0" fontId="3" fillId="3" borderId="0" xfId="0" applyFont="1" applyFill="1" applyAlignment="1">
      <alignment horizontal="center" vertical="center" wrapText="1"/>
    </xf>
    <xf numFmtId="0" fontId="2" fillId="2" borderId="0" xfId="3" applyFont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164" fontId="4" fillId="0" borderId="0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2" fontId="10" fillId="0" borderId="1" xfId="3" applyNumberFormat="1" applyFont="1" applyFill="1" applyBorder="1" applyAlignment="1">
      <alignment horizontal="center" vertical="center" wrapText="1"/>
    </xf>
    <xf numFmtId="0" fontId="1" fillId="0" borderId="1" xfId="3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/>
    </xf>
  </cellXfs>
  <cellStyles count="4">
    <cellStyle name="40% - Accent1" xfId="3" builtinId="31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abSelected="1" zoomScaleNormal="100" workbookViewId="0">
      <selection activeCell="AD20" sqref="AD20"/>
    </sheetView>
  </sheetViews>
  <sheetFormatPr defaultRowHeight="15" x14ac:dyDescent="0.25"/>
  <cols>
    <col min="1" max="1" width="4.28515625" customWidth="1"/>
    <col min="2" max="2" width="8.28515625" customWidth="1"/>
    <col min="3" max="3" width="7" hidden="1" customWidth="1"/>
    <col min="4" max="4" width="6.7109375" hidden="1" customWidth="1"/>
    <col min="5" max="5" width="8.85546875" customWidth="1"/>
    <col min="6" max="6" width="11.140625" customWidth="1"/>
    <col min="7" max="8" width="10" hidden="1" customWidth="1"/>
    <col min="9" max="9" width="12" customWidth="1"/>
    <col min="10" max="10" width="9.7109375" hidden="1" customWidth="1"/>
    <col min="11" max="11" width="10.140625" hidden="1" customWidth="1"/>
    <col min="12" max="12" width="10.7109375" customWidth="1"/>
    <col min="13" max="13" width="9" hidden="1" customWidth="1"/>
    <col min="14" max="14" width="14.28515625" hidden="1" customWidth="1"/>
    <col min="15" max="15" width="9.140625" customWidth="1"/>
    <col min="16" max="16" width="11.5703125" hidden="1" customWidth="1"/>
    <col min="17" max="17" width="10.85546875" hidden="1" customWidth="1"/>
    <col min="18" max="18" width="9.140625" hidden="1" customWidth="1"/>
    <col min="19" max="19" width="12.7109375" customWidth="1"/>
    <col min="20" max="22" width="11.5703125" customWidth="1"/>
    <col min="24" max="24" width="7.5703125" customWidth="1"/>
    <col min="25" max="25" width="11.5703125" bestFit="1" customWidth="1"/>
    <col min="26" max="26" width="12.28515625" bestFit="1" customWidth="1"/>
    <col min="27" max="27" width="12.28515625" customWidth="1"/>
    <col min="28" max="28" width="11.85546875" bestFit="1" customWidth="1"/>
    <col min="29" max="29" width="10.7109375" customWidth="1"/>
    <col min="30" max="30" width="15.28515625" bestFit="1" customWidth="1"/>
    <col min="31" max="31" width="12.5703125" bestFit="1" customWidth="1"/>
  </cols>
  <sheetData>
    <row r="1" spans="1:31" ht="15.75" x14ac:dyDescent="0.25">
      <c r="A1" s="72" t="s">
        <v>78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52"/>
      <c r="U1" s="52"/>
      <c r="V1" s="52"/>
    </row>
    <row r="2" spans="1:31" ht="75" x14ac:dyDescent="0.25">
      <c r="A2" s="5" t="s">
        <v>1</v>
      </c>
      <c r="B2" s="5" t="s">
        <v>49</v>
      </c>
      <c r="C2" s="5"/>
      <c r="D2" s="5" t="s">
        <v>2</v>
      </c>
      <c r="E2" s="5" t="s">
        <v>3</v>
      </c>
      <c r="F2" s="5" t="s">
        <v>4</v>
      </c>
      <c r="G2" s="5" t="s">
        <v>5</v>
      </c>
      <c r="H2" s="5" t="s">
        <v>48</v>
      </c>
      <c r="I2" s="5" t="s">
        <v>6</v>
      </c>
      <c r="J2" s="4" t="s">
        <v>7</v>
      </c>
      <c r="K2" s="5" t="s">
        <v>8</v>
      </c>
      <c r="L2" s="5" t="s">
        <v>9</v>
      </c>
      <c r="M2" s="4" t="s">
        <v>10</v>
      </c>
      <c r="N2" s="4" t="s">
        <v>11</v>
      </c>
      <c r="O2" s="5" t="s">
        <v>12</v>
      </c>
      <c r="P2" s="6" t="s">
        <v>13</v>
      </c>
      <c r="Q2" s="6" t="s">
        <v>14</v>
      </c>
      <c r="R2" s="6" t="s">
        <v>15</v>
      </c>
      <c r="S2" s="5" t="s">
        <v>16</v>
      </c>
      <c r="T2" s="5" t="s">
        <v>54</v>
      </c>
      <c r="U2" s="5" t="s">
        <v>55</v>
      </c>
      <c r="V2" s="53"/>
      <c r="X2" s="26" t="s">
        <v>34</v>
      </c>
      <c r="Y2" s="26" t="s">
        <v>17</v>
      </c>
      <c r="Z2" s="1" t="s">
        <v>18</v>
      </c>
      <c r="AA2" s="2" t="s">
        <v>19</v>
      </c>
      <c r="AB2" s="7" t="s">
        <v>73</v>
      </c>
      <c r="AC2" s="75" t="s">
        <v>0</v>
      </c>
      <c r="AD2" s="76"/>
    </row>
    <row r="3" spans="1:31" x14ac:dyDescent="0.25">
      <c r="A3" s="69">
        <v>1</v>
      </c>
      <c r="B3" s="8" t="s">
        <v>50</v>
      </c>
      <c r="C3" s="65"/>
      <c r="D3" s="65"/>
      <c r="E3" s="66" t="s">
        <v>77</v>
      </c>
      <c r="F3" s="66">
        <v>1367</v>
      </c>
      <c r="G3" s="67">
        <f>F3*10.764</f>
        <v>14714.387999999999</v>
      </c>
      <c r="H3" s="68">
        <f>G3</f>
        <v>14714.387999999999</v>
      </c>
      <c r="I3" s="66">
        <v>2013</v>
      </c>
      <c r="J3" s="66">
        <v>2025</v>
      </c>
      <c r="K3" s="10">
        <f t="shared" ref="K3:K8" si="0">J3-I3</f>
        <v>12</v>
      </c>
      <c r="L3" s="66">
        <v>45</v>
      </c>
      <c r="M3" s="42">
        <v>0.1</v>
      </c>
      <c r="N3" s="11">
        <f>(1-M3)/L3</f>
        <v>0.02</v>
      </c>
      <c r="O3" s="12">
        <v>1000</v>
      </c>
      <c r="P3" s="13">
        <f>O3*H3</f>
        <v>14714387.999999998</v>
      </c>
      <c r="Q3" s="13">
        <f>P3*N3*IF(K3&gt;L3,L3,K3)</f>
        <v>3531453.1199999992</v>
      </c>
      <c r="R3" s="14">
        <v>0</v>
      </c>
      <c r="S3" s="13">
        <f>P3-Q3</f>
        <v>11182934.879999999</v>
      </c>
      <c r="T3" s="5"/>
      <c r="U3" s="5"/>
      <c r="V3" s="53"/>
      <c r="X3" s="26"/>
      <c r="Y3" s="26"/>
      <c r="Z3" s="1"/>
      <c r="AA3" s="63"/>
      <c r="AB3" s="64"/>
      <c r="AC3" s="58"/>
      <c r="AD3" s="59"/>
    </row>
    <row r="4" spans="1:31" ht="15" customHeight="1" x14ac:dyDescent="0.25">
      <c r="A4" s="46">
        <v>2</v>
      </c>
      <c r="B4" s="8" t="s">
        <v>50</v>
      </c>
      <c r="C4" s="8">
        <v>8.5</v>
      </c>
      <c r="D4" s="8">
        <v>19</v>
      </c>
      <c r="E4" s="70" t="s">
        <v>23</v>
      </c>
      <c r="F4" s="9">
        <v>431.7</v>
      </c>
      <c r="G4" s="61">
        <f>F4*10.764</f>
        <v>4646.8188</v>
      </c>
      <c r="H4" s="9">
        <f>G4</f>
        <v>4646.8188</v>
      </c>
      <c r="I4" s="66">
        <v>2013</v>
      </c>
      <c r="J4" s="10">
        <v>2025</v>
      </c>
      <c r="K4" s="10">
        <f t="shared" si="0"/>
        <v>12</v>
      </c>
      <c r="L4" s="10">
        <v>70</v>
      </c>
      <c r="M4" s="42">
        <v>0.1</v>
      </c>
      <c r="N4" s="11">
        <f>(1-M4)/L4</f>
        <v>1.2857142857142857E-2</v>
      </c>
      <c r="O4" s="12">
        <v>1500</v>
      </c>
      <c r="P4" s="13">
        <f>O4*H4</f>
        <v>6970228.2000000002</v>
      </c>
      <c r="Q4" s="13">
        <f>P4*N4*IF(K4&gt;L4,L4,K4)</f>
        <v>1075406.6365714287</v>
      </c>
      <c r="R4" s="14">
        <v>0</v>
      </c>
      <c r="S4" s="13">
        <f>P4-Q4</f>
        <v>5894821.5634285714</v>
      </c>
      <c r="T4" s="13">
        <v>14000</v>
      </c>
      <c r="U4" s="13">
        <f>T4*F4</f>
        <v>6043800</v>
      </c>
      <c r="V4" s="54"/>
      <c r="X4" s="26">
        <f>Y4*1.196</f>
        <v>3827.2</v>
      </c>
      <c r="Y4" s="39">
        <v>3200</v>
      </c>
      <c r="Z4" s="1">
        <v>20000</v>
      </c>
      <c r="AA4" s="15">
        <f>Z4*Y4</f>
        <v>64000000</v>
      </c>
      <c r="AB4">
        <v>209000</v>
      </c>
      <c r="AC4" s="77">
        <f>AB4*Y4</f>
        <v>668800000</v>
      </c>
      <c r="AD4" s="77"/>
    </row>
    <row r="5" spans="1:31" x14ac:dyDescent="0.25">
      <c r="A5" s="46">
        <v>3</v>
      </c>
      <c r="B5" s="8">
        <v>1</v>
      </c>
      <c r="C5" s="8">
        <v>6</v>
      </c>
      <c r="D5" s="8">
        <v>12</v>
      </c>
      <c r="E5" s="70"/>
      <c r="F5" s="9">
        <v>431.7</v>
      </c>
      <c r="G5" s="61">
        <f>F5*$G$17</f>
        <v>4646.8188</v>
      </c>
      <c r="H5" s="9">
        <f t="shared" ref="H5:H8" si="1">G5</f>
        <v>4646.8188</v>
      </c>
      <c r="I5" s="66">
        <v>2013</v>
      </c>
      <c r="J5" s="10">
        <v>2025</v>
      </c>
      <c r="K5" s="10">
        <f t="shared" si="0"/>
        <v>12</v>
      </c>
      <c r="L5" s="10">
        <v>70</v>
      </c>
      <c r="M5" s="42">
        <v>0.1</v>
      </c>
      <c r="N5" s="11">
        <f t="shared" ref="N5:N8" si="2">(1-M5)/L5</f>
        <v>1.2857142857142857E-2</v>
      </c>
      <c r="O5" s="12">
        <v>1800</v>
      </c>
      <c r="P5" s="13">
        <f t="shared" ref="P5" si="3">O5*H5</f>
        <v>8364273.8399999999</v>
      </c>
      <c r="Q5" s="13">
        <f t="shared" ref="Q5:Q7" si="4">P5*N5*IF(K5&gt;L5,L5,K5)</f>
        <v>1290487.9638857143</v>
      </c>
      <c r="R5" s="14">
        <v>0</v>
      </c>
      <c r="S5" s="13">
        <f t="shared" ref="S5" si="5">P5-Q5</f>
        <v>7073785.8761142856</v>
      </c>
      <c r="T5" s="13">
        <v>14000</v>
      </c>
      <c r="U5" s="13">
        <f t="shared" ref="U5:U8" si="6">T5*F5</f>
        <v>6043800</v>
      </c>
      <c r="V5" s="54"/>
      <c r="X5" s="78" t="s">
        <v>20</v>
      </c>
      <c r="Y5" s="78"/>
      <c r="Z5" s="78"/>
      <c r="AA5" s="16">
        <f>SUM(AA4:AA4)</f>
        <v>64000000</v>
      </c>
      <c r="AB5" s="17" t="s">
        <v>21</v>
      </c>
      <c r="AC5" s="79">
        <f>S9</f>
        <v>20753552.956525713</v>
      </c>
      <c r="AD5" s="73"/>
    </row>
    <row r="6" spans="1:31" x14ac:dyDescent="0.25">
      <c r="A6" s="46">
        <v>4</v>
      </c>
      <c r="B6" s="8">
        <v>2</v>
      </c>
      <c r="C6" s="8"/>
      <c r="D6" s="8">
        <v>12</v>
      </c>
      <c r="E6" s="70"/>
      <c r="F6" s="9">
        <v>233.93</v>
      </c>
      <c r="G6" s="61">
        <f t="shared" ref="G6:G7" si="7">F6*$G$17</f>
        <v>2518.02252</v>
      </c>
      <c r="H6" s="9">
        <f t="shared" si="1"/>
        <v>2518.02252</v>
      </c>
      <c r="I6" s="66">
        <v>2013</v>
      </c>
      <c r="J6" s="10">
        <v>2025</v>
      </c>
      <c r="K6" s="10">
        <f t="shared" si="0"/>
        <v>12</v>
      </c>
      <c r="L6" s="10">
        <v>70</v>
      </c>
      <c r="M6" s="42">
        <v>0.1</v>
      </c>
      <c r="N6" s="11">
        <f t="shared" ref="N6:N7" si="8">(1-M6)/L6</f>
        <v>1.2857142857142857E-2</v>
      </c>
      <c r="O6" s="12">
        <v>1600</v>
      </c>
      <c r="P6" s="13">
        <f t="shared" ref="P6:P7" si="9">O6*H6</f>
        <v>4028836.0320000001</v>
      </c>
      <c r="Q6" s="13">
        <f t="shared" si="4"/>
        <v>621591.8449371428</v>
      </c>
      <c r="R6" s="14">
        <v>0</v>
      </c>
      <c r="S6" s="13">
        <f t="shared" ref="S6:S7" si="10">P6-Q6</f>
        <v>3407244.1870628572</v>
      </c>
      <c r="T6" s="13">
        <v>14000</v>
      </c>
      <c r="U6" s="13">
        <f t="shared" ref="U6:U7" si="11">T6*F6</f>
        <v>3275020</v>
      </c>
      <c r="V6" s="54"/>
      <c r="X6" s="40"/>
      <c r="Y6" s="40"/>
      <c r="Z6" s="40"/>
      <c r="AA6" s="41"/>
      <c r="AB6" s="17"/>
      <c r="AC6" s="45"/>
      <c r="AD6" s="60"/>
    </row>
    <row r="7" spans="1:31" x14ac:dyDescent="0.25">
      <c r="A7" s="46">
        <v>5</v>
      </c>
      <c r="B7" s="8">
        <v>3</v>
      </c>
      <c r="C7" s="8"/>
      <c r="D7" s="8">
        <v>10</v>
      </c>
      <c r="E7" s="70"/>
      <c r="F7" s="9">
        <v>233.93</v>
      </c>
      <c r="G7" s="61">
        <f t="shared" si="7"/>
        <v>2518.02252</v>
      </c>
      <c r="H7" s="9">
        <f t="shared" si="1"/>
        <v>2518.02252</v>
      </c>
      <c r="I7" s="66">
        <v>2013</v>
      </c>
      <c r="J7" s="10">
        <v>2025</v>
      </c>
      <c r="K7" s="10">
        <f t="shared" si="0"/>
        <v>12</v>
      </c>
      <c r="L7" s="10">
        <v>70</v>
      </c>
      <c r="M7" s="42">
        <v>0.1</v>
      </c>
      <c r="N7" s="11">
        <f t="shared" si="8"/>
        <v>1.2857142857142857E-2</v>
      </c>
      <c r="O7" s="12">
        <v>1600</v>
      </c>
      <c r="P7" s="13">
        <f t="shared" si="9"/>
        <v>4028836.0320000001</v>
      </c>
      <c r="Q7" s="13">
        <f t="shared" si="4"/>
        <v>621591.8449371428</v>
      </c>
      <c r="R7" s="14">
        <v>0</v>
      </c>
      <c r="S7" s="13">
        <f t="shared" si="10"/>
        <v>3407244.1870628572</v>
      </c>
      <c r="T7" s="13">
        <v>14000</v>
      </c>
      <c r="U7" s="13">
        <f t="shared" si="11"/>
        <v>3275020</v>
      </c>
      <c r="V7" s="54"/>
      <c r="X7" s="40"/>
      <c r="Y7" s="40"/>
      <c r="Z7" s="40"/>
      <c r="AA7" s="41"/>
      <c r="AB7" s="17"/>
      <c r="AC7" s="45"/>
      <c r="AD7" s="60"/>
    </row>
    <row r="8" spans="1:31" x14ac:dyDescent="0.25">
      <c r="A8" s="46">
        <v>6</v>
      </c>
      <c r="B8" s="8" t="s">
        <v>68</v>
      </c>
      <c r="C8" s="8"/>
      <c r="D8" s="8">
        <v>0</v>
      </c>
      <c r="E8" s="70"/>
      <c r="F8" s="9">
        <v>34.83</v>
      </c>
      <c r="G8" s="62">
        <v>765</v>
      </c>
      <c r="H8" s="9">
        <f t="shared" si="1"/>
        <v>765</v>
      </c>
      <c r="I8" s="66">
        <v>2013</v>
      </c>
      <c r="J8" s="10">
        <v>2025</v>
      </c>
      <c r="K8" s="10">
        <f t="shared" si="0"/>
        <v>12</v>
      </c>
      <c r="L8" s="10">
        <v>70</v>
      </c>
      <c r="M8" s="42">
        <v>0.1</v>
      </c>
      <c r="N8" s="11">
        <f t="shared" si="2"/>
        <v>1.2857142857142857E-2</v>
      </c>
      <c r="O8" s="12">
        <v>1500</v>
      </c>
      <c r="P8" s="13">
        <f t="shared" ref="P8" si="12">O8*H8</f>
        <v>1147500</v>
      </c>
      <c r="Q8" s="13">
        <f t="shared" ref="Q8" si="13">P8*N8*IF(K8&gt;L8,L8,K8)</f>
        <v>177042.85714285713</v>
      </c>
      <c r="R8" s="14">
        <v>0</v>
      </c>
      <c r="S8" s="13">
        <f t="shared" ref="S8" si="14">P8-Q8</f>
        <v>970457.14285714284</v>
      </c>
      <c r="T8" s="13">
        <v>14000</v>
      </c>
      <c r="U8" s="13">
        <f t="shared" si="6"/>
        <v>487620</v>
      </c>
      <c r="V8" s="54"/>
      <c r="X8" s="40"/>
      <c r="Y8" s="40"/>
      <c r="Z8" s="40"/>
      <c r="AA8" s="41"/>
      <c r="AB8" s="17" t="s">
        <v>24</v>
      </c>
      <c r="AC8" s="45"/>
      <c r="AD8" s="47">
        <f>SUM(AC4:AD5)</f>
        <v>689553552.95652568</v>
      </c>
      <c r="AE8" s="29">
        <f>ROUND(AD8,-5)</f>
        <v>689600000</v>
      </c>
    </row>
    <row r="9" spans="1:31" x14ac:dyDescent="0.25">
      <c r="A9" s="82" t="s">
        <v>24</v>
      </c>
      <c r="B9" s="82"/>
      <c r="C9" s="82"/>
      <c r="D9" s="82"/>
      <c r="E9" s="82"/>
      <c r="F9" s="9">
        <f>SUM(F3:F8)</f>
        <v>2733.0899999999997</v>
      </c>
      <c r="G9" s="21">
        <f>SUM(G4:G8)</f>
        <v>15094.682640000001</v>
      </c>
      <c r="H9" s="21"/>
      <c r="I9" s="46"/>
      <c r="J9" s="43"/>
      <c r="K9" s="43"/>
      <c r="L9" s="43"/>
      <c r="M9" s="42"/>
      <c r="N9" s="11"/>
      <c r="O9" s="44"/>
      <c r="P9" s="22">
        <f>SUM(P4:P8)</f>
        <v>24539674.104000002</v>
      </c>
      <c r="Q9" s="22">
        <f>SUM(Q4:Q8)</f>
        <v>3786121.1474742861</v>
      </c>
      <c r="R9" s="22">
        <f>SUM(R4:R8)</f>
        <v>0</v>
      </c>
      <c r="S9" s="22">
        <f>SUM(S4:S8)</f>
        <v>20753552.956525713</v>
      </c>
      <c r="T9" s="22"/>
      <c r="U9" s="22">
        <f>SUM(U4:U8)</f>
        <v>19125260</v>
      </c>
      <c r="V9" s="55"/>
      <c r="AB9" s="3" t="s">
        <v>26</v>
      </c>
      <c r="AC9" s="79">
        <f>AE8</f>
        <v>689600000</v>
      </c>
      <c r="AD9" s="73"/>
    </row>
    <row r="10" spans="1:31" ht="15" customHeight="1" x14ac:dyDescent="0.25">
      <c r="A10" s="83" t="s">
        <v>30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49"/>
      <c r="U10" s="49"/>
      <c r="V10" s="56"/>
      <c r="AB10" s="3" t="s">
        <v>27</v>
      </c>
      <c r="AC10" s="80">
        <f>AC9*AE11</f>
        <v>586160000</v>
      </c>
      <c r="AD10" s="81"/>
    </row>
    <row r="11" spans="1:31" x14ac:dyDescent="0.25">
      <c r="A11" s="74" t="s">
        <v>31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50"/>
      <c r="U11" s="50"/>
      <c r="V11" s="57"/>
      <c r="AB11" s="3" t="s">
        <v>28</v>
      </c>
      <c r="AC11" s="79">
        <f>AC9*AE12</f>
        <v>517200000</v>
      </c>
      <c r="AD11" s="79"/>
      <c r="AE11" s="38">
        <v>0.85</v>
      </c>
    </row>
    <row r="12" spans="1:31" ht="15" customHeight="1" x14ac:dyDescent="0.25">
      <c r="A12" s="74" t="s">
        <v>79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50"/>
      <c r="U12" s="50"/>
      <c r="V12" s="57"/>
      <c r="AB12" s="3" t="s">
        <v>29</v>
      </c>
      <c r="AC12" s="79">
        <f>P9*0.8</f>
        <v>19631739.283200003</v>
      </c>
      <c r="AD12" s="79"/>
      <c r="AE12" s="38">
        <v>0.75</v>
      </c>
    </row>
    <row r="13" spans="1:31" ht="11.25" customHeight="1" x14ac:dyDescent="0.25">
      <c r="A13" s="74" t="s">
        <v>32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50"/>
      <c r="U13" s="50"/>
      <c r="V13" s="57"/>
      <c r="Z13" s="3" t="s">
        <v>25</v>
      </c>
      <c r="AA13" s="18">
        <f>(AC4-AA5)/AC4</f>
        <v>0.90430622009569372</v>
      </c>
      <c r="AC13" s="20"/>
      <c r="AD13" s="20"/>
    </row>
    <row r="14" spans="1:31" ht="24" customHeight="1" x14ac:dyDescent="0.25">
      <c r="A14" s="74" t="s">
        <v>33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50"/>
      <c r="U14" s="50"/>
      <c r="V14" s="57"/>
      <c r="AA14" s="19"/>
      <c r="AC14" s="20"/>
      <c r="AD14" s="20"/>
    </row>
    <row r="15" spans="1:31" ht="26.25" customHeight="1" x14ac:dyDescent="0.25">
      <c r="W15">
        <f>6000/10.764</f>
        <v>557.41360089186185</v>
      </c>
      <c r="AA15" s="19"/>
      <c r="AD15">
        <v>690000000</v>
      </c>
    </row>
    <row r="16" spans="1:31" ht="16.5" customHeight="1" x14ac:dyDescent="0.25">
      <c r="AD16" s="24">
        <f>AD8</f>
        <v>689553552.95652568</v>
      </c>
    </row>
    <row r="17" spans="7:36" ht="15" customHeight="1" x14ac:dyDescent="0.25">
      <c r="G17">
        <v>10.763999999999999</v>
      </c>
      <c r="Q17">
        <f>180000*1.05</f>
        <v>189000</v>
      </c>
      <c r="T17" s="27"/>
      <c r="U17" s="27"/>
      <c r="V17" s="27"/>
      <c r="AD17" s="36">
        <v>608000</v>
      </c>
      <c r="AJ17" s="27">
        <v>0.42</v>
      </c>
    </row>
    <row r="18" spans="7:36" x14ac:dyDescent="0.25">
      <c r="J18" s="73">
        <f>220*10^7</f>
        <v>2200000000</v>
      </c>
      <c r="K18" s="73"/>
      <c r="L18" s="3"/>
      <c r="M18" s="3"/>
      <c r="N18" s="3"/>
      <c r="O18" s="23"/>
      <c r="P18" s="23"/>
      <c r="Q18" s="23"/>
      <c r="R18" s="23"/>
      <c r="S18" t="s">
        <v>80</v>
      </c>
      <c r="T18" s="23">
        <v>200000</v>
      </c>
      <c r="U18" s="23"/>
      <c r="V18" s="23"/>
      <c r="Z18" s="71"/>
      <c r="AA18" s="71"/>
      <c r="AD18" s="36">
        <f>AD17+AD8</f>
        <v>690161552.95652568</v>
      </c>
      <c r="AE18" s="36"/>
      <c r="AF18" s="23"/>
      <c r="AG18" s="23"/>
      <c r="AH18" s="23"/>
      <c r="AJ18" s="23"/>
    </row>
    <row r="19" spans="7:36" x14ac:dyDescent="0.25">
      <c r="J19" s="3" t="s">
        <v>35</v>
      </c>
      <c r="K19" s="3">
        <v>18494</v>
      </c>
      <c r="L19" s="3">
        <v>1500</v>
      </c>
      <c r="M19" s="3" t="e">
        <f>L19*#REF!</f>
        <v>#REF!</v>
      </c>
      <c r="N19" s="30" t="e">
        <f>M19*K19</f>
        <v>#REF!</v>
      </c>
      <c r="P19" s="24"/>
      <c r="Q19" s="24"/>
      <c r="R19" s="25"/>
      <c r="S19" s="24" t="s">
        <v>72</v>
      </c>
      <c r="T19" s="24">
        <v>1.05</v>
      </c>
      <c r="U19" s="24"/>
      <c r="V19" s="24"/>
      <c r="AC19" s="29"/>
      <c r="AD19" s="20">
        <f>AD15*AE11</f>
        <v>586500000</v>
      </c>
      <c r="AE19" s="36"/>
      <c r="AF19" s="24"/>
      <c r="AG19" s="24"/>
      <c r="AH19" s="25"/>
      <c r="AI19" s="24"/>
      <c r="AJ19" s="24"/>
    </row>
    <row r="20" spans="7:36" x14ac:dyDescent="0.25">
      <c r="J20" s="3" t="s">
        <v>36</v>
      </c>
      <c r="K20" s="31">
        <f>19883/9</f>
        <v>2209.2222222222222</v>
      </c>
      <c r="L20" s="3"/>
      <c r="M20" s="32" t="e">
        <f>N20/K20</f>
        <v>#REF!</v>
      </c>
      <c r="N20" s="32" t="e">
        <f>J18-N19</f>
        <v>#REF!</v>
      </c>
      <c r="P20" s="24"/>
      <c r="Q20" s="24"/>
      <c r="R20" s="25"/>
      <c r="S20" s="24" t="s">
        <v>81</v>
      </c>
      <c r="T20" s="24">
        <f>T18*T19</f>
        <v>210000</v>
      </c>
      <c r="U20" s="24"/>
      <c r="V20" s="24"/>
      <c r="AA20" s="37"/>
      <c r="AD20" s="29">
        <f>AD15*AE12</f>
        <v>517500000</v>
      </c>
      <c r="AE20" s="20"/>
      <c r="AF20" s="24"/>
      <c r="AG20" s="24"/>
      <c r="AH20" s="25"/>
      <c r="AI20" s="24"/>
      <c r="AJ20" s="24"/>
    </row>
    <row r="21" spans="7:36" x14ac:dyDescent="0.25">
      <c r="P21" s="24"/>
      <c r="Q21" s="24"/>
      <c r="R21" s="25"/>
      <c r="S21" s="24"/>
      <c r="T21" s="24"/>
      <c r="U21" s="24"/>
      <c r="V21" s="24"/>
      <c r="Y21" s="29" t="e">
        <f>#REF!+AA4</f>
        <v>#REF!</v>
      </c>
      <c r="AF21" s="24"/>
      <c r="AG21" s="24"/>
      <c r="AH21" s="25"/>
      <c r="AI21" s="24"/>
      <c r="AJ21" s="24"/>
    </row>
    <row r="22" spans="7:36" ht="29.25" customHeight="1" x14ac:dyDescent="0.25">
      <c r="J22">
        <f>1530*2+950</f>
        <v>4010</v>
      </c>
      <c r="P22" s="24"/>
      <c r="Q22" s="24"/>
      <c r="R22" s="25"/>
      <c r="S22" s="24"/>
      <c r="T22" s="24"/>
      <c r="U22" s="24"/>
      <c r="V22" s="24"/>
    </row>
    <row r="23" spans="7:36" x14ac:dyDescent="0.25">
      <c r="J23">
        <f>3.28084*15</f>
        <v>49.212600000000002</v>
      </c>
      <c r="N23" s="51">
        <f>140*14000</f>
        <v>1960000</v>
      </c>
      <c r="P23" s="24"/>
      <c r="Q23" s="24"/>
      <c r="R23" s="25"/>
      <c r="S23" s="24"/>
      <c r="T23" s="24"/>
      <c r="U23" s="24"/>
      <c r="V23" s="24"/>
    </row>
    <row r="24" spans="7:36" x14ac:dyDescent="0.25">
      <c r="P24" s="24"/>
      <c r="Q24" s="24"/>
      <c r="R24" s="25"/>
      <c r="S24" s="24">
        <f>3000*1530</f>
        <v>4590000</v>
      </c>
      <c r="T24" s="24"/>
      <c r="U24" s="24"/>
      <c r="V24" s="24"/>
    </row>
    <row r="25" spans="7:36" ht="28.5" customHeight="1" x14ac:dyDescent="0.25">
      <c r="P25" s="24"/>
      <c r="Q25" s="24"/>
      <c r="R25" s="25"/>
      <c r="S25" s="24">
        <f>S24+S9</f>
        <v>25343552.956525713</v>
      </c>
      <c r="T25" s="24"/>
      <c r="U25" s="24"/>
      <c r="V25" s="24"/>
    </row>
    <row r="26" spans="7:36" ht="15" customHeight="1" x14ac:dyDescent="0.25">
      <c r="P26" s="24"/>
      <c r="Q26" s="24"/>
      <c r="R26" s="48">
        <v>0.85</v>
      </c>
      <c r="S26" s="24">
        <f>S25*R26</f>
        <v>21542020.013046857</v>
      </c>
      <c r="T26" s="24"/>
      <c r="U26" s="24"/>
      <c r="V26" s="24"/>
      <c r="Z26" s="48"/>
    </row>
    <row r="27" spans="7:36" ht="15" customHeight="1" x14ac:dyDescent="0.25">
      <c r="Q27" s="24"/>
      <c r="R27" s="24">
        <v>0.75</v>
      </c>
      <c r="S27" s="24">
        <f>S25*R27</f>
        <v>19007664.717394285</v>
      </c>
      <c r="Z27" s="48"/>
    </row>
    <row r="28" spans="7:36" ht="15" customHeight="1" x14ac:dyDescent="0.25"/>
    <row r="29" spans="7:36" ht="28.5" customHeight="1" x14ac:dyDescent="0.25"/>
    <row r="30" spans="7:36" ht="15" customHeight="1" x14ac:dyDescent="0.25"/>
    <row r="32" spans="7:36" ht="33" customHeight="1" x14ac:dyDescent="0.25"/>
  </sheetData>
  <mergeCells count="18">
    <mergeCell ref="AC10:AD10"/>
    <mergeCell ref="AC11:AD11"/>
    <mergeCell ref="AC12:AD12"/>
    <mergeCell ref="A9:E9"/>
    <mergeCell ref="A10:S10"/>
    <mergeCell ref="A12:S12"/>
    <mergeCell ref="A11:S11"/>
    <mergeCell ref="AC2:AD2"/>
    <mergeCell ref="AC4:AD4"/>
    <mergeCell ref="X5:Z5"/>
    <mergeCell ref="AC5:AD5"/>
    <mergeCell ref="AC9:AD9"/>
    <mergeCell ref="E4:E8"/>
    <mergeCell ref="Z18:AA18"/>
    <mergeCell ref="A1:S1"/>
    <mergeCell ref="J18:K18"/>
    <mergeCell ref="A14:S14"/>
    <mergeCell ref="A13:S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19"/>
  <sheetViews>
    <sheetView topLeftCell="B1" workbookViewId="0">
      <selection activeCell="H19" sqref="H19"/>
    </sheetView>
  </sheetViews>
  <sheetFormatPr defaultRowHeight="15" x14ac:dyDescent="0.25"/>
  <cols>
    <col min="6" max="6" width="13.5703125" bestFit="1" customWidth="1"/>
    <col min="10" max="10" width="11.42578125" bestFit="1" customWidth="1"/>
    <col min="12" max="12" width="4" bestFit="1" customWidth="1"/>
    <col min="13" max="13" width="18.5703125" bestFit="1" customWidth="1"/>
    <col min="14" max="14" width="12.140625" bestFit="1" customWidth="1"/>
    <col min="15" max="15" width="14.28515625" bestFit="1" customWidth="1"/>
  </cols>
  <sheetData>
    <row r="2" spans="3:12" x14ac:dyDescent="0.25">
      <c r="G2" t="s">
        <v>58</v>
      </c>
    </row>
    <row r="3" spans="3:12" x14ac:dyDescent="0.25">
      <c r="E3" t="s">
        <v>57</v>
      </c>
      <c r="F3" s="48">
        <v>0.6</v>
      </c>
      <c r="G3">
        <v>1920</v>
      </c>
    </row>
    <row r="4" spans="3:12" x14ac:dyDescent="0.25">
      <c r="E4" t="s">
        <v>59</v>
      </c>
      <c r="G4">
        <v>3315</v>
      </c>
      <c r="J4" t="s">
        <v>67</v>
      </c>
      <c r="K4">
        <v>2294.46</v>
      </c>
    </row>
    <row r="5" spans="3:12" x14ac:dyDescent="0.25">
      <c r="E5" t="s">
        <v>60</v>
      </c>
      <c r="G5">
        <v>2061.5</v>
      </c>
      <c r="J5" t="s">
        <v>68</v>
      </c>
      <c r="K5">
        <v>34.83</v>
      </c>
    </row>
    <row r="6" spans="3:12" x14ac:dyDescent="0.25">
      <c r="E6" t="s">
        <v>61</v>
      </c>
      <c r="G6">
        <v>405.6</v>
      </c>
      <c r="J6" t="s">
        <v>69</v>
      </c>
      <c r="K6">
        <v>13.05</v>
      </c>
      <c r="L6" t="s">
        <v>70</v>
      </c>
    </row>
    <row r="7" spans="3:12" x14ac:dyDescent="0.25">
      <c r="E7" t="s">
        <v>62</v>
      </c>
      <c r="G7">
        <v>1394.9</v>
      </c>
      <c r="J7" t="s">
        <v>71</v>
      </c>
      <c r="K7">
        <v>13.52</v>
      </c>
    </row>
    <row r="8" spans="3:12" x14ac:dyDescent="0.25">
      <c r="E8" t="s">
        <v>63</v>
      </c>
      <c r="G8">
        <v>1821.28</v>
      </c>
    </row>
    <row r="9" spans="3:12" x14ac:dyDescent="0.25">
      <c r="C9" t="s">
        <v>65</v>
      </c>
      <c r="D9">
        <v>431.7</v>
      </c>
      <c r="E9" t="s">
        <v>64</v>
      </c>
      <c r="G9">
        <v>233.93</v>
      </c>
      <c r="H9" t="s">
        <v>66</v>
      </c>
      <c r="I9">
        <v>233.93</v>
      </c>
    </row>
    <row r="10" spans="3:12" x14ac:dyDescent="0.25">
      <c r="E10" t="s">
        <v>51</v>
      </c>
      <c r="F10" t="s">
        <v>56</v>
      </c>
    </row>
    <row r="13" spans="3:12" x14ac:dyDescent="0.25">
      <c r="E13">
        <f>G8+D9+G9+I9+K5</f>
        <v>2755.6699999999996</v>
      </c>
    </row>
    <row r="18" spans="5:9" x14ac:dyDescent="0.25">
      <c r="E18" t="s">
        <v>52</v>
      </c>
      <c r="F18" t="s">
        <v>74</v>
      </c>
      <c r="G18" t="s">
        <v>53</v>
      </c>
      <c r="H18" t="s">
        <v>75</v>
      </c>
      <c r="I18" t="s">
        <v>76</v>
      </c>
    </row>
    <row r="19" spans="5:9" x14ac:dyDescent="0.25">
      <c r="E19" t="s">
        <v>50</v>
      </c>
      <c r="F19" t="s">
        <v>77</v>
      </c>
      <c r="G19">
        <v>1367</v>
      </c>
      <c r="H19">
        <v>6000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workbookViewId="0">
      <selection activeCell="K4" sqref="K4"/>
    </sheetView>
  </sheetViews>
  <sheetFormatPr defaultRowHeight="15" x14ac:dyDescent="0.25"/>
  <cols>
    <col min="2" max="2" width="27" bestFit="1" customWidth="1"/>
    <col min="3" max="3" width="8.140625" customWidth="1"/>
    <col min="4" max="4" width="13.28515625" customWidth="1"/>
    <col min="6" max="6" width="9" bestFit="1" customWidth="1"/>
    <col min="9" max="9" width="14.28515625" bestFit="1" customWidth="1"/>
    <col min="10" max="10" width="10" bestFit="1" customWidth="1"/>
    <col min="11" max="11" width="12.5703125" bestFit="1" customWidth="1"/>
    <col min="12" max="12" width="11.5703125" bestFit="1" customWidth="1"/>
  </cols>
  <sheetData>
    <row r="2" spans="1:12" ht="30" x14ac:dyDescent="0.25">
      <c r="A2" s="2" t="s">
        <v>37</v>
      </c>
      <c r="B2" s="2" t="s">
        <v>22</v>
      </c>
      <c r="C2" s="1" t="s">
        <v>38</v>
      </c>
      <c r="D2" s="1" t="s">
        <v>39</v>
      </c>
      <c r="E2" s="2" t="s">
        <v>40</v>
      </c>
      <c r="F2" s="2" t="s">
        <v>41</v>
      </c>
      <c r="G2" s="2" t="s">
        <v>42</v>
      </c>
      <c r="H2" s="2"/>
      <c r="I2" s="2" t="s">
        <v>43</v>
      </c>
      <c r="J2" s="2" t="s">
        <v>44</v>
      </c>
      <c r="K2" s="2" t="s">
        <v>45</v>
      </c>
    </row>
    <row r="3" spans="1:12" x14ac:dyDescent="0.25">
      <c r="A3" s="17">
        <v>1</v>
      </c>
      <c r="B3" s="3" t="s">
        <v>46</v>
      </c>
      <c r="C3" s="17">
        <v>240</v>
      </c>
      <c r="D3" s="17">
        <v>8</v>
      </c>
      <c r="E3" s="17">
        <v>5000</v>
      </c>
      <c r="F3" s="17">
        <v>25</v>
      </c>
      <c r="G3" s="33">
        <v>1</v>
      </c>
      <c r="H3" s="17">
        <v>12</v>
      </c>
      <c r="I3" s="30">
        <f>E3*C3</f>
        <v>1200000</v>
      </c>
      <c r="J3" s="32">
        <f>I3*(G3/F3)*H3</f>
        <v>576000</v>
      </c>
      <c r="K3" s="32">
        <f>I3-J3</f>
        <v>624000</v>
      </c>
      <c r="L3" s="29">
        <f>ROUND(K3,-5)</f>
        <v>600000</v>
      </c>
    </row>
    <row r="4" spans="1:12" x14ac:dyDescent="0.25">
      <c r="A4" s="17">
        <v>2</v>
      </c>
      <c r="B4" s="3" t="s">
        <v>47</v>
      </c>
      <c r="C4" s="17">
        <v>80</v>
      </c>
      <c r="D4" s="34">
        <v>10</v>
      </c>
      <c r="E4" s="17">
        <v>8000</v>
      </c>
      <c r="F4" s="17">
        <v>20</v>
      </c>
      <c r="G4" s="33">
        <v>1</v>
      </c>
      <c r="H4" s="17">
        <v>1</v>
      </c>
      <c r="I4" s="30">
        <f>E4*C4</f>
        <v>640000</v>
      </c>
      <c r="J4" s="32">
        <f>I4*(G4/F4)*H4</f>
        <v>32000</v>
      </c>
      <c r="K4" s="32">
        <f>I4-J4</f>
        <v>608000</v>
      </c>
      <c r="L4" s="29">
        <f>ROUND(K4,-5)</f>
        <v>600000</v>
      </c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5" t="s">
        <v>24</v>
      </c>
      <c r="K5" s="32">
        <f>ROUND(SUM(K3:K4),-5)</f>
        <v>1200000</v>
      </c>
      <c r="L5" s="29">
        <f>SUM(L3:L4)</f>
        <v>1200000</v>
      </c>
    </row>
    <row r="6" spans="1:12" x14ac:dyDescent="0.25">
      <c r="K6" s="29"/>
    </row>
    <row r="7" spans="1:12" x14ac:dyDescent="0.25">
      <c r="K7" s="29">
        <f>K3+Sheet1!AC4+Sheet1!AC5</f>
        <v>690177552.95652568</v>
      </c>
    </row>
    <row r="8" spans="1:12" x14ac:dyDescent="0.25">
      <c r="K8" s="29">
        <f>ROUND(K7,-6)</f>
        <v>690000000</v>
      </c>
    </row>
    <row r="9" spans="1:12" x14ac:dyDescent="0.25">
      <c r="D9">
        <f>80*3.28</f>
        <v>262.39999999999998</v>
      </c>
    </row>
    <row r="10" spans="1:12" x14ac:dyDescent="0.25">
      <c r="D10">
        <f>D9*D4</f>
        <v>2624</v>
      </c>
      <c r="E10">
        <v>50</v>
      </c>
      <c r="F10" s="28">
        <f>E10*D10</f>
        <v>131200</v>
      </c>
    </row>
    <row r="22" spans="4:5" x14ac:dyDescent="0.25">
      <c r="D22">
        <f>5*10^7</f>
        <v>50000000</v>
      </c>
      <c r="E22">
        <f>5*10^7</f>
        <v>50000000</v>
      </c>
    </row>
    <row r="23" spans="4:5" x14ac:dyDescent="0.25">
      <c r="D23">
        <v>7.25</v>
      </c>
      <c r="E23">
        <v>3.5</v>
      </c>
    </row>
    <row r="24" spans="4:5" x14ac:dyDescent="0.25">
      <c r="D24">
        <f>D22*D23%</f>
        <v>3624999.9999999995</v>
      </c>
      <c r="E24">
        <f>E22*E23%</f>
        <v>1750000.0000000002</v>
      </c>
    </row>
    <row r="25" spans="4:5" x14ac:dyDescent="0.25">
      <c r="D25">
        <f>D24/12</f>
        <v>302083.33333333331</v>
      </c>
      <c r="E25">
        <f>E24/12</f>
        <v>145833.33333333334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Boundary Wall Length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Manmohan Dubey</dc:creator>
  <cp:lastModifiedBy>Anuj</cp:lastModifiedBy>
  <dcterms:created xsi:type="dcterms:W3CDTF">2015-06-05T18:17:20Z</dcterms:created>
  <dcterms:modified xsi:type="dcterms:W3CDTF">2025-03-04T11:03:21Z</dcterms:modified>
</cp:coreProperties>
</file>