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SVR\Companies\BlueLeo\DPR\"/>
    </mc:Choice>
  </mc:AlternateContent>
  <bookViews>
    <workbookView xWindow="0" yWindow="0" windowWidth="23040" windowHeight="8952" activeTab="1"/>
  </bookViews>
  <sheets>
    <sheet name="Cover Page" sheetId="1" r:id="rId1"/>
    <sheet name="Project Heighlights" sheetId="2" r:id="rId2"/>
    <sheet name="Cap Assumptions" sheetId="3" r:id="rId3"/>
    <sheet name="BS PL CF" sheetId="4" r:id="rId4"/>
    <sheet name="FA" sheetId="5" r:id="rId5"/>
    <sheet name="repayment sch" sheetId="6" r:id="rId6"/>
    <sheet name="BEP" sheetId="7" r:id="rId7"/>
    <sheet name="Production detaiils" sheetId="8" r:id="rId8"/>
    <sheet name="Cost" sheetId="9" r:id="rId9"/>
    <sheet name="REVENUE DETAILS" sheetId="10" r:id="rId10"/>
    <sheet name="SUMMARY" sheetId="11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\a" localSheetId="2">#REF!</definedName>
    <definedName name="\a">#REF!</definedName>
    <definedName name="\q" localSheetId="2">#REF!</definedName>
    <definedName name="\q">#REF!</definedName>
    <definedName name="\S" localSheetId="2">[2]FUNDFLOW!#REF!</definedName>
    <definedName name="\S">[2]FUNDFLOW!#REF!</definedName>
    <definedName name="___INDEX_SHEET___ASAP_Utilities" localSheetId="2">#REF!</definedName>
    <definedName name="___INDEX_SHEET___ASAP_Utilities">#REF!</definedName>
    <definedName name="__123Graph_A" localSheetId="2" hidden="1">[3]TB!#REF!</definedName>
    <definedName name="__123Graph_A" hidden="1">[3]TB!#REF!</definedName>
    <definedName name="__123Graph_B" localSheetId="2" hidden="1">'[4]TRIAL BALANCE'!#REF!</definedName>
    <definedName name="__123Graph_B" hidden="1">'[4]TRIAL BALANCE'!#REF!</definedName>
    <definedName name="__123Graph_X" localSheetId="2" hidden="1">[3]TB!#REF!</definedName>
    <definedName name="__123Graph_X" hidden="1">[3]TB!#REF!</definedName>
    <definedName name="__cc1">'[5]Customize Your Purchase Order'!$H$23:$H$26</definedName>
    <definedName name="__IntlFixup" hidden="1">TRUE</definedName>
    <definedName name="__New1" localSheetId="2">#REF!</definedName>
    <definedName name="__New1">#REF!</definedName>
    <definedName name="__sep97" localSheetId="2">#REF!</definedName>
    <definedName name="__sep97">#REF!</definedName>
    <definedName name="__sht1" localSheetId="2">#REF!</definedName>
    <definedName name="__sht1">#REF!</definedName>
    <definedName name="_1" localSheetId="2">#REF!</definedName>
    <definedName name="_1">#REF!</definedName>
    <definedName name="_2B_9" localSheetId="2">#REF!</definedName>
    <definedName name="_2B_9">#REF!</definedName>
    <definedName name="_cc1">'[5]Customize Your Purchase Order'!$H$23:$H$26</definedName>
    <definedName name="_col1" localSheetId="2">#REF!</definedName>
    <definedName name="_col1">#REF!</definedName>
    <definedName name="_col10" localSheetId="2">#REF!</definedName>
    <definedName name="_col10">#REF!</definedName>
    <definedName name="_col11" localSheetId="2">#REF!</definedName>
    <definedName name="_col11">#REF!</definedName>
    <definedName name="_col12" localSheetId="2">#REF!</definedName>
    <definedName name="_col12">#REF!</definedName>
    <definedName name="_col13" localSheetId="2">#REF!</definedName>
    <definedName name="_col13">#REF!</definedName>
    <definedName name="_col2" localSheetId="2">#REF!</definedName>
    <definedName name="_col2">#REF!</definedName>
    <definedName name="_col3" localSheetId="2">#REF!</definedName>
    <definedName name="_col3">#REF!</definedName>
    <definedName name="_col4" localSheetId="2">#REF!</definedName>
    <definedName name="_col4">#REF!</definedName>
    <definedName name="_col5" localSheetId="2">#REF!</definedName>
    <definedName name="_col5">#REF!</definedName>
    <definedName name="_col6" localSheetId="2">#REF!</definedName>
    <definedName name="_col6">#REF!</definedName>
    <definedName name="_col7" localSheetId="2">#REF!</definedName>
    <definedName name="_col7">#REF!</definedName>
    <definedName name="_col8" localSheetId="2">#REF!</definedName>
    <definedName name="_col8">#REF!</definedName>
    <definedName name="_col9" localSheetId="2">#REF!</definedName>
    <definedName name="_col9">#REF!</definedName>
    <definedName name="_Fill" localSheetId="2" hidden="1">#REF!</definedName>
    <definedName name="_Fill" hidden="1">#REF!</definedName>
    <definedName name="_xlnm._FilterDatabase" localSheetId="5" hidden="1">'repayment sch'!#REF!</definedName>
    <definedName name="_FST1" localSheetId="2">#REF!</definedName>
    <definedName name="_FST1">#REF!</definedName>
    <definedName name="_Grp12" localSheetId="2">#REF!</definedName>
    <definedName name="_Grp12">#REF!</definedName>
    <definedName name="_Grp13" localSheetId="2">#REF!</definedName>
    <definedName name="_Grp13">#REF!</definedName>
    <definedName name="_Grp14" localSheetId="2">#REF!</definedName>
    <definedName name="_Grp14">#REF!</definedName>
    <definedName name="_Grp15" localSheetId="2">#REF!</definedName>
    <definedName name="_Grp15">#REF!</definedName>
    <definedName name="_Grp2" localSheetId="2">#REF!</definedName>
    <definedName name="_Grp2">#REF!</definedName>
    <definedName name="_ILT1" localSheetId="2">#REF!</definedName>
    <definedName name="_ILT1">#REF!</definedName>
    <definedName name="_MAR9091" localSheetId="2">'[6]TRIAL BALANCE'!#REF!</definedName>
    <definedName name="_MAR9091">'[6]TRIAL BALANCE'!#REF!</definedName>
    <definedName name="_New1" localSheetId="2">#REF!</definedName>
    <definedName name="_New1">#REF!</definedName>
    <definedName name="_Order1" localSheetId="3">0</definedName>
    <definedName name="_Order1" localSheetId="2">0</definedName>
    <definedName name="_Order1" hidden="1">255</definedName>
    <definedName name="_Order2">255</definedName>
    <definedName name="_Sch10" localSheetId="2">'[7]Schedules PL'!#REF!</definedName>
    <definedName name="_Sch10">'[7]Schedules PL'!#REF!</definedName>
    <definedName name="_Sch11" localSheetId="2">'[7]Schedules PL'!#REF!</definedName>
    <definedName name="_Sch11">'[7]Schedules PL'!#REF!</definedName>
    <definedName name="_Sch12" localSheetId="2">'[7]Schedules PL'!#REF!</definedName>
    <definedName name="_Sch12">'[7]Schedules PL'!#REF!</definedName>
    <definedName name="_Sch13" localSheetId="2">'[7]Schedules PL'!#REF!</definedName>
    <definedName name="_Sch13">'[7]Schedules PL'!#REF!</definedName>
    <definedName name="_Sch14" localSheetId="2">'[7]Schedules PL'!#REF!</definedName>
    <definedName name="_Sch14">'[7]Schedules PL'!#REF!</definedName>
    <definedName name="_Sch15" localSheetId="2">'[7]Schedules PL'!#REF!</definedName>
    <definedName name="_Sch15">'[7]Schedules PL'!#REF!</definedName>
    <definedName name="_Sch2" localSheetId="2">'[7]Schedules PL'!#REF!</definedName>
    <definedName name="_Sch2">'[7]Schedules PL'!#REF!</definedName>
    <definedName name="_Sch4" localSheetId="2">'[7]Schedules PL'!#REF!</definedName>
    <definedName name="_Sch4">'[7]Schedules PL'!#REF!</definedName>
    <definedName name="_Sch5" localSheetId="2">'[7]Schedules PL'!#REF!</definedName>
    <definedName name="_Sch5">'[7]Schedules PL'!#REF!</definedName>
    <definedName name="_Sch6" localSheetId="2">'[7]Schedules PL'!#REF!</definedName>
    <definedName name="_Sch6">'[7]Schedules PL'!#REF!</definedName>
    <definedName name="_Sch7" localSheetId="2">'[7]Schedules PL'!#REF!</definedName>
    <definedName name="_Sch7">'[7]Schedules PL'!#REF!</definedName>
    <definedName name="_Sch8" localSheetId="2">'[7]Schedules PL'!#REF!</definedName>
    <definedName name="_Sch8">'[7]Schedules PL'!#REF!</definedName>
    <definedName name="_Sch9" localSheetId="2">'[7]Schedules BS'!#REF!</definedName>
    <definedName name="_Sch9">'[7]Schedules BS'!#REF!</definedName>
    <definedName name="_sep97" localSheetId="2">#REF!</definedName>
    <definedName name="_sep97">#REF!</definedName>
    <definedName name="_sht1" localSheetId="2">#REF!</definedName>
    <definedName name="_sht1">#REF!</definedName>
    <definedName name="_ST1" localSheetId="2">#REF!</definedName>
    <definedName name="_ST1">#REF!</definedName>
    <definedName name="_TLT1" localSheetId="2">#REF!</definedName>
    <definedName name="_TLT1">#REF!</definedName>
    <definedName name="_TOT1" localSheetId="2">#REF!</definedName>
    <definedName name="_TOT1">#REF!</definedName>
    <definedName name="_UER1" localSheetId="2">#REF!</definedName>
    <definedName name="_UER1">#REF!</definedName>
    <definedName name="a" localSheetId="2">#REF!</definedName>
    <definedName name="a">#REF!</definedName>
    <definedName name="a654645454545" localSheetId="2">#REF!</definedName>
    <definedName name="a654645454545">#REF!</definedName>
    <definedName name="Access">'[8]Service Function'!$BW$71:$CA$74</definedName>
    <definedName name="Afferguson" localSheetId="2">#REF!</definedName>
    <definedName name="Afferguson">#REF!</definedName>
    <definedName name="all" localSheetId="2">#REF!</definedName>
    <definedName name="all">#REF!</definedName>
    <definedName name="AS2DocOpenMode" hidden="1">"AS2DocumentEdit"</definedName>
    <definedName name="ASIA_PLASTIC_in_KUSD" localSheetId="2">#REF!</definedName>
    <definedName name="ASIA_PLASTIC_in_KUSD">#REF!</definedName>
    <definedName name="AsstYr">[9]Masters!$C$34</definedName>
    <definedName name="Assumptions_Network" localSheetId="2">#REF!</definedName>
    <definedName name="Assumptions_Network">#REF!</definedName>
    <definedName name="avgot" localSheetId="2">#REF!</definedName>
    <definedName name="avgot">#REF!</definedName>
    <definedName name="axedoc" localSheetId="2">#REF!</definedName>
    <definedName name="axedoc">#REF!</definedName>
    <definedName name="AY" localSheetId="2">#REF!</definedName>
    <definedName name="AY">#REF!</definedName>
    <definedName name="b" localSheetId="2">#REF!</definedName>
    <definedName name="b">#REF!</definedName>
    <definedName name="BABL" localSheetId="2">[10]TB!#REF!</definedName>
    <definedName name="BABL">[10]TB!#REF!</definedName>
    <definedName name="Beurteilung" localSheetId="2">#REF!</definedName>
    <definedName name="Beurteilung">#REF!</definedName>
    <definedName name="big" localSheetId="2">#REF!</definedName>
    <definedName name="big">#REF!</definedName>
    <definedName name="boxes" localSheetId="2">#REF!,#REF!</definedName>
    <definedName name="boxes">#REF!,#REF!</definedName>
    <definedName name="BS" localSheetId="2">#REF!</definedName>
    <definedName name="BS">#REF!</definedName>
    <definedName name="BSDateSF">[9]Masters!$C$28</definedName>
    <definedName name="BuiltIn_Print_Area" localSheetId="2">#REF!</definedName>
    <definedName name="BuiltIn_Print_Area">#REF!</definedName>
    <definedName name="BuiltIn_Print_Area___0" localSheetId="2">#REF!</definedName>
    <definedName name="BuiltIn_Print_Area___0">#REF!</definedName>
    <definedName name="BuiltIn_Print_Area___0___0" localSheetId="2">#REF!</definedName>
    <definedName name="BuiltIn_Print_Area___0___0">#REF!</definedName>
    <definedName name="BuiltIn_Print_Area___0___0___0" localSheetId="2">#REF!</definedName>
    <definedName name="BuiltIn_Print_Area___0___0___0">#REF!</definedName>
    <definedName name="BuiltIn_Print_Area___0___0___0___0" localSheetId="2">#REF!</definedName>
    <definedName name="BuiltIn_Print_Area___0___0___0___0">#REF!</definedName>
    <definedName name="BuiltIn_Print_Area___0___0___0___0___0" localSheetId="2">#REF!</definedName>
    <definedName name="BuiltIn_Print_Area___0___0___0___0___0">#REF!</definedName>
    <definedName name="BuiltIn_Print_Area___0___0___0___0___0___0___0">[11]Computation!$B$2:$D$40</definedName>
    <definedName name="BuiltIn_Print_Area___0___0___0___0___0___0___0___0" localSheetId="2">#REF!</definedName>
    <definedName name="BuiltIn_Print_Area___0___0___0___0___0___0___0___0">#REF!</definedName>
    <definedName name="BuiltIn_Print_Area___0___0___0___0___0___0___0___0___0" localSheetId="2">#REF!</definedName>
    <definedName name="BuiltIn_Print_Area___0___0___0___0___0___0___0___0___0">#REF!</definedName>
    <definedName name="BuiltIn_Print_Area___0___0___0___0___0___0___0___0___0___0___0">[11]Computation!$A$2:$D$43</definedName>
    <definedName name="BuiltIn_Print_Area___0___0___0___0___0___0___0___0___0___0___0___0___0___0" localSheetId="2">#REF!</definedName>
    <definedName name="BuiltIn_Print_Area___0___0___0___0___0___0___0___0___0___0___0___0___0___0">#REF!</definedName>
    <definedName name="BuiltIn_Print_Area___0___0___0___0___0___0___0___0___0___0___0___0___0___0___0" localSheetId="2">#REF!</definedName>
    <definedName name="BuiltIn_Print_Area___0___0___0___0___0___0___0___0___0___0___0___0___0___0___0">#REF!</definedName>
    <definedName name="BuiltIn_Print_Area___0___0___0___0___0___0___0___0___0___0___0___0___0___0___0___0" localSheetId="2">#REF!</definedName>
    <definedName name="BuiltIn_Print_Area___0___0___0___0___0___0___0___0___0___0___0___0___0___0___0___0">#REF!</definedName>
    <definedName name="BuiltIn_Print_Area___0___0___0___0___0___0___0___0___0___0___0___0___0___0___0___0___0">[11]Computation!$B$2:$E$47</definedName>
    <definedName name="BuiltIn_Print_Area___0___0___0___0___0___0___0___0___0___0___0___0___0___0___0___0___0___0" localSheetId="2">#REF!</definedName>
    <definedName name="BuiltIn_Print_Area___0___0___0___0___0___0___0___0___0___0___0___0___0___0___0___0___0___0">#REF!</definedName>
    <definedName name="BuiltIn_Print_Area___0___0___0___0___0___0___0___0___0___0___0___0___0___0___0___0___0___0___0" localSheetId="2">#REF!</definedName>
    <definedName name="BuiltIn_Print_Area___0___0___0___0___0___0___0___0___0___0___0___0___0___0___0___0___0___0___0">#REF!</definedName>
    <definedName name="BuiltIn_Print_Area___0___0___0___0___0___0___0___0___0___0___0___0___0___0___0___0___0___0___0___0" localSheetId="2">#REF!</definedName>
    <definedName name="BuiltIn_Print_Area___0___0___0___0___0___0___0___0___0___0___0___0___0___0___0___0___0___0___0___0">#REF!</definedName>
    <definedName name="BuiltIn_Print_Area___0___0___0___0___0___0___0___0___0___0___0___0___0___0___0___0___0___0___0___0___0___0" localSheetId="2">#REF!</definedName>
    <definedName name="BuiltIn_Print_Area___0___0___0___0___0___0___0___0___0___0___0___0___0___0___0___0___0___0___0___0___0___0">#REF!</definedName>
    <definedName name="BuiltIn_Print_Area___0___0___0___0___0___0___0___0___0___0___0___0___0___0___0___0___0___0___0___0___0___0___0___0___0" localSheetId="2">#REF!</definedName>
    <definedName name="BuiltIn_Print_Area___0___0___0___0___0___0___0___0___0___0___0___0___0___0___0___0___0___0___0___0___0___0___0___0___0">#REF!</definedName>
    <definedName name="BuiltIn_Print_Titles" localSheetId="2">#REF!</definedName>
    <definedName name="BuiltIn_Print_Titles">#REF!</definedName>
    <definedName name="BuiltIn_Print_Titles___0" localSheetId="2">#REF!</definedName>
    <definedName name="BuiltIn_Print_Titles___0">#REF!</definedName>
    <definedName name="BuiltIn_Print_Titles___0___0" localSheetId="2">#REF!</definedName>
    <definedName name="BuiltIn_Print_Titles___0___0">#REF!</definedName>
    <definedName name="BuiltIn_Print_Titles___0___0___0" localSheetId="2">#REF!</definedName>
    <definedName name="BuiltIn_Print_Titles___0___0___0">#REF!</definedName>
    <definedName name="BuiltIn_Print_Titles___0___0___0___0" localSheetId="2">#REF!</definedName>
    <definedName name="BuiltIn_Print_Titles___0___0___0___0">#REF!</definedName>
    <definedName name="BuiltIn_Print_Titles___0___0___0___0___0___0" localSheetId="2">#REF!</definedName>
    <definedName name="BuiltIn_Print_Titles___0___0___0___0___0___0">#REF!</definedName>
    <definedName name="BuiltIn_Print_Titles___0___0___0___0___0___0___0" localSheetId="2">#REF!</definedName>
    <definedName name="BuiltIn_Print_Titles___0___0___0___0___0___0___0">#REF!</definedName>
    <definedName name="BuiltIn_Print_Titles___0___0___0___0___0___0___0___0___0" localSheetId="2">#REF!</definedName>
    <definedName name="BuiltIn_Print_Titles___0___0___0___0___0___0___0___0___0">#REF!</definedName>
    <definedName name="BuiltIn_Print_Titles___0___0___0___0___0___0___0___0___0___0" localSheetId="2">#REF!</definedName>
    <definedName name="BuiltIn_Print_Titles___0___0___0___0___0___0___0___0___0___0">#REF!</definedName>
    <definedName name="BuiltIn_Print_Titles___0___0___0___0___0___0___0___0___0___0___0" localSheetId="2">#REF!</definedName>
    <definedName name="BuiltIn_Print_Titles___0___0___0___0___0___0___0___0___0___0___0">#REF!</definedName>
    <definedName name="BuiltIn_Print_Titles___0___0___0___0___0___0___0___0___0___0___0___0___0" localSheetId="2">#REF!</definedName>
    <definedName name="BuiltIn_Print_Titles___0___0___0___0___0___0___0___0___0___0___0___0___0">#REF!</definedName>
    <definedName name="bullshit" localSheetId="2">#REF!</definedName>
    <definedName name="bullshit">#REF!</definedName>
    <definedName name="calculations" localSheetId="2">#REF!</definedName>
    <definedName name="calculations">#REF!</definedName>
    <definedName name="capital" localSheetId="2">#REF!</definedName>
    <definedName name="capital">#REF!</definedName>
    <definedName name="cash" localSheetId="2">#REF!</definedName>
    <definedName name="cash">#REF!</definedName>
    <definedName name="cashaccr" localSheetId="2">#REF!</definedName>
    <definedName name="cashaccr">#REF!</definedName>
    <definedName name="cashamort" localSheetId="2">#REF!</definedName>
    <definedName name="cashamort">#REF!</definedName>
    <definedName name="cashcag" localSheetId="2">#REF!</definedName>
    <definedName name="cashcag">#REF!</definedName>
    <definedName name="casheq" localSheetId="2">#REF!</definedName>
    <definedName name="casheq">#REF!</definedName>
    <definedName name="CASHFLOW" localSheetId="2">[12]FUNDFLOW!#REF!</definedName>
    <definedName name="CASHFLOW">[12]FUNDFLOW!#REF!</definedName>
    <definedName name="CASHFLOWEE">'[13]Service Function'!$J$130:$O$138</definedName>
    <definedName name="cashflowformat">'[13]Service Function'!$BW$71:$CA$74</definedName>
    <definedName name="cashpaid" localSheetId="2">#REF!</definedName>
    <definedName name="cashpaid">#REF!</definedName>
    <definedName name="cashpurch" localSheetId="2">#REF!</definedName>
    <definedName name="cashpurch">#REF!</definedName>
    <definedName name="cashugl" localSheetId="2">#REF!</definedName>
    <definedName name="cashugl">#REF!</definedName>
    <definedName name="CC">'[14]Customize Your Purchase Order'!$H$23:$H$26</definedName>
    <definedName name="CCT" localSheetId="2">#REF!</definedName>
    <definedName name="CCT">#REF!</definedName>
    <definedName name="cellmo" localSheetId="2">#REF!</definedName>
    <definedName name="cellmo">#REF!</definedName>
    <definedName name="celltips_area" localSheetId="2">#REF!</definedName>
    <definedName name="celltips_area">#REF!</definedName>
    <definedName name="CHINA_PLASTIC_in_KUSD" localSheetId="2">#REF!</definedName>
    <definedName name="CHINA_PLASTIC_in_KUSD">#REF!</definedName>
    <definedName name="CoAdd">[9]Masters!$C$4</definedName>
    <definedName name="COMP0203" localSheetId="2">#REF!</definedName>
    <definedName name="COMP0203">#REF!</definedName>
    <definedName name="computation" localSheetId="2">#REF!</definedName>
    <definedName name="computation">#REF!</definedName>
    <definedName name="CoName">[9]Masters!$C$3</definedName>
    <definedName name="conincome" localSheetId="2">#REF!</definedName>
    <definedName name="conincome">#REF!</definedName>
    <definedName name="Consolidation" localSheetId="2">#REF!</definedName>
    <definedName name="Consolidation">#REF!</definedName>
    <definedName name="consumables" localSheetId="2">#REF!</definedName>
    <definedName name="consumables">#REF!</definedName>
    <definedName name="COST" localSheetId="2">#REF!</definedName>
    <definedName name="COST">#REF!</definedName>
    <definedName name="cost_calcn" localSheetId="2">#REF!</definedName>
    <definedName name="cost_calcn">#REF!</definedName>
    <definedName name="CoStatus">[9]Masters!$C$7</definedName>
    <definedName name="CPEcost" localSheetId="2">#REF!</definedName>
    <definedName name="CPEcost">#REF!</definedName>
    <definedName name="CT10490_T11_GDA">'[8]Service Function'!$C$182:$H$190</definedName>
    <definedName name="CT10490_T11_T1">'[8]Service Function'!$J$182:$O$190</definedName>
    <definedName name="CT10490_T9_56k">'[8]Service Function'!$C$198:$H$206</definedName>
    <definedName name="CT10490_T9_IBR">'[8]Service Function'!$J$198:$O$206</definedName>
    <definedName name="CT10490_T9_T1">'[8]Service Function'!$C$214:$H$222</definedName>
    <definedName name="CT10587_T11_GDA">'[8]Service Function'!$C$114:$H$122</definedName>
    <definedName name="CT10587_T11_T1">'[8]Service Function'!$J$114:$O$122</definedName>
    <definedName name="CT10587_T9_56k">'[8]Service Function'!$C$130:$H$138</definedName>
    <definedName name="CT10587_T9_IBR">'[8]Service Function'!$J$130:$O$138</definedName>
    <definedName name="CT10587_T9_T1">'[8]Service Function'!$C$152:$H$163</definedName>
    <definedName name="CT10613_T11_GDA">'[8]Service Function'!$C$241:$H$249</definedName>
    <definedName name="CT10613_T11_T1">'[8]Service Function'!$J$241:$O$249</definedName>
    <definedName name="CT10613_T9_56k">'[8]Service Function'!$C$257:$H$265</definedName>
    <definedName name="CT10613_T9_IBR">'[8]Service Function'!$J$257:$O$265</definedName>
    <definedName name="CT10613_T9_T1">'[8]Service Function'!$C$273:$H$281</definedName>
    <definedName name="CT10881_IOC">'[8]Service Function'!$K$300:$O$302</definedName>
    <definedName name="CT10881_LC">'[8]Service Function'!$D$300:$H$301</definedName>
    <definedName name="Currency">'[15]Project Ignite'!$B$36</definedName>
    <definedName name="Custom_MMRC">'[8]Service Function'!$C$7:$G$22</definedName>
    <definedName name="Custom_Term">'[8]Service Function'!$C$28:$G$31</definedName>
    <definedName name="d" localSheetId="2">#REF!</definedName>
    <definedName name="d">#REF!</definedName>
    <definedName name="Data.Dump">NA()</definedName>
    <definedName name="Data.Dump_1">NA()</definedName>
    <definedName name="data1" localSheetId="2">#REF!</definedName>
    <definedName name="data1">#REF!</definedName>
    <definedName name="data10" localSheetId="2">#REF!</definedName>
    <definedName name="data10">#REF!</definedName>
    <definedName name="data100" localSheetId="2">#REF!</definedName>
    <definedName name="data100">#REF!</definedName>
    <definedName name="data101" localSheetId="2">#REF!</definedName>
    <definedName name="data101">#REF!</definedName>
    <definedName name="data11" localSheetId="2">#REF!</definedName>
    <definedName name="data11">#REF!</definedName>
    <definedName name="data12" localSheetId="2">#REF!</definedName>
    <definedName name="data12">#REF!</definedName>
    <definedName name="data13" localSheetId="2">#REF!</definedName>
    <definedName name="data13">#REF!</definedName>
    <definedName name="data14" localSheetId="2">#REF!</definedName>
    <definedName name="data14">#REF!</definedName>
    <definedName name="data15" localSheetId="2">#REF!</definedName>
    <definedName name="data15">#REF!</definedName>
    <definedName name="data16" localSheetId="2">#REF!</definedName>
    <definedName name="data16">#REF!</definedName>
    <definedName name="data17" localSheetId="2">#REF!</definedName>
    <definedName name="data17">#REF!</definedName>
    <definedName name="data18" localSheetId="2">#REF!</definedName>
    <definedName name="data18">#REF!</definedName>
    <definedName name="data19" localSheetId="2">#REF!</definedName>
    <definedName name="data19">#REF!</definedName>
    <definedName name="data2" localSheetId="2">#REF!</definedName>
    <definedName name="data2">#REF!</definedName>
    <definedName name="data20" localSheetId="2">#REF!</definedName>
    <definedName name="data20">#REF!</definedName>
    <definedName name="data21" localSheetId="2">#REF!</definedName>
    <definedName name="data21">#REF!</definedName>
    <definedName name="data22" localSheetId="2">#REF!</definedName>
    <definedName name="data22">#REF!</definedName>
    <definedName name="data23" localSheetId="2">#REF!</definedName>
    <definedName name="data23">#REF!</definedName>
    <definedName name="data24" localSheetId="2">#REF!</definedName>
    <definedName name="data24">#REF!</definedName>
    <definedName name="data25" localSheetId="2">#REF!</definedName>
    <definedName name="data25">#REF!</definedName>
    <definedName name="data26" localSheetId="2">#REF!</definedName>
    <definedName name="data26">#REF!</definedName>
    <definedName name="data27" localSheetId="2">#REF!</definedName>
    <definedName name="data27">#REF!</definedName>
    <definedName name="data28" localSheetId="2">#REF!</definedName>
    <definedName name="data28">#REF!</definedName>
    <definedName name="data29" localSheetId="2">#REF!</definedName>
    <definedName name="data29">#REF!</definedName>
    <definedName name="data3" localSheetId="2">#REF!</definedName>
    <definedName name="data3">#REF!</definedName>
    <definedName name="data30" localSheetId="2">#REF!</definedName>
    <definedName name="data30">#REF!</definedName>
    <definedName name="data31" localSheetId="2">#REF!</definedName>
    <definedName name="data31">#REF!</definedName>
    <definedName name="data32" localSheetId="2">#REF!</definedName>
    <definedName name="data32">#REF!</definedName>
    <definedName name="data33" localSheetId="2">#REF!</definedName>
    <definedName name="data33">#REF!</definedName>
    <definedName name="data34" localSheetId="2">#REF!</definedName>
    <definedName name="data34">#REF!</definedName>
    <definedName name="data35" localSheetId="2">#REF!</definedName>
    <definedName name="data35">#REF!</definedName>
    <definedName name="data36" localSheetId="2">#REF!</definedName>
    <definedName name="data36">#REF!</definedName>
    <definedName name="data37" localSheetId="2">#REF!</definedName>
    <definedName name="data37">#REF!</definedName>
    <definedName name="data38" localSheetId="2">#REF!</definedName>
    <definedName name="data38">#REF!</definedName>
    <definedName name="data39" localSheetId="2">#REF!</definedName>
    <definedName name="data39">#REF!</definedName>
    <definedName name="data4" localSheetId="2">#REF!</definedName>
    <definedName name="data4">#REF!</definedName>
    <definedName name="data40" localSheetId="2">#REF!</definedName>
    <definedName name="data40">#REF!</definedName>
    <definedName name="data41" localSheetId="2">#REF!</definedName>
    <definedName name="data41">#REF!</definedName>
    <definedName name="data42" localSheetId="2">#REF!</definedName>
    <definedName name="data42">#REF!</definedName>
    <definedName name="data43" localSheetId="2">#REF!</definedName>
    <definedName name="data43">#REF!</definedName>
    <definedName name="data44" localSheetId="2">#REF!</definedName>
    <definedName name="data44">#REF!</definedName>
    <definedName name="data45" localSheetId="2">#REF!</definedName>
    <definedName name="data45">#REF!</definedName>
    <definedName name="data46" localSheetId="2">#REF!</definedName>
    <definedName name="data46">#REF!</definedName>
    <definedName name="data47" localSheetId="2">#REF!</definedName>
    <definedName name="data47">#REF!</definedName>
    <definedName name="data48" localSheetId="2">#REF!</definedName>
    <definedName name="data48">#REF!</definedName>
    <definedName name="data49" localSheetId="2">#REF!</definedName>
    <definedName name="data49">#REF!</definedName>
    <definedName name="data5" localSheetId="2">#REF!</definedName>
    <definedName name="data5">#REF!</definedName>
    <definedName name="data50" localSheetId="2">#REF!</definedName>
    <definedName name="data50">#REF!</definedName>
    <definedName name="data51" localSheetId="2">#REF!</definedName>
    <definedName name="data51">#REF!</definedName>
    <definedName name="data52" localSheetId="2">#REF!</definedName>
    <definedName name="data52">#REF!</definedName>
    <definedName name="data53" localSheetId="2">#REF!</definedName>
    <definedName name="data53">#REF!</definedName>
    <definedName name="data54" localSheetId="2">#REF!</definedName>
    <definedName name="data54">#REF!</definedName>
    <definedName name="data55" localSheetId="2">#REF!</definedName>
    <definedName name="data55">#REF!</definedName>
    <definedName name="data56" localSheetId="2">#REF!</definedName>
    <definedName name="data56">#REF!</definedName>
    <definedName name="data57" localSheetId="2">#REF!</definedName>
    <definedName name="data57">#REF!</definedName>
    <definedName name="data58" localSheetId="2">#REF!</definedName>
    <definedName name="data58">#REF!</definedName>
    <definedName name="data59" localSheetId="2">#REF!</definedName>
    <definedName name="data59">#REF!</definedName>
    <definedName name="data6" localSheetId="2">#REF!</definedName>
    <definedName name="data6">#REF!</definedName>
    <definedName name="data60" localSheetId="2">#REF!</definedName>
    <definedName name="data60">#REF!</definedName>
    <definedName name="data61" localSheetId="2">#REF!</definedName>
    <definedName name="data61">#REF!</definedName>
    <definedName name="data62" localSheetId="2">#REF!</definedName>
    <definedName name="data62">#REF!</definedName>
    <definedName name="data63" localSheetId="2">#REF!</definedName>
    <definedName name="data63">#REF!</definedName>
    <definedName name="data64" localSheetId="2">#REF!</definedName>
    <definedName name="data64">#REF!</definedName>
    <definedName name="data65" localSheetId="2">#REF!</definedName>
    <definedName name="data65">#REF!</definedName>
    <definedName name="data66" localSheetId="2">#REF!</definedName>
    <definedName name="data66">#REF!</definedName>
    <definedName name="data67" localSheetId="2">#REF!</definedName>
    <definedName name="data67">#REF!</definedName>
    <definedName name="data68" localSheetId="2">#REF!</definedName>
    <definedName name="data68">#REF!</definedName>
    <definedName name="data69" localSheetId="2">#REF!</definedName>
    <definedName name="data69">#REF!</definedName>
    <definedName name="data7" localSheetId="2">#REF!</definedName>
    <definedName name="data7">#REF!</definedName>
    <definedName name="data70" localSheetId="2">#REF!</definedName>
    <definedName name="data70">#REF!</definedName>
    <definedName name="data71" localSheetId="2">#REF!</definedName>
    <definedName name="data71">#REF!</definedName>
    <definedName name="data72" localSheetId="2">#REF!</definedName>
    <definedName name="data72">#REF!</definedName>
    <definedName name="data73" localSheetId="2">#REF!</definedName>
    <definedName name="data73">#REF!</definedName>
    <definedName name="data74" localSheetId="2">#REF!</definedName>
    <definedName name="data74">#REF!</definedName>
    <definedName name="data75" localSheetId="2">#REF!</definedName>
    <definedName name="data75">#REF!</definedName>
    <definedName name="data76" localSheetId="2">#REF!</definedName>
    <definedName name="data76">#REF!</definedName>
    <definedName name="data77" localSheetId="2">#REF!</definedName>
    <definedName name="data77">#REF!</definedName>
    <definedName name="data78" localSheetId="2">#REF!</definedName>
    <definedName name="data78">#REF!</definedName>
    <definedName name="data79" localSheetId="2">#REF!</definedName>
    <definedName name="data79">#REF!</definedName>
    <definedName name="data8" localSheetId="2">#REF!</definedName>
    <definedName name="data8">#REF!</definedName>
    <definedName name="data80" localSheetId="2">#REF!</definedName>
    <definedName name="data80">#REF!</definedName>
    <definedName name="data81" localSheetId="2">#REF!</definedName>
    <definedName name="data81">#REF!</definedName>
    <definedName name="data82" localSheetId="2">#REF!</definedName>
    <definedName name="data82">#REF!</definedName>
    <definedName name="data83" localSheetId="2">#REF!</definedName>
    <definedName name="data83">#REF!</definedName>
    <definedName name="data84" localSheetId="2">#REF!</definedName>
    <definedName name="data84">#REF!</definedName>
    <definedName name="data85" localSheetId="2">#REF!</definedName>
    <definedName name="data85">#REF!</definedName>
    <definedName name="data86" localSheetId="2">#REF!</definedName>
    <definedName name="data86">#REF!</definedName>
    <definedName name="data87" localSheetId="2">#REF!</definedName>
    <definedName name="data87">#REF!</definedName>
    <definedName name="data88" localSheetId="2">#REF!</definedName>
    <definedName name="data88">#REF!</definedName>
    <definedName name="data89" localSheetId="2">#REF!</definedName>
    <definedName name="data89">#REF!</definedName>
    <definedName name="data9" localSheetId="2">#REF!</definedName>
    <definedName name="data9">#REF!</definedName>
    <definedName name="data90" localSheetId="2">#REF!</definedName>
    <definedName name="data90">#REF!</definedName>
    <definedName name="data91" localSheetId="2">#REF!</definedName>
    <definedName name="data91">#REF!</definedName>
    <definedName name="data92" localSheetId="2">#REF!</definedName>
    <definedName name="data92">#REF!</definedName>
    <definedName name="data93" localSheetId="2">#REF!</definedName>
    <definedName name="data93">#REF!</definedName>
    <definedName name="data94" localSheetId="2">#REF!</definedName>
    <definedName name="data94">#REF!</definedName>
    <definedName name="data95" localSheetId="2">#REF!</definedName>
    <definedName name="data95">#REF!</definedName>
    <definedName name="data96" localSheetId="2">#REF!</definedName>
    <definedName name="data96">#REF!</definedName>
    <definedName name="data97" localSheetId="2">#REF!</definedName>
    <definedName name="data97">#REF!</definedName>
    <definedName name="data98" localSheetId="2">#REF!</definedName>
    <definedName name="data98">#REF!</definedName>
    <definedName name="data99" localSheetId="2">#REF!</definedName>
    <definedName name="data99">#REF!</definedName>
    <definedName name="_xlnm.Database" localSheetId="2">#REF!</definedName>
    <definedName name="_xlnm.Database">#REF!</definedName>
    <definedName name="Date">[16]BS!$C$1</definedName>
    <definedName name="DATE1" localSheetId="2">#REF!</definedName>
    <definedName name="DATE1">#REF!</definedName>
    <definedName name="Date2" localSheetId="2">#REF!</definedName>
    <definedName name="Date2">#REF!</definedName>
    <definedName name="DATE3" localSheetId="2">#REF!</definedName>
    <definedName name="DATE3">#REF!</definedName>
    <definedName name="deftax_print" localSheetId="2">#REF!</definedName>
    <definedName name="deftax_print">#REF!</definedName>
    <definedName name="depit" localSheetId="2">'[17]Groupings BS'!#REF!</definedName>
    <definedName name="depit">'[17]Groupings BS'!#REF!</definedName>
    <definedName name="dirannpay" localSheetId="2">#REF!</definedName>
    <definedName name="dirannpay">#REF!</definedName>
    <definedName name="dirmopay" localSheetId="2">#REF!</definedName>
    <definedName name="dirmopay">#REF!</definedName>
    <definedName name="disbursements" localSheetId="2">#REF!</definedName>
    <definedName name="disbursements">#REF!</definedName>
    <definedName name="display_area_2" localSheetId="2">#REF!</definedName>
    <definedName name="display_area_2">#REF!</definedName>
    <definedName name="draft" localSheetId="2">#REF!</definedName>
    <definedName name="draft">#REF!</definedName>
    <definedName name="DRUCKBEREI03" localSheetId="2">#REF!</definedName>
    <definedName name="DRUCKBEREI03">#REF!</definedName>
    <definedName name="dsfafdsf">'[18]Sch BS'!$A$2:$IV$7</definedName>
    <definedName name="DSVPP_T11_GDA">'[8]Service Function'!$C$41:$H$53</definedName>
    <definedName name="DSVPP_T11_T1">'[8]Service Function'!$J$41:$O$53</definedName>
    <definedName name="DSVPP_T9_56k">'[8]Service Function'!$C$61:$H$73</definedName>
    <definedName name="DSVPP_T9_IBR">'[8]Service Function'!$J$61:$O$73</definedName>
    <definedName name="DSVPP_T9_T1">'[8]Service Function'!$C$81:$H$93</definedName>
    <definedName name="e" localSheetId="2">#REF!</definedName>
    <definedName name="e">#REF!</definedName>
    <definedName name="Elim" localSheetId="2">#REF!</definedName>
    <definedName name="Elim">#REF!</definedName>
    <definedName name="Empty" localSheetId="2" hidden="1">#REF!</definedName>
    <definedName name="Empty" hidden="1">#REF!</definedName>
    <definedName name="Empty1" localSheetId="2" hidden="1">#REF!</definedName>
    <definedName name="Empty1" hidden="1">#REF!</definedName>
    <definedName name="Empty2" localSheetId="2" hidden="1">#REF!</definedName>
    <definedName name="Empty2" hidden="1">#REF!</definedName>
    <definedName name="Empty3" localSheetId="2">#REF!</definedName>
    <definedName name="Empty3">#REF!</definedName>
    <definedName name="Empty4" localSheetId="2">#REF!</definedName>
    <definedName name="Empty4">#REF!</definedName>
    <definedName name="etc" localSheetId="2" hidden="1">#REF!</definedName>
    <definedName name="etc" hidden="1">#REF!</definedName>
    <definedName name="f.asset" localSheetId="2">#REF!</definedName>
    <definedName name="f.asset">#REF!</definedName>
    <definedName name="fal">'[19]KSPl 2010-11'!$D$1:$I$65536</definedName>
    <definedName name="FAREG0405" localSheetId="2">#REF!</definedName>
    <definedName name="FAREG0405">#REF!</definedName>
    <definedName name="fbt" localSheetId="2">#REF!</definedName>
    <definedName name="fbt">#REF!</definedName>
    <definedName name="fees" localSheetId="2">#REF!</definedName>
    <definedName name="fees">#REF!</definedName>
    <definedName name="fieldtools" localSheetId="2">#REF!</definedName>
    <definedName name="fieldtools">#REF!</definedName>
    <definedName name="forex">'[20]P&amp;L'!$L$1</definedName>
    <definedName name="form3cd" hidden="1">'[21]EAW Final Accounts - 99'!$M$175:$M$189</definedName>
    <definedName name="Format" localSheetId="2">'[22]BS-203'!#REF!</definedName>
    <definedName name="Format">'[22]BS-203'!#REF!</definedName>
    <definedName name="FST" localSheetId="2">#REF!</definedName>
    <definedName name="FST">#REF!</definedName>
    <definedName name="gross" localSheetId="2">#REF!</definedName>
    <definedName name="gross">#REF!</definedName>
    <definedName name="Gross_Margin___Rs_M" localSheetId="2">#REF!</definedName>
    <definedName name="Gross_Margin___Rs_M">#REF!</definedName>
    <definedName name="gtde" localSheetId="2">#REF!</definedName>
    <definedName name="gtde">#REF!</definedName>
    <definedName name="hpm" localSheetId="2">#REF!</definedName>
    <definedName name="hpm">#REF!</definedName>
    <definedName name="hpy" localSheetId="2">#REF!</definedName>
    <definedName name="hpy">#REF!</definedName>
    <definedName name="HTML_CodePage">1252</definedName>
    <definedName name="HTML_Control" localSheetId="2">{"'Leverage'!$B$2:$M$418"}</definedName>
    <definedName name="HTML_Control">{"'Leverage'!$B$2:$M$418"}</definedName>
    <definedName name="HTML_Description">""</definedName>
    <definedName name="HTML_Email">""</definedName>
    <definedName name="HTML_Header">"Leverage"</definedName>
    <definedName name="HTML_LastUpdate">"8/21/00"</definedName>
    <definedName name="HTML_LineAfter">FALSE</definedName>
    <definedName name="HTML_LineBefore">FALSE</definedName>
    <definedName name="HTML_Name">"Frank Vickers"</definedName>
    <definedName name="HTML_OBDlg2">TRUE</definedName>
    <definedName name="HTML_OBDlg4">TRUE</definedName>
    <definedName name="HTML_OS">0</definedName>
    <definedName name="HTML_PathFile">"C:\my documents\lever.htm"</definedName>
    <definedName name="HTML_Title">"leverage"</definedName>
    <definedName name="hubperinst" localSheetId="2">#REF!</definedName>
    <definedName name="hubperinst">#REF!</definedName>
    <definedName name="icannpay" localSheetId="2">#REF!</definedName>
    <definedName name="icannpay">#REF!</definedName>
    <definedName name="ichrpay" localSheetId="2">#REF!</definedName>
    <definedName name="ichrpay">#REF!</definedName>
    <definedName name="icotpr" localSheetId="2">#REF!</definedName>
    <definedName name="icotpr">#REF!</definedName>
    <definedName name="IK" localSheetId="2">#REF!</definedName>
    <definedName name="IK">#REF!</definedName>
    <definedName name="IL" localSheetId="2">#REF!</definedName>
    <definedName name="IL">#REF!</definedName>
    <definedName name="ILT" localSheetId="2">#REF!</definedName>
    <definedName name="ILT">#REF!</definedName>
    <definedName name="INDIA_PLASTIC_in_KUSD" localSheetId="2">#REF!</definedName>
    <definedName name="INDIA_PLASTIC_in_KUSD">#REF!</definedName>
    <definedName name="insurance" localSheetId="2">#REF!</definedName>
    <definedName name="insurance">#REF!</definedName>
    <definedName name="intexp" localSheetId="2">#REF!</definedName>
    <definedName name="intexp">#REF!</definedName>
    <definedName name="intinc" localSheetId="2">#REF!</definedName>
    <definedName name="intinc">#REF!</definedName>
    <definedName name="intrec" localSheetId="2">#REF!</definedName>
    <definedName name="intrec">#REF!</definedName>
    <definedName name="IOC">'[8]Service Function'!$BQ$62:$BR$77</definedName>
    <definedName name="IT" localSheetId="2">#REF!</definedName>
    <definedName name="IT">#REF!</definedName>
    <definedName name="JA" localSheetId="2">#REF!</definedName>
    <definedName name="JA">#REF!</definedName>
    <definedName name="KGP" localSheetId="2">#REF!</definedName>
    <definedName name="KGP">#REF!</definedName>
    <definedName name="kjsdj">#N/A</definedName>
    <definedName name="kjsdj_1" localSheetId="2">OFFSET(Data.Top.Left,1,0)</definedName>
    <definedName name="kjsdj_1">OFFSET(Data.Top.Left,1,0)</definedName>
    <definedName name="KOREA_PLASTIC_in_KUSD" localSheetId="2">#REF!</definedName>
    <definedName name="KOREA_PLASTIC_in_KUSD">#REF!</definedName>
    <definedName name="LAC" localSheetId="2">#REF!</definedName>
    <definedName name="LAC">#REF!</definedName>
    <definedName name="Lakh">'[20]P&amp;L'!$J$1</definedName>
    <definedName name="laptopcost" localSheetId="2">#REF!</definedName>
    <definedName name="laptopcost">#REF!</definedName>
    <definedName name="LC">'[8]Service Function'!$BT$72:$BU$75</definedName>
    <definedName name="LP" localSheetId="2">#REF!</definedName>
    <definedName name="LP">#REF!</definedName>
    <definedName name="ltaccr" localSheetId="2">#REF!</definedName>
    <definedName name="ltaccr">#REF!</definedName>
    <definedName name="ltamort" localSheetId="2">#REF!</definedName>
    <definedName name="ltamort">#REF!</definedName>
    <definedName name="ltinvest" localSheetId="2">#REF!</definedName>
    <definedName name="ltinvest">#REF!</definedName>
    <definedName name="ltpaid" localSheetId="2">#REF!</definedName>
    <definedName name="ltpaid">#REF!</definedName>
    <definedName name="ltpurch" localSheetId="2">#REF!</definedName>
    <definedName name="ltpurch">#REF!</definedName>
    <definedName name="ltugl" localSheetId="2">#REF!</definedName>
    <definedName name="ltugl">#REF!</definedName>
    <definedName name="ltunreal" localSheetId="2">#REF!</definedName>
    <definedName name="ltunreal">#REF!</definedName>
    <definedName name="Macro1" localSheetId="2">#N/A</definedName>
    <definedName name="Macro1">Macro1</definedName>
    <definedName name="Macro2" localSheetId="2">#N/A</definedName>
    <definedName name="Macro2">Macro2</definedName>
    <definedName name="mahesh" localSheetId="2">#REF!</definedName>
    <definedName name="mahesh">#REF!</definedName>
    <definedName name="manufacturing" localSheetId="2">#REF!</definedName>
    <definedName name="manufacturing">#REF!</definedName>
    <definedName name="MDEVISES" localSheetId="2">#REF!,#REF!,#REF!</definedName>
    <definedName name="MDEVISES">#REF!,#REF!,#REF!</definedName>
    <definedName name="MethodAcc">[9]Masters!$C$46</definedName>
    <definedName name="MFRF" localSheetId="2">#REF!,#REF!,#REF!,#REF!,#REF!</definedName>
    <definedName name="MFRF">#REF!,#REF!,#REF!,#REF!,#REF!</definedName>
    <definedName name="mgrannpay" localSheetId="2">#REF!</definedName>
    <definedName name="mgrannpay">#REF!</definedName>
    <definedName name="mgrmopay" localSheetId="2">#REF!</definedName>
    <definedName name="mgrmopay">#REF!</definedName>
    <definedName name="MStVal">[9]Masters!$C$47</definedName>
    <definedName name="MSVPP_FT1">'[8]Service Function'!$C$10:$H$22</definedName>
    <definedName name="MSVPP_T1">'[8]Service Function'!$J$10:$O$22</definedName>
    <definedName name="NatureBusiness">[9]Masters!$C$45</definedName>
    <definedName name="nc" localSheetId="2">#REF!</definedName>
    <definedName name="nc">#REF!</definedName>
    <definedName name="New" localSheetId="2">#REF!</definedName>
    <definedName name="New">#REF!</definedName>
    <definedName name="NO" localSheetId="2">#REF!</definedName>
    <definedName name="NO">#REF!</definedName>
    <definedName name="Offers">'[8]Service Function'!$AC$43:$AJ$55</definedName>
    <definedName name="operations" localSheetId="2">#REF!</definedName>
    <definedName name="operations">#REF!</definedName>
    <definedName name="otpr" localSheetId="2">#REF!</definedName>
    <definedName name="otpr">#REF!</definedName>
    <definedName name="Ownership" localSheetId="2">OFFSET(Data.Top.Left,1,0)</definedName>
    <definedName name="Ownership">OFFSET(Data.Top.Left,1,0)</definedName>
    <definedName name="Ownership_1" localSheetId="2">OFFSET(Data.Top.Left,1,0)</definedName>
    <definedName name="Ownership_1">OFFSET(Data.Top.Left,1,0)</definedName>
    <definedName name="P___L___Statement" localSheetId="2">#REF!</definedName>
    <definedName name="P___L___Statement">#REF!</definedName>
    <definedName name="page1" localSheetId="2">#REF!</definedName>
    <definedName name="page1">#REF!</definedName>
    <definedName name="page2" localSheetId="2">#REF!</definedName>
    <definedName name="page2">#REF!</definedName>
    <definedName name="page3" localSheetId="2">#REF!</definedName>
    <definedName name="page3">#REF!</definedName>
    <definedName name="page4" localSheetId="2">#REF!</definedName>
    <definedName name="page4">#REF!</definedName>
    <definedName name="page5" localSheetId="2">#REF!</definedName>
    <definedName name="page5">#REF!</definedName>
    <definedName name="page6" localSheetId="2">#REF!</definedName>
    <definedName name="page6">#REF!</definedName>
    <definedName name="page7" localSheetId="2">#REF!</definedName>
    <definedName name="page7">#REF!</definedName>
    <definedName name="paid" localSheetId="2">#REF!</definedName>
    <definedName name="paid">#REF!</definedName>
    <definedName name="pan" localSheetId="2">'[23]New form 3CD A'!#REF!</definedName>
    <definedName name="pan">'[23]New form 3CD A'!#REF!</definedName>
    <definedName name="PartDesignation">[9]Masters!$C$16</definedName>
    <definedName name="Print" localSheetId="2">#REF!</definedName>
    <definedName name="Print">#REF!</definedName>
    <definedName name="_xlnm.Print_Area" localSheetId="6">BEP!$A$2:$H$21</definedName>
    <definedName name="_xlnm.Print_Area" localSheetId="3">'BS PL CF'!$B$6:$K$196</definedName>
    <definedName name="_xlnm.Print_Area" localSheetId="2">'Cap Assumptions'!$C$4:$J$23</definedName>
    <definedName name="_xlnm.Print_Area" localSheetId="0">'Cover Page'!$A$7:$I$15</definedName>
    <definedName name="_xlnm.Print_Area" localSheetId="4">FA!$A$3:$L$54</definedName>
    <definedName name="_xlnm.Print_Area" localSheetId="7">'Production detaiils'!$A$2:$I$45</definedName>
    <definedName name="_xlnm.Print_Area" localSheetId="1">'Project Heighlights'!$A$3:$K$38</definedName>
    <definedName name="_xlnm.Print_Area" localSheetId="5">'repayment sch'!$B$3:$K$141</definedName>
    <definedName name="_xlnm.Print_Area">#REF!</definedName>
    <definedName name="print_area_m2" localSheetId="2">#REF!</definedName>
    <definedName name="print_area_m2">#REF!</definedName>
    <definedName name="Print_Area_MI" localSheetId="2">#REF!</definedName>
    <definedName name="Print_Area_MI">#REF!</definedName>
    <definedName name="PrintArea" localSheetId="2">#REF!</definedName>
    <definedName name="PrintArea">#REF!</definedName>
    <definedName name="product" localSheetId="2">#REF!</definedName>
    <definedName name="product">#REF!</definedName>
    <definedName name="purch" localSheetId="2">#REF!</definedName>
    <definedName name="purch">#REF!</definedName>
    <definedName name="PY" localSheetId="2">#REF!</definedName>
    <definedName name="PY">#REF!</definedName>
    <definedName name="qzqzqz10" localSheetId="2">#REF!</definedName>
    <definedName name="qzqzqz10">#REF!</definedName>
    <definedName name="qzqzqz11" localSheetId="2">#REF!</definedName>
    <definedName name="qzqzqz11">#REF!</definedName>
    <definedName name="qzqzqz12" localSheetId="2">#REF!</definedName>
    <definedName name="qzqzqz12">#REF!</definedName>
    <definedName name="qzqzqz13" localSheetId="2">#REF!</definedName>
    <definedName name="qzqzqz13">#REF!</definedName>
    <definedName name="qzqzqz14" localSheetId="2">#REF!</definedName>
    <definedName name="qzqzqz14">#REF!</definedName>
    <definedName name="qzqzqz15" localSheetId="2">#REF!</definedName>
    <definedName name="qzqzqz15">#REF!</definedName>
    <definedName name="qzqzqz16" localSheetId="2">#REF!</definedName>
    <definedName name="qzqzqz16">#REF!</definedName>
    <definedName name="qzqzqz17" localSheetId="2">#REF!</definedName>
    <definedName name="qzqzqz17">#REF!</definedName>
    <definedName name="qzqzqz18" localSheetId="2">#REF!</definedName>
    <definedName name="qzqzqz18">#REF!</definedName>
    <definedName name="qzqzqz19" localSheetId="2">#REF!</definedName>
    <definedName name="qzqzqz19">#REF!</definedName>
    <definedName name="qzqzqz20" localSheetId="2">#REF!</definedName>
    <definedName name="qzqzqz20">#REF!</definedName>
    <definedName name="qzqzqz21" localSheetId="2">#REF!</definedName>
    <definedName name="qzqzqz21">#REF!</definedName>
    <definedName name="qzqzqz22" localSheetId="2">#REF!</definedName>
    <definedName name="qzqzqz22">#REF!</definedName>
    <definedName name="qzqzqz23" localSheetId="2">#REF!</definedName>
    <definedName name="qzqzqz23">#REF!</definedName>
    <definedName name="qzqzqz24" localSheetId="2">#REF!</definedName>
    <definedName name="qzqzqz24">#REF!</definedName>
    <definedName name="qzqzqz25" localSheetId="2">#REF!</definedName>
    <definedName name="qzqzqz25">#REF!</definedName>
    <definedName name="qzqzqz26" localSheetId="2">#REF!</definedName>
    <definedName name="qzqzqz26">#REF!</definedName>
    <definedName name="qzqzqz27" localSheetId="2">#REF!</definedName>
    <definedName name="qzqzqz27">#REF!</definedName>
    <definedName name="qzqzqz28" localSheetId="2">#REF!</definedName>
    <definedName name="qzqzqz28">#REF!</definedName>
    <definedName name="qzqzqz29" localSheetId="2">#REF!</definedName>
    <definedName name="qzqzqz29">#REF!</definedName>
    <definedName name="qzqzqz30" localSheetId="2">#REF!</definedName>
    <definedName name="qzqzqz30">#REF!</definedName>
    <definedName name="qzqzqz31" localSheetId="2">#REF!</definedName>
    <definedName name="qzqzqz31">#REF!</definedName>
    <definedName name="qzqzqz32" localSheetId="2">#REF!</definedName>
    <definedName name="qzqzqz32">#REF!</definedName>
    <definedName name="qzqzqz33" localSheetId="2">#REF!</definedName>
    <definedName name="qzqzqz33">#REF!</definedName>
    <definedName name="qzqzqz34" localSheetId="2">#REF!</definedName>
    <definedName name="qzqzqz34">#REF!</definedName>
    <definedName name="qzqzqz35" localSheetId="2">#REF!</definedName>
    <definedName name="qzqzqz35">#REF!</definedName>
    <definedName name="qzqzqz36" localSheetId="2">#REF!</definedName>
    <definedName name="qzqzqz36">#REF!</definedName>
    <definedName name="qzqzqz37" localSheetId="2">#REF!</definedName>
    <definedName name="qzqzqz37">#REF!</definedName>
    <definedName name="qzqzqz38" localSheetId="2">#REF!</definedName>
    <definedName name="qzqzqz38">#REF!</definedName>
    <definedName name="qzqzqz39" localSheetId="2">#REF!</definedName>
    <definedName name="qzqzqz39">#REF!</definedName>
    <definedName name="qzqzqz40" localSheetId="2">#REF!</definedName>
    <definedName name="qzqzqz40">#REF!</definedName>
    <definedName name="qzqzqz41" localSheetId="2">#REF!</definedName>
    <definedName name="qzqzqz41">#REF!</definedName>
    <definedName name="qzqzqz42" localSheetId="2">#REF!</definedName>
    <definedName name="qzqzqz42">#REF!</definedName>
    <definedName name="qzqzqz43" localSheetId="2">#REF!</definedName>
    <definedName name="qzqzqz43">#REF!</definedName>
    <definedName name="qzqzqz44" localSheetId="2">#REF!</definedName>
    <definedName name="qzqzqz44">#REF!</definedName>
    <definedName name="qzqzqz45" localSheetId="2">#REF!</definedName>
    <definedName name="qzqzqz45">#REF!</definedName>
    <definedName name="qzqzqz46" localSheetId="2">#REF!</definedName>
    <definedName name="qzqzqz46">#REF!</definedName>
    <definedName name="qzqzqz47" localSheetId="2">#REF!</definedName>
    <definedName name="qzqzqz47">#REF!</definedName>
    <definedName name="qzqzqz48" localSheetId="2">#REF!</definedName>
    <definedName name="qzqzqz48">#REF!</definedName>
    <definedName name="qzqzqz49" localSheetId="2">#REF!</definedName>
    <definedName name="qzqzqz49">#REF!</definedName>
    <definedName name="qzqzqz50" localSheetId="2">#REF!</definedName>
    <definedName name="qzqzqz50">#REF!</definedName>
    <definedName name="qzqzqz51" localSheetId="2">#REF!</definedName>
    <definedName name="qzqzqz51">#REF!</definedName>
    <definedName name="qzqzqz52" localSheetId="2">#REF!</definedName>
    <definedName name="qzqzqz52">#REF!</definedName>
    <definedName name="qzqzqz53" localSheetId="2">#REF!</definedName>
    <definedName name="qzqzqz53">#REF!</definedName>
    <definedName name="qzqzqz54" localSheetId="2">#REF!</definedName>
    <definedName name="qzqzqz54">#REF!</definedName>
    <definedName name="qzqzqz55" localSheetId="2">#REF!</definedName>
    <definedName name="qzqzqz55">#REF!</definedName>
    <definedName name="qzqzqz56" localSheetId="2">#REF!</definedName>
    <definedName name="qzqzqz56">#REF!</definedName>
    <definedName name="qzqzqz57" localSheetId="2">#REF!</definedName>
    <definedName name="qzqzqz57">#REF!</definedName>
    <definedName name="qzqzqz58" localSheetId="2">#REF!</definedName>
    <definedName name="qzqzqz58">#REF!</definedName>
    <definedName name="qzqzqz59" localSheetId="2">#REF!</definedName>
    <definedName name="qzqzqz59">#REF!</definedName>
    <definedName name="qzqzqz6" localSheetId="2">#REF!</definedName>
    <definedName name="qzqzqz6">#REF!</definedName>
    <definedName name="qzqzqz60" localSheetId="2">#REF!</definedName>
    <definedName name="qzqzqz60">#REF!</definedName>
    <definedName name="qzqzqz61" localSheetId="2">#REF!</definedName>
    <definedName name="qzqzqz61">#REF!</definedName>
    <definedName name="qzqzqz7" localSheetId="2">#REF!</definedName>
    <definedName name="qzqzqz7">#REF!</definedName>
    <definedName name="qzqzqz8" localSheetId="2">#REF!</definedName>
    <definedName name="qzqzqz8">#REF!</definedName>
    <definedName name="qzqzqz9" localSheetId="2">#REF!</definedName>
    <definedName name="qzqzqz9">#REF!</definedName>
    <definedName name="Realisations_salevalue" localSheetId="2">#REF!</definedName>
    <definedName name="Realisations_salevalue">#REF!</definedName>
    <definedName name="receipts" localSheetId="2">#REF!</definedName>
    <definedName name="receipts">#REF!</definedName>
    <definedName name="_xlnm.Recorder" localSheetId="2">#REF!</definedName>
    <definedName name="_xlnm.Recorder">#REF!</definedName>
    <definedName name="RMB">[24]Data!$D$10</definedName>
    <definedName name="s" localSheetId="2">'[25]Sch BS'!#REF!</definedName>
    <definedName name="s">'[25]Sch BS'!#REF!</definedName>
    <definedName name="Salary_Worksheets" localSheetId="2">#REF!</definedName>
    <definedName name="Salary_Worksheets">#REF!</definedName>
    <definedName name="SALES" localSheetId="2">#REF!</definedName>
    <definedName name="SALES">#REF!</definedName>
    <definedName name="scs" localSheetId="2">#REF!</definedName>
    <definedName name="scs">#REF!</definedName>
    <definedName name="sdu">'[18]Groupings BS'!$A$1:$F$245</definedName>
    <definedName name="sefrsdfdsafdsafdsa">'[13]Service Function'!$K$300:$O$302</definedName>
    <definedName name="Service">'[8]Service Function'!$CC$71:$CE$86</definedName>
    <definedName name="SFDGD" localSheetId="2">#REF!</definedName>
    <definedName name="SFDGD">#REF!</definedName>
    <definedName name="SGQERVY" localSheetId="2">#REF!</definedName>
    <definedName name="SGQERVY">#REF!</definedName>
    <definedName name="SH" localSheetId="2">#REF!</definedName>
    <definedName name="SH">#REF!</definedName>
    <definedName name="sha" localSheetId="2">'[26]BS-203'!#REF!</definedName>
    <definedName name="sha">'[26]BS-203'!#REF!</definedName>
    <definedName name="SHT" localSheetId="2">#REF!</definedName>
    <definedName name="SHT">#REF!</definedName>
    <definedName name="siannpay" localSheetId="2">#REF!</definedName>
    <definedName name="siannpay">#REF!</definedName>
    <definedName name="sihrpay" localSheetId="2">#REF!</definedName>
    <definedName name="sihrpay">#REF!</definedName>
    <definedName name="siotpr" localSheetId="2">#REF!</definedName>
    <definedName name="siotpr">#REF!</definedName>
    <definedName name="ST" localSheetId="2">#REF!</definedName>
    <definedName name="ST">#REF!</definedName>
    <definedName name="staccr" localSheetId="2">#REF!</definedName>
    <definedName name="staccr">#REF!</definedName>
    <definedName name="staff" localSheetId="2">#REF!</definedName>
    <definedName name="staff">#REF!</definedName>
    <definedName name="stamort" localSheetId="2">#REF!</definedName>
    <definedName name="stamort">#REF!</definedName>
    <definedName name="states">'[27]Part A General'!$F$3:$F$38</definedName>
    <definedName name="stinvest" localSheetId="2">#REF!</definedName>
    <definedName name="stinvest">#REF!</definedName>
    <definedName name="Stocks" localSheetId="2">#REF!</definedName>
    <definedName name="Stocks">#REF!</definedName>
    <definedName name="stpaid" localSheetId="2">#REF!</definedName>
    <definedName name="stpaid">#REF!</definedName>
    <definedName name="stpurch" localSheetId="2">#REF!</definedName>
    <definedName name="stpurch">#REF!</definedName>
    <definedName name="stugl" localSheetId="2">#REF!</definedName>
    <definedName name="stugl">#REF!</definedName>
    <definedName name="stunreal" localSheetId="2">#REF!</definedName>
    <definedName name="stunreal">#REF!</definedName>
    <definedName name="Summary" localSheetId="2">#REF!</definedName>
    <definedName name="Summary">#REF!</definedName>
    <definedName name="superannpay" localSheetId="2">#REF!</definedName>
    <definedName name="superannpay">#REF!</definedName>
    <definedName name="supermopay" localSheetId="2">#REF!</definedName>
    <definedName name="supermopay">#REF!</definedName>
    <definedName name="T" localSheetId="2">#REF!</definedName>
    <definedName name="T">#REF!</definedName>
    <definedName name="TAFName">[9]Masters!$C$19</definedName>
    <definedName name="TAMNo">[9]Masters!$C$23</definedName>
    <definedName name="TAName">[9]Masters!$C$20</definedName>
    <definedName name="TAPlace">[9]Masters!$C$43</definedName>
    <definedName name="TaxAudAdd">[9]Masters!$C$24</definedName>
    <definedName name="TaxAuditDate">[9]Masters!$C$40</definedName>
    <definedName name="taxexpSO" localSheetId="2">#REF!</definedName>
    <definedName name="taxexpSO">#REF!</definedName>
    <definedName name="taxexpUK" localSheetId="2">#REF!</definedName>
    <definedName name="taxexpUK">#REF!</definedName>
    <definedName name="taxexpUS" localSheetId="2">#REF!</definedName>
    <definedName name="taxexpUS">#REF!</definedName>
    <definedName name="tberd" localSheetId="2">#REF!</definedName>
    <definedName name="tberd">#REF!</definedName>
    <definedName name="THAI_PLASTIC_in_KUSD" localSheetId="2">#REF!</definedName>
    <definedName name="THAI_PLASTIC_in_KUSD">#REF!</definedName>
    <definedName name="TLT" localSheetId="2">#REF!</definedName>
    <definedName name="TLT">#REF!</definedName>
    <definedName name="TOT" localSheetId="2">#REF!</definedName>
    <definedName name="TOT">#REF!</definedName>
    <definedName name="TotLiab" localSheetId="2">#REF!</definedName>
    <definedName name="TotLiab">#REF!</definedName>
    <definedName name="trucklease" localSheetId="2">#REF!</definedName>
    <definedName name="trucklease">#REF!</definedName>
    <definedName name="trust" localSheetId="2">'[28]BS-203'!#REF!</definedName>
    <definedName name="trust">'[28]BS-203'!#REF!</definedName>
    <definedName name="UER" localSheetId="2">#REF!</definedName>
    <definedName name="UER">#REF!</definedName>
    <definedName name="unnamed" localSheetId="2">'[18]Groupings BS'!#REF!</definedName>
    <definedName name="unnamed">'[18]Groupings BS'!#REF!</definedName>
    <definedName name="unnamed_0" localSheetId="2">'[18]Groupings BS'!#REF!</definedName>
    <definedName name="unnamed_0">'[18]Groupings BS'!#REF!</definedName>
    <definedName name="USD.A" localSheetId="2">#REF!</definedName>
    <definedName name="USD.A">#REF!</definedName>
    <definedName name="USD.E" localSheetId="2">#REF!</definedName>
    <definedName name="USD.E">#REF!</definedName>
    <definedName name="USD_B" localSheetId="2">#REF!</definedName>
    <definedName name="USD_B">#REF!</definedName>
    <definedName name="User1_Access">'[8]Service Function'!$C$20:$H$22</definedName>
    <definedName name="User1_IOC">'[8]Service Function'!$J$20:$O$23</definedName>
    <definedName name="User2_Access">'[8]Service Function'!$C$44:$H$46</definedName>
    <definedName name="User2_IOC">'[8]Service Function'!$J$44:$O$47</definedName>
    <definedName name="User3_T11_GDA">'[8]Service Function'!$C$68:$H$76</definedName>
    <definedName name="User3_T11_T1">'[8]Service Function'!$J$68:$O$76</definedName>
    <definedName name="User3_T9_56k">'[8]Service Function'!$C$85:$H$93</definedName>
    <definedName name="User3_T9_IBR">'[8]Service Function'!$J$85:$O$93</definedName>
    <definedName name="User3_T9_T1">'[8]Service Function'!$C$102:$H$110</definedName>
    <definedName name="User4_T11_GDA">'[8]Service Function'!$C$131:$H$139</definedName>
    <definedName name="User4_T11_T1">'[8]Service Function'!$J$131:$O$139</definedName>
    <definedName name="User4_T9_56k">'[8]Service Function'!$C$154:$H$165</definedName>
    <definedName name="User4_T9_IBR">'[8]Service Function'!$J$154:$O$165</definedName>
    <definedName name="User4_T9_T1">'[8]Service Function'!$C$174:$H$182</definedName>
    <definedName name="User5_Access">'[8]Service Function'!$C$203:$H$205</definedName>
    <definedName name="User5_Components">'[8]Service Function'!$J$216:$O$218</definedName>
    <definedName name="User5_IOC">'[8]Service Function'!$J$203:$O$206</definedName>
    <definedName name="vpannpay" localSheetId="2">#REF!</definedName>
    <definedName name="vpannpay">#REF!</definedName>
    <definedName name="vpmopay" localSheetId="2">#REF!</definedName>
    <definedName name="vpmopay">#REF!</definedName>
    <definedName name="wrn.A4BSSCH." localSheetId="2" hidden="1">{"BSSCHA4",#N/A,FALSE,"sch bs"}</definedName>
    <definedName name="wrn.A4BSSCH." hidden="1">{"BSSCHA4",#N/A,FALSE,"sch bs"}</definedName>
    <definedName name="wrn.A4PL." localSheetId="2" hidden="1">{"a4p&amp;L",#N/A,FALSE,"tr &amp; pl"}</definedName>
    <definedName name="wrn.A4PL." hidden="1">{"a4p&amp;L",#N/A,FALSE,"tr &amp; pl"}</definedName>
    <definedName name="wrn.BSA4." localSheetId="2" hidden="1">{"A4BS",#N/A,FALSE,"bs"}</definedName>
    <definedName name="wrn.BSA4." hidden="1">{"A4BS",#N/A,FALSE,"bs"}</definedName>
    <definedName name="wrn.capA4." localSheetId="2" hidden="1">{"capA4",#N/A,FALSE,"capt"}</definedName>
    <definedName name="wrn.capA4." hidden="1">{"capA4",#N/A,FALSE,"capt"}</definedName>
    <definedName name="wrn.depschA4." localSheetId="2" hidden="1">{"A4depsch",#N/A,FALSE,"fa&amp;dep"}</definedName>
    <definedName name="wrn.depschA4." hidden="1">{"A4depsch",#N/A,FALSE,"fa&amp;dep"}</definedName>
    <definedName name="wrn.imprim." localSheetId="2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PLSCHA4." localSheetId="2" hidden="1">{"A4PLSCH",#N/A,FALSE,"sch pl"}</definedName>
    <definedName name="wrn.PLSCHA4." hidden="1">{"A4PLSCH",#N/A,FALSE,"sch pl"}</definedName>
    <definedName name="xx" localSheetId="2">'[29]TRIAL BALANCE'!#REF!</definedName>
    <definedName name="xx">'[29]TRIAL BALANCE'!#REF!</definedName>
    <definedName name="zz" localSheetId="2">#REF!</definedName>
    <definedName name="z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1" l="1"/>
  <c r="I50" i="11"/>
  <c r="H53" i="11"/>
  <c r="G53" i="11"/>
  <c r="E43" i="11"/>
  <c r="F18" i="10"/>
  <c r="F17" i="10" s="1"/>
  <c r="H9" i="10"/>
  <c r="H13" i="10" s="1"/>
  <c r="H8" i="10"/>
  <c r="H6" i="10"/>
  <c r="H5" i="10"/>
  <c r="H4" i="10"/>
  <c r="E52" i="9"/>
  <c r="E53" i="9" s="1"/>
  <c r="J51" i="9"/>
  <c r="J50" i="9"/>
  <c r="I50" i="9"/>
  <c r="J48" i="9"/>
  <c r="I47" i="9"/>
  <c r="J47" i="9" s="1"/>
  <c r="J46" i="9"/>
  <c r="H52" i="9"/>
  <c r="H53" i="9" s="1"/>
  <c r="I45" i="9"/>
  <c r="J45" i="9" s="1"/>
  <c r="J44" i="9"/>
  <c r="I44" i="9"/>
  <c r="H25" i="9"/>
  <c r="F25" i="9"/>
  <c r="H24" i="9"/>
  <c r="I22" i="9"/>
  <c r="J22" i="9" s="1"/>
  <c r="H22" i="9"/>
  <c r="F22" i="9"/>
  <c r="I21" i="9"/>
  <c r="J21" i="9" s="1"/>
  <c r="H21" i="9"/>
  <c r="F21" i="9"/>
  <c r="F42" i="8"/>
  <c r="E42" i="8"/>
  <c r="D14" i="7" s="1"/>
  <c r="D42" i="8"/>
  <c r="C14" i="7" s="1"/>
  <c r="H39" i="8"/>
  <c r="H42" i="8" s="1"/>
  <c r="G14" i="7" s="1"/>
  <c r="G39" i="8"/>
  <c r="G42" i="8" s="1"/>
  <c r="F39" i="8"/>
  <c r="E39" i="8"/>
  <c r="F33" i="8"/>
  <c r="H28" i="8"/>
  <c r="G28" i="8"/>
  <c r="G30" i="8" s="1"/>
  <c r="F28" i="8"/>
  <c r="F30" i="8" s="1"/>
  <c r="E28" i="8"/>
  <c r="E30" i="8" s="1"/>
  <c r="D28" i="8"/>
  <c r="D30" i="8" s="1"/>
  <c r="H27" i="8"/>
  <c r="G27" i="8"/>
  <c r="F27" i="8"/>
  <c r="E27" i="8"/>
  <c r="E33" i="8" s="1"/>
  <c r="D27" i="8"/>
  <c r="H22" i="8"/>
  <c r="H20" i="8"/>
  <c r="G20" i="8"/>
  <c r="G34" i="8" s="1"/>
  <c r="F7" i="7" s="1"/>
  <c r="F20" i="8"/>
  <c r="F22" i="8" s="1"/>
  <c r="E20" i="8"/>
  <c r="D20" i="8"/>
  <c r="H19" i="8"/>
  <c r="H33" i="8" s="1"/>
  <c r="G19" i="8"/>
  <c r="G33" i="8" s="1"/>
  <c r="F19" i="8"/>
  <c r="E19" i="8"/>
  <c r="D19" i="8"/>
  <c r="D33" i="8" s="1"/>
  <c r="H6" i="8"/>
  <c r="F14" i="7"/>
  <c r="E14" i="7"/>
  <c r="M128" i="6"/>
  <c r="I22" i="6"/>
  <c r="E12" i="6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59" i="6" s="1"/>
  <c r="E60" i="6" s="1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72" i="6" s="1"/>
  <c r="E73" i="6" s="1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86" i="6" s="1"/>
  <c r="E87" i="6" s="1"/>
  <c r="E88" i="6" s="1"/>
  <c r="E89" i="6" s="1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E100" i="6" s="1"/>
  <c r="E101" i="6" s="1"/>
  <c r="E102" i="6" s="1"/>
  <c r="E103" i="6" s="1"/>
  <c r="E104" i="6" s="1"/>
  <c r="E105" i="6" s="1"/>
  <c r="E106" i="6" s="1"/>
  <c r="E107" i="6" s="1"/>
  <c r="E108" i="6" s="1"/>
  <c r="E109" i="6" s="1"/>
  <c r="E110" i="6" s="1"/>
  <c r="E111" i="6" s="1"/>
  <c r="E112" i="6" s="1"/>
  <c r="E113" i="6" s="1"/>
  <c r="E114" i="6" s="1"/>
  <c r="E115" i="6" s="1"/>
  <c r="E116" i="6" s="1"/>
  <c r="E117" i="6" s="1"/>
  <c r="E118" i="6" s="1"/>
  <c r="E119" i="6" s="1"/>
  <c r="E120" i="6" s="1"/>
  <c r="E121" i="6" s="1"/>
  <c r="E122" i="6" s="1"/>
  <c r="E123" i="6" s="1"/>
  <c r="E124" i="6" s="1"/>
  <c r="E125" i="6" s="1"/>
  <c r="E126" i="6" s="1"/>
  <c r="E127" i="6" s="1"/>
  <c r="E128" i="6" s="1"/>
  <c r="E129" i="6" s="1"/>
  <c r="E130" i="6" s="1"/>
  <c r="E131" i="6" s="1"/>
  <c r="E132" i="6" s="1"/>
  <c r="E133" i="6" s="1"/>
  <c r="E134" i="6" s="1"/>
  <c r="E135" i="6" s="1"/>
  <c r="E136" i="6" s="1"/>
  <c r="E137" i="6" s="1"/>
  <c r="E138" i="6" s="1"/>
  <c r="E139" i="6" s="1"/>
  <c r="E140" i="6" s="1"/>
  <c r="C12" i="6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C50" i="6" s="1"/>
  <c r="C51" i="6" s="1"/>
  <c r="C52" i="6" s="1"/>
  <c r="C53" i="6" s="1"/>
  <c r="C54" i="6" s="1"/>
  <c r="C55" i="6" s="1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70" i="6" s="1"/>
  <c r="C71" i="6" s="1"/>
  <c r="C72" i="6" s="1"/>
  <c r="C73" i="6" s="1"/>
  <c r="C74" i="6" s="1"/>
  <c r="C75" i="6" s="1"/>
  <c r="C76" i="6" s="1"/>
  <c r="C77" i="6" s="1"/>
  <c r="C78" i="6" s="1"/>
  <c r="C79" i="6" s="1"/>
  <c r="C80" i="6" s="1"/>
  <c r="C81" i="6" s="1"/>
  <c r="C82" i="6" s="1"/>
  <c r="C83" i="6" s="1"/>
  <c r="C84" i="6" s="1"/>
  <c r="C85" i="6" s="1"/>
  <c r="C86" i="6" s="1"/>
  <c r="C87" i="6" s="1"/>
  <c r="C88" i="6" s="1"/>
  <c r="C89" i="6" s="1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C100" i="6" s="1"/>
  <c r="C101" i="6" s="1"/>
  <c r="C102" i="6" s="1"/>
  <c r="C103" i="6" s="1"/>
  <c r="C104" i="6" s="1"/>
  <c r="C105" i="6" s="1"/>
  <c r="C106" i="6" s="1"/>
  <c r="C107" i="6" s="1"/>
  <c r="C108" i="6" s="1"/>
  <c r="C109" i="6" s="1"/>
  <c r="C110" i="6" s="1"/>
  <c r="C111" i="6" s="1"/>
  <c r="C112" i="6" s="1"/>
  <c r="C113" i="6" s="1"/>
  <c r="C114" i="6" s="1"/>
  <c r="C115" i="6" s="1"/>
  <c r="C116" i="6" s="1"/>
  <c r="C117" i="6" s="1"/>
  <c r="C118" i="6" s="1"/>
  <c r="C119" i="6" s="1"/>
  <c r="C120" i="6" s="1"/>
  <c r="C121" i="6" s="1"/>
  <c r="C122" i="6" s="1"/>
  <c r="C123" i="6" s="1"/>
  <c r="C124" i="6" s="1"/>
  <c r="C125" i="6" s="1"/>
  <c r="C126" i="6" s="1"/>
  <c r="C127" i="6" s="1"/>
  <c r="C128" i="6" s="1"/>
  <c r="C129" i="6" s="1"/>
  <c r="C130" i="6" s="1"/>
  <c r="C131" i="6" s="1"/>
  <c r="C132" i="6" s="1"/>
  <c r="C133" i="6" s="1"/>
  <c r="C134" i="6" s="1"/>
  <c r="C135" i="6" s="1"/>
  <c r="C136" i="6" s="1"/>
  <c r="C137" i="6" s="1"/>
  <c r="C138" i="6" s="1"/>
  <c r="C139" i="6" s="1"/>
  <c r="C140" i="6" s="1"/>
  <c r="C11" i="6"/>
  <c r="I10" i="6"/>
  <c r="E10" i="6"/>
  <c r="E11" i="6" s="1"/>
  <c r="C10" i="6"/>
  <c r="H53" i="5"/>
  <c r="G53" i="5"/>
  <c r="F53" i="5"/>
  <c r="F52" i="5"/>
  <c r="H46" i="5"/>
  <c r="G46" i="5"/>
  <c r="F45" i="5"/>
  <c r="F46" i="5" s="1"/>
  <c r="H39" i="5"/>
  <c r="G39" i="5"/>
  <c r="F38" i="5"/>
  <c r="F39" i="5" s="1"/>
  <c r="H32" i="5"/>
  <c r="G32" i="5"/>
  <c r="F31" i="5"/>
  <c r="F32" i="5" s="1"/>
  <c r="H25" i="5"/>
  <c r="G25" i="5"/>
  <c r="J18" i="5"/>
  <c r="H18" i="5"/>
  <c r="G18" i="5"/>
  <c r="F18" i="5"/>
  <c r="F17" i="5"/>
  <c r="H11" i="5"/>
  <c r="G11" i="5"/>
  <c r="F11" i="5"/>
  <c r="E11" i="5"/>
  <c r="J10" i="5"/>
  <c r="J11" i="5" s="1"/>
  <c r="D67" i="4" s="1"/>
  <c r="D173" i="4" s="1"/>
  <c r="I10" i="5"/>
  <c r="F10" i="5"/>
  <c r="J9" i="5"/>
  <c r="I9" i="5"/>
  <c r="B3" i="5"/>
  <c r="C3" i="6" s="1"/>
  <c r="D178" i="4"/>
  <c r="E177" i="4"/>
  <c r="D177" i="4"/>
  <c r="D180" i="4" s="1"/>
  <c r="D174" i="4"/>
  <c r="G165" i="4"/>
  <c r="E165" i="4"/>
  <c r="D165" i="4"/>
  <c r="D160" i="4"/>
  <c r="C157" i="4"/>
  <c r="C184" i="4" s="1"/>
  <c r="E152" i="4"/>
  <c r="D152" i="4"/>
  <c r="F151" i="4"/>
  <c r="D146" i="4"/>
  <c r="F145" i="4"/>
  <c r="G144" i="4"/>
  <c r="G146" i="4" s="1"/>
  <c r="E144" i="4"/>
  <c r="E146" i="4" s="1"/>
  <c r="F144" i="4" s="1"/>
  <c r="F146" i="4" s="1"/>
  <c r="D138" i="4"/>
  <c r="D58" i="4" s="1"/>
  <c r="G137" i="4"/>
  <c r="G145" i="4" s="1"/>
  <c r="H144" i="4" s="1"/>
  <c r="F137" i="4"/>
  <c r="J136" i="4"/>
  <c r="I136" i="4"/>
  <c r="H136" i="4"/>
  <c r="G136" i="4"/>
  <c r="G138" i="4" s="1"/>
  <c r="G58" i="4" s="1"/>
  <c r="F136" i="4"/>
  <c r="F138" i="4" s="1"/>
  <c r="F129" i="4"/>
  <c r="F131" i="4" s="1"/>
  <c r="E129" i="4"/>
  <c r="F128" i="4"/>
  <c r="I126" i="4"/>
  <c r="I134" i="4" s="1"/>
  <c r="E126" i="4"/>
  <c r="E134" i="4" s="1"/>
  <c r="E122" i="4"/>
  <c r="E108" i="4" s="1"/>
  <c r="E121" i="4"/>
  <c r="D121" i="4"/>
  <c r="D122" i="4" s="1"/>
  <c r="D108" i="4" s="1"/>
  <c r="F120" i="4"/>
  <c r="E120" i="4"/>
  <c r="J118" i="4"/>
  <c r="J126" i="4" s="1"/>
  <c r="J134" i="4" s="1"/>
  <c r="J149" i="4" s="1"/>
  <c r="J157" i="4" s="1"/>
  <c r="J184" i="4" s="1"/>
  <c r="I118" i="4"/>
  <c r="H118" i="4"/>
  <c r="H126" i="4" s="1"/>
  <c r="H134" i="4" s="1"/>
  <c r="G118" i="4"/>
  <c r="G126" i="4" s="1"/>
  <c r="G134" i="4" s="1"/>
  <c r="F118" i="4"/>
  <c r="F126" i="4" s="1"/>
  <c r="F134" i="4" s="1"/>
  <c r="E118" i="4"/>
  <c r="D118" i="4"/>
  <c r="D126" i="4" s="1"/>
  <c r="D134" i="4" s="1"/>
  <c r="J98" i="4"/>
  <c r="I98" i="4"/>
  <c r="H98" i="4"/>
  <c r="G98" i="4"/>
  <c r="F98" i="4"/>
  <c r="E96" i="4"/>
  <c r="D96" i="4"/>
  <c r="D105" i="4" s="1"/>
  <c r="D95" i="4"/>
  <c r="H94" i="4"/>
  <c r="E90" i="4"/>
  <c r="D87" i="4"/>
  <c r="D84" i="4"/>
  <c r="D119" i="4" s="1"/>
  <c r="D127" i="4" s="1"/>
  <c r="D135" i="4" s="1"/>
  <c r="C81" i="4"/>
  <c r="F70" i="4"/>
  <c r="G70" i="4" s="1"/>
  <c r="E67" i="4"/>
  <c r="E173" i="4" s="1"/>
  <c r="D64" i="4"/>
  <c r="D66" i="4" s="1"/>
  <c r="D68" i="4" s="1"/>
  <c r="G62" i="4"/>
  <c r="H62" i="4" s="1"/>
  <c r="F62" i="4"/>
  <c r="F60" i="4"/>
  <c r="E60" i="4"/>
  <c r="D60" i="4"/>
  <c r="G59" i="4"/>
  <c r="F59" i="4"/>
  <c r="E59" i="4"/>
  <c r="D59" i="4"/>
  <c r="F58" i="4"/>
  <c r="E55" i="4"/>
  <c r="E66" i="4" s="1"/>
  <c r="E68" i="4" s="1"/>
  <c r="D55" i="4"/>
  <c r="D137" i="4" s="1"/>
  <c r="D139" i="4" s="1"/>
  <c r="E136" i="4" s="1"/>
  <c r="E138" i="4" s="1"/>
  <c r="E58" i="4" s="1"/>
  <c r="E64" i="4" s="1"/>
  <c r="J51" i="4"/>
  <c r="J84" i="4" s="1"/>
  <c r="J119" i="4" s="1"/>
  <c r="J127" i="4" s="1"/>
  <c r="J135" i="4" s="1"/>
  <c r="I51" i="4"/>
  <c r="I84" i="4" s="1"/>
  <c r="I119" i="4" s="1"/>
  <c r="I127" i="4" s="1"/>
  <c r="I135" i="4" s="1"/>
  <c r="I143" i="4" s="1"/>
  <c r="H51" i="4"/>
  <c r="H84" i="4" s="1"/>
  <c r="H119" i="4" s="1"/>
  <c r="H127" i="4" s="1"/>
  <c r="H135" i="4" s="1"/>
  <c r="G51" i="4"/>
  <c r="G84" i="4" s="1"/>
  <c r="G119" i="4" s="1"/>
  <c r="G127" i="4" s="1"/>
  <c r="G135" i="4" s="1"/>
  <c r="F51" i="4"/>
  <c r="F84" i="4" s="1"/>
  <c r="F119" i="4" s="1"/>
  <c r="F127" i="4" s="1"/>
  <c r="F135" i="4" s="1"/>
  <c r="E51" i="4"/>
  <c r="E84" i="4" s="1"/>
  <c r="E119" i="4" s="1"/>
  <c r="E127" i="4" s="1"/>
  <c r="E135" i="4" s="1"/>
  <c r="J50" i="4"/>
  <c r="J169" i="4" s="1"/>
  <c r="J83" i="4" s="1"/>
  <c r="I50" i="4"/>
  <c r="F4" i="7" s="1"/>
  <c r="G6" i="8" s="1"/>
  <c r="H50" i="4"/>
  <c r="E4" i="7" s="1"/>
  <c r="F6" i="8" s="1"/>
  <c r="G50" i="4"/>
  <c r="F50" i="4"/>
  <c r="E50" i="4"/>
  <c r="E169" i="4" s="1"/>
  <c r="E83" i="4" s="1"/>
  <c r="D50" i="4"/>
  <c r="D169" i="4" s="1"/>
  <c r="D83" i="4" s="1"/>
  <c r="C48" i="4"/>
  <c r="G42" i="4"/>
  <c r="H42" i="4" s="1"/>
  <c r="I42" i="4" s="1"/>
  <c r="J42" i="4" s="1"/>
  <c r="F42" i="4"/>
  <c r="E41" i="4"/>
  <c r="E160" i="4" s="1"/>
  <c r="G40" i="4"/>
  <c r="F40" i="4"/>
  <c r="E40" i="4"/>
  <c r="D40" i="4"/>
  <c r="E29" i="4"/>
  <c r="F109" i="4" s="1"/>
  <c r="D29" i="4"/>
  <c r="E109" i="4" s="1"/>
  <c r="E28" i="4"/>
  <c r="D28" i="4"/>
  <c r="E27" i="4"/>
  <c r="E163" i="4" s="1"/>
  <c r="I26" i="4"/>
  <c r="H26" i="4"/>
  <c r="H165" i="4" s="1"/>
  <c r="F26" i="4"/>
  <c r="G94" i="4" s="1"/>
  <c r="J22" i="4"/>
  <c r="D15" i="4"/>
  <c r="E13" i="4"/>
  <c r="F3" i="4"/>
  <c r="E3" i="4"/>
  <c r="D3" i="4"/>
  <c r="H19" i="3"/>
  <c r="G19" i="3"/>
  <c r="F19" i="3"/>
  <c r="E19" i="3"/>
  <c r="I19" i="3" s="1"/>
  <c r="H18" i="3"/>
  <c r="G18" i="3"/>
  <c r="F18" i="3"/>
  <c r="E18" i="3"/>
  <c r="I18" i="3" s="1"/>
  <c r="H17" i="3"/>
  <c r="G17" i="3"/>
  <c r="F17" i="3"/>
  <c r="I17" i="3" s="1"/>
  <c r="E17" i="3"/>
  <c r="H16" i="3"/>
  <c r="G16" i="3"/>
  <c r="G20" i="3" s="1"/>
  <c r="F16" i="3"/>
  <c r="E16" i="3"/>
  <c r="I16" i="3" s="1"/>
  <c r="H15" i="3"/>
  <c r="G15" i="3"/>
  <c r="F15" i="3"/>
  <c r="E15" i="3"/>
  <c r="H10" i="3"/>
  <c r="E6" i="2"/>
  <c r="D5" i="3" s="1"/>
  <c r="B2" i="7" s="1"/>
  <c r="B2" i="8" s="1"/>
  <c r="D73" i="4" l="1"/>
  <c r="D149" i="4"/>
  <c r="D157" i="4" s="1"/>
  <c r="D184" i="4" s="1"/>
  <c r="D142" i="4"/>
  <c r="E149" i="4"/>
  <c r="E157" i="4" s="1"/>
  <c r="E184" i="4" s="1"/>
  <c r="E142" i="4"/>
  <c r="D150" i="4"/>
  <c r="D158" i="4" s="1"/>
  <c r="D170" i="4" s="1"/>
  <c r="D185" i="4" s="1"/>
  <c r="D143" i="4"/>
  <c r="E150" i="4"/>
  <c r="E158" i="4" s="1"/>
  <c r="E170" i="4" s="1"/>
  <c r="E185" i="4" s="1"/>
  <c r="E143" i="4"/>
  <c r="F150" i="4"/>
  <c r="F158" i="4" s="1"/>
  <c r="F170" i="4" s="1"/>
  <c r="F185" i="4" s="1"/>
  <c r="F143" i="4"/>
  <c r="I62" i="4"/>
  <c r="I94" i="4"/>
  <c r="I149" i="4"/>
  <c r="I157" i="4" s="1"/>
  <c r="I184" i="4" s="1"/>
  <c r="I142" i="4"/>
  <c r="I23" i="6"/>
  <c r="D10" i="7"/>
  <c r="D15" i="7" s="1"/>
  <c r="D16" i="7" s="1"/>
  <c r="J142" i="4"/>
  <c r="G150" i="4"/>
  <c r="G158" i="4" s="1"/>
  <c r="G170" i="4" s="1"/>
  <c r="G185" i="4" s="1"/>
  <c r="G143" i="4"/>
  <c r="I150" i="4"/>
  <c r="I158" i="4" s="1"/>
  <c r="I170" i="4" s="1"/>
  <c r="I185" i="4" s="1"/>
  <c r="F130" i="4"/>
  <c r="F107" i="4" s="1"/>
  <c r="F27" i="4"/>
  <c r="F163" i="4" s="1"/>
  <c r="E20" i="3"/>
  <c r="F23" i="5" s="1"/>
  <c r="F25" i="5" s="1"/>
  <c r="F100" i="4" s="1"/>
  <c r="F20" i="3"/>
  <c r="F24" i="5" s="1"/>
  <c r="H150" i="4"/>
  <c r="H158" i="4" s="1"/>
  <c r="H170" i="4" s="1"/>
  <c r="H185" i="4" s="1"/>
  <c r="H143" i="4"/>
  <c r="H149" i="4"/>
  <c r="H157" i="4" s="1"/>
  <c r="H184" i="4" s="1"/>
  <c r="H142" i="4"/>
  <c r="I165" i="4"/>
  <c r="J26" i="4"/>
  <c r="J165" i="4" s="1"/>
  <c r="D4" i="7"/>
  <c r="E6" i="8" s="1"/>
  <c r="G169" i="4"/>
  <c r="G83" i="4" s="1"/>
  <c r="C10" i="7"/>
  <c r="C15" i="7" s="1"/>
  <c r="C16" i="7" s="1"/>
  <c r="G128" i="4"/>
  <c r="G130" i="4" s="1"/>
  <c r="G107" i="4" s="1"/>
  <c r="J143" i="4"/>
  <c r="J150" i="4"/>
  <c r="J158" i="4" s="1"/>
  <c r="J170" i="4" s="1"/>
  <c r="J185" i="4" s="1"/>
  <c r="F149" i="4"/>
  <c r="F157" i="4" s="1"/>
  <c r="F184" i="4" s="1"/>
  <c r="F142" i="4"/>
  <c r="H20" i="3"/>
  <c r="I15" i="3"/>
  <c r="I20" i="3" s="1"/>
  <c r="E9" i="3" s="1"/>
  <c r="H70" i="4"/>
  <c r="G96" i="4"/>
  <c r="G149" i="4"/>
  <c r="G157" i="4" s="1"/>
  <c r="G184" i="4" s="1"/>
  <c r="G142" i="4"/>
  <c r="K10" i="5"/>
  <c r="E17" i="5" s="1"/>
  <c r="I17" i="5" s="1"/>
  <c r="C4" i="7"/>
  <c r="D6" i="8" s="1"/>
  <c r="F169" i="4"/>
  <c r="F83" i="4" s="1"/>
  <c r="G60" i="4"/>
  <c r="G64" i="4" s="1"/>
  <c r="F96" i="4"/>
  <c r="H169" i="4"/>
  <c r="H83" i="4" s="1"/>
  <c r="D129" i="4"/>
  <c r="F165" i="4"/>
  <c r="I169" i="4"/>
  <c r="I83" i="4" s="1"/>
  <c r="D153" i="4"/>
  <c r="E151" i="4" s="1"/>
  <c r="E154" i="4" s="1"/>
  <c r="E86" i="4" s="1"/>
  <c r="D154" i="4"/>
  <c r="D86" i="4" s="1"/>
  <c r="D91" i="4" s="1"/>
  <c r="I11" i="5"/>
  <c r="I11" i="6"/>
  <c r="F94" i="4"/>
  <c r="H137" i="4"/>
  <c r="G129" i="4"/>
  <c r="G131" i="4" s="1"/>
  <c r="H23" i="9"/>
  <c r="F23" i="9"/>
  <c r="I49" i="9"/>
  <c r="J49" i="9" s="1"/>
  <c r="F63" i="4" s="1"/>
  <c r="G63" i="4" s="1"/>
  <c r="H63" i="4" s="1"/>
  <c r="I63" i="4" s="1"/>
  <c r="J63" i="4" s="1"/>
  <c r="F52" i="9"/>
  <c r="F53" i="9" s="1"/>
  <c r="C169" i="4"/>
  <c r="I24" i="9"/>
  <c r="J24" i="9" s="1"/>
  <c r="H12" i="10"/>
  <c r="H14" i="10" s="1"/>
  <c r="F24" i="10" s="1"/>
  <c r="H10" i="10"/>
  <c r="F23" i="10" s="1"/>
  <c r="F22" i="10" s="1"/>
  <c r="K9" i="5"/>
  <c r="H34" i="8"/>
  <c r="G7" i="7" s="1"/>
  <c r="H30" i="8"/>
  <c r="H35" i="8" s="1"/>
  <c r="D34" i="8"/>
  <c r="C7" i="7" s="1"/>
  <c r="D22" i="8"/>
  <c r="D35" i="8" s="1"/>
  <c r="E34" i="8"/>
  <c r="D7" i="7" s="1"/>
  <c r="E22" i="8"/>
  <c r="I25" i="9"/>
  <c r="J25" i="9" s="1"/>
  <c r="J52" i="9"/>
  <c r="J53" i="9" s="1"/>
  <c r="I48" i="11"/>
  <c r="E53" i="11"/>
  <c r="G52" i="9"/>
  <c r="G53" i="9" s="1"/>
  <c r="F19" i="10"/>
  <c r="D26" i="9"/>
  <c r="F24" i="9"/>
  <c r="G22" i="8"/>
  <c r="G35" i="8" s="1"/>
  <c r="E35" i="8"/>
  <c r="F34" i="8"/>
  <c r="E7" i="7" s="1"/>
  <c r="E26" i="9"/>
  <c r="F35" i="8"/>
  <c r="I49" i="11"/>
  <c r="D52" i="9"/>
  <c r="F53" i="11"/>
  <c r="I51" i="11"/>
  <c r="G36" i="8" l="1"/>
  <c r="F5" i="7"/>
  <c r="I53" i="4"/>
  <c r="E11" i="3"/>
  <c r="E23" i="2"/>
  <c r="F9" i="3"/>
  <c r="E30" i="9"/>
  <c r="E29" i="9"/>
  <c r="I137" i="4"/>
  <c r="H145" i="4"/>
  <c r="H129" i="4"/>
  <c r="H131" i="4" s="1"/>
  <c r="F121" i="4"/>
  <c r="E5" i="7"/>
  <c r="F36" i="8"/>
  <c r="H53" i="4"/>
  <c r="H36" i="8"/>
  <c r="G5" i="7"/>
  <c r="J53" i="4"/>
  <c r="I53" i="11"/>
  <c r="E102" i="4"/>
  <c r="E105" i="4" s="1"/>
  <c r="K17" i="5"/>
  <c r="E24" i="5" s="1"/>
  <c r="F64" i="4"/>
  <c r="D5" i="7"/>
  <c r="E36" i="8"/>
  <c r="G53" i="4"/>
  <c r="E16" i="5"/>
  <c r="K11" i="5"/>
  <c r="D34" i="4" s="1"/>
  <c r="I12" i="6"/>
  <c r="D131" i="4"/>
  <c r="D9" i="7"/>
  <c r="H138" i="4"/>
  <c r="H58" i="4" s="1"/>
  <c r="D53" i="9"/>
  <c r="I53" i="9" s="1"/>
  <c r="I52" i="9"/>
  <c r="I23" i="9"/>
  <c r="J23" i="9" s="1"/>
  <c r="J26" i="9" s="1"/>
  <c r="K26" i="9" s="1"/>
  <c r="F26" i="9"/>
  <c r="D30" i="9"/>
  <c r="D29" i="9"/>
  <c r="G27" i="4"/>
  <c r="G163" i="4" s="1"/>
  <c r="H128" i="4"/>
  <c r="H130" i="4" s="1"/>
  <c r="H107" i="4" s="1"/>
  <c r="H60" i="4"/>
  <c r="G121" i="4"/>
  <c r="G123" i="4" s="1"/>
  <c r="F9" i="7"/>
  <c r="J62" i="4"/>
  <c r="G9" i="7" s="1"/>
  <c r="D172" i="4"/>
  <c r="D175" i="4" s="1"/>
  <c r="D181" i="4" s="1"/>
  <c r="D74" i="4"/>
  <c r="D76" i="4"/>
  <c r="C5" i="7"/>
  <c r="D36" i="8"/>
  <c r="F53" i="4"/>
  <c r="C9" i="7"/>
  <c r="H96" i="4"/>
  <c r="I70" i="4"/>
  <c r="J94" i="4"/>
  <c r="I24" i="6"/>
  <c r="E9" i="7"/>
  <c r="I25" i="6" l="1"/>
  <c r="I24" i="5"/>
  <c r="J24" i="5"/>
  <c r="F11" i="3"/>
  <c r="G9" i="3"/>
  <c r="E14" i="4"/>
  <c r="E26" i="2"/>
  <c r="C11" i="7"/>
  <c r="C12" i="7" s="1"/>
  <c r="C6" i="7"/>
  <c r="C17" i="7" s="1"/>
  <c r="G186" i="4"/>
  <c r="G152" i="4"/>
  <c r="G153" i="4" s="1"/>
  <c r="G55" i="4"/>
  <c r="G66" i="4" s="1"/>
  <c r="E6" i="7"/>
  <c r="F123" i="4"/>
  <c r="F122" i="4"/>
  <c r="F108" i="4" s="1"/>
  <c r="F110" i="4" s="1"/>
  <c r="H9" i="3"/>
  <c r="H186" i="4"/>
  <c r="H152" i="4"/>
  <c r="H153" i="4" s="1"/>
  <c r="H55" i="4"/>
  <c r="E10" i="7"/>
  <c r="E15" i="7" s="1"/>
  <c r="E16" i="7" s="1"/>
  <c r="E128" i="4"/>
  <c r="E130" i="4" s="1"/>
  <c r="E107" i="4" s="1"/>
  <c r="E110" i="4" s="1"/>
  <c r="E111" i="4" s="1"/>
  <c r="D27" i="4"/>
  <c r="D163" i="4" s="1"/>
  <c r="D11" i="7"/>
  <c r="D12" i="7" s="1"/>
  <c r="D6" i="7"/>
  <c r="D17" i="7" s="1"/>
  <c r="D18" i="7" s="1"/>
  <c r="H27" i="4"/>
  <c r="H163" i="4" s="1"/>
  <c r="I128" i="4"/>
  <c r="I130" i="4" s="1"/>
  <c r="I107" i="4" s="1"/>
  <c r="I16" i="5"/>
  <c r="E18" i="5"/>
  <c r="I96" i="4"/>
  <c r="J70" i="4"/>
  <c r="J96" i="4" s="1"/>
  <c r="C18" i="7"/>
  <c r="D130" i="4"/>
  <c r="D107" i="4" s="1"/>
  <c r="D110" i="4" s="1"/>
  <c r="D111" i="4" s="1"/>
  <c r="D114" i="4" s="1"/>
  <c r="J186" i="4"/>
  <c r="J152" i="4"/>
  <c r="J153" i="4" s="1"/>
  <c r="J41" i="4" s="1"/>
  <c r="J55" i="4"/>
  <c r="I144" i="4"/>
  <c r="H40" i="4"/>
  <c r="H146" i="4"/>
  <c r="H59" i="4" s="1"/>
  <c r="H64" i="4" s="1"/>
  <c r="I186" i="4"/>
  <c r="I152" i="4"/>
  <c r="I153" i="4" s="1"/>
  <c r="I55" i="4"/>
  <c r="D77" i="4"/>
  <c r="D4" i="4" s="1"/>
  <c r="D17" i="4"/>
  <c r="D78" i="4"/>
  <c r="F152" i="4"/>
  <c r="F55" i="4"/>
  <c r="F66" i="4" s="1"/>
  <c r="G6" i="7"/>
  <c r="I145" i="4"/>
  <c r="I129" i="4"/>
  <c r="I131" i="4" s="1"/>
  <c r="J137" i="4"/>
  <c r="I138" i="4"/>
  <c r="I58" i="4" s="1"/>
  <c r="F6" i="7"/>
  <c r="G28" i="4"/>
  <c r="H120" i="4"/>
  <c r="I60" i="4"/>
  <c r="H121" i="4"/>
  <c r="H123" i="4" s="1"/>
  <c r="I13" i="6"/>
  <c r="D20" i="7" l="1"/>
  <c r="G195" i="4" s="1"/>
  <c r="G194" i="4"/>
  <c r="J144" i="4"/>
  <c r="I40" i="4"/>
  <c r="E87" i="4"/>
  <c r="F14" i="4"/>
  <c r="E15" i="4"/>
  <c r="J151" i="4"/>
  <c r="J154" i="4" s="1"/>
  <c r="J86" i="4" s="1"/>
  <c r="I41" i="4"/>
  <c r="D1" i="4"/>
  <c r="E113" i="4"/>
  <c r="I151" i="4"/>
  <c r="I154" i="4" s="1"/>
  <c r="I86" i="4" s="1"/>
  <c r="H41" i="4"/>
  <c r="E17" i="7"/>
  <c r="E18" i="7" s="1"/>
  <c r="C20" i="7"/>
  <c r="F195" i="4" s="1"/>
  <c r="F194" i="4"/>
  <c r="I14" i="6"/>
  <c r="F153" i="4"/>
  <c r="E4" i="6"/>
  <c r="I9" i="3"/>
  <c r="E27" i="2"/>
  <c r="H11" i="3"/>
  <c r="H151" i="4"/>
  <c r="H154" i="4" s="1"/>
  <c r="H86" i="4" s="1"/>
  <c r="G41" i="4"/>
  <c r="E11" i="7"/>
  <c r="E12" i="7" s="1"/>
  <c r="H28" i="4"/>
  <c r="I120" i="4"/>
  <c r="K24" i="5"/>
  <c r="E31" i="5" s="1"/>
  <c r="J160" i="4"/>
  <c r="J60" i="4"/>
  <c r="J121" i="4" s="1"/>
  <c r="J123" i="4" s="1"/>
  <c r="J28" i="4" s="1"/>
  <c r="I121" i="4"/>
  <c r="I123" i="4" s="1"/>
  <c r="J138" i="4"/>
  <c r="J58" i="4" s="1"/>
  <c r="J129" i="4"/>
  <c r="J131" i="4" s="1"/>
  <c r="J27" i="4" s="1"/>
  <c r="J163" i="4" s="1"/>
  <c r="J145" i="4"/>
  <c r="J40" i="4" s="1"/>
  <c r="I146" i="4"/>
  <c r="I59" i="4" s="1"/>
  <c r="F10" i="7" s="1"/>
  <c r="G120" i="4"/>
  <c r="G122" i="4" s="1"/>
  <c r="G108" i="4" s="1"/>
  <c r="F28" i="4"/>
  <c r="E28" i="2"/>
  <c r="H66" i="4"/>
  <c r="H122" i="4"/>
  <c r="H108" i="4" s="1"/>
  <c r="J128" i="4"/>
  <c r="J130" i="4" s="1"/>
  <c r="J107" i="4" s="1"/>
  <c r="I27" i="4"/>
  <c r="I163" i="4" s="1"/>
  <c r="D30" i="4"/>
  <c r="D192" i="4"/>
  <c r="I18" i="5"/>
  <c r="K16" i="5"/>
  <c r="I26" i="6"/>
  <c r="F15" i="7" l="1"/>
  <c r="F16" i="7" s="1"/>
  <c r="F17" i="7" s="1"/>
  <c r="F18" i="7" s="1"/>
  <c r="F11" i="7"/>
  <c r="F12" i="7" s="1"/>
  <c r="E91" i="4"/>
  <c r="E114" i="4" s="1"/>
  <c r="I31" i="5"/>
  <c r="J31" i="5"/>
  <c r="G14" i="4"/>
  <c r="F87" i="4"/>
  <c r="G10" i="7"/>
  <c r="J64" i="4"/>
  <c r="J66" i="4" s="1"/>
  <c r="I64" i="4"/>
  <c r="I66" i="4" s="1"/>
  <c r="I15" i="6"/>
  <c r="G151" i="4"/>
  <c r="G154" i="4" s="1"/>
  <c r="G86" i="4" s="1"/>
  <c r="F41" i="4"/>
  <c r="H160" i="4"/>
  <c r="I28" i="4"/>
  <c r="J120" i="4"/>
  <c r="J122" i="4" s="1"/>
  <c r="J108" i="4" s="1"/>
  <c r="E20" i="7"/>
  <c r="H195" i="4" s="1"/>
  <c r="H194" i="4"/>
  <c r="I27" i="6"/>
  <c r="I122" i="4"/>
  <c r="I108" i="4" s="1"/>
  <c r="I160" i="4"/>
  <c r="J146" i="4"/>
  <c r="J59" i="4" s="1"/>
  <c r="D44" i="4"/>
  <c r="F13" i="4"/>
  <c r="F15" i="4" s="1"/>
  <c r="G160" i="4"/>
  <c r="E88" i="4"/>
  <c r="F9" i="6"/>
  <c r="K18" i="5"/>
  <c r="E35" i="4" s="1"/>
  <c r="E23" i="5"/>
  <c r="F154" i="4"/>
  <c r="F86" i="4" s="1"/>
  <c r="F91" i="4" s="1"/>
  <c r="F113" i="4" l="1"/>
  <c r="E1" i="4"/>
  <c r="G15" i="7"/>
  <c r="G16" i="7" s="1"/>
  <c r="G17" i="7" s="1"/>
  <c r="G18" i="7" s="1"/>
  <c r="G11" i="7"/>
  <c r="G12" i="7" s="1"/>
  <c r="H9" i="6"/>
  <c r="G13" i="4"/>
  <c r="G15" i="4" s="1"/>
  <c r="I28" i="6"/>
  <c r="F160" i="4"/>
  <c r="D115" i="4"/>
  <c r="D161" i="4"/>
  <c r="D162" i="4" s="1"/>
  <c r="D164" i="4" s="1"/>
  <c r="D45" i="4"/>
  <c r="G91" i="4"/>
  <c r="H14" i="4"/>
  <c r="G87" i="4"/>
  <c r="F20" i="7"/>
  <c r="I195" i="4" s="1"/>
  <c r="I194" i="4"/>
  <c r="J23" i="5"/>
  <c r="J25" i="5" s="1"/>
  <c r="F67" i="4" s="1"/>
  <c r="E25" i="5"/>
  <c r="I23" i="5"/>
  <c r="I16" i="6"/>
  <c r="K31" i="5"/>
  <c r="E38" i="5" s="1"/>
  <c r="I25" i="5" l="1"/>
  <c r="K23" i="5"/>
  <c r="G20" i="7"/>
  <c r="J195" i="4" s="1"/>
  <c r="J194" i="4"/>
  <c r="D47" i="4"/>
  <c r="D8" i="4" s="1"/>
  <c r="D193" i="4"/>
  <c r="D46" i="4"/>
  <c r="I29" i="6"/>
  <c r="F173" i="4"/>
  <c r="F68" i="4"/>
  <c r="D166" i="4"/>
  <c r="D2" i="4"/>
  <c r="H13" i="4"/>
  <c r="H15" i="4" s="1"/>
  <c r="H87" i="4"/>
  <c r="H91" i="4" s="1"/>
  <c r="I14" i="4"/>
  <c r="I38" i="5"/>
  <c r="J38" i="5"/>
  <c r="I17" i="6"/>
  <c r="G9" i="6"/>
  <c r="J9" i="6" s="1"/>
  <c r="E71" i="4"/>
  <c r="I13" i="4" l="1"/>
  <c r="I15" i="4" s="1"/>
  <c r="E174" i="4"/>
  <c r="E178" i="4" s="1"/>
  <c r="E180" i="4" s="1"/>
  <c r="E73" i="4"/>
  <c r="E191" i="4"/>
  <c r="F10" i="6"/>
  <c r="E21" i="4"/>
  <c r="K38" i="5"/>
  <c r="E45" i="5" s="1"/>
  <c r="I18" i="6"/>
  <c r="I87" i="4"/>
  <c r="I91" i="4" s="1"/>
  <c r="J14" i="4"/>
  <c r="J87" i="4" s="1"/>
  <c r="J91" i="4" s="1"/>
  <c r="E30" i="5"/>
  <c r="K25" i="5"/>
  <c r="F34" i="4" s="1"/>
  <c r="I30" i="6"/>
  <c r="J30" i="5" l="1"/>
  <c r="J32" i="5" s="1"/>
  <c r="G67" i="4" s="1"/>
  <c r="E32" i="5"/>
  <c r="I30" i="5"/>
  <c r="E172" i="4"/>
  <c r="E175" i="4" s="1"/>
  <c r="E181" i="4" s="1"/>
  <c r="E76" i="4"/>
  <c r="E74" i="4"/>
  <c r="H10" i="6"/>
  <c r="I19" i="6"/>
  <c r="I45" i="5"/>
  <c r="J45" i="5"/>
  <c r="I31" i="6"/>
  <c r="J13" i="4"/>
  <c r="J15" i="4" s="1"/>
  <c r="E77" i="4" l="1"/>
  <c r="E4" i="4" s="1"/>
  <c r="E78" i="4"/>
  <c r="E17" i="4"/>
  <c r="E190" i="4"/>
  <c r="K45" i="5"/>
  <c r="E52" i="5" s="1"/>
  <c r="I32" i="5"/>
  <c r="K30" i="5"/>
  <c r="G173" i="4"/>
  <c r="G68" i="4"/>
  <c r="G10" i="6"/>
  <c r="J10" i="6" s="1"/>
  <c r="F11" i="6" s="1"/>
  <c r="I32" i="6"/>
  <c r="I20" i="6"/>
  <c r="I33" i="6" l="1"/>
  <c r="J52" i="5"/>
  <c r="I52" i="5"/>
  <c r="K52" i="5" s="1"/>
  <c r="E30" i="4"/>
  <c r="E192" i="4"/>
  <c r="E37" i="5"/>
  <c r="K32" i="5"/>
  <c r="G34" i="4" s="1"/>
  <c r="H11" i="6"/>
  <c r="G11" i="6" l="1"/>
  <c r="J11" i="6" s="1"/>
  <c r="F12" i="6" s="1"/>
  <c r="J37" i="5"/>
  <c r="J39" i="5" s="1"/>
  <c r="H67" i="4" s="1"/>
  <c r="E39" i="5"/>
  <c r="I37" i="5"/>
  <c r="I34" i="6"/>
  <c r="E44" i="4"/>
  <c r="I35" i="6" l="1"/>
  <c r="H173" i="4"/>
  <c r="H68" i="4"/>
  <c r="I39" i="5"/>
  <c r="K37" i="5"/>
  <c r="E161" i="4"/>
  <c r="E162" i="4" s="1"/>
  <c r="E164" i="4" s="1"/>
  <c r="E115" i="4"/>
  <c r="E189" i="4"/>
  <c r="E188" i="4"/>
  <c r="E45" i="4"/>
  <c r="H12" i="6"/>
  <c r="E166" i="4" l="1"/>
  <c r="E2" i="4"/>
  <c r="G12" i="6"/>
  <c r="J12" i="6" s="1"/>
  <c r="F13" i="6" s="1"/>
  <c r="E44" i="5"/>
  <c r="K39" i="5"/>
  <c r="H34" i="4" s="1"/>
  <c r="E47" i="4"/>
  <c r="E8" i="4" s="1"/>
  <c r="E193" i="4"/>
  <c r="E46" i="4"/>
  <c r="I36" i="6"/>
  <c r="J44" i="5" l="1"/>
  <c r="J46" i="5" s="1"/>
  <c r="I67" i="4" s="1"/>
  <c r="E46" i="5"/>
  <c r="I44" i="5"/>
  <c r="H13" i="6"/>
  <c r="I37" i="6"/>
  <c r="I38" i="6" l="1"/>
  <c r="I173" i="4"/>
  <c r="I68" i="4"/>
  <c r="G13" i="6"/>
  <c r="J13" i="6" s="1"/>
  <c r="F14" i="6" s="1"/>
  <c r="I46" i="5"/>
  <c r="K44" i="5"/>
  <c r="E51" i="5" l="1"/>
  <c r="K46" i="5"/>
  <c r="I34" i="4" s="1"/>
  <c r="H14" i="6"/>
  <c r="I39" i="6"/>
  <c r="I40" i="6" l="1"/>
  <c r="G14" i="6"/>
  <c r="J14" i="6" s="1"/>
  <c r="F15" i="6" s="1"/>
  <c r="E53" i="5"/>
  <c r="I51" i="5"/>
  <c r="J51" i="5"/>
  <c r="J53" i="5" s="1"/>
  <c r="J67" i="4" s="1"/>
  <c r="I53" i="5" l="1"/>
  <c r="K51" i="5"/>
  <c r="K53" i="5" s="1"/>
  <c r="J34" i="4" s="1"/>
  <c r="J173" i="4"/>
  <c r="J68" i="4"/>
  <c r="I41" i="6"/>
  <c r="H15" i="6"/>
  <c r="G15" i="6" s="1"/>
  <c r="J15" i="6" s="1"/>
  <c r="F16" i="6" s="1"/>
  <c r="H16" i="6" l="1"/>
  <c r="G16" i="6" s="1"/>
  <c r="J16" i="6" s="1"/>
  <c r="F17" i="6" s="1"/>
  <c r="I42" i="6"/>
  <c r="H17" i="6" l="1"/>
  <c r="G17" i="6" s="1"/>
  <c r="J17" i="6" s="1"/>
  <c r="F18" i="6" s="1"/>
  <c r="I43" i="6"/>
  <c r="H18" i="6" l="1"/>
  <c r="G18" i="6" s="1"/>
  <c r="J18" i="6" s="1"/>
  <c r="F19" i="6" s="1"/>
  <c r="I44" i="6"/>
  <c r="H19" i="6" l="1"/>
  <c r="G19" i="6" s="1"/>
  <c r="J19" i="6"/>
  <c r="F20" i="6" s="1"/>
  <c r="I45" i="6"/>
  <c r="I46" i="6" l="1"/>
  <c r="H20" i="6"/>
  <c r="G20" i="6" s="1"/>
  <c r="J20" i="6" s="1"/>
  <c r="F21" i="6" s="1"/>
  <c r="H21" i="6" l="1"/>
  <c r="I47" i="6"/>
  <c r="I48" i="6" l="1"/>
  <c r="G21" i="6"/>
  <c r="F71" i="4"/>
  <c r="F174" i="4" l="1"/>
  <c r="F178" i="4" s="1"/>
  <c r="F95" i="4"/>
  <c r="F73" i="4"/>
  <c r="F97" i="4"/>
  <c r="F177" i="4" s="1"/>
  <c r="F180" i="4" s="1"/>
  <c r="J21" i="6"/>
  <c r="I49" i="6"/>
  <c r="F22" i="6" l="1"/>
  <c r="F21" i="4"/>
  <c r="F172" i="4"/>
  <c r="F175" i="4" s="1"/>
  <c r="F75" i="4"/>
  <c r="F29" i="4" s="1"/>
  <c r="F74" i="4"/>
  <c r="I50" i="6"/>
  <c r="F105" i="4"/>
  <c r="F111" i="4" s="1"/>
  <c r="F114" i="4" s="1"/>
  <c r="F191" i="4" l="1"/>
  <c r="F181" i="4"/>
  <c r="I51" i="6"/>
  <c r="F76" i="4"/>
  <c r="G109" i="4"/>
  <c r="G110" i="4" s="1"/>
  <c r="F188" i="4"/>
  <c r="G113" i="4"/>
  <c r="F1" i="4"/>
  <c r="H22" i="6"/>
  <c r="G22" i="6" l="1"/>
  <c r="J22" i="6" s="1"/>
  <c r="F23" i="6" s="1"/>
  <c r="F190" i="4"/>
  <c r="F77" i="4"/>
  <c r="F78" i="4"/>
  <c r="F17" i="4"/>
  <c r="I52" i="6"/>
  <c r="F187" i="4" l="1"/>
  <c r="F4" i="4"/>
  <c r="H23" i="6"/>
  <c r="I53" i="6"/>
  <c r="F30" i="4"/>
  <c r="F192" i="4"/>
  <c r="F44" i="4" l="1"/>
  <c r="I54" i="6"/>
  <c r="G23" i="6"/>
  <c r="J23" i="6" s="1"/>
  <c r="F24" i="6" s="1"/>
  <c r="H24" i="6" l="1"/>
  <c r="I55" i="6"/>
  <c r="F161" i="4"/>
  <c r="F162" i="4" s="1"/>
  <c r="F164" i="4" s="1"/>
  <c r="F115" i="4"/>
  <c r="F189" i="4"/>
  <c r="F45" i="4"/>
  <c r="F47" i="4" l="1"/>
  <c r="F8" i="4" s="1"/>
  <c r="F193" i="4"/>
  <c r="F46" i="4"/>
  <c r="F166" i="4"/>
  <c r="F2" i="4"/>
  <c r="I56" i="6"/>
  <c r="G24" i="6"/>
  <c r="J24" i="6" s="1"/>
  <c r="F25" i="6" s="1"/>
  <c r="H25" i="6" l="1"/>
  <c r="I57" i="6"/>
  <c r="I58" i="6" l="1"/>
  <c r="G25" i="6"/>
  <c r="J25" i="6" s="1"/>
  <c r="F26" i="6" s="1"/>
  <c r="H26" i="6" l="1"/>
  <c r="I59" i="6"/>
  <c r="I60" i="6" l="1"/>
  <c r="G26" i="6"/>
  <c r="J26" i="6" s="1"/>
  <c r="F27" i="6" s="1"/>
  <c r="H27" i="6" l="1"/>
  <c r="G27" i="6" s="1"/>
  <c r="J27" i="6"/>
  <c r="F28" i="6" s="1"/>
  <c r="I61" i="6"/>
  <c r="I62" i="6" l="1"/>
  <c r="H28" i="6"/>
  <c r="G28" i="6" s="1"/>
  <c r="J28" i="6" s="1"/>
  <c r="F29" i="6" s="1"/>
  <c r="H29" i="6" l="1"/>
  <c r="G29" i="6" s="1"/>
  <c r="J29" i="6" s="1"/>
  <c r="F30" i="6" s="1"/>
  <c r="I63" i="6"/>
  <c r="H30" i="6" l="1"/>
  <c r="G30" i="6" s="1"/>
  <c r="J30" i="6" s="1"/>
  <c r="F31" i="6" s="1"/>
  <c r="I64" i="6"/>
  <c r="H31" i="6" l="1"/>
  <c r="G31" i="6" s="1"/>
  <c r="J31" i="6"/>
  <c r="F32" i="6" s="1"/>
  <c r="I65" i="6"/>
  <c r="H32" i="6" l="1"/>
  <c r="G32" i="6" s="1"/>
  <c r="J32" i="6" s="1"/>
  <c r="F33" i="6" s="1"/>
  <c r="I66" i="6"/>
  <c r="H33" i="6" l="1"/>
  <c r="I67" i="6"/>
  <c r="I68" i="6" l="1"/>
  <c r="G33" i="6"/>
  <c r="J33" i="6" s="1"/>
  <c r="G71" i="4"/>
  <c r="G174" i="4" l="1"/>
  <c r="G178" i="4" s="1"/>
  <c r="G95" i="4"/>
  <c r="G73" i="4"/>
  <c r="F34" i="6"/>
  <c r="G21" i="4"/>
  <c r="I69" i="6"/>
  <c r="I70" i="6" l="1"/>
  <c r="G97" i="4"/>
  <c r="G177" i="4" s="1"/>
  <c r="G180" i="4" s="1"/>
  <c r="H34" i="6"/>
  <c r="G172" i="4"/>
  <c r="G175" i="4" s="1"/>
  <c r="G75" i="4"/>
  <c r="G29" i="4" s="1"/>
  <c r="G76" i="4"/>
  <c r="G74" i="4"/>
  <c r="G34" i="6" l="1"/>
  <c r="J34" i="6" s="1"/>
  <c r="F35" i="6" s="1"/>
  <c r="H109" i="4"/>
  <c r="H110" i="4" s="1"/>
  <c r="G188" i="4"/>
  <c r="G77" i="4"/>
  <c r="G187" i="4" s="1"/>
  <c r="G78" i="4"/>
  <c r="G17" i="4"/>
  <c r="G105" i="4"/>
  <c r="G111" i="4" s="1"/>
  <c r="G114" i="4" s="1"/>
  <c r="H113" i="4" s="1"/>
  <c r="G191" i="4"/>
  <c r="G181" i="4"/>
  <c r="I71" i="6"/>
  <c r="I72" i="6" l="1"/>
  <c r="G30" i="4"/>
  <c r="G192" i="4"/>
  <c r="G190" i="4"/>
  <c r="H35" i="6"/>
  <c r="G35" i="6" l="1"/>
  <c r="J35" i="6" s="1"/>
  <c r="F36" i="6" s="1"/>
  <c r="G44" i="4"/>
  <c r="I73" i="6"/>
  <c r="I74" i="6" l="1"/>
  <c r="G161" i="4"/>
  <c r="G162" i="4" s="1"/>
  <c r="G164" i="4" s="1"/>
  <c r="G166" i="4" s="1"/>
  <c r="G115" i="4"/>
  <c r="G189" i="4"/>
  <c r="G45" i="4"/>
  <c r="H36" i="6"/>
  <c r="G36" i="6" l="1"/>
  <c r="J36" i="6" s="1"/>
  <c r="F37" i="6" s="1"/>
  <c r="G193" i="4"/>
  <c r="G46" i="4"/>
  <c r="I75" i="6"/>
  <c r="I76" i="6" l="1"/>
  <c r="H37" i="6"/>
  <c r="G37" i="6" l="1"/>
  <c r="J37" i="6" s="1"/>
  <c r="F38" i="6" s="1"/>
  <c r="I77" i="6"/>
  <c r="I78" i="6" l="1"/>
  <c r="H38" i="6"/>
  <c r="G38" i="6" l="1"/>
  <c r="J38" i="6" s="1"/>
  <c r="F39" i="6" s="1"/>
  <c r="I79" i="6"/>
  <c r="I80" i="6" l="1"/>
  <c r="H39" i="6"/>
  <c r="G39" i="6" s="1"/>
  <c r="J39" i="6" s="1"/>
  <c r="F40" i="6" s="1"/>
  <c r="H40" i="6" l="1"/>
  <c r="G40" i="6" s="1"/>
  <c r="J40" i="6"/>
  <c r="F41" i="6" s="1"/>
  <c r="I81" i="6"/>
  <c r="H41" i="6" l="1"/>
  <c r="G41" i="6" s="1"/>
  <c r="J41" i="6"/>
  <c r="F42" i="6" s="1"/>
  <c r="I82" i="6"/>
  <c r="I83" i="6" l="1"/>
  <c r="H42" i="6"/>
  <c r="G42" i="6" s="1"/>
  <c r="J42" i="6" s="1"/>
  <c r="F43" i="6" s="1"/>
  <c r="H43" i="6" l="1"/>
  <c r="G43" i="6" s="1"/>
  <c r="J43" i="6" s="1"/>
  <c r="F44" i="6" s="1"/>
  <c r="I84" i="6"/>
  <c r="H44" i="6" l="1"/>
  <c r="G44" i="6" s="1"/>
  <c r="J44" i="6" s="1"/>
  <c r="F45" i="6" s="1"/>
  <c r="I85" i="6"/>
  <c r="H45" i="6" l="1"/>
  <c r="I86" i="6"/>
  <c r="I87" i="6" l="1"/>
  <c r="G45" i="6"/>
  <c r="J45" i="6" s="1"/>
  <c r="H71" i="4"/>
  <c r="H174" i="4" l="1"/>
  <c r="H178" i="4" s="1"/>
  <c r="H95" i="4"/>
  <c r="H73" i="4"/>
  <c r="F46" i="6"/>
  <c r="H21" i="4"/>
  <c r="I88" i="6"/>
  <c r="I89" i="6" l="1"/>
  <c r="H172" i="4"/>
  <c r="H175" i="4" s="1"/>
  <c r="H74" i="4"/>
  <c r="H75" i="4"/>
  <c r="H29" i="4" s="1"/>
  <c r="H97" i="4"/>
  <c r="H177" i="4" s="1"/>
  <c r="H180" i="4" s="1"/>
  <c r="H46" i="6"/>
  <c r="H105" i="4"/>
  <c r="H111" i="4" s="1"/>
  <c r="H114" i="4" s="1"/>
  <c r="I113" i="4" s="1"/>
  <c r="G46" i="6" l="1"/>
  <c r="J46" i="6" s="1"/>
  <c r="F47" i="6" s="1"/>
  <c r="I90" i="6"/>
  <c r="I109" i="4"/>
  <c r="I110" i="4" s="1"/>
  <c r="H188" i="4"/>
  <c r="H76" i="4"/>
  <c r="H181" i="4"/>
  <c r="H191" i="4"/>
  <c r="H77" i="4" l="1"/>
  <c r="H187" i="4" s="1"/>
  <c r="H78" i="4"/>
  <c r="H17" i="4"/>
  <c r="I91" i="6"/>
  <c r="H47" i="6"/>
  <c r="H190" i="4"/>
  <c r="G47" i="6" l="1"/>
  <c r="J47" i="6" s="1"/>
  <c r="F48" i="6" s="1"/>
  <c r="I92" i="6"/>
  <c r="H30" i="4"/>
  <c r="H192" i="4"/>
  <c r="I93" i="6" l="1"/>
  <c r="H44" i="4"/>
  <c r="H48" i="6"/>
  <c r="H161" i="4" l="1"/>
  <c r="H162" i="4" s="1"/>
  <c r="H164" i="4" s="1"/>
  <c r="H166" i="4" s="1"/>
  <c r="H115" i="4"/>
  <c r="H189" i="4"/>
  <c r="H45" i="4"/>
  <c r="G48" i="6"/>
  <c r="J48" i="6" s="1"/>
  <c r="F49" i="6" s="1"/>
  <c r="I94" i="6"/>
  <c r="H49" i="6" l="1"/>
  <c r="I95" i="6"/>
  <c r="H193" i="4"/>
  <c r="H46" i="4"/>
  <c r="I96" i="6" l="1"/>
  <c r="G49" i="6"/>
  <c r="J49" i="6" s="1"/>
  <c r="F50" i="6" s="1"/>
  <c r="H50" i="6" l="1"/>
  <c r="I97" i="6"/>
  <c r="I98" i="6" l="1"/>
  <c r="G50" i="6"/>
  <c r="J50" i="6" s="1"/>
  <c r="F51" i="6" s="1"/>
  <c r="H51" i="6" l="1"/>
  <c r="G51" i="6" s="1"/>
  <c r="J51" i="6" s="1"/>
  <c r="F52" i="6" s="1"/>
  <c r="I99" i="6"/>
  <c r="H52" i="6" l="1"/>
  <c r="G52" i="6" s="1"/>
  <c r="J52" i="6" s="1"/>
  <c r="F53" i="6" s="1"/>
  <c r="I100" i="6"/>
  <c r="H53" i="6" l="1"/>
  <c r="G53" i="6" s="1"/>
  <c r="J53" i="6" s="1"/>
  <c r="F54" i="6" s="1"/>
  <c r="I101" i="6"/>
  <c r="H54" i="6" l="1"/>
  <c r="G54" i="6" s="1"/>
  <c r="J54" i="6" s="1"/>
  <c r="F55" i="6" s="1"/>
  <c r="I102" i="6"/>
  <c r="H55" i="6" l="1"/>
  <c r="G55" i="6" s="1"/>
  <c r="J55" i="6" s="1"/>
  <c r="F56" i="6" s="1"/>
  <c r="I103" i="6"/>
  <c r="H56" i="6" l="1"/>
  <c r="G56" i="6" s="1"/>
  <c r="J56" i="6"/>
  <c r="F57" i="6" s="1"/>
  <c r="I104" i="6"/>
  <c r="I105" i="6" l="1"/>
  <c r="H57" i="6"/>
  <c r="G57" i="6" l="1"/>
  <c r="J57" i="6" s="1"/>
  <c r="I71" i="4"/>
  <c r="I106" i="6"/>
  <c r="I107" i="6" l="1"/>
  <c r="I174" i="4"/>
  <c r="I178" i="4" s="1"/>
  <c r="I95" i="4"/>
  <c r="I73" i="4"/>
  <c r="F58" i="6"/>
  <c r="I21" i="4"/>
  <c r="H58" i="6" l="1"/>
  <c r="I97" i="4"/>
  <c r="I177" i="4" s="1"/>
  <c r="I180" i="4" s="1"/>
  <c r="I74" i="4"/>
  <c r="I75" i="4"/>
  <c r="I29" i="4" s="1"/>
  <c r="I172" i="4"/>
  <c r="I175" i="4" s="1"/>
  <c r="I108" i="6"/>
  <c r="I109" i="6" l="1"/>
  <c r="G58" i="6"/>
  <c r="J58" i="6" s="1"/>
  <c r="F59" i="6" s="1"/>
  <c r="J109" i="4"/>
  <c r="J110" i="4" s="1"/>
  <c r="I188" i="4"/>
  <c r="I105" i="4"/>
  <c r="I111" i="4" s="1"/>
  <c r="I114" i="4" s="1"/>
  <c r="J113" i="4" s="1"/>
  <c r="I76" i="4"/>
  <c r="I191" i="4"/>
  <c r="I181" i="4"/>
  <c r="H59" i="6" l="1"/>
  <c r="I77" i="4"/>
  <c r="I187" i="4" s="1"/>
  <c r="I78" i="4"/>
  <c r="I17" i="4"/>
  <c r="I190" i="4"/>
  <c r="I110" i="6"/>
  <c r="I30" i="4" l="1"/>
  <c r="I192" i="4"/>
  <c r="I111" i="6"/>
  <c r="G59" i="6"/>
  <c r="J59" i="6" s="1"/>
  <c r="F60" i="6" s="1"/>
  <c r="H60" i="6" l="1"/>
  <c r="I112" i="6"/>
  <c r="I44" i="4"/>
  <c r="I161" i="4" l="1"/>
  <c r="I162" i="4" s="1"/>
  <c r="I164" i="4" s="1"/>
  <c r="I166" i="4" s="1"/>
  <c r="I115" i="4"/>
  <c r="I189" i="4"/>
  <c r="I45" i="4"/>
  <c r="I113" i="6"/>
  <c r="G60" i="6"/>
  <c r="J60" i="6" s="1"/>
  <c r="F61" i="6" s="1"/>
  <c r="H61" i="6" l="1"/>
  <c r="I193" i="4"/>
  <c r="I46" i="4"/>
  <c r="I114" i="6"/>
  <c r="I115" i="6" l="1"/>
  <c r="G61" i="6"/>
  <c r="J61" i="6" s="1"/>
  <c r="F62" i="6" s="1"/>
  <c r="H62" i="6" l="1"/>
  <c r="I116" i="6"/>
  <c r="I117" i="6" l="1"/>
  <c r="G62" i="6"/>
  <c r="J62" i="6" s="1"/>
  <c r="F63" i="6" s="1"/>
  <c r="H63" i="6" l="1"/>
  <c r="G63" i="6" s="1"/>
  <c r="J63" i="6" s="1"/>
  <c r="F64" i="6" s="1"/>
  <c r="I118" i="6"/>
  <c r="H64" i="6" l="1"/>
  <c r="G64" i="6" s="1"/>
  <c r="J64" i="6"/>
  <c r="F65" i="6" s="1"/>
  <c r="I119" i="6"/>
  <c r="I120" i="6" l="1"/>
  <c r="H65" i="6"/>
  <c r="G65" i="6" s="1"/>
  <c r="J65" i="6"/>
  <c r="F66" i="6" s="1"/>
  <c r="H66" i="6" l="1"/>
  <c r="G66" i="6" s="1"/>
  <c r="J66" i="6" s="1"/>
  <c r="F67" i="6" s="1"/>
  <c r="I121" i="6"/>
  <c r="H67" i="6" l="1"/>
  <c r="G67" i="6" s="1"/>
  <c r="J67" i="6" s="1"/>
  <c r="F68" i="6" s="1"/>
  <c r="I122" i="6"/>
  <c r="H68" i="6" l="1"/>
  <c r="G68" i="6" s="1"/>
  <c r="J68" i="6" s="1"/>
  <c r="F69" i="6" s="1"/>
  <c r="I123" i="6"/>
  <c r="H69" i="6" l="1"/>
  <c r="I124" i="6"/>
  <c r="I125" i="6" l="1"/>
  <c r="G69" i="6"/>
  <c r="J69" i="6" s="1"/>
  <c r="J71" i="4"/>
  <c r="F70" i="6" l="1"/>
  <c r="J21" i="4"/>
  <c r="J174" i="4"/>
  <c r="J178" i="4" s="1"/>
  <c r="J95" i="4"/>
  <c r="J73" i="4"/>
  <c r="I126" i="6"/>
  <c r="I127" i="6" l="1"/>
  <c r="J74" i="4"/>
  <c r="J75" i="4"/>
  <c r="J29" i="4" s="1"/>
  <c r="J188" i="4" s="1"/>
  <c r="J172" i="4"/>
  <c r="J175" i="4" s="1"/>
  <c r="J76" i="4"/>
  <c r="J105" i="4"/>
  <c r="J111" i="4" s="1"/>
  <c r="J114" i="4" s="1"/>
  <c r="J97" i="4"/>
  <c r="J177" i="4" s="1"/>
  <c r="J180" i="4" s="1"/>
  <c r="H70" i="6"/>
  <c r="G70" i="6" s="1"/>
  <c r="J70" i="6" s="1"/>
  <c r="F71" i="6" s="1"/>
  <c r="H71" i="6" l="1"/>
  <c r="G71" i="6" s="1"/>
  <c r="J71" i="6" s="1"/>
  <c r="F72" i="6" s="1"/>
  <c r="J78" i="4"/>
  <c r="J17" i="4"/>
  <c r="J77" i="4"/>
  <c r="J187" i="4" s="1"/>
  <c r="J191" i="4"/>
  <c r="J181" i="4"/>
  <c r="I128" i="6"/>
  <c r="H72" i="6" l="1"/>
  <c r="G72" i="6" s="1"/>
  <c r="J72" i="6"/>
  <c r="F73" i="6" s="1"/>
  <c r="J190" i="4"/>
  <c r="J182" i="4"/>
  <c r="J30" i="4"/>
  <c r="J192" i="4"/>
  <c r="I129" i="6"/>
  <c r="I130" i="6" l="1"/>
  <c r="J44" i="4"/>
  <c r="H73" i="6"/>
  <c r="G73" i="6" s="1"/>
  <c r="J73" i="6" s="1"/>
  <c r="F74" i="6" s="1"/>
  <c r="H74" i="6" l="1"/>
  <c r="G74" i="6" s="1"/>
  <c r="J74" i="6"/>
  <c r="F75" i="6" s="1"/>
  <c r="J161" i="4"/>
  <c r="J162" i="4" s="1"/>
  <c r="J164" i="4" s="1"/>
  <c r="J166" i="4" s="1"/>
  <c r="J115" i="4"/>
  <c r="J189" i="4"/>
  <c r="J45" i="4"/>
  <c r="I131" i="6"/>
  <c r="J193" i="4" l="1"/>
  <c r="J46" i="4"/>
  <c r="I132" i="6"/>
  <c r="H75" i="6"/>
  <c r="G75" i="6" s="1"/>
  <c r="J75" i="6" s="1"/>
  <c r="F76" i="6" s="1"/>
  <c r="H76" i="6" l="1"/>
  <c r="G76" i="6" s="1"/>
  <c r="J76" i="6" s="1"/>
  <c r="F77" i="6" s="1"/>
  <c r="I133" i="6"/>
  <c r="H77" i="6" l="1"/>
  <c r="G77" i="6" s="1"/>
  <c r="J77" i="6" s="1"/>
  <c r="F78" i="6" s="1"/>
  <c r="I134" i="6"/>
  <c r="H78" i="6" l="1"/>
  <c r="G78" i="6" s="1"/>
  <c r="J78" i="6" s="1"/>
  <c r="F79" i="6" s="1"/>
  <c r="I135" i="6"/>
  <c r="H79" i="6" l="1"/>
  <c r="G79" i="6" s="1"/>
  <c r="J79" i="6" s="1"/>
  <c r="F80" i="6" s="1"/>
  <c r="I136" i="6"/>
  <c r="H80" i="6" l="1"/>
  <c r="G80" i="6" s="1"/>
  <c r="J80" i="6" s="1"/>
  <c r="F81" i="6" s="1"/>
  <c r="I137" i="6"/>
  <c r="H81" i="6" l="1"/>
  <c r="G81" i="6" s="1"/>
  <c r="J81" i="6"/>
  <c r="F82" i="6" s="1"/>
  <c r="I138" i="6"/>
  <c r="I139" i="6" l="1"/>
  <c r="H82" i="6"/>
  <c r="G82" i="6" s="1"/>
  <c r="J82" i="6"/>
  <c r="F83" i="6" s="1"/>
  <c r="H83" i="6" l="1"/>
  <c r="G83" i="6" s="1"/>
  <c r="J83" i="6"/>
  <c r="F84" i="6" s="1"/>
  <c r="I140" i="6"/>
  <c r="H84" i="6" l="1"/>
  <c r="G84" i="6" s="1"/>
  <c r="J84" i="6" s="1"/>
  <c r="F85" i="6" s="1"/>
  <c r="H85" i="6" l="1"/>
  <c r="G85" i="6" s="1"/>
  <c r="J85" i="6" s="1"/>
  <c r="F86" i="6" s="1"/>
  <c r="H86" i="6" l="1"/>
  <c r="G86" i="6" s="1"/>
  <c r="J86" i="6" s="1"/>
  <c r="F87" i="6" s="1"/>
  <c r="H87" i="6" l="1"/>
  <c r="G87" i="6" s="1"/>
  <c r="J87" i="6" s="1"/>
  <c r="F88" i="6" s="1"/>
  <c r="H88" i="6" l="1"/>
  <c r="G88" i="6" s="1"/>
  <c r="J88" i="6" s="1"/>
  <c r="F89" i="6" s="1"/>
  <c r="H89" i="6" l="1"/>
  <c r="G89" i="6" s="1"/>
  <c r="J89" i="6"/>
  <c r="F90" i="6" s="1"/>
  <c r="H90" i="6" l="1"/>
  <c r="G90" i="6" s="1"/>
  <c r="J90" i="6"/>
  <c r="F91" i="6" s="1"/>
  <c r="H91" i="6" l="1"/>
  <c r="G91" i="6" s="1"/>
  <c r="J91" i="6" s="1"/>
  <c r="F92" i="6" s="1"/>
  <c r="H92" i="6" l="1"/>
  <c r="G92" i="6" s="1"/>
  <c r="J92" i="6" s="1"/>
  <c r="F93" i="6" s="1"/>
  <c r="H93" i="6" l="1"/>
  <c r="G93" i="6" s="1"/>
  <c r="J93" i="6" s="1"/>
  <c r="F94" i="6" s="1"/>
  <c r="H94" i="6" l="1"/>
  <c r="G94" i="6" s="1"/>
  <c r="J94" i="6" s="1"/>
  <c r="F95" i="6" s="1"/>
  <c r="H95" i="6" l="1"/>
  <c r="G95" i="6" s="1"/>
  <c r="J95" i="6"/>
  <c r="F96" i="6" s="1"/>
  <c r="H96" i="6" l="1"/>
  <c r="G96" i="6" s="1"/>
  <c r="J96" i="6" s="1"/>
  <c r="F97" i="6" s="1"/>
  <c r="H97" i="6" l="1"/>
  <c r="G97" i="6" s="1"/>
  <c r="J97" i="6" s="1"/>
  <c r="F98" i="6" s="1"/>
  <c r="H98" i="6" l="1"/>
  <c r="G98" i="6" s="1"/>
  <c r="J98" i="6"/>
  <c r="F99" i="6" s="1"/>
  <c r="H99" i="6" l="1"/>
  <c r="G99" i="6" s="1"/>
  <c r="J99" i="6" s="1"/>
  <c r="F100" i="6" s="1"/>
  <c r="H100" i="6" l="1"/>
  <c r="G100" i="6" s="1"/>
  <c r="J100" i="6" s="1"/>
  <c r="F101" i="6" s="1"/>
  <c r="H101" i="6" l="1"/>
  <c r="G101" i="6" s="1"/>
  <c r="J101" i="6" s="1"/>
  <c r="F102" i="6" s="1"/>
  <c r="H102" i="6" l="1"/>
  <c r="G102" i="6" s="1"/>
  <c r="J102" i="6"/>
  <c r="F103" i="6" s="1"/>
  <c r="H103" i="6" l="1"/>
  <c r="G103" i="6" s="1"/>
  <c r="J103" i="6" s="1"/>
  <c r="F104" i="6" s="1"/>
  <c r="H104" i="6" l="1"/>
  <c r="G104" i="6" s="1"/>
  <c r="J104" i="6"/>
  <c r="F105" i="6" s="1"/>
  <c r="H105" i="6" l="1"/>
  <c r="G105" i="6" s="1"/>
  <c r="J105" i="6"/>
  <c r="F106" i="6" s="1"/>
  <c r="H106" i="6" l="1"/>
  <c r="G106" i="6" s="1"/>
  <c r="J106" i="6"/>
  <c r="F107" i="6" s="1"/>
  <c r="H107" i="6" l="1"/>
  <c r="G107" i="6" s="1"/>
  <c r="J107" i="6" s="1"/>
  <c r="F108" i="6" s="1"/>
  <c r="H108" i="6" l="1"/>
  <c r="G108" i="6" s="1"/>
  <c r="J108" i="6" s="1"/>
  <c r="F109" i="6" s="1"/>
  <c r="H109" i="6" l="1"/>
  <c r="G109" i="6" s="1"/>
  <c r="J109" i="6" s="1"/>
  <c r="F110" i="6" s="1"/>
  <c r="H110" i="6" l="1"/>
  <c r="G110" i="6" s="1"/>
  <c r="J110" i="6" s="1"/>
  <c r="F111" i="6" s="1"/>
  <c r="H111" i="6" l="1"/>
  <c r="G111" i="6" s="1"/>
  <c r="J111" i="6" s="1"/>
  <c r="F112" i="6" s="1"/>
  <c r="H112" i="6" l="1"/>
  <c r="G112" i="6" s="1"/>
  <c r="J112" i="6" s="1"/>
  <c r="F113" i="6" s="1"/>
  <c r="H113" i="6" l="1"/>
  <c r="G113" i="6" s="1"/>
  <c r="J113" i="6"/>
  <c r="F114" i="6" s="1"/>
  <c r="H114" i="6" l="1"/>
  <c r="G114" i="6" s="1"/>
  <c r="J114" i="6"/>
  <c r="F115" i="6" s="1"/>
  <c r="H115" i="6" l="1"/>
  <c r="G115" i="6" s="1"/>
  <c r="J115" i="6" s="1"/>
  <c r="F116" i="6" s="1"/>
  <c r="H116" i="6" l="1"/>
  <c r="G116" i="6" s="1"/>
  <c r="J116" i="6" s="1"/>
  <c r="F117" i="6" s="1"/>
  <c r="H117" i="6" l="1"/>
  <c r="G117" i="6" s="1"/>
  <c r="J117" i="6" s="1"/>
  <c r="F118" i="6" s="1"/>
  <c r="H118" i="6" l="1"/>
  <c r="G118" i="6" s="1"/>
  <c r="J118" i="6" s="1"/>
  <c r="F119" i="6" s="1"/>
  <c r="H119" i="6" l="1"/>
  <c r="G119" i="6" s="1"/>
  <c r="J119" i="6" s="1"/>
  <c r="F120" i="6" s="1"/>
  <c r="J120" i="6" l="1"/>
  <c r="F121" i="6" s="1"/>
  <c r="H120" i="6"/>
  <c r="G120" i="6" s="1"/>
  <c r="H121" i="6" l="1"/>
  <c r="G121" i="6" s="1"/>
  <c r="J121" i="6"/>
  <c r="F122" i="6" s="1"/>
  <c r="H122" i="6" l="1"/>
  <c r="G122" i="6" s="1"/>
  <c r="J122" i="6"/>
  <c r="F123" i="6" s="1"/>
  <c r="H123" i="6" l="1"/>
  <c r="G123" i="6" s="1"/>
  <c r="J123" i="6" s="1"/>
  <c r="F124" i="6" s="1"/>
  <c r="H124" i="6" l="1"/>
  <c r="G124" i="6" s="1"/>
  <c r="J124" i="6" s="1"/>
  <c r="F125" i="6" s="1"/>
  <c r="H125" i="6" l="1"/>
  <c r="G125" i="6" s="1"/>
  <c r="J125" i="6" s="1"/>
  <c r="F126" i="6" s="1"/>
  <c r="H126" i="6" l="1"/>
  <c r="G126" i="6" s="1"/>
  <c r="J126" i="6" s="1"/>
  <c r="F127" i="6" s="1"/>
  <c r="H127" i="6" l="1"/>
  <c r="G127" i="6" s="1"/>
  <c r="J127" i="6" s="1"/>
  <c r="F128" i="6" s="1"/>
  <c r="H128" i="6" l="1"/>
  <c r="G128" i="6" s="1"/>
  <c r="J128" i="6"/>
  <c r="F129" i="6" s="1"/>
  <c r="H129" i="6" l="1"/>
  <c r="G129" i="6" s="1"/>
  <c r="J129" i="6" s="1"/>
  <c r="F130" i="6" s="1"/>
  <c r="H130" i="6" l="1"/>
  <c r="G130" i="6" s="1"/>
  <c r="J130" i="6"/>
  <c r="F131" i="6" s="1"/>
  <c r="H131" i="6" l="1"/>
  <c r="G131" i="6" s="1"/>
  <c r="J131" i="6"/>
  <c r="F132" i="6" s="1"/>
  <c r="H132" i="6" l="1"/>
  <c r="G132" i="6" s="1"/>
  <c r="J132" i="6" s="1"/>
  <c r="F133" i="6" s="1"/>
  <c r="H133" i="6" l="1"/>
  <c r="G133" i="6" s="1"/>
  <c r="J133" i="6" s="1"/>
  <c r="F134" i="6" s="1"/>
  <c r="H134" i="6" l="1"/>
  <c r="G134" i="6" s="1"/>
  <c r="J134" i="6" s="1"/>
  <c r="F135" i="6" s="1"/>
  <c r="H135" i="6" l="1"/>
  <c r="G135" i="6" s="1"/>
  <c r="J135" i="6"/>
  <c r="F136" i="6" s="1"/>
  <c r="H136" i="6" l="1"/>
  <c r="G136" i="6" s="1"/>
  <c r="J136" i="6" s="1"/>
  <c r="F137" i="6" s="1"/>
  <c r="H137" i="6" l="1"/>
  <c r="G137" i="6" s="1"/>
  <c r="J137" i="6" s="1"/>
  <c r="F138" i="6" s="1"/>
  <c r="H138" i="6" l="1"/>
  <c r="G138" i="6" s="1"/>
  <c r="J138" i="6" s="1"/>
  <c r="F139" i="6" s="1"/>
  <c r="H139" i="6" l="1"/>
  <c r="G139" i="6" s="1"/>
  <c r="J139" i="6" s="1"/>
  <c r="F140" i="6" s="1"/>
  <c r="H140" i="6" l="1"/>
  <c r="G140" i="6" s="1"/>
  <c r="J140" i="6" s="1"/>
</calcChain>
</file>

<file path=xl/sharedStrings.xml><?xml version="1.0" encoding="utf-8"?>
<sst xmlns="http://schemas.openxmlformats.org/spreadsheetml/2006/main" count="569" uniqueCount="428">
  <si>
    <t>DETAILED PROJECT REPORT</t>
  </si>
  <si>
    <t>OF</t>
  </si>
  <si>
    <t>M/s. BLUELEO ENERGY PRIVATE LIMITED</t>
  </si>
  <si>
    <t>Sangareddy, Tellapur</t>
  </si>
  <si>
    <t>Telangana State</t>
  </si>
  <si>
    <t>PROJECT HIGHLIGHTS</t>
  </si>
  <si>
    <t>Name of the Firm</t>
  </si>
  <si>
    <t>:</t>
  </si>
  <si>
    <t>Address (Factory &amp; registered office)</t>
  </si>
  <si>
    <t>Villa-589, My Home Ankura, Tellapur,</t>
  </si>
  <si>
    <t>RC puram, Sangareddy, Medak,</t>
  </si>
  <si>
    <t>Ramachandrapuram, Telangana, India, 502032</t>
  </si>
  <si>
    <t>Constitution</t>
  </si>
  <si>
    <t>Private Limited</t>
  </si>
  <si>
    <t>Name of the Key Persons</t>
  </si>
  <si>
    <t>Sri GORREPATI NARASIMHA RAO</t>
  </si>
  <si>
    <t>Sri NANIN KUMAR GORREPATI</t>
  </si>
  <si>
    <t>Sri UDAYKIRAN GORREPATI</t>
  </si>
  <si>
    <t>Sri DEVULAPALLY ADITYA NARASIMHA REVANTH</t>
  </si>
  <si>
    <t>Installed Capacity</t>
  </si>
  <si>
    <t>ton per day</t>
  </si>
  <si>
    <t>@ 100% cpacity</t>
  </si>
  <si>
    <t>Operating capacity (in tons)</t>
  </si>
  <si>
    <t>Cost of the project (In Rs)</t>
  </si>
  <si>
    <t>Means of Finance</t>
  </si>
  <si>
    <t>Amount in Rs</t>
  </si>
  <si>
    <t>%</t>
  </si>
  <si>
    <t>Promoter</t>
  </si>
  <si>
    <t>Bank Finance</t>
  </si>
  <si>
    <t>Working Capital Loan (In Rs)</t>
  </si>
  <si>
    <t>Nil</t>
  </si>
  <si>
    <t>Financial Institution</t>
  </si>
  <si>
    <t>State Bank of India</t>
  </si>
  <si>
    <t>The unit is eligible for subsidy @</t>
  </si>
  <si>
    <t>Yes</t>
  </si>
  <si>
    <t>PREPARED AS PER THE INFORMATION BY THE BORROWER</t>
  </si>
  <si>
    <t>Capital Structure</t>
  </si>
  <si>
    <t>Amount in Rs.</t>
  </si>
  <si>
    <t>Particulars</t>
  </si>
  <si>
    <t xml:space="preserve">Total Requirement </t>
  </si>
  <si>
    <t>Promotors Margin</t>
  </si>
  <si>
    <t>% of Promotors Margin</t>
  </si>
  <si>
    <t xml:space="preserve">Bank Loan (70%)
</t>
  </si>
  <si>
    <t>% of Bank Loan</t>
  </si>
  <si>
    <t>Capital Cost</t>
  </si>
  <si>
    <t>Working Capital requirement</t>
  </si>
  <si>
    <t>Total Cost of Project</t>
  </si>
  <si>
    <t>Annexure 1: Depreciable Assets</t>
  </si>
  <si>
    <t>Vendor</t>
  </si>
  <si>
    <t>Civil</t>
  </si>
  <si>
    <t>Self Execution</t>
  </si>
  <si>
    <t>Misc.</t>
  </si>
  <si>
    <t>Total</t>
  </si>
  <si>
    <t>Feed Preparation Unit</t>
  </si>
  <si>
    <t>Biogas Portion Unit</t>
  </si>
  <si>
    <t>Gas Upgradation Unit</t>
  </si>
  <si>
    <t>Gas Bottling &amp; Storage Unit</t>
  </si>
  <si>
    <t>Efluent Handling Unit</t>
  </si>
  <si>
    <t>Total Value of Depreciable Assets</t>
  </si>
  <si>
    <t>Note: Amounts Shown under Self execution and Miscellaneous has been grouped under Plant and Machinery head for depreciation calculation purpose.</t>
  </si>
  <si>
    <t>Cash &amp; Bank Balance</t>
  </si>
  <si>
    <t>WC DP</t>
  </si>
  <si>
    <t>EBIDTA</t>
  </si>
  <si>
    <t>PAT</t>
  </si>
  <si>
    <t>BLUELEO ENERGY PRIVATE LIMITED</t>
  </si>
  <si>
    <t>PROJECTED BALANCE SHEET</t>
  </si>
  <si>
    <t>2023-24</t>
  </si>
  <si>
    <t>2024-25</t>
  </si>
  <si>
    <t>2025-26</t>
  </si>
  <si>
    <t>2026-27</t>
  </si>
  <si>
    <t>2027-28</t>
  </si>
  <si>
    <t>2028-29</t>
  </si>
  <si>
    <t>2029-30</t>
  </si>
  <si>
    <t>Audited</t>
  </si>
  <si>
    <t>Estimated</t>
  </si>
  <si>
    <t>Projected</t>
  </si>
  <si>
    <t>LIABILITIES</t>
  </si>
  <si>
    <t>I. Share Capital</t>
  </si>
  <si>
    <t>Opening Capital</t>
  </si>
  <si>
    <t>Add: Current Year Additions</t>
  </si>
  <si>
    <t>Closing Capital</t>
  </si>
  <si>
    <t>II. Resrves and Surplus</t>
  </si>
  <si>
    <t>III. Long Term Liabilities</t>
  </si>
  <si>
    <t>Loang Term Borrowings</t>
  </si>
  <si>
    <t xml:space="preserve">  a) Secured Loans</t>
  </si>
  <si>
    <t xml:space="preserve">  b) Unsecured Loans</t>
  </si>
  <si>
    <t>Other Long term Liabilities</t>
  </si>
  <si>
    <t>IV. Current Liabilities</t>
  </si>
  <si>
    <t>Short term borrowings</t>
  </si>
  <si>
    <t>Trade Payables</t>
  </si>
  <si>
    <t xml:space="preserve">Other Current Liabilities </t>
  </si>
  <si>
    <t>Short Term Provisions</t>
  </si>
  <si>
    <t>TOTAL</t>
  </si>
  <si>
    <t>ASSETS</t>
  </si>
  <si>
    <t>I. Non Current Assets</t>
  </si>
  <si>
    <t>Property, Plant and Equipments</t>
  </si>
  <si>
    <t>Capital Work in Progress</t>
  </si>
  <si>
    <t>Non Current investments</t>
  </si>
  <si>
    <t>Other Non Current Assets</t>
  </si>
  <si>
    <t>II. Current Assets</t>
  </si>
  <si>
    <t>Inventory</t>
  </si>
  <si>
    <t>Sundry Debtors</t>
  </si>
  <si>
    <t>Short Term Loans &amp; Advances and Deposits</t>
  </si>
  <si>
    <t>Other Current Assets</t>
  </si>
  <si>
    <t>Cash and Cash Equivalants</t>
  </si>
  <si>
    <t>PROJECTED PROFITABILITY</t>
  </si>
  <si>
    <t>INCOME</t>
  </si>
  <si>
    <t xml:space="preserve">    a) Income from Sale</t>
  </si>
  <si>
    <t xml:space="preserve">    b) Other Income</t>
  </si>
  <si>
    <t>TOTAL SALES</t>
  </si>
  <si>
    <t>EXPENSES</t>
  </si>
  <si>
    <t xml:space="preserve">    a) Cost of Goods Sold / Material Consumed</t>
  </si>
  <si>
    <t xml:space="preserve">    b) (Increase)/Decrease in Stock</t>
  </si>
  <si>
    <t xml:space="preserve">    c) Other Processing related Costs</t>
  </si>
  <si>
    <t xml:space="preserve">    d) Operating Expenses</t>
  </si>
  <si>
    <t xml:space="preserve">             Salaries &amp; Wages</t>
  </si>
  <si>
    <t xml:space="preserve">             Admin &amp; Other Expenses</t>
  </si>
  <si>
    <t>TOTAL EXPENSES</t>
  </si>
  <si>
    <t>Profit Before interest and Depreciation (EBIDTA)</t>
  </si>
  <si>
    <t>Depreciation And Amortization</t>
  </si>
  <si>
    <t>Profit before interest (PBIT)</t>
  </si>
  <si>
    <t>Less: Interest</t>
  </si>
  <si>
    <t>Interest on Working Capital</t>
  </si>
  <si>
    <t>Interest on Term Loan</t>
  </si>
  <si>
    <t>Other Interest Expenses</t>
  </si>
  <si>
    <t>Profit Before Tax (PBT)</t>
  </si>
  <si>
    <t>PBT/Sales</t>
  </si>
  <si>
    <t>Income Tax</t>
  </si>
  <si>
    <t>Profit after tax (PAT)</t>
  </si>
  <si>
    <t>Net Profit %</t>
  </si>
  <si>
    <t>Cash Profit</t>
  </si>
  <si>
    <t>PROJECTED CASH FLOW STATEMENT</t>
  </si>
  <si>
    <t>INFLOWS</t>
  </si>
  <si>
    <t>Sale proceeds</t>
  </si>
  <si>
    <t>Capital Infuse</t>
  </si>
  <si>
    <t>Term Loan from Bank</t>
  </si>
  <si>
    <t>Working Capital Loan from Bank</t>
  </si>
  <si>
    <t>Other Loans</t>
  </si>
  <si>
    <t>TOTAL INFLOWS</t>
  </si>
  <si>
    <t>OUTFLOWS</t>
  </si>
  <si>
    <t>Repayment of Working Capital Loan</t>
  </si>
  <si>
    <t>Interest payment against Term Loan</t>
  </si>
  <si>
    <t>Interest payment against Working Capital Loan</t>
  </si>
  <si>
    <t>Repayment of  Bank Loans</t>
  </si>
  <si>
    <t>Repayment of  Other Loans</t>
  </si>
  <si>
    <t>Purchase of Land</t>
  </si>
  <si>
    <t>Purchase of Machinery</t>
  </si>
  <si>
    <t>Payment Towrads Civil Work</t>
  </si>
  <si>
    <t>Capital Work In Progress</t>
  </si>
  <si>
    <t>Other Advances</t>
  </si>
  <si>
    <t>Fixed Deposits</t>
  </si>
  <si>
    <t>Sub Total</t>
  </si>
  <si>
    <t>Payment towards:</t>
  </si>
  <si>
    <t>Material Purchases to Creditors</t>
  </si>
  <si>
    <t>Processing Cost, Salaries, Admin &amp; Other Expenses</t>
  </si>
  <si>
    <t>Income Tax Paid</t>
  </si>
  <si>
    <t>TOTAL OUTFLOWS</t>
  </si>
  <si>
    <t>Opening Bank / Cash Balance</t>
  </si>
  <si>
    <t>Closing Bank / Cash Balance</t>
  </si>
  <si>
    <t>OTHER CURRENT LIABILITIES</t>
  </si>
  <si>
    <t>Opening Balance</t>
  </si>
  <si>
    <t>Salaries &amp; Other Expenses</t>
  </si>
  <si>
    <t>Less: Payments</t>
  </si>
  <si>
    <t>Closing Balance</t>
  </si>
  <si>
    <t>TRADE PAYABLES</t>
  </si>
  <si>
    <t>Raw Material Purchases</t>
  </si>
  <si>
    <t>MATERIAL CONSUMED &amp; CLOSING STOCK</t>
  </si>
  <si>
    <t>Opening Stock</t>
  </si>
  <si>
    <t>Material Purchases</t>
  </si>
  <si>
    <t>Material Consumed</t>
  </si>
  <si>
    <t xml:space="preserve">Closing Stock </t>
  </si>
  <si>
    <t>INCRASE/(DECREASE) IN STOCK</t>
  </si>
  <si>
    <t>Opening Stock in Process</t>
  </si>
  <si>
    <t>Closing Stock in Proess</t>
  </si>
  <si>
    <t>Increase/(derease) in stock</t>
  </si>
  <si>
    <t>SUNDRY DEBTORS</t>
  </si>
  <si>
    <t>Sales</t>
  </si>
  <si>
    <t>Receipts from debtors</t>
  </si>
  <si>
    <t>DRAWING POWER</t>
  </si>
  <si>
    <t>Current Assets</t>
  </si>
  <si>
    <t>Allowable limit@75% on current assets</t>
  </si>
  <si>
    <t>Sundry Creditors</t>
  </si>
  <si>
    <t>Drawing Power</t>
  </si>
  <si>
    <t>Working Capital Limit</t>
  </si>
  <si>
    <t xml:space="preserve">Eligibility </t>
  </si>
  <si>
    <t>DEBT SERVICE COVERAGE RATIO</t>
  </si>
  <si>
    <t>Cover</t>
  </si>
  <si>
    <t>Net Profit</t>
  </si>
  <si>
    <t>Depreciation and Amortization</t>
  </si>
  <si>
    <t>Interest Expenses on Term Loan</t>
  </si>
  <si>
    <t>Service</t>
  </si>
  <si>
    <t>Repayment of principal</t>
  </si>
  <si>
    <t>Interest</t>
  </si>
  <si>
    <t>DSCR</t>
  </si>
  <si>
    <t>Average DSCR</t>
  </si>
  <si>
    <t>KEY RATIOS</t>
  </si>
  <si>
    <t>Sales Growth</t>
  </si>
  <si>
    <t>Net Profit to Sales (after Tax)</t>
  </si>
  <si>
    <t>Current Ratio</t>
  </si>
  <si>
    <t>Quick Ratioo</t>
  </si>
  <si>
    <t>Debt Service Coverage Ratio</t>
  </si>
  <si>
    <t>Interest Coverage Ratio</t>
  </si>
  <si>
    <t>Debt Equity Ratio</t>
  </si>
  <si>
    <t>Return on Capital Employed</t>
  </si>
  <si>
    <t>BEP in % of Installed capacity (qty)</t>
  </si>
  <si>
    <t>BEP in sales of Rupees</t>
  </si>
  <si>
    <t>DEPRECIATION SCHEDULE</t>
  </si>
  <si>
    <t>FY: 2023-24</t>
  </si>
  <si>
    <t>S.No</t>
  </si>
  <si>
    <t>Name of Asset</t>
  </si>
  <si>
    <t>Rate</t>
  </si>
  <si>
    <t>WDV as on 01.04.2023</t>
  </si>
  <si>
    <t>Additions</t>
  </si>
  <si>
    <t>Deletions</t>
  </si>
  <si>
    <t>Gross WDV as on 31.03.2024</t>
  </si>
  <si>
    <t>Depreciation for Current Year</t>
  </si>
  <si>
    <t>Net WDV as on 31.03.2024</t>
  </si>
  <si>
    <t>&gt;180 days</t>
  </si>
  <si>
    <t>&lt;180 days</t>
  </si>
  <si>
    <t>Plant &amp; Machinery</t>
  </si>
  <si>
    <t>Factory Building</t>
  </si>
  <si>
    <t>FY: 2024-25</t>
  </si>
  <si>
    <t>WDV as on 01.04.2024</t>
  </si>
  <si>
    <t>Gross WDV as on 31.03.2025</t>
  </si>
  <si>
    <t>Net WDV as on 31.03.2025</t>
  </si>
  <si>
    <t>FY: 2025-26</t>
  </si>
  <si>
    <t>WDV as on 01.04.2025</t>
  </si>
  <si>
    <t>Gross WDV as on 31.03.2026</t>
  </si>
  <si>
    <t>Net WDV as on 31.03.2026</t>
  </si>
  <si>
    <t>FY: 2026-27</t>
  </si>
  <si>
    <t>WDV as on 01.04.2026</t>
  </si>
  <si>
    <t>Gross WDV as on 31.03.2027</t>
  </si>
  <si>
    <t>Net WDV as on 31.03.2027</t>
  </si>
  <si>
    <t>FY: 2027-28</t>
  </si>
  <si>
    <t>WDV as on 01.04.2027</t>
  </si>
  <si>
    <t>Gross WDV as on 31.03.2028</t>
  </si>
  <si>
    <t>Net WDV as on 31.03.2028</t>
  </si>
  <si>
    <t>FY: 2028-29</t>
  </si>
  <si>
    <t>WDV as on 01.04.2028</t>
  </si>
  <si>
    <t>Gross WDV as on 31.03.2029</t>
  </si>
  <si>
    <t>Net WDV as on 31.03.2029</t>
  </si>
  <si>
    <t>FY: 2029-30</t>
  </si>
  <si>
    <t>Term Loan Amount</t>
  </si>
  <si>
    <t>No of Instalments</t>
  </si>
  <si>
    <t>Date of Disbursal</t>
  </si>
  <si>
    <t>Rate of Interest</t>
  </si>
  <si>
    <t>REPAYMENT SCHEDULE FOR TERM LOAN</t>
  </si>
  <si>
    <t>Instalment</t>
  </si>
  <si>
    <t>Financial Year</t>
  </si>
  <si>
    <t>Month</t>
  </si>
  <si>
    <t>Opening balance</t>
  </si>
  <si>
    <t>ROI</t>
  </si>
  <si>
    <t>Total EMI</t>
  </si>
  <si>
    <t>Principal</t>
  </si>
  <si>
    <t>2030-31</t>
  </si>
  <si>
    <t>2031-32</t>
  </si>
  <si>
    <t>2032-33</t>
  </si>
  <si>
    <t>2033-34</t>
  </si>
  <si>
    <t>2034-35</t>
  </si>
  <si>
    <t>2035-36</t>
  </si>
  <si>
    <t>BEP Calculation</t>
  </si>
  <si>
    <t>SALE PRICE (Weighted Average Price)</t>
  </si>
  <si>
    <t>Sales in Units (Gas + Effluent)</t>
  </si>
  <si>
    <t>Fixed Cost</t>
  </si>
  <si>
    <t>Variable Cost</t>
  </si>
  <si>
    <t xml:space="preserve">Contribution </t>
  </si>
  <si>
    <t>PV Ratio</t>
  </si>
  <si>
    <t>No of units Produced</t>
  </si>
  <si>
    <t>Production Cost</t>
  </si>
  <si>
    <t>Variable cost PU</t>
  </si>
  <si>
    <t>Contribution PU</t>
  </si>
  <si>
    <t>BEP in units</t>
  </si>
  <si>
    <t>BEP (In RS)</t>
  </si>
  <si>
    <t>Production and Sales estimations</t>
  </si>
  <si>
    <t>Yr-1</t>
  </si>
  <si>
    <t>Sl.No</t>
  </si>
  <si>
    <t>Total production per annum @ 100% capacity</t>
  </si>
  <si>
    <t>Working Days in a month</t>
  </si>
  <si>
    <t>No. of Months operated in an annum</t>
  </si>
  <si>
    <t>Operating Capacity @</t>
  </si>
  <si>
    <t>GAS</t>
  </si>
  <si>
    <t>Total Production Quantity per day (Full capacity)</t>
  </si>
  <si>
    <t>Total Production Quantity per Annum (Full capacity)</t>
  </si>
  <si>
    <t>Total Production Quantity per Annum (Operating capacity)</t>
  </si>
  <si>
    <t>Price per unit /Kg</t>
  </si>
  <si>
    <t>Total Sales per annum</t>
  </si>
  <si>
    <t>EFFLUENT</t>
  </si>
  <si>
    <t>Total Capacity in Units (Full)</t>
  </si>
  <si>
    <t>Total Operating Capacity</t>
  </si>
  <si>
    <t xml:space="preserve">Total Sales per Annum </t>
  </si>
  <si>
    <t>Weighted Average Price per Unit</t>
  </si>
  <si>
    <t>Months of operation in a year</t>
  </si>
  <si>
    <t>Net Production capacity at operating capacity</t>
  </si>
  <si>
    <t>Inputs for Detailed project report (DPR)</t>
  </si>
  <si>
    <t>Plantation of Groass and convert it into Gas</t>
  </si>
  <si>
    <t>Investment</t>
  </si>
  <si>
    <t>10 to 12Cr</t>
  </si>
  <si>
    <t xml:space="preserve">Intial Capacity </t>
  </si>
  <si>
    <t>2.5 ton per day</t>
  </si>
  <si>
    <t>Intial Investment</t>
  </si>
  <si>
    <t>6 to 7 cr</t>
  </si>
  <si>
    <t>Raw Material</t>
  </si>
  <si>
    <t>Grass will be procured on cintract basis</t>
  </si>
  <si>
    <t xml:space="preserve">Rate of Interest </t>
  </si>
  <si>
    <t>Repayment</t>
  </si>
  <si>
    <t>120 instalments</t>
  </si>
  <si>
    <t>Plant construction starts from</t>
  </si>
  <si>
    <t>Address</t>
  </si>
  <si>
    <t xml:space="preserve">Revenuwe will start from </t>
  </si>
  <si>
    <t>Jun/ July 25</t>
  </si>
  <si>
    <t>Means</t>
  </si>
  <si>
    <t>Capital</t>
  </si>
  <si>
    <t>Working Capital</t>
  </si>
  <si>
    <t>Total Requirment</t>
  </si>
  <si>
    <t>Basic Value</t>
  </si>
  <si>
    <t>GST</t>
  </si>
  <si>
    <t>Feed Operation</t>
  </si>
  <si>
    <t>BioGas Portion</t>
  </si>
  <si>
    <t>Gas Upgrade</t>
  </si>
  <si>
    <t>Gas Bottling</t>
  </si>
  <si>
    <t>Efluent</t>
  </si>
  <si>
    <t>Source</t>
  </si>
  <si>
    <t>Owners Contribution 25%</t>
  </si>
  <si>
    <t>USL</t>
  </si>
  <si>
    <t>Outsiders Contribution (loan) 75%</t>
  </si>
  <si>
    <t>Working capital loan</t>
  </si>
  <si>
    <t>Projections for the years</t>
  </si>
  <si>
    <t>5 years</t>
  </si>
  <si>
    <t>Villa-589, My Home Ankura, Tellapur, RC puram, Sangareddy, Tellapur, Medak, Ramachandrapuram, Telangana, India, 502032</t>
  </si>
  <si>
    <t>2023-24 Audited Financilas</t>
  </si>
  <si>
    <t>Output GST</t>
  </si>
  <si>
    <t>Feeed</t>
  </si>
  <si>
    <t>Biogas</t>
  </si>
  <si>
    <t>Gas upgrade</t>
  </si>
  <si>
    <t>Effluent</t>
  </si>
  <si>
    <t>Grass purchases</t>
  </si>
  <si>
    <t>Salary</t>
  </si>
  <si>
    <t>Supervisor Salary</t>
  </si>
  <si>
    <t>Electricity</t>
  </si>
  <si>
    <t>Other Production related Expenses</t>
  </si>
  <si>
    <t>Maintenance</t>
  </si>
  <si>
    <t>Water Challan</t>
  </si>
  <si>
    <t>Management Expenses</t>
  </si>
  <si>
    <t>Total permonth</t>
  </si>
  <si>
    <t>Total per annum</t>
  </si>
  <si>
    <t>DESCRIPTION</t>
  </si>
  <si>
    <t>UNIT PRICE</t>
  </si>
  <si>
    <t>QUANTITY</t>
  </si>
  <si>
    <t>REVENUE</t>
  </si>
  <si>
    <t>REVENUE FROM GAS SALE/DAY</t>
  </si>
  <si>
    <t>78 RS/KG</t>
  </si>
  <si>
    <t>2500 KG</t>
  </si>
  <si>
    <t>REVENUE FROM FERTILIZER SALE/DAY</t>
  </si>
  <si>
    <t>8 RS/KG</t>
  </si>
  <si>
    <t>12000 KG</t>
  </si>
  <si>
    <t>TOTAL REVENUE/DAY</t>
  </si>
  <si>
    <t>REVENUE FROM GAS SALE /MONTH</t>
  </si>
  <si>
    <t>62500 KG</t>
  </si>
  <si>
    <t>REVENUE FROM FERTILIZER SALE/MONTH</t>
  </si>
  <si>
    <t>300000 KG</t>
  </si>
  <si>
    <t>TOTAL REVENUE/MONTH</t>
  </si>
  <si>
    <t>REVENUE FROM GAS SALE /ANUM</t>
  </si>
  <si>
    <t>70 RS/KG</t>
  </si>
  <si>
    <t>750000 KG</t>
  </si>
  <si>
    <t>REVENUE FROM FERTILIZER SALE/ ANUM</t>
  </si>
  <si>
    <t>3 RS/KG</t>
  </si>
  <si>
    <t>3600000 KG</t>
  </si>
  <si>
    <t>TOTAL REVENUE/ANUM</t>
  </si>
  <si>
    <t>TOTAL OPERATIONAL COST /DAY</t>
  </si>
  <si>
    <t>TOTAL OPERATIONAL COST /MONTH</t>
  </si>
  <si>
    <t>TOTAL OPERATIONAL COST / ANUM</t>
  </si>
  <si>
    <t>PROFIT/DAY</t>
  </si>
  <si>
    <t>PROFIT /MONTH</t>
  </si>
  <si>
    <t>PROFIT/ANUM</t>
  </si>
  <si>
    <t>* PROFIT EXCL. OF TAXES, LOANS, INSURANCES ETC</t>
  </si>
  <si>
    <t xml:space="preserve">TOTAL CAPITAL COST </t>
  </si>
  <si>
    <t>LEASE AMOUNT( PLANT LAND 2.5 ACRES</t>
  </si>
  <si>
    <t>PER ANUM</t>
  </si>
  <si>
    <t>ADVANCE SECURITY FOR LEASE LAND</t>
  </si>
  <si>
    <t>S.NO</t>
  </si>
  <si>
    <t>ITEM</t>
  </si>
  <si>
    <t>TOTAL AMOUNT</t>
  </si>
  <si>
    <t>CROP HARVESTER</t>
  </si>
  <si>
    <t>PULVERIZER</t>
  </si>
  <si>
    <t>SLURRY PUMPS</t>
  </si>
  <si>
    <t>WATER STORAGE TANK</t>
  </si>
  <si>
    <t>MIXING CHAMBER</t>
  </si>
  <si>
    <t>CONVEYER SYSTEM</t>
  </si>
  <si>
    <t>HDPE PIPING</t>
  </si>
  <si>
    <t>SHED</t>
  </si>
  <si>
    <t>MISC</t>
  </si>
  <si>
    <t>WEIGHING BRIDGE</t>
  </si>
  <si>
    <t>PRE- TREATMENT CHAMBER</t>
  </si>
  <si>
    <t>EXCAVATION</t>
  </si>
  <si>
    <t>DIGESTERS</t>
  </si>
  <si>
    <t>DOMES</t>
  </si>
  <si>
    <t>IN &amp; OUT PIPING</t>
  </si>
  <si>
    <t>EFFLUENT TANKS</t>
  </si>
  <si>
    <t>BIOGAS PIPING</t>
  </si>
  <si>
    <t>RECIRCULATION PUMPS</t>
  </si>
  <si>
    <t>LIMIT SWITCHES &amp; VALVES</t>
  </si>
  <si>
    <t>H2S REMOVAL SYSTEM</t>
  </si>
  <si>
    <t>WATER SCRUBBING SYSTEM</t>
  </si>
  <si>
    <t>AMINE SCRUBBING SYSTEM</t>
  </si>
  <si>
    <t>EPS SYSTEM</t>
  </si>
  <si>
    <t>AUTOMATION</t>
  </si>
  <si>
    <t>ELECTRICAL PANELS</t>
  </si>
  <si>
    <t>FIRE SURPRESSION SYSTEM</t>
  </si>
  <si>
    <t>GAS ANALYZER</t>
  </si>
  <si>
    <t>ODORIZER TANK</t>
  </si>
  <si>
    <t>250 BAR COMPRESSOR</t>
  </si>
  <si>
    <t>CASCADES</t>
  </si>
  <si>
    <t>SOLID LIQUID SEPERATOR</t>
  </si>
  <si>
    <t>SEPERATOR FOUNDATION</t>
  </si>
  <si>
    <t>BRIQUETS FOUNDATION</t>
  </si>
  <si>
    <t>BRICKETS MACHINE</t>
  </si>
  <si>
    <t>LIQUID STORAGE PIT</t>
  </si>
  <si>
    <t xml:space="preserve">Blue Leo </t>
  </si>
  <si>
    <t xml:space="preserve">Details of Capex </t>
  </si>
  <si>
    <t>Feed Preparation</t>
  </si>
  <si>
    <t>Biogas Portion</t>
  </si>
  <si>
    <t>Gas Upgradation</t>
  </si>
  <si>
    <t>Gas Bottling &amp; Storage</t>
  </si>
  <si>
    <t>Effluent Handling</t>
  </si>
  <si>
    <t>Grand Total</t>
  </si>
  <si>
    <t>VENDOR</t>
  </si>
  <si>
    <t>CIVIL</t>
  </si>
  <si>
    <t>SELF EXECUTION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</si>
</sst>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(* #,##0.00_);_(* \(#,##0.00\);_(* \-??_);_(@_)"/>
    <numFmt numFmtId="167" formatCode="_(* #,##0_);_(* \(#,##0\);_(* \-??_);_(@_)"/>
    <numFmt numFmtId="168" formatCode="_ * #,##0_ ;_ * \-#,##0_ ;_ * &quot;-&quot;??_ ;_ @_ "/>
    <numFmt numFmtId="169" formatCode="_(* #,##0.0_);_(* \(#,##0.0\);_(* &quot;-&quot;??_);_(@_)"/>
    <numFmt numFmtId="170" formatCode="_ &quot;₹&quot;\ * #,##0_ ;_ &quot;₹&quot;\ * \-#,##0_ ;_ &quot;₹&quot;\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8"/>
      <color theme="3" tint="0.39997558519241921"/>
      <name val="Times New Roman"/>
      <family val="1"/>
    </font>
    <font>
      <sz val="15"/>
      <name val="Times New Roman"/>
      <family val="1"/>
    </font>
    <font>
      <b/>
      <sz val="15"/>
      <color indexed="8"/>
      <name val="Times New Roman"/>
      <family val="1"/>
    </font>
    <font>
      <b/>
      <sz val="13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rgb="FF0000FF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color indexed="8"/>
      <name val="Times New Roman"/>
      <family val="1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30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166" fontId="8" fillId="0" borderId="0" applyFill="0" applyBorder="0" applyAlignment="0" applyProtection="0"/>
    <xf numFmtId="43" fontId="1" fillId="0" borderId="0" applyFont="0" applyFill="0" applyBorder="0" applyAlignment="0" applyProtection="0"/>
  </cellStyleXfs>
  <cellXfs count="361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0" xfId="0" applyFont="1"/>
    <xf numFmtId="0" fontId="6" fillId="0" borderId="12" xfId="0" applyFont="1" applyBorder="1"/>
    <xf numFmtId="0" fontId="6" fillId="0" borderId="0" xfId="0" applyFont="1"/>
    <xf numFmtId="0" fontId="6" fillId="0" borderId="13" xfId="0" applyFont="1" applyBorder="1"/>
    <xf numFmtId="0" fontId="7" fillId="0" borderId="12" xfId="0" applyFont="1" applyBorder="1"/>
    <xf numFmtId="0" fontId="7" fillId="0" borderId="13" xfId="0" applyFont="1" applyBorder="1"/>
    <xf numFmtId="164" fontId="7" fillId="0" borderId="0" xfId="4" applyFont="1" applyBorder="1" applyAlignment="1"/>
    <xf numFmtId="0" fontId="7" fillId="0" borderId="0" xfId="0" quotePrefix="1" applyFont="1"/>
    <xf numFmtId="164" fontId="7" fillId="0" borderId="0" xfId="4" applyFont="1" applyBorder="1"/>
    <xf numFmtId="165" fontId="7" fillId="0" borderId="0" xfId="4" applyNumberFormat="1" applyFont="1" applyBorder="1"/>
    <xf numFmtId="0" fontId="6" fillId="0" borderId="0" xfId="0" applyFont="1" applyAlignment="1">
      <alignment horizontal="right"/>
    </xf>
    <xf numFmtId="9" fontId="7" fillId="0" borderId="0" xfId="3" applyFont="1" applyBorder="1"/>
    <xf numFmtId="43" fontId="7" fillId="0" borderId="0" xfId="0" applyNumberFormat="1" applyFont="1"/>
    <xf numFmtId="165" fontId="6" fillId="0" borderId="0" xfId="4" applyNumberFormat="1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9" fillId="0" borderId="0" xfId="5" applyFont="1"/>
    <xf numFmtId="0" fontId="10" fillId="0" borderId="0" xfId="5" applyFont="1" applyAlignment="1">
      <alignment horizontal="right"/>
    </xf>
    <xf numFmtId="9" fontId="11" fillId="0" borderId="0" xfId="5" applyNumberFormat="1" applyFont="1" applyAlignment="1">
      <alignment horizontal="center"/>
    </xf>
    <xf numFmtId="0" fontId="12" fillId="2" borderId="12" xfId="5" applyFont="1" applyFill="1" applyBorder="1" applyAlignment="1">
      <alignment horizontal="center"/>
    </xf>
    <xf numFmtId="0" fontId="12" fillId="2" borderId="0" xfId="5" applyFont="1" applyFill="1" applyBorder="1" applyAlignment="1">
      <alignment horizontal="center"/>
    </xf>
    <xf numFmtId="0" fontId="12" fillId="3" borderId="12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9" fillId="0" borderId="0" xfId="5" applyFont="1" applyFill="1"/>
    <xf numFmtId="0" fontId="12" fillId="0" borderId="12" xfId="5" applyFont="1" applyFill="1" applyBorder="1" applyAlignment="1">
      <alignment horizontal="center" vertical="top" wrapText="1"/>
    </xf>
    <xf numFmtId="0" fontId="12" fillId="0" borderId="0" xfId="5" applyFont="1" applyFill="1" applyAlignment="1">
      <alignment horizontal="center"/>
    </xf>
    <xf numFmtId="0" fontId="9" fillId="0" borderId="0" xfId="5" applyFont="1" applyFill="1" applyBorder="1"/>
    <xf numFmtId="0" fontId="12" fillId="0" borderId="0" xfId="5" applyFont="1" applyFill="1" applyBorder="1" applyAlignment="1">
      <alignment horizontal="right"/>
    </xf>
    <xf numFmtId="0" fontId="13" fillId="4" borderId="17" xfId="5" applyFont="1" applyFill="1" applyBorder="1" applyAlignment="1">
      <alignment vertical="top"/>
    </xf>
    <xf numFmtId="0" fontId="13" fillId="4" borderId="17" xfId="5" applyFont="1" applyFill="1" applyBorder="1" applyAlignment="1">
      <alignment horizontal="center" vertical="top" wrapText="1"/>
    </xf>
    <xf numFmtId="0" fontId="9" fillId="0" borderId="17" xfId="5" applyFont="1" applyBorder="1"/>
    <xf numFmtId="167" fontId="14" fillId="0" borderId="17" xfId="6" applyNumberFormat="1" applyFont="1" applyFill="1" applyBorder="1" applyAlignment="1" applyProtection="1"/>
    <xf numFmtId="9" fontId="14" fillId="0" borderId="17" xfId="3" applyFont="1" applyFill="1" applyBorder="1" applyAlignment="1" applyProtection="1"/>
    <xf numFmtId="9" fontId="9" fillId="0" borderId="0" xfId="3" applyFont="1"/>
    <xf numFmtId="0" fontId="9" fillId="0" borderId="17" xfId="5" applyFont="1" applyBorder="1" applyAlignment="1">
      <alignment vertical="top" wrapText="1"/>
    </xf>
    <xf numFmtId="167" fontId="9" fillId="0" borderId="0" xfId="5" applyNumberFormat="1" applyFont="1"/>
    <xf numFmtId="0" fontId="15" fillId="0" borderId="17" xfId="5" applyFont="1" applyBorder="1"/>
    <xf numFmtId="167" fontId="15" fillId="0" borderId="17" xfId="6" applyNumberFormat="1" applyFont="1" applyFill="1" applyBorder="1" applyAlignment="1" applyProtection="1"/>
    <xf numFmtId="0" fontId="9" fillId="0" borderId="0" xfId="5" applyFont="1" applyBorder="1"/>
    <xf numFmtId="0" fontId="12" fillId="3" borderId="17" xfId="5" applyFont="1" applyFill="1" applyBorder="1" applyAlignment="1">
      <alignment horizontal="center"/>
    </xf>
    <xf numFmtId="0" fontId="13" fillId="4" borderId="17" xfId="5" applyFont="1" applyFill="1" applyBorder="1"/>
    <xf numFmtId="0" fontId="13" fillId="4" borderId="17" xfId="5" applyFont="1" applyFill="1" applyBorder="1" applyAlignment="1">
      <alignment horizontal="center" vertical="center"/>
    </xf>
    <xf numFmtId="168" fontId="9" fillId="0" borderId="17" xfId="1" applyNumberFormat="1" applyFont="1" applyBorder="1"/>
    <xf numFmtId="0" fontId="9" fillId="0" borderId="17" xfId="5" applyFont="1" applyBorder="1" applyAlignment="1">
      <alignment horizontal="left"/>
    </xf>
    <xf numFmtId="168" fontId="15" fillId="0" borderId="17" xfId="1" applyNumberFormat="1" applyFont="1" applyFill="1" applyBorder="1" applyAlignment="1" applyProtection="1"/>
    <xf numFmtId="168" fontId="15" fillId="0" borderId="17" xfId="1" applyNumberFormat="1" applyFont="1" applyBorder="1"/>
    <xf numFmtId="0" fontId="15" fillId="0" borderId="0" xfId="5" applyFont="1" applyAlignment="1">
      <alignment horizontal="left" wrapText="1"/>
    </xf>
    <xf numFmtId="0" fontId="16" fillId="5" borderId="0" xfId="5" applyFont="1" applyFill="1"/>
    <xf numFmtId="165" fontId="16" fillId="5" borderId="0" xfId="4" applyNumberFormat="1" applyFont="1" applyFill="1" applyBorder="1"/>
    <xf numFmtId="10" fontId="16" fillId="5" borderId="0" xfId="3" applyNumberFormat="1" applyFont="1" applyFill="1" applyBorder="1"/>
    <xf numFmtId="0" fontId="17" fillId="5" borderId="0" xfId="5" applyFont="1" applyFill="1" applyAlignment="1">
      <alignment horizontal="center"/>
    </xf>
    <xf numFmtId="0" fontId="17" fillId="6" borderId="0" xfId="5" applyFont="1" applyFill="1" applyAlignment="1">
      <alignment horizontal="center"/>
    </xf>
    <xf numFmtId="0" fontId="18" fillId="5" borderId="0" xfId="5" applyFont="1" applyFill="1"/>
    <xf numFmtId="0" fontId="19" fillId="5" borderId="0" xfId="5" applyFont="1" applyFill="1"/>
    <xf numFmtId="165" fontId="19" fillId="5" borderId="0" xfId="4" applyNumberFormat="1" applyFont="1" applyFill="1" applyBorder="1" applyAlignment="1">
      <alignment horizontal="center"/>
    </xf>
    <xf numFmtId="164" fontId="19" fillId="5" borderId="0" xfId="4" applyFont="1" applyFill="1" applyBorder="1" applyAlignment="1">
      <alignment horizontal="center"/>
    </xf>
    <xf numFmtId="167" fontId="16" fillId="5" borderId="0" xfId="5" applyNumberFormat="1" applyFont="1" applyFill="1"/>
    <xf numFmtId="0" fontId="18" fillId="7" borderId="17" xfId="5" applyFont="1" applyFill="1" applyBorder="1" applyAlignment="1">
      <alignment horizontal="center" vertical="center" wrapText="1"/>
    </xf>
    <xf numFmtId="165" fontId="20" fillId="7" borderId="17" xfId="4" applyNumberFormat="1" applyFont="1" applyFill="1" applyBorder="1" applyAlignment="1" applyProtection="1">
      <alignment horizontal="center"/>
    </xf>
    <xf numFmtId="0" fontId="21" fillId="5" borderId="0" xfId="5" applyFont="1" applyFill="1"/>
    <xf numFmtId="0" fontId="18" fillId="7" borderId="18" xfId="5" applyFont="1" applyFill="1" applyBorder="1" applyAlignment="1">
      <alignment horizontal="center" vertical="center" wrapText="1"/>
    </xf>
    <xf numFmtId="165" fontId="20" fillId="7" borderId="18" xfId="4" applyNumberFormat="1" applyFont="1" applyFill="1" applyBorder="1" applyAlignment="1" applyProtection="1">
      <alignment horizontal="center"/>
    </xf>
    <xf numFmtId="165" fontId="20" fillId="7" borderId="19" xfId="4" applyNumberFormat="1" applyFont="1" applyFill="1" applyBorder="1" applyAlignment="1" applyProtection="1">
      <alignment horizontal="center"/>
    </xf>
    <xf numFmtId="0" fontId="18" fillId="5" borderId="9" xfId="5" applyFont="1" applyFill="1" applyBorder="1"/>
    <xf numFmtId="165" fontId="18" fillId="5" borderId="20" xfId="4" applyNumberFormat="1" applyFont="1" applyFill="1" applyBorder="1" applyAlignment="1" applyProtection="1"/>
    <xf numFmtId="165" fontId="18" fillId="5" borderId="10" xfId="4" applyNumberFormat="1" applyFont="1" applyFill="1" applyBorder="1" applyAlignment="1" applyProtection="1"/>
    <xf numFmtId="165" fontId="16" fillId="5" borderId="20" xfId="4" applyNumberFormat="1" applyFont="1" applyFill="1" applyBorder="1"/>
    <xf numFmtId="165" fontId="16" fillId="5" borderId="10" xfId="4" applyNumberFormat="1" applyFont="1" applyFill="1" applyBorder="1"/>
    <xf numFmtId="0" fontId="22" fillId="5" borderId="12" xfId="5" applyFont="1" applyFill="1" applyBorder="1"/>
    <xf numFmtId="165" fontId="6" fillId="5" borderId="21" xfId="4" applyNumberFormat="1" applyFont="1" applyFill="1" applyBorder="1" applyAlignment="1" applyProtection="1"/>
    <xf numFmtId="165" fontId="6" fillId="5" borderId="0" xfId="4" applyNumberFormat="1" applyFont="1" applyFill="1" applyBorder="1" applyAlignment="1" applyProtection="1"/>
    <xf numFmtId="0" fontId="16" fillId="5" borderId="12" xfId="5" applyFont="1" applyFill="1" applyBorder="1"/>
    <xf numFmtId="165" fontId="7" fillId="5" borderId="21" xfId="4" applyNumberFormat="1" applyFont="1" applyFill="1" applyBorder="1" applyAlignment="1" applyProtection="1"/>
    <xf numFmtId="165" fontId="7" fillId="5" borderId="0" xfId="4" applyNumberFormat="1" applyFont="1" applyFill="1" applyBorder="1" applyAlignment="1" applyProtection="1"/>
    <xf numFmtId="0" fontId="18" fillId="5" borderId="12" xfId="5" applyFont="1" applyFill="1" applyBorder="1"/>
    <xf numFmtId="165" fontId="18" fillId="5" borderId="21" xfId="4" applyNumberFormat="1" applyFont="1" applyFill="1" applyBorder="1" applyAlignment="1" applyProtection="1"/>
    <xf numFmtId="165" fontId="18" fillId="5" borderId="12" xfId="4" applyNumberFormat="1" applyFont="1" applyFill="1" applyBorder="1" applyAlignment="1" applyProtection="1"/>
    <xf numFmtId="165" fontId="18" fillId="5" borderId="0" xfId="4" applyNumberFormat="1" applyFont="1" applyFill="1" applyBorder="1" applyAlignment="1" applyProtection="1"/>
    <xf numFmtId="165" fontId="16" fillId="5" borderId="21" xfId="4" applyNumberFormat="1" applyFont="1" applyFill="1" applyBorder="1" applyAlignment="1" applyProtection="1"/>
    <xf numFmtId="165" fontId="16" fillId="5" borderId="0" xfId="4" applyNumberFormat="1" applyFont="1" applyFill="1" applyBorder="1" applyAlignment="1" applyProtection="1"/>
    <xf numFmtId="0" fontId="16" fillId="5" borderId="12" xfId="5" applyFont="1" applyFill="1" applyBorder="1" applyAlignment="1">
      <alignment wrapText="1"/>
    </xf>
    <xf numFmtId="165" fontId="16" fillId="5" borderId="0" xfId="5" applyNumberFormat="1" applyFont="1" applyFill="1"/>
    <xf numFmtId="165" fontId="16" fillId="5" borderId="21" xfId="4" applyNumberFormat="1" applyFont="1" applyFill="1" applyBorder="1"/>
    <xf numFmtId="49" fontId="16" fillId="0" borderId="12" xfId="5" applyNumberFormat="1" applyFont="1" applyBorder="1"/>
    <xf numFmtId="165" fontId="16" fillId="5" borderId="22" xfId="4" applyNumberFormat="1" applyFont="1" applyFill="1" applyBorder="1" applyAlignment="1" applyProtection="1"/>
    <xf numFmtId="165" fontId="16" fillId="5" borderId="15" xfId="4" applyNumberFormat="1" applyFont="1" applyFill="1" applyBorder="1" applyAlignment="1" applyProtection="1"/>
    <xf numFmtId="0" fontId="18" fillId="5" borderId="18" xfId="5" applyFont="1" applyFill="1" applyBorder="1" applyAlignment="1">
      <alignment horizontal="center"/>
    </xf>
    <xf numFmtId="165" fontId="18" fillId="5" borderId="17" xfId="4" applyNumberFormat="1" applyFont="1" applyFill="1" applyBorder="1" applyAlignment="1" applyProtection="1"/>
    <xf numFmtId="165" fontId="18" fillId="5" borderId="23" xfId="4" applyNumberFormat="1" applyFont="1" applyFill="1" applyBorder="1" applyAlignment="1" applyProtection="1"/>
    <xf numFmtId="165" fontId="18" fillId="0" borderId="21" xfId="4" applyNumberFormat="1" applyFont="1" applyFill="1" applyBorder="1"/>
    <xf numFmtId="165" fontId="16" fillId="0" borderId="0" xfId="4" applyNumberFormat="1" applyFont="1" applyFill="1" applyBorder="1"/>
    <xf numFmtId="165" fontId="18" fillId="0" borderId="0" xfId="4" applyNumberFormat="1" applyFont="1" applyFill="1" applyBorder="1"/>
    <xf numFmtId="0" fontId="22" fillId="8" borderId="12" xfId="5" applyFont="1" applyFill="1" applyBorder="1"/>
    <xf numFmtId="0" fontId="16" fillId="8" borderId="12" xfId="5" applyFont="1" applyFill="1" applyBorder="1"/>
    <xf numFmtId="165" fontId="16" fillId="8" borderId="21" xfId="4" applyNumberFormat="1" applyFont="1" applyFill="1" applyBorder="1"/>
    <xf numFmtId="165" fontId="16" fillId="8" borderId="0" xfId="4" applyNumberFormat="1" applyFont="1" applyFill="1" applyBorder="1"/>
    <xf numFmtId="0" fontId="23" fillId="5" borderId="0" xfId="5" applyFont="1" applyFill="1"/>
    <xf numFmtId="43" fontId="24" fillId="0" borderId="0" xfId="1" applyFont="1" applyFill="1" applyBorder="1"/>
    <xf numFmtId="165" fontId="23" fillId="5" borderId="0" xfId="4" applyNumberFormat="1" applyFont="1" applyFill="1" applyBorder="1"/>
    <xf numFmtId="0" fontId="17" fillId="5" borderId="15" xfId="5" applyFont="1" applyFill="1" applyBorder="1" applyAlignment="1">
      <alignment horizontal="center"/>
    </xf>
    <xf numFmtId="0" fontId="18" fillId="7" borderId="9" xfId="5" applyFont="1" applyFill="1" applyBorder="1" applyAlignment="1">
      <alignment horizontal="center" vertical="center" wrapText="1"/>
    </xf>
    <xf numFmtId="165" fontId="20" fillId="7" borderId="17" xfId="4" applyNumberFormat="1" applyFont="1" applyFill="1" applyBorder="1" applyAlignment="1">
      <alignment horizontal="center" vertical="center" wrapText="1"/>
    </xf>
    <xf numFmtId="0" fontId="21" fillId="5" borderId="0" xfId="5" applyFont="1" applyFill="1" applyAlignment="1">
      <alignment vertical="center" wrapText="1"/>
    </xf>
    <xf numFmtId="0" fontId="18" fillId="7" borderId="14" xfId="5" applyFont="1" applyFill="1" applyBorder="1" applyAlignment="1">
      <alignment horizontal="center" vertical="center" wrapText="1"/>
    </xf>
    <xf numFmtId="0" fontId="22" fillId="5" borderId="12" xfId="5" applyFont="1" applyFill="1" applyBorder="1" applyAlignment="1">
      <alignment wrapText="1"/>
    </xf>
    <xf numFmtId="0" fontId="16" fillId="5" borderId="21" xfId="5" applyFont="1" applyFill="1" applyBorder="1"/>
    <xf numFmtId="9" fontId="16" fillId="5" borderId="0" xfId="3" applyFont="1" applyFill="1"/>
    <xf numFmtId="0" fontId="18" fillId="5" borderId="18" xfId="5" applyFont="1" applyFill="1" applyBorder="1" applyAlignment="1">
      <alignment horizontal="center" wrapText="1"/>
    </xf>
    <xf numFmtId="0" fontId="18" fillId="5" borderId="12" xfId="5" applyFont="1" applyFill="1" applyBorder="1" applyAlignment="1">
      <alignment wrapText="1"/>
    </xf>
    <xf numFmtId="0" fontId="16" fillId="5" borderId="20" xfId="5" applyFont="1" applyFill="1" applyBorder="1"/>
    <xf numFmtId="165" fontId="16" fillId="0" borderId="21" xfId="4" applyNumberFormat="1" applyFont="1" applyFill="1" applyBorder="1" applyAlignment="1">
      <alignment wrapText="1"/>
    </xf>
    <xf numFmtId="165" fontId="16" fillId="0" borderId="0" xfId="4" applyNumberFormat="1" applyFont="1" applyFill="1" applyBorder="1" applyAlignment="1">
      <alignment wrapText="1"/>
    </xf>
    <xf numFmtId="165" fontId="18" fillId="5" borderId="0" xfId="5" applyNumberFormat="1" applyFont="1" applyFill="1"/>
    <xf numFmtId="43" fontId="18" fillId="5" borderId="0" xfId="5" applyNumberFormat="1" applyFont="1" applyFill="1"/>
    <xf numFmtId="10" fontId="18" fillId="5" borderId="21" xfId="3" applyNumberFormat="1" applyFont="1" applyFill="1" applyBorder="1" applyAlignment="1">
      <alignment wrapText="1"/>
    </xf>
    <xf numFmtId="10" fontId="18" fillId="5" borderId="0" xfId="3" applyNumberFormat="1" applyFont="1" applyFill="1" applyBorder="1" applyAlignment="1">
      <alignment wrapText="1"/>
    </xf>
    <xf numFmtId="165" fontId="7" fillId="9" borderId="21" xfId="4" applyNumberFormat="1" applyFont="1" applyFill="1" applyBorder="1" applyAlignment="1" applyProtection="1"/>
    <xf numFmtId="0" fontId="18" fillId="5" borderId="9" xfId="5" applyFont="1" applyFill="1" applyBorder="1" applyAlignment="1">
      <alignment wrapText="1"/>
    </xf>
    <xf numFmtId="0" fontId="18" fillId="5" borderId="14" xfId="5" applyFont="1" applyFill="1" applyBorder="1" applyAlignment="1">
      <alignment wrapText="1"/>
    </xf>
    <xf numFmtId="10" fontId="18" fillId="5" borderId="22" xfId="3" applyNumberFormat="1" applyFont="1" applyFill="1" applyBorder="1" applyAlignment="1" applyProtection="1"/>
    <xf numFmtId="10" fontId="18" fillId="5" borderId="15" xfId="3" applyNumberFormat="1" applyFont="1" applyFill="1" applyBorder="1" applyAlignment="1" applyProtection="1"/>
    <xf numFmtId="0" fontId="18" fillId="5" borderId="22" xfId="5" applyFont="1" applyFill="1" applyBorder="1" applyAlignment="1">
      <alignment wrapText="1"/>
    </xf>
    <xf numFmtId="10" fontId="18" fillId="5" borderId="22" xfId="3" applyNumberFormat="1" applyFont="1" applyFill="1" applyBorder="1" applyAlignment="1" applyProtection="1">
      <alignment horizontal="right"/>
    </xf>
    <xf numFmtId="10" fontId="18" fillId="5" borderId="15" xfId="3" applyNumberFormat="1" applyFont="1" applyFill="1" applyBorder="1" applyAlignment="1" applyProtection="1">
      <alignment horizontal="right"/>
    </xf>
    <xf numFmtId="0" fontId="18" fillId="5" borderId="18" xfId="5" applyFont="1" applyFill="1" applyBorder="1" applyAlignment="1">
      <alignment vertical="top" wrapText="1"/>
    </xf>
    <xf numFmtId="165" fontId="18" fillId="5" borderId="17" xfId="4" applyNumberFormat="1" applyFont="1" applyFill="1" applyBorder="1" applyAlignment="1">
      <alignment vertical="top" wrapText="1"/>
    </xf>
    <xf numFmtId="165" fontId="18" fillId="5" borderId="23" xfId="4" applyNumberFormat="1" applyFont="1" applyFill="1" applyBorder="1" applyAlignment="1">
      <alignment vertical="top" wrapText="1"/>
    </xf>
    <xf numFmtId="0" fontId="16" fillId="5" borderId="0" xfId="5" applyFont="1" applyFill="1" applyAlignment="1">
      <alignment vertical="top" wrapText="1"/>
    </xf>
    <xf numFmtId="165" fontId="18" fillId="7" borderId="17" xfId="4" applyNumberFormat="1" applyFont="1" applyFill="1" applyBorder="1" applyAlignment="1">
      <alignment horizontal="center" vertical="center" wrapText="1"/>
    </xf>
    <xf numFmtId="165" fontId="18" fillId="7" borderId="23" xfId="4" applyNumberFormat="1" applyFont="1" applyFill="1" applyBorder="1" applyAlignment="1">
      <alignment horizontal="center" vertical="center" wrapText="1"/>
    </xf>
    <xf numFmtId="165" fontId="7" fillId="5" borderId="22" xfId="4" applyNumberFormat="1" applyFont="1" applyFill="1" applyBorder="1" applyAlignment="1" applyProtection="1"/>
    <xf numFmtId="0" fontId="18" fillId="5" borderId="0" xfId="5" applyFont="1" applyFill="1" applyAlignment="1">
      <alignment vertical="top" wrapText="1"/>
    </xf>
    <xf numFmtId="0" fontId="21" fillId="0" borderId="0" xfId="5" applyFont="1"/>
    <xf numFmtId="0" fontId="21" fillId="0" borderId="12" xfId="5" applyFont="1" applyBorder="1"/>
    <xf numFmtId="165" fontId="21" fillId="0" borderId="21" xfId="4" applyNumberFormat="1" applyFont="1" applyFill="1" applyBorder="1" applyAlignment="1" applyProtection="1"/>
    <xf numFmtId="165" fontId="21" fillId="0" borderId="0" xfId="4" applyNumberFormat="1" applyFont="1" applyFill="1" applyBorder="1" applyAlignment="1" applyProtection="1"/>
    <xf numFmtId="0" fontId="16" fillId="5" borderId="12" xfId="5" applyFont="1" applyFill="1" applyBorder="1" applyAlignment="1">
      <alignment horizontal="left" vertical="center" wrapText="1"/>
    </xf>
    <xf numFmtId="165" fontId="7" fillId="5" borderId="21" xfId="4" applyNumberFormat="1" applyFont="1" applyFill="1" applyBorder="1" applyAlignment="1" applyProtection="1">
      <alignment horizontal="center" vertical="center"/>
    </xf>
    <xf numFmtId="0" fontId="18" fillId="5" borderId="14" xfId="5" applyFont="1" applyFill="1" applyBorder="1"/>
    <xf numFmtId="165" fontId="20" fillId="5" borderId="22" xfId="4" applyNumberFormat="1" applyFont="1" applyFill="1" applyBorder="1" applyAlignment="1" applyProtection="1"/>
    <xf numFmtId="165" fontId="24" fillId="5" borderId="0" xfId="4" applyNumberFormat="1" applyFont="1" applyFill="1" applyBorder="1"/>
    <xf numFmtId="0" fontId="17" fillId="6" borderId="15" xfId="5" applyFont="1" applyFill="1" applyBorder="1" applyAlignment="1">
      <alignment horizontal="center"/>
    </xf>
    <xf numFmtId="0" fontId="18" fillId="7" borderId="20" xfId="5" applyFont="1" applyFill="1" applyBorder="1" applyAlignment="1">
      <alignment horizontal="center" vertical="center"/>
    </xf>
    <xf numFmtId="165" fontId="18" fillId="7" borderId="20" xfId="4" applyNumberFormat="1" applyFont="1" applyFill="1" applyBorder="1" applyAlignment="1">
      <alignment horizontal="center"/>
    </xf>
    <xf numFmtId="0" fontId="18" fillId="7" borderId="22" xfId="5" applyFont="1" applyFill="1" applyBorder="1" applyAlignment="1">
      <alignment horizontal="center" vertical="center"/>
    </xf>
    <xf numFmtId="165" fontId="18" fillId="7" borderId="17" xfId="4" applyNumberFormat="1" applyFont="1" applyFill="1" applyBorder="1" applyAlignment="1">
      <alignment horizontal="center"/>
    </xf>
    <xf numFmtId="165" fontId="18" fillId="5" borderId="22" xfId="4" applyNumberFormat="1" applyFont="1" applyFill="1" applyBorder="1"/>
    <xf numFmtId="0" fontId="18" fillId="7" borderId="9" xfId="5" applyFont="1" applyFill="1" applyBorder="1" applyAlignment="1">
      <alignment horizontal="center" vertical="center"/>
    </xf>
    <xf numFmtId="0" fontId="18" fillId="7" borderId="14" xfId="5" applyFont="1" applyFill="1" applyBorder="1" applyAlignment="1">
      <alignment horizontal="center" vertical="center"/>
    </xf>
    <xf numFmtId="165" fontId="18" fillId="5" borderId="0" xfId="4" applyNumberFormat="1" applyFont="1" applyFill="1" applyBorder="1"/>
    <xf numFmtId="165" fontId="18" fillId="7" borderId="23" xfId="4" applyNumberFormat="1" applyFont="1" applyFill="1" applyBorder="1" applyAlignment="1">
      <alignment horizontal="center"/>
    </xf>
    <xf numFmtId="0" fontId="18" fillId="5" borderId="22" xfId="5" applyFont="1" applyFill="1" applyBorder="1"/>
    <xf numFmtId="165" fontId="18" fillId="5" borderId="15" xfId="4" applyNumberFormat="1" applyFont="1" applyFill="1" applyBorder="1"/>
    <xf numFmtId="165" fontId="18" fillId="5" borderId="14" xfId="4" applyNumberFormat="1" applyFont="1" applyFill="1" applyBorder="1"/>
    <xf numFmtId="0" fontId="17" fillId="6" borderId="18" xfId="5" applyFont="1" applyFill="1" applyBorder="1" applyAlignment="1">
      <alignment horizontal="center"/>
    </xf>
    <xf numFmtId="0" fontId="17" fillId="6" borderId="23" xfId="5" applyFont="1" applyFill="1" applyBorder="1" applyAlignment="1">
      <alignment horizontal="center"/>
    </xf>
    <xf numFmtId="0" fontId="17" fillId="6" borderId="19" xfId="5" applyFont="1" applyFill="1" applyBorder="1" applyAlignment="1">
      <alignment horizontal="center"/>
    </xf>
    <xf numFmtId="165" fontId="18" fillId="5" borderId="21" xfId="4" applyNumberFormat="1" applyFont="1" applyFill="1" applyBorder="1"/>
    <xf numFmtId="0" fontId="16" fillId="5" borderId="14" xfId="5" applyFont="1" applyFill="1" applyBorder="1"/>
    <xf numFmtId="165" fontId="16" fillId="5" borderId="22" xfId="4" applyNumberFormat="1" applyFont="1" applyFill="1" applyBorder="1"/>
    <xf numFmtId="165" fontId="16" fillId="5" borderId="15" xfId="4" applyNumberFormat="1" applyFont="1" applyFill="1" applyBorder="1"/>
    <xf numFmtId="165" fontId="18" fillId="7" borderId="10" xfId="4" applyNumberFormat="1" applyFont="1" applyFill="1" applyBorder="1" applyAlignment="1">
      <alignment horizontal="center"/>
    </xf>
    <xf numFmtId="165" fontId="18" fillId="5" borderId="20" xfId="4" applyNumberFormat="1" applyFont="1" applyFill="1" applyBorder="1"/>
    <xf numFmtId="165" fontId="18" fillId="5" borderId="22" xfId="4" applyNumberFormat="1" applyFont="1" applyFill="1" applyBorder="1" applyAlignment="1">
      <alignment horizontal="center"/>
    </xf>
    <xf numFmtId="165" fontId="18" fillId="5" borderId="15" xfId="4" applyNumberFormat="1" applyFont="1" applyFill="1" applyBorder="1" applyAlignment="1">
      <alignment horizontal="center"/>
    </xf>
    <xf numFmtId="0" fontId="20" fillId="7" borderId="9" xfId="5" applyFont="1" applyFill="1" applyBorder="1" applyAlignment="1">
      <alignment horizontal="center" vertical="center"/>
    </xf>
    <xf numFmtId="165" fontId="18" fillId="7" borderId="20" xfId="4" applyNumberFormat="1" applyFont="1" applyFill="1" applyBorder="1" applyAlignment="1">
      <alignment horizontal="center" vertical="center" wrapText="1"/>
    </xf>
    <xf numFmtId="165" fontId="18" fillId="7" borderId="9" xfId="4" applyNumberFormat="1" applyFont="1" applyFill="1" applyBorder="1" applyAlignment="1">
      <alignment horizontal="center" vertical="center" wrapText="1"/>
    </xf>
    <xf numFmtId="0" fontId="20" fillId="7" borderId="14" xfId="5" applyFont="1" applyFill="1" applyBorder="1" applyAlignment="1">
      <alignment horizontal="center" vertical="center"/>
    </xf>
    <xf numFmtId="0" fontId="22" fillId="5" borderId="12" xfId="5" applyFont="1" applyFill="1" applyBorder="1" applyAlignment="1">
      <alignment vertical="top" wrapText="1"/>
    </xf>
    <xf numFmtId="165" fontId="16" fillId="5" borderId="13" xfId="4" applyNumberFormat="1" applyFont="1" applyFill="1" applyBorder="1"/>
    <xf numFmtId="0" fontId="16" fillId="5" borderId="12" xfId="5" applyFont="1" applyFill="1" applyBorder="1" applyAlignment="1">
      <alignment vertical="top" wrapText="1"/>
    </xf>
    <xf numFmtId="165" fontId="7" fillId="5" borderId="13" xfId="4" applyNumberFormat="1" applyFont="1" applyFill="1" applyBorder="1" applyAlignment="1" applyProtection="1"/>
    <xf numFmtId="165" fontId="18" fillId="5" borderId="13" xfId="4" applyNumberFormat="1" applyFont="1" applyFill="1" applyBorder="1"/>
    <xf numFmtId="165" fontId="16" fillId="5" borderId="21" xfId="4" applyNumberFormat="1" applyFont="1" applyFill="1" applyBorder="1" applyAlignment="1">
      <alignment vertical="top" wrapText="1"/>
    </xf>
    <xf numFmtId="165" fontId="16" fillId="5" borderId="0" xfId="4" applyNumberFormat="1" applyFont="1" applyFill="1" applyBorder="1" applyAlignment="1">
      <alignment vertical="top" wrapText="1"/>
    </xf>
    <xf numFmtId="0" fontId="18" fillId="5" borderId="12" xfId="5" applyFont="1" applyFill="1" applyBorder="1" applyAlignment="1">
      <alignment vertical="top" wrapText="1"/>
    </xf>
    <xf numFmtId="165" fontId="18" fillId="5" borderId="13" xfId="4" applyNumberFormat="1" applyFont="1" applyFill="1" applyBorder="1" applyAlignment="1" applyProtection="1"/>
    <xf numFmtId="0" fontId="18" fillId="5" borderId="14" xfId="5" applyFont="1" applyFill="1" applyBorder="1" applyAlignment="1">
      <alignment horizontal="center"/>
    </xf>
    <xf numFmtId="164" fontId="18" fillId="5" borderId="22" xfId="4" applyFont="1" applyFill="1" applyBorder="1" applyAlignment="1" applyProtection="1"/>
    <xf numFmtId="164" fontId="18" fillId="5" borderId="16" xfId="4" applyFont="1" applyFill="1" applyBorder="1" applyAlignment="1" applyProtection="1"/>
    <xf numFmtId="164" fontId="18" fillId="5" borderId="15" xfId="4" applyFont="1" applyFill="1" applyBorder="1" applyAlignment="1" applyProtection="1"/>
    <xf numFmtId="43" fontId="16" fillId="5" borderId="0" xfId="5" applyNumberFormat="1" applyFont="1" applyFill="1"/>
    <xf numFmtId="165" fontId="20" fillId="7" borderId="20" xfId="4" applyNumberFormat="1" applyFont="1" applyFill="1" applyBorder="1" applyAlignment="1" applyProtection="1">
      <alignment horizontal="center"/>
    </xf>
    <xf numFmtId="165" fontId="20" fillId="7" borderId="23" xfId="4" applyNumberFormat="1" applyFont="1" applyFill="1" applyBorder="1" applyAlignment="1" applyProtection="1">
      <alignment horizontal="center"/>
    </xf>
    <xf numFmtId="169" fontId="16" fillId="5" borderId="21" xfId="4" applyNumberFormat="1" applyFont="1" applyFill="1" applyBorder="1"/>
    <xf numFmtId="169" fontId="16" fillId="5" borderId="0" xfId="4" applyNumberFormat="1" applyFont="1" applyFill="1" applyBorder="1"/>
    <xf numFmtId="9" fontId="16" fillId="5" borderId="21" xfId="3" applyFont="1" applyFill="1" applyBorder="1"/>
    <xf numFmtId="9" fontId="16" fillId="5" borderId="0" xfId="3" applyFont="1" applyFill="1" applyBorder="1"/>
    <xf numFmtId="10" fontId="16" fillId="5" borderId="21" xfId="3" applyNumberFormat="1" applyFont="1" applyFill="1" applyBorder="1"/>
    <xf numFmtId="164" fontId="16" fillId="5" borderId="21" xfId="4" applyFont="1" applyFill="1" applyBorder="1"/>
    <xf numFmtId="164" fontId="16" fillId="5" borderId="12" xfId="4" applyFont="1" applyFill="1" applyBorder="1"/>
    <xf numFmtId="164" fontId="16" fillId="5" borderId="0" xfId="4" applyFont="1" applyFill="1" applyBorder="1"/>
    <xf numFmtId="164" fontId="16" fillId="5" borderId="22" xfId="4" applyFont="1" applyFill="1" applyBorder="1"/>
    <xf numFmtId="164" fontId="16" fillId="5" borderId="14" xfId="4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/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21" xfId="0" applyFont="1" applyBorder="1"/>
    <xf numFmtId="9" fontId="7" fillId="0" borderId="21" xfId="0" applyNumberFormat="1" applyFont="1" applyBorder="1"/>
    <xf numFmtId="165" fontId="7" fillId="0" borderId="21" xfId="4" applyNumberFormat="1" applyFont="1" applyBorder="1"/>
    <xf numFmtId="165" fontId="7" fillId="0" borderId="13" xfId="4" applyNumberFormat="1" applyFont="1" applyBorder="1"/>
    <xf numFmtId="0" fontId="6" fillId="0" borderId="18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6" fillId="0" borderId="17" xfId="4" applyNumberFormat="1" applyFont="1" applyBorder="1"/>
    <xf numFmtId="0" fontId="25" fillId="0" borderId="0" xfId="0" applyFont="1" applyAlignment="1">
      <alignment horizontal="center"/>
    </xf>
    <xf numFmtId="0" fontId="14" fillId="0" borderId="0" xfId="0" applyFont="1"/>
    <xf numFmtId="0" fontId="14" fillId="2" borderId="9" xfId="0" applyFont="1" applyFill="1" applyBorder="1" applyAlignment="1">
      <alignment horizontal="left"/>
    </xf>
    <xf numFmtId="0" fontId="14" fillId="2" borderId="11" xfId="0" applyFont="1" applyFill="1" applyBorder="1" applyAlignment="1">
      <alignment horizontal="left"/>
    </xf>
    <xf numFmtId="164" fontId="14" fillId="2" borderId="9" xfId="0" applyNumberFormat="1" applyFont="1" applyFill="1" applyBorder="1" applyAlignment="1">
      <alignment horizontal="center"/>
    </xf>
    <xf numFmtId="164" fontId="14" fillId="2" borderId="11" xfId="0" applyNumberFormat="1" applyFont="1" applyFill="1" applyBorder="1" applyAlignment="1">
      <alignment horizontal="center"/>
    </xf>
    <xf numFmtId="0" fontId="14" fillId="2" borderId="10" xfId="0" applyFont="1" applyFill="1" applyBorder="1"/>
    <xf numFmtId="164" fontId="14" fillId="2" borderId="9" xfId="4" applyFont="1" applyFill="1" applyBorder="1" applyAlignment="1">
      <alignment horizontal="left"/>
    </xf>
    <xf numFmtId="164" fontId="14" fillId="2" borderId="10" xfId="4" applyFont="1" applyFill="1" applyBorder="1" applyAlignment="1">
      <alignment horizontal="left"/>
    </xf>
    <xf numFmtId="165" fontId="14" fillId="2" borderId="11" xfId="4" applyNumberFormat="1" applyFont="1" applyFill="1" applyBorder="1" applyAlignment="1">
      <alignment horizontal="right"/>
    </xf>
    <xf numFmtId="0" fontId="14" fillId="2" borderId="14" xfId="0" applyFont="1" applyFill="1" applyBorder="1" applyAlignment="1">
      <alignment horizontal="left"/>
    </xf>
    <xf numFmtId="0" fontId="14" fillId="2" borderId="16" xfId="0" applyFont="1" applyFill="1" applyBorder="1" applyAlignment="1">
      <alignment horizontal="left"/>
    </xf>
    <xf numFmtId="14" fontId="14" fillId="2" borderId="14" xfId="0" applyNumberFormat="1" applyFont="1" applyFill="1" applyBorder="1" applyAlignment="1">
      <alignment horizontal="right"/>
    </xf>
    <xf numFmtId="0" fontId="14" fillId="2" borderId="16" xfId="0" applyFont="1" applyFill="1" applyBorder="1" applyAlignment="1">
      <alignment horizontal="right"/>
    </xf>
    <xf numFmtId="0" fontId="14" fillId="2" borderId="15" xfId="0" applyFont="1" applyFill="1" applyBorder="1"/>
    <xf numFmtId="164" fontId="14" fillId="2" borderId="14" xfId="4" applyFont="1" applyFill="1" applyBorder="1" applyAlignment="1">
      <alignment horizontal="left"/>
    </xf>
    <xf numFmtId="164" fontId="14" fillId="2" borderId="15" xfId="4" applyFont="1" applyFill="1" applyBorder="1" applyAlignment="1">
      <alignment horizontal="left"/>
    </xf>
    <xf numFmtId="9" fontId="14" fillId="2" borderId="16" xfId="3" applyFont="1" applyFill="1" applyBorder="1" applyAlignment="1">
      <alignment horizontal="right"/>
    </xf>
    <xf numFmtId="164" fontId="14" fillId="0" borderId="0" xfId="0" applyNumberFormat="1" applyFont="1"/>
    <xf numFmtId="0" fontId="25" fillId="3" borderId="18" xfId="0" applyFont="1" applyFill="1" applyBorder="1" applyAlignment="1">
      <alignment horizontal="center"/>
    </xf>
    <xf numFmtId="0" fontId="25" fillId="3" borderId="23" xfId="0" applyFont="1" applyFill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/>
    </xf>
    <xf numFmtId="164" fontId="25" fillId="0" borderId="17" xfId="4" applyFont="1" applyBorder="1" applyAlignment="1">
      <alignment vertical="center"/>
    </xf>
    <xf numFmtId="10" fontId="25" fillId="0" borderId="17" xfId="3" applyNumberFormat="1" applyFont="1" applyBorder="1" applyAlignment="1">
      <alignment vertical="center"/>
    </xf>
    <xf numFmtId="164" fontId="25" fillId="0" borderId="20" xfId="4" applyFont="1" applyBorder="1" applyAlignment="1">
      <alignment horizontal="center" vertical="center"/>
    </xf>
    <xf numFmtId="164" fontId="25" fillId="0" borderId="20" xfId="4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5" fillId="0" borderId="2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/>
    </xf>
    <xf numFmtId="164" fontId="25" fillId="0" borderId="22" xfId="4" applyFont="1" applyBorder="1" applyAlignment="1">
      <alignment horizontal="center" vertical="center"/>
    </xf>
    <xf numFmtId="164" fontId="25" fillId="0" borderId="22" xfId="4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14" fillId="0" borderId="22" xfId="0" applyFont="1" applyBorder="1" applyAlignment="1">
      <alignment horizontal="center" vertical="center"/>
    </xf>
    <xf numFmtId="17" fontId="14" fillId="10" borderId="17" xfId="0" applyNumberFormat="1" applyFont="1" applyFill="1" applyBorder="1"/>
    <xf numFmtId="168" fontId="14" fillId="0" borderId="17" xfId="1" applyNumberFormat="1" applyFont="1" applyBorder="1"/>
    <xf numFmtId="168" fontId="14" fillId="0" borderId="17" xfId="1" applyNumberFormat="1" applyFont="1" applyFill="1" applyBorder="1" applyAlignment="1"/>
    <xf numFmtId="168" fontId="14" fillId="0" borderId="17" xfId="1" applyNumberFormat="1" applyFont="1" applyFill="1" applyBorder="1"/>
    <xf numFmtId="168" fontId="14" fillId="10" borderId="17" xfId="1" applyNumberFormat="1" applyFont="1" applyFill="1" applyBorder="1" applyAlignment="1"/>
    <xf numFmtId="43" fontId="14" fillId="0" borderId="0" xfId="0" applyNumberFormat="1" applyFont="1"/>
    <xf numFmtId="0" fontId="14" fillId="0" borderId="20" xfId="0" applyFont="1" applyBorder="1" applyAlignment="1">
      <alignment horizontal="center" vertical="center"/>
    </xf>
    <xf numFmtId="17" fontId="14" fillId="0" borderId="17" xfId="0" applyNumberFormat="1" applyFont="1" applyBorder="1"/>
    <xf numFmtId="0" fontId="14" fillId="0" borderId="21" xfId="0" applyFont="1" applyBorder="1" applyAlignment="1">
      <alignment horizontal="center" vertical="center"/>
    </xf>
    <xf numFmtId="168" fontId="14" fillId="0" borderId="17" xfId="1" applyNumberFormat="1" applyFont="1" applyBorder="1" applyAlignment="1"/>
    <xf numFmtId="0" fontId="14" fillId="0" borderId="2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164" fontId="14" fillId="0" borderId="0" xfId="4" applyFont="1"/>
    <xf numFmtId="0" fontId="7" fillId="0" borderId="0" xfId="0" applyFont="1" applyBorder="1"/>
    <xf numFmtId="0" fontId="6" fillId="0" borderId="18" xfId="0" applyFont="1" applyBorder="1"/>
    <xf numFmtId="0" fontId="6" fillId="0" borderId="17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7" fillId="0" borderId="0" xfId="4" applyNumberFormat="1" applyFont="1"/>
    <xf numFmtId="43" fontId="7" fillId="0" borderId="21" xfId="1" applyFont="1" applyBorder="1"/>
    <xf numFmtId="165" fontId="6" fillId="0" borderId="21" xfId="4" applyNumberFormat="1" applyFont="1" applyBorder="1"/>
    <xf numFmtId="9" fontId="7" fillId="0" borderId="21" xfId="3" applyFont="1" applyBorder="1"/>
    <xf numFmtId="10" fontId="6" fillId="0" borderId="21" xfId="3" applyNumberFormat="1" applyFont="1" applyBorder="1"/>
    <xf numFmtId="10" fontId="6" fillId="0" borderId="0" xfId="3" applyNumberFormat="1" applyFont="1" applyBorder="1"/>
    <xf numFmtId="10" fontId="6" fillId="0" borderId="13" xfId="3" applyNumberFormat="1" applyFont="1" applyBorder="1"/>
    <xf numFmtId="164" fontId="7" fillId="0" borderId="21" xfId="4" applyFont="1" applyBorder="1"/>
    <xf numFmtId="164" fontId="7" fillId="0" borderId="13" xfId="4" applyFont="1" applyBorder="1"/>
    <xf numFmtId="165" fontId="6" fillId="0" borderId="0" xfId="4" applyNumberFormat="1" applyFont="1"/>
    <xf numFmtId="165" fontId="6" fillId="0" borderId="13" xfId="4" applyNumberFormat="1" applyFont="1" applyBorder="1"/>
    <xf numFmtId="0" fontId="6" fillId="0" borderId="14" xfId="0" applyFont="1" applyBorder="1"/>
    <xf numFmtId="165" fontId="6" fillId="0" borderId="22" xfId="4" applyNumberFormat="1" applyFont="1" applyBorder="1"/>
    <xf numFmtId="0" fontId="6" fillId="0" borderId="18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168" fontId="6" fillId="0" borderId="21" xfId="1" applyNumberFormat="1" applyFont="1" applyBorder="1"/>
    <xf numFmtId="0" fontId="6" fillId="0" borderId="21" xfId="0" applyFont="1" applyBorder="1" applyAlignment="1">
      <alignment horizontal="left"/>
    </xf>
    <xf numFmtId="168" fontId="6" fillId="0" borderId="0" xfId="1" applyNumberFormat="1" applyFont="1" applyBorder="1"/>
    <xf numFmtId="9" fontId="7" fillId="0" borderId="0" xfId="0" applyNumberFormat="1" applyFont="1" applyBorder="1"/>
    <xf numFmtId="0" fontId="26" fillId="0" borderId="12" xfId="0" applyFont="1" applyBorder="1"/>
    <xf numFmtId="0" fontId="6" fillId="0" borderId="12" xfId="0" applyFont="1" applyBorder="1" applyAlignment="1">
      <alignment wrapText="1"/>
    </xf>
    <xf numFmtId="43" fontId="6" fillId="0" borderId="21" xfId="1" applyFont="1" applyBorder="1"/>
    <xf numFmtId="43" fontId="6" fillId="0" borderId="0" xfId="1" applyFont="1" applyBorder="1"/>
    <xf numFmtId="43" fontId="6" fillId="0" borderId="21" xfId="1" applyNumberFormat="1" applyFont="1" applyBorder="1"/>
    <xf numFmtId="0" fontId="6" fillId="0" borderId="22" xfId="0" applyFont="1" applyBorder="1" applyAlignment="1">
      <alignment horizontal="left"/>
    </xf>
    <xf numFmtId="9" fontId="7" fillId="0" borderId="22" xfId="0" applyNumberFormat="1" applyFont="1" applyBorder="1"/>
    <xf numFmtId="9" fontId="7" fillId="0" borderId="15" xfId="0" applyNumberFormat="1" applyFont="1" applyBorder="1"/>
    <xf numFmtId="0" fontId="2" fillId="0" borderId="0" xfId="0" applyFont="1"/>
    <xf numFmtId="9" fontId="0" fillId="0" borderId="0" xfId="0" applyNumberFormat="1"/>
    <xf numFmtId="17" fontId="0" fillId="0" borderId="0" xfId="0" applyNumberFormat="1"/>
    <xf numFmtId="44" fontId="0" fillId="0" borderId="0" xfId="0" applyNumberFormat="1"/>
    <xf numFmtId="44" fontId="2" fillId="0" borderId="0" xfId="0" applyNumberFormat="1" applyFont="1"/>
    <xf numFmtId="43" fontId="2" fillId="0" borderId="0" xfId="0" applyNumberFormat="1" applyFont="1"/>
    <xf numFmtId="43" fontId="2" fillId="0" borderId="0" xfId="7" applyFont="1"/>
    <xf numFmtId="0" fontId="27" fillId="0" borderId="17" xfId="0" applyFont="1" applyBorder="1" applyAlignment="1">
      <alignment horizontal="center"/>
    </xf>
    <xf numFmtId="44" fontId="27" fillId="0" borderId="17" xfId="2" applyFont="1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44" fontId="0" fillId="0" borderId="17" xfId="2" applyFont="1" applyBorder="1"/>
    <xf numFmtId="0" fontId="2" fillId="5" borderId="17" xfId="0" applyFont="1" applyFill="1" applyBorder="1" applyAlignment="1">
      <alignment horizontal="center"/>
    </xf>
    <xf numFmtId="44" fontId="2" fillId="5" borderId="17" xfId="2" applyFont="1" applyFill="1" applyBorder="1"/>
    <xf numFmtId="0" fontId="0" fillId="5" borderId="0" xfId="0" applyFill="1"/>
    <xf numFmtId="0" fontId="0" fillId="5" borderId="17" xfId="0" applyFill="1" applyBorder="1" applyAlignment="1">
      <alignment horizontal="center"/>
    </xf>
    <xf numFmtId="44" fontId="0" fillId="5" borderId="17" xfId="2" applyFont="1" applyFill="1" applyBorder="1"/>
    <xf numFmtId="0" fontId="0" fillId="5" borderId="17" xfId="0" applyFill="1" applyBorder="1"/>
    <xf numFmtId="0" fontId="0" fillId="5" borderId="0" xfId="0" applyFill="1" applyAlignment="1">
      <alignment horizontal="center"/>
    </xf>
    <xf numFmtId="44" fontId="0" fillId="5" borderId="0" xfId="2" applyFont="1" applyFill="1"/>
    <xf numFmtId="0" fontId="28" fillId="0" borderId="17" xfId="0" applyFont="1" applyBorder="1"/>
    <xf numFmtId="44" fontId="28" fillId="5" borderId="17" xfId="0" applyNumberFormat="1" applyFont="1" applyFill="1" applyBorder="1"/>
    <xf numFmtId="44" fontId="28" fillId="5" borderId="17" xfId="2" applyFont="1" applyFill="1" applyBorder="1"/>
    <xf numFmtId="44" fontId="0" fillId="5" borderId="0" xfId="0" applyNumberFormat="1" applyFill="1" applyAlignment="1">
      <alignment horizontal="center"/>
    </xf>
    <xf numFmtId="0" fontId="27" fillId="11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2" applyFont="1"/>
    <xf numFmtId="0" fontId="27" fillId="11" borderId="0" xfId="0" applyFont="1" applyFill="1" applyAlignment="1">
      <alignment horizontal="center"/>
    </xf>
    <xf numFmtId="0" fontId="29" fillId="9" borderId="17" xfId="0" applyFont="1" applyFill="1" applyBorder="1" applyAlignment="1">
      <alignment horizontal="center"/>
    </xf>
    <xf numFmtId="44" fontId="29" fillId="9" borderId="17" xfId="2" applyFont="1" applyFill="1" applyBorder="1" applyAlignment="1">
      <alignment horizontal="center"/>
    </xf>
    <xf numFmtId="0" fontId="0" fillId="12" borderId="17" xfId="0" applyFill="1" applyBorder="1" applyAlignment="1">
      <alignment horizontal="center"/>
    </xf>
    <xf numFmtId="44" fontId="0" fillId="0" borderId="17" xfId="2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44" fontId="0" fillId="0" borderId="17" xfId="2" applyFont="1" applyBorder="1" applyAlignment="1">
      <alignment horizontal="center" vertical="center"/>
    </xf>
    <xf numFmtId="0" fontId="30" fillId="0" borderId="17" xfId="0" applyFont="1" applyBorder="1" applyAlignment="1">
      <alignment horizontal="center"/>
    </xf>
    <xf numFmtId="44" fontId="30" fillId="0" borderId="17" xfId="2" applyFont="1" applyBorder="1" applyAlignment="1">
      <alignment horizontal="center"/>
    </xf>
    <xf numFmtId="0" fontId="0" fillId="12" borderId="20" xfId="0" applyFill="1" applyBorder="1" applyAlignment="1">
      <alignment horizontal="center"/>
    </xf>
    <xf numFmtId="0" fontId="0" fillId="0" borderId="20" xfId="0" applyBorder="1" applyAlignment="1">
      <alignment horizontal="center"/>
    </xf>
    <xf numFmtId="44" fontId="0" fillId="0" borderId="20" xfId="2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44" fontId="27" fillId="0" borderId="26" xfId="0" applyNumberFormat="1" applyFont="1" applyBorder="1"/>
    <xf numFmtId="0" fontId="2" fillId="0" borderId="17" xfId="0" applyFont="1" applyBorder="1"/>
    <xf numFmtId="44" fontId="2" fillId="0" borderId="17" xfId="0" applyNumberFormat="1" applyFont="1" applyBorder="1"/>
    <xf numFmtId="170" fontId="0" fillId="0" borderId="17" xfId="0" applyNumberFormat="1" applyBorder="1"/>
    <xf numFmtId="170" fontId="2" fillId="0" borderId="17" xfId="0" applyNumberFormat="1" applyFont="1" applyBorder="1"/>
  </cellXfs>
  <cellStyles count="8">
    <cellStyle name="Comma" xfId="1" builtinId="3"/>
    <cellStyle name="Comma 15" xfId="7"/>
    <cellStyle name="Comma 2" xfId="4"/>
    <cellStyle name="Comma 4 2 3" xfId="6"/>
    <cellStyle name="Currency" xfId="2" builtinId="4"/>
    <cellStyle name="Normal" xfId="0" builtinId="0"/>
    <cellStyle name="Normal 5 2" xfId="5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lueleo%20-%20DPR%20-%2029012025%20SK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dy\d\My%20Documents\AAGJ%20AUDIT\AAGJ-04\Audit_03-04\Audit%2003-04\Financials\Schedule%20VI%20-%2003-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USERVER\homes\Documents%20and%20Settings\Rooya\Local%20Settings\Temporary%20Internet%20Files\Content.IE5\8AXTZIWK\to%20be%20filed%20back%20to%20acc%200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finance%20data\DOCUME~1\AMANDE~1\LOCALS~1\Temp\WINNT\Profiles\satishkumar\Local%20Settings\Temporary%20Internet%20Files\OLK8\WS%20%20Plan%20%20ver11%20with%20citadel%20and%20rat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finance%20data\DOCUME~1\AMANDE~1\LOCALS~1\Temp\Srikanth%20s%20backup\d%20of%20srikanth\Srikanth\Data\Nov-2001%20MIS\Cost%20element%20Maping-Nov'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ail.ujwal.net/DOCUME~1/finance/LOCALS~1/Temp/Purchase%20Orde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\nvg%20data\Users\navbhullar\Documents\Microsoft%20User%20Data\Saved%20Attachments\Project%20Ignite\Project%20Ignite%202004-11-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USERVER\Companies\Documents%20and%20Settings\Articles\Desktop\Pen%20Drive\Aurigene%20(Latest%2025.11.2006)\Financials%20&amp;%20Workings%20KPMG\Schedule%20VI%202006%203%20July%20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USERVER\homes\Statutory%20Audits\Valuedesign%20build%20Pvt%20Ltd\2004-05\Latest%20Sep%2003,%202005\Accounts%200405afte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cr\SDU\2004-2005\Draft%20pack\Accounts%20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New\Audit\KSPL%202010-11\KSPL%202011%20Finalisation\ksplversion3\KSPl%202010-11v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asamykoteswa\e\WINNT\Profiles\satishkumar\Local%20Settings\Temporary%20Internet%20Files\OLK8\WS%20%20Plan%20%20ver11%20with%20citadel%20and%20rat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asamykoteswa\e\D%20drive%20%20data\Medsys\H.I.S\2002%20OP%20&amp;%20MIS\Qtr%2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NGHVI_DEV_UNNI\VOL1\USERS\AUDITS\TAX\44AB\ELITE_AG\1998-99\EAWFIN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\MIS\MIS%20Report\MIS%20-%20March%20200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userver\data\home\Companies\Statutory%20Audits\Jayem%20Trade%20Private%20Limited\2007-08\Tax%20Audit\Form%20No.3CD%20TRAD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hnh\My%20Documents\2001\Asia%20Pacific\Plan\5Y_v2.1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USERVER\Companies\Statutory%20Audits\Austin%20Medical%20Solutions%20Pvt%20Ltd\2006\March%2031,%202006\Final%20Accounts\Accounts%2031.3.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\MIS\MIS%20Report\MIS%20-%20November%20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asamykoteswa\E\Ramasamy%20Koteswara%20Rao%20&amp;%20co-2006\Pending%20efilings\Bikshapathy%20Group\Form1%20ver1.0.4%20-%20SGC%20INFOTECH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\MIS\MIS%20Report\MIS%20-%20August%2020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\nvg%20data\Users\vijay\Desktop\Hazzel%20Dairy\Chandra\2002-03%20AUDIT%20SCHE\FINANCIALS%20-%20APR02-MAR03INCL%20&amp;%20EX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NGHVI_DEV_UNNI\VOL4\STAT\SCARAB\1998-99\SCB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\nvg%20data\Users\vijay\Desktop\Hazzel%20Dairy\Chandra\Documents%20and%20Settings\administrator\Local%20Settings\Temporary%20Internet%20Files\Content.IE5\7C88GHDK\march2002-tax%20accoun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sserver\Insilica\Documents%20and%20Settings\Shabber\Local%20Settings\Temporary%20Internet%20Files\OLK1D3\Purchase%20Ord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\nvg%20data\Users\vijay\Desktop\Hazzel%20Dairy\Chandra\Documents%20and%20Settings\Praveen\Desktop\FINANCIALS%20-%20APR02-MAR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USERVER\Companies\Internal%20Audit\Aurigene\FY%202005-06\Financials%20&amp;%20Workings%20KPMG\Schedule%20VI%202006%203%20July%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asamykoteswa\e\Srikanth%20s%20backup\d%20of%20srikanth\Srikanth\Data\Nov-2001%20MIS\Cost%20element%20Maping-Nov'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\nvg%20data\Users\vijay\Desktop\Hazzel%20Dairy\Chandra\Documents%20and%20Settings\naveens\Local%20Settings\Temporary%20Internet%20Files\Content.IE5\PH1ANUUP\PP_Master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Project Heighlights"/>
      <sheetName val="Cap Assumptions"/>
      <sheetName val="BS PL CF"/>
      <sheetName val="FA"/>
      <sheetName val="repayment sch"/>
      <sheetName val="BEP"/>
      <sheetName val="Production detaiils"/>
      <sheetName val="Cost"/>
      <sheetName val="REVENUE DETAILS"/>
      <sheetName val="SUMMARY"/>
      <sheetName val="FEED PREPARATION"/>
      <sheetName val="BIOGAS PORTION"/>
      <sheetName val="GAS UPGRADATION"/>
      <sheetName val="GAS BOTTLING &amp; STORAGE"/>
      <sheetName val="EFFLUENT HANDL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BS"/>
      <sheetName val="PL"/>
      <sheetName val="BS-SCH"/>
      <sheetName val="CO-DEPN"/>
      <sheetName val="PL-SCH"/>
      <sheetName val="BS-GRP"/>
      <sheetName val="PL-GRP"/>
      <sheetName val="ABST"/>
      <sheetName val="COMP"/>
      <sheetName val="115JB"/>
      <sheetName val="115JB CERT"/>
      <sheetName val="IT-DEPN"/>
      <sheetName val="DEF TAX"/>
      <sheetName val="GRATUITY"/>
      <sheetName val="TDS "/>
      <sheetName val="TRIAL BALANCE"/>
      <sheetName val="Masters"/>
      <sheetName val="Schedule"/>
      <sheetName val="Ann -1"/>
      <sheetName val="BS-203"/>
      <sheetName val="97-98"/>
      <sheetName val="Consolidation"/>
      <sheetName val="Schedules PL"/>
      <sheetName val="Schedules BS"/>
      <sheetName val="Rates"/>
      <sheetName val="1. Lead"/>
      <sheetName val="#REF"/>
      <sheetName val="SNSITVE"/>
      <sheetName val="Variables"/>
      <sheetName val="Cost of Services"/>
      <sheetName val="Income Statement"/>
      <sheetName val="Shareholders' Equity"/>
      <sheetName val="Grant Ranges"/>
      <sheetName val="11-13-2001"/>
      <sheetName val="periodtbl"/>
      <sheetName val="fin_stmts 5Yr Model Format"/>
      <sheetName val="Equity Movement (Shares)"/>
      <sheetName val="Sheet1"/>
      <sheetName val="old_serial no."/>
      <sheetName val="tot_ass_9697"/>
      <sheetName val="외화금융(97-03)"/>
      <sheetName val="list of directo"/>
      <sheetName val="EBT"/>
      <sheetName val="2266957"/>
      <sheetName val="new_main_20K"/>
      <sheetName val="Final"/>
      <sheetName val="Summary-Price_New"/>
      <sheetName val="Sheet3"/>
      <sheetName val="AN-2K"/>
      <sheetName val="Switch V16"/>
      <sheetName val="Total Haryana POs AMC Sheet 3%"/>
      <sheetName val="delhi 03-04AMC @ 3%"/>
      <sheetName val="itemsdetails"/>
      <sheetName val="SPS DETAIL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recognition "/>
      <sheetName val="ochre pur04-05"/>
      <sheetName val="amber exp 04-05"/>
      <sheetName val="Russet 04-05"/>
      <sheetName val="touchdown 04-05"/>
      <sheetName val="Nusa Dua - Whitefield"/>
      <sheetName val="dummy"/>
      <sheetName val=" Depn income tax"/>
      <sheetName val="Comput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Value Designbuild Private Limited</v>
          </cell>
          <cell r="C2" t="str">
            <v>Status    : Pvt. Ltd. Company</v>
          </cell>
        </row>
        <row r="3">
          <cell r="B3" t="str">
            <v># 101/102, Parvathi Plaza,</v>
          </cell>
          <cell r="C3" t="str">
            <v>PAN       : AABVC5225C</v>
          </cell>
        </row>
        <row r="4">
          <cell r="B4" t="str">
            <v>105, Richmond Road, Bangalore - 560025</v>
          </cell>
          <cell r="C4" t="str">
            <v xml:space="preserve">Circle      : DCIT 12(4) </v>
          </cell>
        </row>
        <row r="5">
          <cell r="B5" t="str">
            <v>Previous year : 2002 -2003</v>
          </cell>
          <cell r="C5" t="str">
            <v>DOI        :  2nd Sept. 2002</v>
          </cell>
        </row>
        <row r="6">
          <cell r="B6" t="str">
            <v>Assessment year: 2003 -2004</v>
          </cell>
        </row>
        <row r="7">
          <cell r="B7" t="str">
            <v>Computation of taxable income and tax thereon</v>
          </cell>
        </row>
        <row r="9">
          <cell r="B9" t="str">
            <v>1. Income from business or profession</v>
          </cell>
        </row>
        <row r="11">
          <cell r="B11" t="str">
            <v xml:space="preserve"> Profit (loss) as per profit and loss account </v>
          </cell>
          <cell r="D11" t="e">
            <v>#REF!</v>
          </cell>
        </row>
        <row r="13">
          <cell r="B13" t="str">
            <v>Add: Inadmissibles</v>
          </cell>
        </row>
        <row r="14">
          <cell r="B14" t="str">
            <v xml:space="preserve">   - Depreciation as per Companies Act</v>
          </cell>
          <cell r="C14">
            <v>496309.2831030137</v>
          </cell>
        </row>
        <row r="15">
          <cell r="B15" t="str">
            <v xml:space="preserve">   - Preliminary expenses written off</v>
          </cell>
          <cell r="C15">
            <v>11908.6</v>
          </cell>
          <cell r="D15">
            <v>508217.88310301368</v>
          </cell>
        </row>
        <row r="17">
          <cell r="B17" t="str">
            <v>Less: Admissibles and income considered separately</v>
          </cell>
        </row>
        <row r="18">
          <cell r="B18" t="str">
            <v xml:space="preserve">   - Depreciation as per Income tax Act as per section 32 (2)</v>
          </cell>
          <cell r="C18" t="e">
            <v>#REF!</v>
          </cell>
        </row>
        <row r="19">
          <cell r="B19" t="str">
            <v xml:space="preserve">   - Preliminary expenses written off U/s 35D</v>
          </cell>
          <cell r="C19">
            <v>11908.6</v>
          </cell>
          <cell r="D19" t="e">
            <v>#REF!</v>
          </cell>
        </row>
        <row r="21">
          <cell r="B21" t="str">
            <v>Gross total Income</v>
          </cell>
          <cell r="D21" t="e">
            <v>#REF!</v>
          </cell>
        </row>
        <row r="23">
          <cell r="B23" t="str">
            <v>Taxable Income</v>
          </cell>
          <cell r="D23" t="e">
            <v>#REF!</v>
          </cell>
        </row>
        <row r="25">
          <cell r="B25" t="str">
            <v>Tax thereon</v>
          </cell>
          <cell r="D25">
            <v>0</v>
          </cell>
        </row>
        <row r="26">
          <cell r="B26" t="str">
            <v>Surcharge @ 5%</v>
          </cell>
          <cell r="D26">
            <v>0</v>
          </cell>
        </row>
        <row r="27">
          <cell r="D27">
            <v>0</v>
          </cell>
        </row>
        <row r="29">
          <cell r="B29" t="str">
            <v>Less: Tax deducted at source</v>
          </cell>
          <cell r="C29">
            <v>0</v>
          </cell>
          <cell r="D29">
            <v>0</v>
          </cell>
        </row>
        <row r="30">
          <cell r="D30">
            <v>0</v>
          </cell>
        </row>
        <row r="31">
          <cell r="B31" t="str">
            <v>Less: Advance tax</v>
          </cell>
        </row>
        <row r="32">
          <cell r="B32">
            <v>37421</v>
          </cell>
          <cell r="C32">
            <v>0</v>
          </cell>
        </row>
        <row r="33">
          <cell r="B33">
            <v>37512</v>
          </cell>
          <cell r="C33">
            <v>0</v>
          </cell>
        </row>
        <row r="34">
          <cell r="B34">
            <v>37603</v>
          </cell>
          <cell r="C34">
            <v>0</v>
          </cell>
        </row>
        <row r="35">
          <cell r="B35">
            <v>37692</v>
          </cell>
          <cell r="C35">
            <v>0</v>
          </cell>
          <cell r="D35">
            <v>0</v>
          </cell>
        </row>
        <row r="36">
          <cell r="D36">
            <v>0</v>
          </cell>
        </row>
        <row r="37">
          <cell r="B37" t="str">
            <v>Add: Interest U/s 234B</v>
          </cell>
          <cell r="C37">
            <v>0</v>
          </cell>
        </row>
        <row r="38">
          <cell r="B38" t="str">
            <v>Add: Interest U/s 234C</v>
          </cell>
          <cell r="C38">
            <v>0</v>
          </cell>
          <cell r="D38">
            <v>0</v>
          </cell>
        </row>
        <row r="39">
          <cell r="B39" t="str">
            <v>Balance Paid U/S 140A on</v>
          </cell>
          <cell r="D39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uster Mapping"/>
      <sheetName val="Rate sheet"/>
      <sheetName val="Sales Wipro HCIT"/>
      <sheetName val="COS Wipro HCIT"/>
      <sheetName val="Support cost Wipro HCIT"/>
      <sheetName val="Manpower No. Wipro HCIT"/>
      <sheetName val="Support cost BPO-CPO"/>
      <sheetName val="COS  BPO-CPO"/>
      <sheetName val="Sales  BPO-CPO"/>
      <sheetName val="Support cost DD"/>
      <sheetName val="COS  DD"/>
      <sheetName val="Sales  DD"/>
      <sheetName val="Support cost LS"/>
      <sheetName val="COS LS"/>
      <sheetName val="Sales LS"/>
      <sheetName val="P&amp;L"/>
      <sheetName val="Sales HC"/>
      <sheetName val="COS HC"/>
      <sheetName val="Support cost HC"/>
      <sheetName val="BALANCE SHEET"/>
      <sheetName val="FUNDFLOW"/>
      <sheetName val="PPT"/>
      <sheetName val="Capex"/>
      <sheetName val="Assumptions"/>
      <sheetName val="Sheet1"/>
      <sheetName val="Corp Format"/>
      <sheetName val="P&amp;L Consol"/>
      <sheetName val="P&amp;L HC"/>
      <sheetName val="P&amp;L LS"/>
      <sheetName val="P&amp;L DD"/>
      <sheetName val="P&amp;L BPO-CPO"/>
      <sheetName val="P&amp;L Biomed"/>
      <sheetName val="P&amp;L Cen Sup"/>
      <sheetName val="P&amp;L Wipro HCIT"/>
      <sheetName val="Joydeep"/>
      <sheetName val="Cen Supp Costs"/>
      <sheetName val="Manpower Consol"/>
      <sheetName val="Manpower No. HC"/>
      <sheetName val="Manpower No. LS"/>
      <sheetName val="Manpower No. DD"/>
      <sheetName val="Manpower c Support"/>
      <sheetName val="Manpower No. BPO-CPO"/>
      <sheetName val="HRZ"/>
      <sheetName val="Manpower Cost"/>
      <sheetName val="Comm"/>
      <sheetName val="Geo-Sal inv"/>
      <sheetName val="Rev,MM&amp;Rat sum"/>
      <sheetName val="Cont analy"/>
      <sheetName val="Ver-Geowise mm"/>
      <sheetName val="Ver-Geowise mm sum"/>
      <sheetName val="Business Visa"/>
      <sheetName val="Work Permit"/>
      <sheetName val="Intl cost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-KALM"/>
      <sheetName val="vertical"/>
      <sheetName val="Service Function"/>
      <sheetName val="DC"/>
      <sheetName val="Marketing"/>
      <sheetName val="891&amp;salesadj"/>
      <sheetName val="CONTNREPT"/>
      <sheetName val="Contrib-rawdata"/>
      <sheetName val="sales file"/>
      <sheetName val="Sales file $"/>
      <sheetName val="Sales file Rs."/>
      <sheetName val="loading"/>
      <sheetName val="Loading Details"/>
      <sheetName val="Loading Rawdata"/>
      <sheetName val="PDD Nov'01"/>
      <sheetName val="capital charge"/>
      <sheetName val="ME List"/>
      <sheetName val="PBT Reco"/>
      <sheetName val="FUNDFLOW"/>
      <sheetName val="Sheet1"/>
      <sheetName val="BULook"/>
      <sheetName val="合成単価作成__BLDG"/>
      <sheetName val="chitimc"/>
      <sheetName val="Projections (2)"/>
      <sheetName val="Cost Centre Xref"/>
      <sheetName val="#REF"/>
      <sheetName val="ML DRS"/>
      <sheetName val="YTD Revenue"/>
      <sheetName val="diffbetphy&amp;stock"/>
      <sheetName val="Cost element Maping-Nov'01"/>
    </sheetNames>
    <sheetDataSet>
      <sheetData sheetId="0">
        <row r="7">
          <cell r="C7">
            <v>812204</v>
          </cell>
        </row>
      </sheetData>
      <sheetData sheetId="1"/>
      <sheetData sheetId="2" refreshError="1">
        <row r="7">
          <cell r="C7">
            <v>812204</v>
          </cell>
        </row>
        <row r="130">
          <cell r="J130">
            <v>9100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67309</v>
          </cell>
        </row>
        <row r="136">
          <cell r="J136">
            <v>2100</v>
          </cell>
        </row>
        <row r="137">
          <cell r="J137">
            <v>-39808.53</v>
          </cell>
        </row>
        <row r="138">
          <cell r="J138">
            <v>-894054.43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Customize Your Purchase Order"/>
      <sheetName val="Bangalore"/>
      <sheetName val="Coimbatore"/>
      <sheetName val="Macros"/>
      <sheetName val="ATW"/>
      <sheetName val="Lock"/>
      <sheetName val="Intl Data Table"/>
      <sheetName val="TemplateInformation"/>
      <sheetName val="Computation"/>
      <sheetName val="Pivots"/>
      <sheetName val="School I _ E "/>
      <sheetName val="Cover"/>
      <sheetName val="Actual Input"/>
      <sheetName val="PECVD"/>
      <sheetName val="Bus Mgmt"/>
      <sheetName val="commit"/>
      <sheetName val="Disruptive "/>
      <sheetName val="ELK"/>
      <sheetName val="ECURE"/>
      <sheetName val="HDP"/>
      <sheetName val="HQ"/>
      <sheetName val="LowK"/>
      <sheetName val="Module"/>
      <sheetName val="Ops"/>
      <sheetName val="Support"/>
      <sheetName val="TPS"/>
      <sheetName val="Balance Sheet "/>
      <sheetName val="Tools Rev"/>
      <sheetName val="Ref Category"/>
      <sheetName val="Ref Employee"/>
      <sheetName val="Ref Entity Code"/>
      <sheetName val="Purchase Order"/>
      <sheetName val="BRP&amp;L"/>
      <sheetName val="ExtCur"/>
      <sheetName val="Master"/>
      <sheetName val="pukhraj (HUF)"/>
      <sheetName val="Sheet5"/>
    </sheetNames>
    <sheetDataSet>
      <sheetData sheetId="0">
        <row r="23">
          <cell r="H23" t="str">
            <v>Credit Card #1</v>
          </cell>
        </row>
      </sheetData>
      <sheetData sheetId="1" refreshError="1">
        <row r="23">
          <cell r="H23" t="str">
            <v>Credit Card #1</v>
          </cell>
        </row>
        <row r="24">
          <cell r="H24" t="str">
            <v>Credit Card #2</v>
          </cell>
        </row>
        <row r="25">
          <cell r="H25" t="str">
            <v>Credit Card #3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Ignite"/>
      <sheetName val="Recruiters"/>
      <sheetName val="Ali - Dec 8"/>
      <sheetName val="Kirit - Dec 8"/>
      <sheetName val="India - Startup"/>
      <sheetName val="India - Employees"/>
      <sheetName val="India - Jay Setup Costs"/>
      <sheetName val="Jay Post SJ Headcount"/>
      <sheetName val="Jay Headcount Detail"/>
      <sheetName val="Overhead Expenses"/>
      <sheetName val="Jay Twyford"/>
      <sheetName val="SP Sales Staff Budget"/>
      <sheetName val="SP Overview"/>
      <sheetName val="SP Costs"/>
      <sheetName val="SP All India Budget"/>
      <sheetName val="Production"/>
      <sheetName val="SP Kar"/>
      <sheetName val="SP West"/>
      <sheetName val="SP East"/>
      <sheetName val="SP Tamil Nadu"/>
      <sheetName val="SP North India"/>
      <sheetName val="SP Kerala"/>
      <sheetName val="SP AP"/>
    </sheetNames>
    <sheetDataSet>
      <sheetData sheetId="0">
        <row r="36">
          <cell r="B36">
            <v>43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Schedules BS"/>
      <sheetName val="Sch-7"/>
      <sheetName val="Schedules PL"/>
      <sheetName val="Cash Flow"/>
      <sheetName val="PartIV"/>
      <sheetName val="TB06"/>
      <sheetName val="TB05"/>
      <sheetName val="TB04"/>
      <sheetName val="TB03"/>
      <sheetName val="Sec 212"/>
      <sheetName val="TaxComputMarch06"/>
      <sheetName val="ITDprn"/>
      <sheetName val="Segment"/>
      <sheetName val="EPS"/>
    </sheetNames>
    <sheetDataSet>
      <sheetData sheetId="0">
        <row r="1">
          <cell r="C1">
            <v>38807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ing"/>
      <sheetName val="Annex for SD (TB)"/>
      <sheetName val="TB"/>
      <sheetName val="abstract"/>
      <sheetName val="BS"/>
      <sheetName val="P L"/>
      <sheetName val="Sch BS"/>
      <sheetName val="Sch PL"/>
      <sheetName val="Groupings BS"/>
      <sheetName val="Groupings P L"/>
      <sheetName val="inventory"/>
      <sheetName val="Fix assets"/>
      <sheetName val="FLAP"/>
      <sheetName val="Borrowing Cost"/>
      <sheetName val=" Depn income tax "/>
      <sheetName val="Depreciation Additions"/>
      <sheetName val="Computation"/>
      <sheetName val="tax details"/>
      <sheetName val="AS22"/>
      <sheetName val="servicetax"/>
      <sheetName val="TrialBal (2)"/>
      <sheetName val="Trial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 L"/>
      <sheetName val="Sch BS"/>
      <sheetName val="Sch PL"/>
      <sheetName val="Groupings BS"/>
      <sheetName val="Groupings P L"/>
      <sheetName val="rough"/>
      <sheetName val="TB"/>
      <sheetName val="Annex for SD (TB)"/>
      <sheetName val="revenue recognition "/>
      <sheetName val="ochre pur04-05"/>
      <sheetName val="amber exp 04-05"/>
      <sheetName val="Russet 04-05"/>
      <sheetName val="touchdown 04-05"/>
      <sheetName val="Nusa Dua - Whitefield"/>
      <sheetName val="AS16"/>
      <sheetName val="Fix assets"/>
      <sheetName val="Depreciation Additions"/>
      <sheetName val="dummy"/>
      <sheetName val=" Depn income tax"/>
      <sheetName val="Computation"/>
      <sheetName val="TrialBal (2)"/>
      <sheetName val="TrialBal"/>
      <sheetName val="sq.ft"/>
    </sheetNames>
    <sheetDataSet>
      <sheetData sheetId="0" refreshError="1"/>
      <sheetData sheetId="1" refreshError="1"/>
      <sheetData sheetId="2" refreshError="1">
        <row r="2">
          <cell r="A2" t="str">
            <v>Value Designbuild Private Limited</v>
          </cell>
        </row>
        <row r="4">
          <cell r="A4" t="str">
            <v xml:space="preserve">Schedules to Balance Sheet as at </v>
          </cell>
        </row>
        <row r="6">
          <cell r="A6" t="str">
            <v>Sl.</v>
          </cell>
          <cell r="B6" t="str">
            <v>Particulars</v>
          </cell>
          <cell r="C6">
            <v>38442</v>
          </cell>
          <cell r="D6">
            <v>38077</v>
          </cell>
        </row>
        <row r="7">
          <cell r="A7" t="str">
            <v>No.</v>
          </cell>
          <cell r="C7" t="str">
            <v>( Rs. )</v>
          </cell>
          <cell r="D7" t="str">
            <v>( Rs. )</v>
          </cell>
        </row>
      </sheetData>
      <sheetData sheetId="3" refreshError="1"/>
      <sheetData sheetId="4" refreshError="1">
        <row r="1">
          <cell r="A1" t="str">
            <v>Value Designbuild Private Limited</v>
          </cell>
        </row>
        <row r="3">
          <cell r="A3" t="str">
            <v>Groupings to schedules to Balance Sheet as at</v>
          </cell>
        </row>
        <row r="5">
          <cell r="A5" t="str">
            <v>Sl.</v>
          </cell>
          <cell r="B5" t="str">
            <v>Particulars</v>
          </cell>
          <cell r="C5">
            <v>38442</v>
          </cell>
          <cell r="D5">
            <v>37711</v>
          </cell>
        </row>
        <row r="6">
          <cell r="A6" t="str">
            <v>No.</v>
          </cell>
          <cell r="C6" t="str">
            <v>( Rs. )</v>
          </cell>
          <cell r="D6" t="str">
            <v>( Rs. )</v>
          </cell>
        </row>
        <row r="8">
          <cell r="B8" t="str">
            <v>SHARE CAPITAL</v>
          </cell>
        </row>
        <row r="10">
          <cell r="A10">
            <v>1.1000000000000001</v>
          </cell>
          <cell r="B10" t="str">
            <v>Koshy Varghese</v>
          </cell>
          <cell r="C10">
            <v>5000</v>
          </cell>
          <cell r="D10">
            <v>5000</v>
          </cell>
        </row>
        <row r="11">
          <cell r="B11" t="str">
            <v>V Jaganath</v>
          </cell>
          <cell r="C11">
            <v>47500</v>
          </cell>
          <cell r="D11">
            <v>47500</v>
          </cell>
        </row>
        <row r="12">
          <cell r="B12" t="str">
            <v>V Narasimhan</v>
          </cell>
          <cell r="C12">
            <v>47500</v>
          </cell>
          <cell r="D12">
            <v>47500</v>
          </cell>
        </row>
        <row r="14">
          <cell r="B14" t="str">
            <v>TOTAL</v>
          </cell>
          <cell r="C14">
            <v>100000</v>
          </cell>
          <cell r="D14">
            <v>100000</v>
          </cell>
        </row>
        <row r="16">
          <cell r="A16">
            <v>2.1</v>
          </cell>
          <cell r="B16" t="str">
            <v xml:space="preserve">UNSECURED LOANS </v>
          </cell>
        </row>
        <row r="18">
          <cell r="B18" t="str">
            <v>Directors' Current Account</v>
          </cell>
        </row>
        <row r="20">
          <cell r="B20" t="str">
            <v>V. Jaganath</v>
          </cell>
          <cell r="C20">
            <v>4319099</v>
          </cell>
          <cell r="D20">
            <v>4894099</v>
          </cell>
        </row>
        <row r="21">
          <cell r="B21" t="str">
            <v>V. Narasimhan</v>
          </cell>
          <cell r="C21">
            <v>4319100</v>
          </cell>
          <cell r="D21">
            <v>4894100</v>
          </cell>
        </row>
        <row r="22">
          <cell r="B22" t="str">
            <v>Sharath Hegde</v>
          </cell>
          <cell r="C22">
            <v>10000000</v>
          </cell>
        </row>
        <row r="23">
          <cell r="B23" t="str">
            <v>Anekal Samachar Kuppuswamy</v>
          </cell>
          <cell r="C23">
            <v>6611164</v>
          </cell>
        </row>
        <row r="25">
          <cell r="B25" t="str">
            <v>TOTAL</v>
          </cell>
          <cell r="C25">
            <v>25249363</v>
          </cell>
          <cell r="D25">
            <v>9788199</v>
          </cell>
          <cell r="E25">
            <v>1468229.8499999999</v>
          </cell>
        </row>
        <row r="27">
          <cell r="A27">
            <v>4.0999999999999996</v>
          </cell>
          <cell r="B27" t="str">
            <v>INVENTORIES</v>
          </cell>
        </row>
        <row r="29">
          <cell r="B29" t="str">
            <v>Work-in-progress</v>
          </cell>
        </row>
        <row r="30">
          <cell r="B30" t="str">
            <v>Purchase - Building Materials</v>
          </cell>
          <cell r="D30">
            <v>38699</v>
          </cell>
        </row>
        <row r="31">
          <cell r="B31" t="str">
            <v xml:space="preserve">Advertisement Charges </v>
          </cell>
          <cell r="D31">
            <v>8500</v>
          </cell>
        </row>
        <row r="32">
          <cell r="B32" t="str">
            <v>Borwell Drilling Charges</v>
          </cell>
          <cell r="C32">
            <v>0</v>
          </cell>
          <cell r="D32">
            <v>30478</v>
          </cell>
        </row>
        <row r="33">
          <cell r="B33" t="str">
            <v>Business Promotion Expenses</v>
          </cell>
          <cell r="C33">
            <v>0</v>
          </cell>
          <cell r="D33">
            <v>20500</v>
          </cell>
        </row>
        <row r="34">
          <cell r="B34" t="str">
            <v>Earth Excavation - OCHRE</v>
          </cell>
          <cell r="C34">
            <v>0</v>
          </cell>
          <cell r="D34">
            <v>54950</v>
          </cell>
        </row>
        <row r="35">
          <cell r="B35" t="str">
            <v>Ground Rent &amp; Taxes</v>
          </cell>
          <cell r="C35">
            <v>0</v>
          </cell>
          <cell r="D35">
            <v>12500</v>
          </cell>
        </row>
        <row r="36">
          <cell r="B36" t="str">
            <v>Labour Charges</v>
          </cell>
          <cell r="C36">
            <v>0</v>
          </cell>
          <cell r="D36">
            <v>13608</v>
          </cell>
        </row>
        <row r="37">
          <cell r="B37" t="str">
            <v>Maintenance-Sethuraman Flat</v>
          </cell>
          <cell r="C37">
            <v>0</v>
          </cell>
          <cell r="D37">
            <v>9500</v>
          </cell>
        </row>
        <row r="38">
          <cell r="B38" t="str">
            <v>Photocopy Charges</v>
          </cell>
          <cell r="C38">
            <v>0</v>
          </cell>
          <cell r="D38">
            <v>7211</v>
          </cell>
        </row>
        <row r="39">
          <cell r="B39" t="str">
            <v>Rates &amp; Taxes - OCHRE</v>
          </cell>
          <cell r="C39">
            <v>0</v>
          </cell>
          <cell r="D39">
            <v>20087</v>
          </cell>
        </row>
        <row r="40">
          <cell r="B40" t="str">
            <v>Resale Tax</v>
          </cell>
          <cell r="C40">
            <v>0</v>
          </cell>
        </row>
        <row r="41">
          <cell r="B41" t="str">
            <v>Registration Charges</v>
          </cell>
          <cell r="C41">
            <v>0</v>
          </cell>
          <cell r="D41">
            <v>367200</v>
          </cell>
        </row>
        <row r="42">
          <cell r="B42" t="str">
            <v>Rent- Sethuraman Flat</v>
          </cell>
          <cell r="C42">
            <v>0</v>
          </cell>
          <cell r="D42">
            <v>30000</v>
          </cell>
        </row>
        <row r="43">
          <cell r="B43" t="str">
            <v>Repair - Major Sethuraman Flat</v>
          </cell>
          <cell r="C43">
            <v>0</v>
          </cell>
          <cell r="D43">
            <v>15900</v>
          </cell>
        </row>
        <row r="44">
          <cell r="B44" t="str">
            <v>Security Charges</v>
          </cell>
          <cell r="C44">
            <v>0</v>
          </cell>
          <cell r="D44">
            <v>9900</v>
          </cell>
        </row>
        <row r="45">
          <cell r="B45" t="str">
            <v>Site Expenses - Others</v>
          </cell>
          <cell r="C45">
            <v>0</v>
          </cell>
          <cell r="D45">
            <v>5624</v>
          </cell>
        </row>
        <row r="46">
          <cell r="B46" t="str">
            <v>Site Supervision charges</v>
          </cell>
          <cell r="C46">
            <v>0</v>
          </cell>
        </row>
        <row r="47">
          <cell r="B47" t="str">
            <v>Silk Granite &amp; kota stone work</v>
          </cell>
          <cell r="C47">
            <v>0</v>
          </cell>
        </row>
        <row r="48">
          <cell r="B48" t="str">
            <v>Soil Testing Charges</v>
          </cell>
          <cell r="C48">
            <v>0</v>
          </cell>
          <cell r="D48">
            <v>6250</v>
          </cell>
        </row>
        <row r="49">
          <cell r="B49" t="str">
            <v>Temperory Power Connection Charges</v>
          </cell>
          <cell r="C49">
            <v>0</v>
          </cell>
          <cell r="D49">
            <v>27376</v>
          </cell>
        </row>
        <row r="50">
          <cell r="B50" t="str">
            <v>Transportation Charges</v>
          </cell>
          <cell r="C50">
            <v>0</v>
          </cell>
          <cell r="D50">
            <v>125</v>
          </cell>
        </row>
        <row r="51">
          <cell r="B51" t="str">
            <v>Water Charges -OCHRE</v>
          </cell>
          <cell r="C51">
            <v>0</v>
          </cell>
          <cell r="D51">
            <v>115</v>
          </cell>
        </row>
        <row r="52">
          <cell r="B52" t="str">
            <v>Water Divining Charges</v>
          </cell>
          <cell r="C52">
            <v>0</v>
          </cell>
          <cell r="D52">
            <v>1000</v>
          </cell>
        </row>
        <row r="53">
          <cell r="B53" t="str">
            <v>Works Contract Tax</v>
          </cell>
          <cell r="C53">
            <v>0</v>
          </cell>
        </row>
        <row r="55">
          <cell r="B55" t="str">
            <v>Gandhi Bazar</v>
          </cell>
          <cell r="C55">
            <v>15650</v>
          </cell>
          <cell r="D55">
            <v>15650</v>
          </cell>
        </row>
        <row r="56">
          <cell r="B56" t="str">
            <v>Touch Down</v>
          </cell>
          <cell r="C56">
            <v>9911188</v>
          </cell>
          <cell r="D56">
            <v>8000</v>
          </cell>
        </row>
        <row r="57">
          <cell r="B57" t="str">
            <v>Russet</v>
          </cell>
          <cell r="C57">
            <v>0</v>
          </cell>
          <cell r="D57">
            <v>134287.79999999999</v>
          </cell>
        </row>
        <row r="58">
          <cell r="B58" t="str">
            <v>Ochre</v>
          </cell>
          <cell r="C58">
            <v>0</v>
          </cell>
          <cell r="D58">
            <v>6553468.5390736004</v>
          </cell>
          <cell r="E58">
            <v>11724763.359999999</v>
          </cell>
        </row>
        <row r="59">
          <cell r="B59" t="str">
            <v>Amber</v>
          </cell>
          <cell r="C59">
            <v>0</v>
          </cell>
          <cell r="D59">
            <v>1276972.55</v>
          </cell>
        </row>
        <row r="61">
          <cell r="B61" t="str">
            <v>TOTAL</v>
          </cell>
          <cell r="C61">
            <v>9926838</v>
          </cell>
          <cell r="D61">
            <v>7988378.8890736001</v>
          </cell>
          <cell r="E61">
            <v>12069681.710000001</v>
          </cell>
        </row>
        <row r="63">
          <cell r="A63">
            <v>5</v>
          </cell>
          <cell r="B63" t="str">
            <v>SUNDRY DEBTORS</v>
          </cell>
        </row>
        <row r="64">
          <cell r="B64" t="str">
            <v>Project - Ochre</v>
          </cell>
        </row>
        <row r="65">
          <cell r="B65" t="str">
            <v>Flat #001  Durga Parameswaran</v>
          </cell>
          <cell r="C65">
            <v>1824</v>
          </cell>
          <cell r="D65">
            <v>103097.5</v>
          </cell>
        </row>
        <row r="66">
          <cell r="B66" t="str">
            <v>Flat #002  Rakesh Julka</v>
          </cell>
          <cell r="C66">
            <v>54592</v>
          </cell>
          <cell r="D66">
            <v>2507487.75</v>
          </cell>
        </row>
        <row r="67">
          <cell r="B67" t="str">
            <v>Flat #102  Joseph Paul Thachil</v>
          </cell>
          <cell r="C67">
            <v>2618</v>
          </cell>
          <cell r="D67">
            <v>0</v>
          </cell>
        </row>
        <row r="68">
          <cell r="B68" t="str">
            <v>Flat #201  Susheel Nagarajan</v>
          </cell>
          <cell r="C68">
            <v>2618</v>
          </cell>
          <cell r="D68">
            <v>0</v>
          </cell>
        </row>
        <row r="69">
          <cell r="B69" t="str">
            <v>Flat #302  Krish Verma</v>
          </cell>
          <cell r="C69">
            <v>5236</v>
          </cell>
          <cell r="D69">
            <v>0</v>
          </cell>
        </row>
        <row r="70">
          <cell r="B70" t="str">
            <v xml:space="preserve">Flat #301  Alexandar William </v>
          </cell>
          <cell r="C70">
            <v>0</v>
          </cell>
        </row>
        <row r="72">
          <cell r="C72">
            <v>66888</v>
          </cell>
          <cell r="D72">
            <v>2610585.25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0">
          <cell r="D80">
            <v>0</v>
          </cell>
        </row>
        <row r="82">
          <cell r="B82" t="str">
            <v>Project - Russet</v>
          </cell>
        </row>
        <row r="83">
          <cell r="B83" t="str">
            <v>Avijit Baral</v>
          </cell>
          <cell r="C83">
            <v>590923.68000000005</v>
          </cell>
        </row>
        <row r="84">
          <cell r="B84" t="str">
            <v>S Swaminathan</v>
          </cell>
          <cell r="C84">
            <v>156403.48000000001</v>
          </cell>
        </row>
        <row r="85">
          <cell r="B85" t="str">
            <v>Abubackar Anwar</v>
          </cell>
          <cell r="C85">
            <v>1720676.65</v>
          </cell>
        </row>
        <row r="86">
          <cell r="B86" t="str">
            <v>V I Perumal</v>
          </cell>
          <cell r="C86">
            <v>44601.69</v>
          </cell>
        </row>
        <row r="88">
          <cell r="C88">
            <v>2512605.5</v>
          </cell>
          <cell r="D88">
            <v>0</v>
          </cell>
        </row>
        <row r="90">
          <cell r="A90">
            <v>7.1</v>
          </cell>
          <cell r="B90" t="str">
            <v>ADVANCE RECOVERABLE IN CASH OR IN KIND</v>
          </cell>
        </row>
        <row r="92">
          <cell r="B92" t="str">
            <v>ADVANCE TO LANDLORDS &amp; SUPPLIERS</v>
          </cell>
        </row>
        <row r="93">
          <cell r="B93" t="str">
            <v>Ochre</v>
          </cell>
        </row>
        <row r="95">
          <cell r="B95" t="str">
            <v>A K Jayan</v>
          </cell>
          <cell r="C95">
            <v>10000</v>
          </cell>
          <cell r="D95">
            <v>15000</v>
          </cell>
        </row>
        <row r="96">
          <cell r="B96" t="str">
            <v>Imperial Construction</v>
          </cell>
          <cell r="C96">
            <v>125000</v>
          </cell>
          <cell r="D96">
            <v>200000</v>
          </cell>
        </row>
        <row r="97">
          <cell r="B97" t="str">
            <v>Fisheye Creative Solutions Pvt Ltd</v>
          </cell>
          <cell r="C97">
            <v>0</v>
          </cell>
          <cell r="D97">
            <v>8645</v>
          </cell>
        </row>
        <row r="98">
          <cell r="B98" t="str">
            <v>Accent</v>
          </cell>
          <cell r="C98">
            <v>0</v>
          </cell>
          <cell r="D98">
            <v>18000</v>
          </cell>
        </row>
        <row r="99">
          <cell r="B99" t="str">
            <v>Load Controls ( I) Pvt Ltd</v>
          </cell>
          <cell r="C99">
            <v>0</v>
          </cell>
          <cell r="D99">
            <v>100000</v>
          </cell>
        </row>
        <row r="100">
          <cell r="B100" t="str">
            <v>SLV Gensets Power Systems</v>
          </cell>
          <cell r="C100">
            <v>0</v>
          </cell>
          <cell r="D100">
            <v>52000</v>
          </cell>
        </row>
        <row r="101">
          <cell r="B101" t="str">
            <v>Schindler</v>
          </cell>
          <cell r="C101">
            <v>110000</v>
          </cell>
        </row>
        <row r="102">
          <cell r="B102" t="str">
            <v>Vibin Enterprises</v>
          </cell>
          <cell r="C102">
            <v>781</v>
          </cell>
          <cell r="D102">
            <v>58000</v>
          </cell>
        </row>
        <row r="103">
          <cell r="B103" t="str">
            <v>Vishal Marbles</v>
          </cell>
          <cell r="C103">
            <v>0</v>
          </cell>
          <cell r="D103">
            <v>6640.2</v>
          </cell>
        </row>
        <row r="104">
          <cell r="C104">
            <v>245781</v>
          </cell>
        </row>
        <row r="105">
          <cell r="B105" t="str">
            <v>Amber</v>
          </cell>
        </row>
        <row r="107">
          <cell r="B107" t="str">
            <v>Umar Ismail Khan  -  Amber</v>
          </cell>
          <cell r="C107">
            <v>500000</v>
          </cell>
          <cell r="D107">
            <v>1500000</v>
          </cell>
        </row>
        <row r="117">
          <cell r="B117" t="str">
            <v>Russet</v>
          </cell>
        </row>
        <row r="118">
          <cell r="B118" t="str">
            <v>Grasim Industries Ltd.</v>
          </cell>
          <cell r="C118">
            <v>104950</v>
          </cell>
        </row>
        <row r="124">
          <cell r="B124" t="str">
            <v>Touchdown - HAL</v>
          </cell>
        </row>
        <row r="132">
          <cell r="B132" t="str">
            <v>Nusa Dua - Whitefield</v>
          </cell>
        </row>
        <row r="139">
          <cell r="C139">
            <v>245781</v>
          </cell>
          <cell r="D139">
            <v>1971570.2</v>
          </cell>
        </row>
        <row r="141">
          <cell r="B141" t="str">
            <v>ADVANCE TO EMPLOYEES</v>
          </cell>
        </row>
        <row r="143">
          <cell r="B143" t="str">
            <v>Koshy Verghese</v>
          </cell>
          <cell r="C143">
            <v>423255</v>
          </cell>
          <cell r="D143">
            <v>286230</v>
          </cell>
        </row>
        <row r="144">
          <cell r="C144">
            <v>423255</v>
          </cell>
          <cell r="D144">
            <v>286230</v>
          </cell>
        </row>
        <row r="146">
          <cell r="B146" t="str">
            <v>SUNDRY DEBTORS</v>
          </cell>
        </row>
        <row r="147">
          <cell r="B147" t="str">
            <v>Mediaway</v>
          </cell>
          <cell r="C147">
            <v>360</v>
          </cell>
        </row>
        <row r="148">
          <cell r="B148" t="str">
            <v>Civil Aid Technoclinic P Ltd</v>
          </cell>
          <cell r="C148">
            <v>2421</v>
          </cell>
        </row>
        <row r="149">
          <cell r="B149" t="str">
            <v>Ajay Computer and Services</v>
          </cell>
          <cell r="C149">
            <v>43244</v>
          </cell>
        </row>
        <row r="153">
          <cell r="C153">
            <v>46025</v>
          </cell>
        </row>
        <row r="155">
          <cell r="B155" t="str">
            <v>TOTAL</v>
          </cell>
          <cell r="C155">
            <v>715061</v>
          </cell>
          <cell r="D155">
            <v>2257800.2000000002</v>
          </cell>
        </row>
        <row r="157">
          <cell r="A157">
            <v>7.1999999999999993</v>
          </cell>
          <cell r="B157" t="str">
            <v>DEPOSIT WITH GOVERNMENT AUTHORITIES</v>
          </cell>
        </row>
        <row r="159">
          <cell r="B159" t="str">
            <v>Deposit -  BMP</v>
          </cell>
          <cell r="C159">
            <v>22750</v>
          </cell>
          <cell r="D159">
            <v>53490</v>
          </cell>
        </row>
        <row r="160">
          <cell r="B160" t="str">
            <v>Deposit -  BWSSB</v>
          </cell>
        </row>
        <row r="161">
          <cell r="B161" t="str">
            <v>Deposit - BESCOM</v>
          </cell>
        </row>
        <row r="162">
          <cell r="B162" t="str">
            <v>Sales Tax Deposit</v>
          </cell>
          <cell r="C162">
            <v>3000</v>
          </cell>
          <cell r="D162">
            <v>3000</v>
          </cell>
        </row>
        <row r="164">
          <cell r="B164" t="str">
            <v>TOTAL</v>
          </cell>
          <cell r="C164">
            <v>25750</v>
          </cell>
          <cell r="D164">
            <v>56490</v>
          </cell>
        </row>
        <row r="166">
          <cell r="A166">
            <v>7.2999999999999989</v>
          </cell>
          <cell r="B166" t="str">
            <v>DEPOSIT WITH OTHERS</v>
          </cell>
        </row>
        <row r="168">
          <cell r="B168" t="str">
            <v>Rent Deposit - Office</v>
          </cell>
          <cell r="C168">
            <v>380000</v>
          </cell>
          <cell r="D168">
            <v>180000</v>
          </cell>
        </row>
        <row r="169">
          <cell r="B169" t="str">
            <v>Rent Deposit - Koshy's Apartment</v>
          </cell>
          <cell r="C169">
            <v>0</v>
          </cell>
          <cell r="D169">
            <v>160000</v>
          </cell>
        </row>
        <row r="170">
          <cell r="B170" t="str">
            <v>Rent Deposit - Major Sethuraman's flat</v>
          </cell>
          <cell r="C170">
            <v>0</v>
          </cell>
          <cell r="D170">
            <v>100000</v>
          </cell>
        </row>
        <row r="171">
          <cell r="B171" t="str">
            <v>Deposit - Telephone</v>
          </cell>
          <cell r="C171">
            <v>4000</v>
          </cell>
          <cell r="D171">
            <v>3000</v>
          </cell>
        </row>
        <row r="173">
          <cell r="B173" t="str">
            <v>TOTAL</v>
          </cell>
          <cell r="C173">
            <v>384000</v>
          </cell>
          <cell r="D173">
            <v>443000</v>
          </cell>
        </row>
        <row r="175">
          <cell r="A175">
            <v>8.1</v>
          </cell>
          <cell r="B175" t="str">
            <v>OUTSTANDING LIABILITIES</v>
          </cell>
        </row>
        <row r="177">
          <cell r="B177" t="str">
            <v>Salary payable</v>
          </cell>
        </row>
        <row r="178">
          <cell r="B178" t="str">
            <v>Service Tax Payable</v>
          </cell>
          <cell r="C178">
            <v>331707</v>
          </cell>
        </row>
        <row r="179">
          <cell r="B179" t="str">
            <v>Salary payable</v>
          </cell>
          <cell r="C179">
            <v>204622</v>
          </cell>
          <cell r="D179">
            <v>112917</v>
          </cell>
        </row>
        <row r="180">
          <cell r="B180" t="str">
            <v>Salary Reimbursement payable</v>
          </cell>
          <cell r="C180">
            <v>120991</v>
          </cell>
          <cell r="D180">
            <v>107914</v>
          </cell>
        </row>
        <row r="181">
          <cell r="C181">
            <v>657320</v>
          </cell>
          <cell r="D181">
            <v>220831</v>
          </cell>
        </row>
        <row r="183">
          <cell r="B183" t="str">
            <v>TDS payable</v>
          </cell>
        </row>
        <row r="184">
          <cell r="B184" t="str">
            <v>TDS on Contract</v>
          </cell>
          <cell r="C184">
            <v>219866</v>
          </cell>
          <cell r="D184">
            <v>41912</v>
          </cell>
        </row>
        <row r="185">
          <cell r="B185" t="str">
            <v>TDS on Interest</v>
          </cell>
          <cell r="C185">
            <v>126732</v>
          </cell>
          <cell r="D185">
            <v>103572</v>
          </cell>
        </row>
        <row r="186">
          <cell r="B186" t="str">
            <v>TDS on Professional Fees</v>
          </cell>
          <cell r="C186">
            <v>160392</v>
          </cell>
          <cell r="D186">
            <v>22396</v>
          </cell>
        </row>
        <row r="187">
          <cell r="B187" t="str">
            <v>TDS on Rent</v>
          </cell>
          <cell r="C187">
            <v>3105</v>
          </cell>
          <cell r="D187">
            <v>2700</v>
          </cell>
        </row>
        <row r="188">
          <cell r="B188" t="str">
            <v>TDS on Salary</v>
          </cell>
          <cell r="C188">
            <v>5684</v>
          </cell>
          <cell r="D188">
            <v>31408</v>
          </cell>
        </row>
        <row r="189">
          <cell r="C189">
            <v>515779</v>
          </cell>
          <cell r="D189">
            <v>201988</v>
          </cell>
        </row>
        <row r="191">
          <cell r="B191" t="str">
            <v>Audit Fees Payable</v>
          </cell>
          <cell r="C191">
            <v>0</v>
          </cell>
          <cell r="D191">
            <v>27000</v>
          </cell>
        </row>
        <row r="192">
          <cell r="B192" t="str">
            <v>Interest Payable</v>
          </cell>
          <cell r="C192">
            <v>997504</v>
          </cell>
          <cell r="D192">
            <v>906882</v>
          </cell>
        </row>
        <row r="193">
          <cell r="B193" t="str">
            <v>Professional Tax payable</v>
          </cell>
          <cell r="C193">
            <v>1810</v>
          </cell>
          <cell r="D193">
            <v>930</v>
          </cell>
        </row>
        <row r="194">
          <cell r="B194" t="str">
            <v>Retention Money - Imperial Construction</v>
          </cell>
          <cell r="C194">
            <v>0</v>
          </cell>
          <cell r="D194">
            <v>202326.31</v>
          </cell>
        </row>
        <row r="198">
          <cell r="B198" t="str">
            <v>Director's Current A/c</v>
          </cell>
          <cell r="C198">
            <v>13513</v>
          </cell>
          <cell r="D198">
            <v>13666</v>
          </cell>
        </row>
        <row r="200">
          <cell r="B200" t="str">
            <v>TOTAL</v>
          </cell>
          <cell r="C200">
            <v>2185926</v>
          </cell>
          <cell r="D200">
            <v>1573623.31</v>
          </cell>
        </row>
        <row r="203">
          <cell r="A203">
            <v>8.1999999999999993</v>
          </cell>
          <cell r="B203" t="str">
            <v>PROVISIONS</v>
          </cell>
        </row>
        <row r="205">
          <cell r="B205" t="str">
            <v>Provision for Conveyance</v>
          </cell>
          <cell r="C205">
            <v>2931</v>
          </cell>
          <cell r="D205">
            <v>2931</v>
          </cell>
        </row>
        <row r="206">
          <cell r="B206" t="str">
            <v>Provision for Communication Expenses</v>
          </cell>
          <cell r="C206">
            <v>9532</v>
          </cell>
          <cell r="D206">
            <v>9532</v>
          </cell>
        </row>
        <row r="207">
          <cell r="B207" t="str">
            <v>Provision for Site Expenses</v>
          </cell>
          <cell r="C207">
            <v>3500</v>
          </cell>
          <cell r="D207">
            <v>3500</v>
          </cell>
        </row>
        <row r="208">
          <cell r="B208" t="str">
            <v>Provision for Architect Fees</v>
          </cell>
          <cell r="C208">
            <v>343442</v>
          </cell>
          <cell r="D208">
            <v>343442</v>
          </cell>
        </row>
        <row r="209">
          <cell r="B209" t="str">
            <v>Provision for other expenses</v>
          </cell>
          <cell r="C209">
            <v>274</v>
          </cell>
          <cell r="D209">
            <v>274</v>
          </cell>
        </row>
        <row r="210">
          <cell r="B210" t="str">
            <v>Provision for Postage &amp; Courier</v>
          </cell>
          <cell r="C210">
            <v>2151</v>
          </cell>
          <cell r="D210">
            <v>2151</v>
          </cell>
        </row>
        <row r="212">
          <cell r="C212">
            <v>361830</v>
          </cell>
          <cell r="D212">
            <v>361830</v>
          </cell>
        </row>
        <row r="215">
          <cell r="A215">
            <v>8.1999999999999993</v>
          </cell>
          <cell r="B215" t="str">
            <v>ADVANCE FROM CUSTOMERS</v>
          </cell>
        </row>
        <row r="217">
          <cell r="B217" t="str">
            <v>Project - Amber</v>
          </cell>
        </row>
        <row r="218">
          <cell r="B218" t="str">
            <v>Flat #001Abida Mushtaq Khan</v>
          </cell>
          <cell r="C218">
            <v>786420.34</v>
          </cell>
        </row>
        <row r="219">
          <cell r="B219" t="str">
            <v>Flat #102 Almas Haroon</v>
          </cell>
          <cell r="C219">
            <v>1414558.76</v>
          </cell>
        </row>
        <row r="220">
          <cell r="B220" t="str">
            <v>Flat #201 Asad Haque</v>
          </cell>
          <cell r="C220">
            <v>807351.1</v>
          </cell>
        </row>
        <row r="221">
          <cell r="B221" t="str">
            <v>Flat #102Ikramulla Khan</v>
          </cell>
          <cell r="C221">
            <v>1898497.79</v>
          </cell>
        </row>
        <row r="222">
          <cell r="B222" t="str">
            <v>Additional Work</v>
          </cell>
          <cell r="C222">
            <v>11000</v>
          </cell>
        </row>
        <row r="224">
          <cell r="C224">
            <v>4917827.99</v>
          </cell>
        </row>
        <row r="226">
          <cell r="C226">
            <v>0</v>
          </cell>
          <cell r="D226">
            <v>200000</v>
          </cell>
        </row>
        <row r="228">
          <cell r="B228" t="str">
            <v>Gandhi Bazar</v>
          </cell>
          <cell r="C228">
            <v>499996.66</v>
          </cell>
          <cell r="D228">
            <v>100000</v>
          </cell>
        </row>
        <row r="229">
          <cell r="F229">
            <v>300000</v>
          </cell>
        </row>
        <row r="230">
          <cell r="C230">
            <v>0</v>
          </cell>
          <cell r="D230">
            <v>0</v>
          </cell>
        </row>
        <row r="240">
          <cell r="C240">
            <v>0</v>
          </cell>
          <cell r="D240">
            <v>1700000</v>
          </cell>
        </row>
        <row r="244">
          <cell r="B244" t="str">
            <v>TOTAL</v>
          </cell>
          <cell r="C244">
            <v>10335652.640000001</v>
          </cell>
          <cell r="D244">
            <v>2379265.5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CFLOWS"/>
      <sheetName val="SCH 1, 2,3"/>
      <sheetName val="SCH 4"/>
      <sheetName val="SCH 5"/>
      <sheetName val="SCH 6,7"/>
      <sheetName val="SCH 8,9"/>
      <sheetName val="SCH 10,11"/>
      <sheetName val="SCH 12,13"/>
      <sheetName val="pivot"/>
      <sheetName val="KSPl 2010-11"/>
      <sheetName val="abstract"/>
      <sheetName val="115JB"/>
      <sheetName val="COI"/>
      <sheetName val="Variance Analysis Exp"/>
      <sheetName val="D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D1" t="str">
            <v>AcctCode</v>
          </cell>
          <cell r="E1" t="str">
            <v>AcctName</v>
          </cell>
          <cell r="F1" t="str">
            <v>Opening balance</v>
          </cell>
          <cell r="G1" t="str">
            <v>Debit</v>
          </cell>
          <cell r="H1" t="str">
            <v>Credit</v>
          </cell>
          <cell r="I1" t="str">
            <v>Closing Balance</v>
          </cell>
        </row>
        <row r="2">
          <cell r="D2">
            <v>204841</v>
          </cell>
          <cell r="E2" t="str">
            <v>Avery India Limited - Retention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D3">
            <v>501906</v>
          </cell>
          <cell r="E3" t="str">
            <v>Electricity Charges Corporate office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</row>
        <row r="4">
          <cell r="D4">
            <v>103221</v>
          </cell>
          <cell r="E4" t="str">
            <v>Approaches to Weigh Bridge</v>
          </cell>
          <cell r="F4">
            <v>984171</v>
          </cell>
          <cell r="G4">
            <v>0</v>
          </cell>
          <cell r="H4">
            <v>0</v>
          </cell>
          <cell r="I4">
            <v>984171</v>
          </cell>
        </row>
        <row r="5">
          <cell r="D5">
            <v>103223</v>
          </cell>
          <cell r="E5" t="str">
            <v>R&amp;D Yard Roads &amp; Culverts</v>
          </cell>
          <cell r="F5">
            <v>1751431</v>
          </cell>
          <cell r="G5">
            <v>0</v>
          </cell>
          <cell r="H5">
            <v>0</v>
          </cell>
          <cell r="I5">
            <v>1751431</v>
          </cell>
        </row>
        <row r="6">
          <cell r="D6">
            <v>103226</v>
          </cell>
          <cell r="E6" t="str">
            <v>Bldgs - S.Agent Waiting Hall</v>
          </cell>
          <cell r="F6">
            <v>62380</v>
          </cell>
          <cell r="G6">
            <v>0</v>
          </cell>
          <cell r="H6">
            <v>0</v>
          </cell>
          <cell r="I6">
            <v>62380</v>
          </cell>
        </row>
        <row r="7">
          <cell r="D7">
            <v>103235</v>
          </cell>
          <cell r="E7" t="str">
            <v>Drainage System- Kdwp</v>
          </cell>
          <cell r="F7">
            <v>19708534</v>
          </cell>
          <cell r="G7">
            <v>0</v>
          </cell>
          <cell r="H7">
            <v>0</v>
          </cell>
          <cell r="I7">
            <v>19708534</v>
          </cell>
        </row>
        <row r="8">
          <cell r="D8">
            <v>103237</v>
          </cell>
          <cell r="E8" t="str">
            <v>Guest House Security Post</v>
          </cell>
          <cell r="F8">
            <v>27000</v>
          </cell>
          <cell r="G8">
            <v>0</v>
          </cell>
          <cell r="H8">
            <v>0</v>
          </cell>
          <cell r="I8">
            <v>27000</v>
          </cell>
        </row>
        <row r="9">
          <cell r="D9">
            <v>103245</v>
          </cell>
          <cell r="E9" t="str">
            <v>Preoperative Exp - Bldg</v>
          </cell>
          <cell r="F9">
            <v>2049321</v>
          </cell>
          <cell r="G9">
            <v>0</v>
          </cell>
          <cell r="H9">
            <v>0</v>
          </cell>
          <cell r="I9">
            <v>2049321</v>
          </cell>
        </row>
        <row r="10">
          <cell r="D10">
            <v>103247</v>
          </cell>
          <cell r="E10" t="str">
            <v>Reefer Plug Points</v>
          </cell>
          <cell r="F10">
            <v>1346012</v>
          </cell>
          <cell r="G10">
            <v>0</v>
          </cell>
          <cell r="H10">
            <v>0</v>
          </cell>
          <cell r="I10">
            <v>1346012</v>
          </cell>
        </row>
        <row r="11">
          <cell r="D11">
            <v>103250</v>
          </cell>
          <cell r="E11" t="str">
            <v>RR Masonry Wall-Ril Yard</v>
          </cell>
          <cell r="F11">
            <v>213891</v>
          </cell>
          <cell r="G11">
            <v>0</v>
          </cell>
          <cell r="H11">
            <v>0</v>
          </cell>
          <cell r="I11">
            <v>213891</v>
          </cell>
        </row>
        <row r="12">
          <cell r="D12">
            <v>103251</v>
          </cell>
          <cell r="E12" t="str">
            <v>Toilets for Labour</v>
          </cell>
          <cell r="F12">
            <v>414599</v>
          </cell>
          <cell r="G12">
            <v>0</v>
          </cell>
          <cell r="H12">
            <v>0</v>
          </cell>
          <cell r="I12">
            <v>414599</v>
          </cell>
        </row>
        <row r="13">
          <cell r="D13">
            <v>103255</v>
          </cell>
          <cell r="E13" t="str">
            <v>Parking Shed at Jetty</v>
          </cell>
          <cell r="F13">
            <v>79990</v>
          </cell>
          <cell r="G13">
            <v>0</v>
          </cell>
          <cell r="H13">
            <v>0</v>
          </cell>
          <cell r="I13">
            <v>79990</v>
          </cell>
        </row>
        <row r="14">
          <cell r="D14">
            <v>103257</v>
          </cell>
          <cell r="E14" t="str">
            <v>Compound wall at 4th berth back up area</v>
          </cell>
          <cell r="F14">
            <v>1165114</v>
          </cell>
          <cell r="G14">
            <v>0</v>
          </cell>
          <cell r="H14">
            <v>0</v>
          </cell>
          <cell r="I14">
            <v>1165114</v>
          </cell>
        </row>
        <row r="15">
          <cell r="D15">
            <v>103264</v>
          </cell>
          <cell r="E15" t="str">
            <v>CC Road to Weigh Bridge 1</v>
          </cell>
          <cell r="F15">
            <v>0</v>
          </cell>
          <cell r="G15">
            <v>721679</v>
          </cell>
          <cell r="H15">
            <v>0</v>
          </cell>
          <cell r="I15">
            <v>721679</v>
          </cell>
        </row>
        <row r="16">
          <cell r="D16">
            <v>103596</v>
          </cell>
          <cell r="E16" t="str">
            <v>Osv Berth</v>
          </cell>
          <cell r="F16">
            <v>279651346</v>
          </cell>
          <cell r="G16">
            <v>0</v>
          </cell>
          <cell r="H16">
            <v>0</v>
          </cell>
          <cell r="I16">
            <v>279651346</v>
          </cell>
        </row>
        <row r="17">
          <cell r="D17">
            <v>103556</v>
          </cell>
          <cell r="E17" t="str">
            <v>4th Berth civil works</v>
          </cell>
          <cell r="F17">
            <v>524495703</v>
          </cell>
          <cell r="G17">
            <v>0</v>
          </cell>
          <cell r="H17">
            <v>0</v>
          </cell>
          <cell r="I17">
            <v>524495703</v>
          </cell>
        </row>
        <row r="18">
          <cell r="D18">
            <v>103200</v>
          </cell>
          <cell r="E18" t="str">
            <v>COMPOUND WALL</v>
          </cell>
          <cell r="F18">
            <v>2423959</v>
          </cell>
          <cell r="G18">
            <v>0</v>
          </cell>
          <cell r="H18">
            <v>0</v>
          </cell>
          <cell r="I18">
            <v>2423959</v>
          </cell>
        </row>
        <row r="19">
          <cell r="D19">
            <v>103201</v>
          </cell>
          <cell r="E19" t="str">
            <v>WATCH TOWERS</v>
          </cell>
          <cell r="F19">
            <v>1061522</v>
          </cell>
          <cell r="G19">
            <v>0</v>
          </cell>
          <cell r="H19">
            <v>0</v>
          </cell>
          <cell r="I19">
            <v>1061522</v>
          </cell>
        </row>
        <row r="20">
          <cell r="D20">
            <v>103225</v>
          </cell>
          <cell r="E20" t="str">
            <v>Roads Back Up Area</v>
          </cell>
          <cell r="F20">
            <v>36476115</v>
          </cell>
          <cell r="G20">
            <v>0</v>
          </cell>
          <cell r="H20">
            <v>0</v>
          </cell>
          <cell r="I20">
            <v>36476115</v>
          </cell>
        </row>
        <row r="21">
          <cell r="D21">
            <v>103227</v>
          </cell>
          <cell r="E21" t="str">
            <v>Bollards</v>
          </cell>
          <cell r="F21">
            <v>216657</v>
          </cell>
          <cell r="G21">
            <v>0</v>
          </cell>
          <cell r="H21">
            <v>0</v>
          </cell>
          <cell r="I21">
            <v>216657</v>
          </cell>
        </row>
        <row r="22">
          <cell r="D22">
            <v>103229</v>
          </cell>
          <cell r="E22" t="str">
            <v>Building - ONGC</v>
          </cell>
          <cell r="F22">
            <v>117722</v>
          </cell>
          <cell r="G22">
            <v>0</v>
          </cell>
          <cell r="H22">
            <v>0</v>
          </cell>
          <cell r="I22">
            <v>117722</v>
          </cell>
        </row>
        <row r="23">
          <cell r="D23">
            <v>103234</v>
          </cell>
          <cell r="E23" t="str">
            <v>Canteen Building at R&amp;D Yard</v>
          </cell>
          <cell r="F23">
            <v>3755715</v>
          </cell>
          <cell r="G23">
            <v>0</v>
          </cell>
          <cell r="H23">
            <v>0</v>
          </cell>
          <cell r="I23">
            <v>3755715</v>
          </cell>
        </row>
        <row r="24">
          <cell r="D24">
            <v>103239</v>
          </cell>
          <cell r="E24" t="str">
            <v>New Office Space</v>
          </cell>
          <cell r="F24">
            <v>1898411</v>
          </cell>
          <cell r="G24">
            <v>0</v>
          </cell>
          <cell r="H24">
            <v>0</v>
          </cell>
          <cell r="I24">
            <v>1898411</v>
          </cell>
        </row>
        <row r="25">
          <cell r="D25">
            <v>103244</v>
          </cell>
          <cell r="E25" t="str">
            <v>Power Room, Dg Set Room at R&amp;D Yard</v>
          </cell>
          <cell r="F25">
            <v>920000</v>
          </cell>
          <cell r="G25">
            <v>0</v>
          </cell>
          <cell r="H25">
            <v>0</v>
          </cell>
          <cell r="I25">
            <v>920000</v>
          </cell>
        </row>
        <row r="26">
          <cell r="D26">
            <v>103249</v>
          </cell>
          <cell r="E26" t="str">
            <v>RR Masonry Wall</v>
          </cell>
          <cell r="F26">
            <v>249117</v>
          </cell>
          <cell r="G26">
            <v>0</v>
          </cell>
          <cell r="H26">
            <v>0</v>
          </cell>
          <cell r="I26">
            <v>249117</v>
          </cell>
        </row>
        <row r="27">
          <cell r="D27">
            <v>103259</v>
          </cell>
          <cell r="E27" t="str">
            <v>Substation Building 1st Floor - Osv</v>
          </cell>
          <cell r="F27">
            <v>2222982</v>
          </cell>
          <cell r="G27">
            <v>0</v>
          </cell>
          <cell r="H27">
            <v>0</v>
          </cell>
          <cell r="I27">
            <v>2222982</v>
          </cell>
        </row>
        <row r="28">
          <cell r="D28">
            <v>103262</v>
          </cell>
          <cell r="E28" t="str">
            <v>Warehouse &amp; Bulkplant in OSV Backup area</v>
          </cell>
          <cell r="F28">
            <v>0</v>
          </cell>
          <cell r="G28">
            <v>8837631</v>
          </cell>
          <cell r="H28">
            <v>0</v>
          </cell>
          <cell r="I28">
            <v>8837631</v>
          </cell>
        </row>
        <row r="29">
          <cell r="D29">
            <v>103266</v>
          </cell>
          <cell r="E29" t="str">
            <v>Roads 1250M long in 4th Berth backup area</v>
          </cell>
          <cell r="F29">
            <v>0</v>
          </cell>
          <cell r="G29">
            <v>8667823</v>
          </cell>
          <cell r="H29">
            <v>0</v>
          </cell>
          <cell r="I29">
            <v>8667823</v>
          </cell>
        </row>
        <row r="30">
          <cell r="D30">
            <v>103268</v>
          </cell>
          <cell r="E30" t="str">
            <v>Store Room and parking shed  for HSE</v>
          </cell>
          <cell r="F30">
            <v>0</v>
          </cell>
          <cell r="G30">
            <v>192000</v>
          </cell>
          <cell r="H30">
            <v>0</v>
          </cell>
          <cell r="I30">
            <v>192000</v>
          </cell>
        </row>
        <row r="31">
          <cell r="D31">
            <v>103597</v>
          </cell>
          <cell r="E31" t="str">
            <v>Osv Pipe Trench</v>
          </cell>
          <cell r="F31">
            <v>12018030</v>
          </cell>
          <cell r="G31">
            <v>0</v>
          </cell>
          <cell r="H31">
            <v>0</v>
          </cell>
          <cell r="I31">
            <v>12018030</v>
          </cell>
        </row>
        <row r="32">
          <cell r="D32">
            <v>103222</v>
          </cell>
          <cell r="E32" t="str">
            <v>Middle Road &amp; Access Road</v>
          </cell>
          <cell r="F32">
            <v>17318259</v>
          </cell>
          <cell r="G32">
            <v>0</v>
          </cell>
          <cell r="H32">
            <v>0</v>
          </cell>
          <cell r="I32">
            <v>17318259</v>
          </cell>
        </row>
        <row r="33">
          <cell r="D33">
            <v>103228</v>
          </cell>
          <cell r="E33" t="str">
            <v>Building - Cairn  Energy</v>
          </cell>
          <cell r="F33">
            <v>128598</v>
          </cell>
          <cell r="G33">
            <v>0</v>
          </cell>
          <cell r="H33">
            <v>0</v>
          </cell>
          <cell r="I33">
            <v>128598</v>
          </cell>
        </row>
        <row r="34">
          <cell r="D34">
            <v>103230</v>
          </cell>
          <cell r="E34" t="str">
            <v>Building - Port Railway Office</v>
          </cell>
          <cell r="F34">
            <v>704451</v>
          </cell>
          <cell r="G34">
            <v>0</v>
          </cell>
          <cell r="H34">
            <v>0</v>
          </cell>
          <cell r="I34">
            <v>704451</v>
          </cell>
        </row>
        <row r="35">
          <cell r="D35">
            <v>103231</v>
          </cell>
          <cell r="E35" t="str">
            <v>Building -(Ware house 3 etc.,)</v>
          </cell>
          <cell r="F35">
            <v>44400000</v>
          </cell>
          <cell r="G35">
            <v>3538989</v>
          </cell>
          <cell r="H35">
            <v>0</v>
          </cell>
          <cell r="I35">
            <v>47938989</v>
          </cell>
        </row>
        <row r="36">
          <cell r="D36">
            <v>103233</v>
          </cell>
          <cell r="E36" t="str">
            <v>Canteen Building at Back Up Area</v>
          </cell>
          <cell r="F36">
            <v>3143570</v>
          </cell>
          <cell r="G36">
            <v>0</v>
          </cell>
          <cell r="H36">
            <v>0</v>
          </cell>
          <cell r="I36">
            <v>3143570</v>
          </cell>
        </row>
        <row r="37">
          <cell r="D37">
            <v>103236</v>
          </cell>
          <cell r="E37" t="str">
            <v>First Leasing Assets- Buildings</v>
          </cell>
          <cell r="F37">
            <v>799866</v>
          </cell>
          <cell r="G37">
            <v>0</v>
          </cell>
          <cell r="H37">
            <v>0</v>
          </cell>
          <cell r="I37">
            <v>799866</v>
          </cell>
        </row>
        <row r="38">
          <cell r="D38">
            <v>103240</v>
          </cell>
          <cell r="E38" t="str">
            <v>New Office Space &amp; Conference Hall</v>
          </cell>
          <cell r="F38">
            <v>758011</v>
          </cell>
          <cell r="G38">
            <v>0</v>
          </cell>
          <cell r="H38">
            <v>0</v>
          </cell>
          <cell r="I38">
            <v>758011</v>
          </cell>
        </row>
        <row r="39">
          <cell r="D39">
            <v>103241</v>
          </cell>
          <cell r="E39" t="str">
            <v>North Backup Area - Culverts</v>
          </cell>
          <cell r="F39">
            <v>341817</v>
          </cell>
          <cell r="G39">
            <v>0</v>
          </cell>
          <cell r="H39">
            <v>0</v>
          </cell>
          <cell r="I39">
            <v>341817</v>
          </cell>
        </row>
        <row r="40">
          <cell r="D40">
            <v>103243</v>
          </cell>
          <cell r="E40" t="str">
            <v>Osv Compound Wall &amp; Gate</v>
          </cell>
          <cell r="F40">
            <v>3048105</v>
          </cell>
          <cell r="G40">
            <v>0</v>
          </cell>
          <cell r="H40">
            <v>0</v>
          </cell>
          <cell r="I40">
            <v>3048105</v>
          </cell>
        </row>
        <row r="41">
          <cell r="D41">
            <v>103246</v>
          </cell>
          <cell r="E41" t="str">
            <v>Railway Shelter</v>
          </cell>
          <cell r="F41">
            <v>54954</v>
          </cell>
          <cell r="G41">
            <v>0</v>
          </cell>
          <cell r="H41">
            <v>0</v>
          </cell>
          <cell r="I41">
            <v>54954</v>
          </cell>
        </row>
        <row r="42">
          <cell r="D42">
            <v>103253</v>
          </cell>
          <cell r="E42" t="str">
            <v>Sub Station Building - OSV</v>
          </cell>
          <cell r="F42">
            <v>3227692</v>
          </cell>
          <cell r="G42">
            <v>0</v>
          </cell>
          <cell r="H42">
            <v>0</v>
          </cell>
          <cell r="I42">
            <v>3227692</v>
          </cell>
        </row>
        <row r="43">
          <cell r="D43">
            <v>103256</v>
          </cell>
          <cell r="E43" t="str">
            <v>Online Gatepass, Metal Detector Room</v>
          </cell>
          <cell r="F43">
            <v>401093</v>
          </cell>
          <cell r="G43">
            <v>0</v>
          </cell>
          <cell r="H43">
            <v>0</v>
          </cell>
          <cell r="I43">
            <v>401093</v>
          </cell>
        </row>
        <row r="44">
          <cell r="D44">
            <v>103258</v>
          </cell>
          <cell r="E44" t="str">
            <v>Deck Slab Culverts at Osv Facility</v>
          </cell>
          <cell r="F44">
            <v>1273651</v>
          </cell>
          <cell r="G44">
            <v>0</v>
          </cell>
          <cell r="H44">
            <v>0</v>
          </cell>
          <cell r="I44">
            <v>1273651</v>
          </cell>
        </row>
        <row r="45">
          <cell r="D45">
            <v>103265</v>
          </cell>
          <cell r="E45" t="str">
            <v>Widening of BT Road at West side of Jetty</v>
          </cell>
          <cell r="F45">
            <v>0</v>
          </cell>
          <cell r="G45">
            <v>4551393</v>
          </cell>
          <cell r="H45">
            <v>0</v>
          </cell>
          <cell r="I45">
            <v>4551393</v>
          </cell>
        </row>
        <row r="46">
          <cell r="D46">
            <v>103269</v>
          </cell>
          <cell r="E46" t="str">
            <v>Compound wall EX Gspc yard</v>
          </cell>
          <cell r="F46">
            <v>0</v>
          </cell>
          <cell r="G46">
            <v>149333</v>
          </cell>
          <cell r="H46">
            <v>0</v>
          </cell>
          <cell r="I46">
            <v>149333</v>
          </cell>
        </row>
        <row r="47">
          <cell r="D47">
            <v>103270</v>
          </cell>
          <cell r="E47" t="str">
            <v>Construction of Customs &amp; Sec Buildings at 4th Berth &amp; OSV Gate</v>
          </cell>
          <cell r="F47">
            <v>0</v>
          </cell>
          <cell r="G47">
            <v>2155163</v>
          </cell>
          <cell r="H47">
            <v>0</v>
          </cell>
          <cell r="I47">
            <v>2155163</v>
          </cell>
        </row>
        <row r="48">
          <cell r="D48">
            <v>103224</v>
          </cell>
          <cell r="E48" t="str">
            <v>Roads at East &amp; West Side of R&amp;D Yard</v>
          </cell>
          <cell r="F48">
            <v>8170649</v>
          </cell>
          <cell r="G48">
            <v>0</v>
          </cell>
          <cell r="H48">
            <v>0</v>
          </cell>
          <cell r="I48">
            <v>8170649</v>
          </cell>
        </row>
        <row r="49">
          <cell r="D49">
            <v>103232</v>
          </cell>
          <cell r="E49" t="str">
            <v>Canteen</v>
          </cell>
          <cell r="F49">
            <v>506310</v>
          </cell>
          <cell r="G49">
            <v>0</v>
          </cell>
          <cell r="H49">
            <v>0</v>
          </cell>
          <cell r="I49">
            <v>506310</v>
          </cell>
        </row>
        <row r="50">
          <cell r="D50">
            <v>103238</v>
          </cell>
          <cell r="E50" t="str">
            <v>Middle Road Gate Complex</v>
          </cell>
          <cell r="F50">
            <v>1206555</v>
          </cell>
          <cell r="G50">
            <v>0</v>
          </cell>
          <cell r="H50">
            <v>0</v>
          </cell>
          <cell r="I50">
            <v>1206555</v>
          </cell>
        </row>
        <row r="51">
          <cell r="D51">
            <v>103242</v>
          </cell>
          <cell r="E51" t="str">
            <v>Office Building</v>
          </cell>
          <cell r="F51">
            <v>33000</v>
          </cell>
          <cell r="G51">
            <v>0</v>
          </cell>
          <cell r="H51">
            <v>0</v>
          </cell>
          <cell r="I51">
            <v>33000</v>
          </cell>
        </row>
        <row r="52">
          <cell r="D52">
            <v>103248</v>
          </cell>
          <cell r="E52" t="str">
            <v>Rr Masonry Plinty Wall Zone B</v>
          </cell>
          <cell r="F52">
            <v>185725</v>
          </cell>
          <cell r="G52">
            <v>0</v>
          </cell>
          <cell r="H52">
            <v>0</v>
          </cell>
          <cell r="I52">
            <v>185725</v>
          </cell>
        </row>
        <row r="53">
          <cell r="D53">
            <v>103252</v>
          </cell>
          <cell r="E53" t="str">
            <v>Ware House (Reliance)</v>
          </cell>
          <cell r="F53">
            <v>26584137</v>
          </cell>
          <cell r="G53">
            <v>0</v>
          </cell>
          <cell r="H53">
            <v>0</v>
          </cell>
          <cell r="I53">
            <v>26584137</v>
          </cell>
        </row>
        <row r="54">
          <cell r="D54">
            <v>103254</v>
          </cell>
          <cell r="E54" t="str">
            <v>Ware House at Zone B (10500Sqms)</v>
          </cell>
          <cell r="F54">
            <v>59181921</v>
          </cell>
          <cell r="G54">
            <v>0</v>
          </cell>
          <cell r="H54">
            <v>0</v>
          </cell>
          <cell r="I54">
            <v>59181921</v>
          </cell>
        </row>
        <row r="55">
          <cell r="D55">
            <v>103260</v>
          </cell>
          <cell r="E55" t="str">
            <v>Bt Road From Adb Road to Osv Jetties</v>
          </cell>
          <cell r="F55">
            <v>3751706</v>
          </cell>
          <cell r="G55">
            <v>0</v>
          </cell>
          <cell r="H55">
            <v>0</v>
          </cell>
          <cell r="I55">
            <v>3751706</v>
          </cell>
        </row>
        <row r="56">
          <cell r="D56">
            <v>103261</v>
          </cell>
          <cell r="E56" t="str">
            <v>Osv Roads, Culverts and Drains</v>
          </cell>
          <cell r="F56">
            <v>9912373</v>
          </cell>
          <cell r="G56">
            <v>0</v>
          </cell>
          <cell r="H56">
            <v>0</v>
          </cell>
          <cell r="I56">
            <v>9912373</v>
          </cell>
        </row>
        <row r="57">
          <cell r="D57">
            <v>103263</v>
          </cell>
          <cell r="E57" t="str">
            <v>Building at OLD BJ office premises</v>
          </cell>
          <cell r="F57">
            <v>0</v>
          </cell>
          <cell r="G57">
            <v>919598</v>
          </cell>
          <cell r="H57">
            <v>0</v>
          </cell>
          <cell r="I57">
            <v>919598</v>
          </cell>
        </row>
        <row r="58">
          <cell r="D58">
            <v>103267</v>
          </cell>
          <cell r="E58" t="str">
            <v>4th Berth Compound wall, Deck Slb Culverts and Gate</v>
          </cell>
          <cell r="F58">
            <v>0</v>
          </cell>
          <cell r="G58">
            <v>2171527</v>
          </cell>
          <cell r="H58">
            <v>0</v>
          </cell>
          <cell r="I58">
            <v>2171527</v>
          </cell>
        </row>
        <row r="59">
          <cell r="D59">
            <v>102983</v>
          </cell>
          <cell r="E59" t="str">
            <v>Advance for Development of Back up area OSV</v>
          </cell>
          <cell r="F59">
            <v>0</v>
          </cell>
          <cell r="G59">
            <v>4336000</v>
          </cell>
          <cell r="H59">
            <v>4336000</v>
          </cell>
          <cell r="I59">
            <v>0</v>
          </cell>
        </row>
        <row r="60">
          <cell r="D60">
            <v>102985</v>
          </cell>
          <cell r="E60" t="str">
            <v>Advance for supply, spreading and compaction of river sand</v>
          </cell>
          <cell r="F60">
            <v>0</v>
          </cell>
          <cell r="G60">
            <v>15063261</v>
          </cell>
          <cell r="H60">
            <v>15063261</v>
          </cell>
          <cell r="I60">
            <v>0</v>
          </cell>
        </row>
        <row r="61">
          <cell r="D61">
            <v>102987</v>
          </cell>
          <cell r="E61" t="str">
            <v>Advance for Dredg. S Bund Reclamation (OSL)</v>
          </cell>
          <cell r="F61">
            <v>5593475</v>
          </cell>
          <cell r="G61">
            <v>1988380</v>
          </cell>
          <cell r="H61">
            <v>0</v>
          </cell>
          <cell r="I61">
            <v>7581855</v>
          </cell>
        </row>
        <row r="62">
          <cell r="D62">
            <v>102989</v>
          </cell>
          <cell r="E62" t="str">
            <v>5th Spur Rly in 4th Berth Back up Area</v>
          </cell>
          <cell r="F62">
            <v>0</v>
          </cell>
          <cell r="G62">
            <v>22307891</v>
          </cell>
          <cell r="H62">
            <v>22307891</v>
          </cell>
          <cell r="I62">
            <v>0</v>
          </cell>
        </row>
        <row r="63">
          <cell r="D63">
            <v>102998</v>
          </cell>
          <cell r="E63" t="str">
            <v>Advance for LED Solar Systems at ADB Road at KDWP Area</v>
          </cell>
          <cell r="F63">
            <v>0</v>
          </cell>
          <cell r="G63">
            <v>200000</v>
          </cell>
          <cell r="H63">
            <v>200000</v>
          </cell>
          <cell r="I63">
            <v>0</v>
          </cell>
        </row>
        <row r="64">
          <cell r="D64">
            <v>103008</v>
          </cell>
          <cell r="E64" t="str">
            <v>Advance for Sewage Treatment Plant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103754</v>
          </cell>
          <cell r="E65" t="str">
            <v>Interest on loan  BOI (084 A/c) (NRW Cap)</v>
          </cell>
          <cell r="F65">
            <v>0</v>
          </cell>
          <cell r="G65">
            <v>70715025</v>
          </cell>
          <cell r="H65">
            <v>2066467</v>
          </cell>
          <cell r="I65">
            <v>68648558</v>
          </cell>
        </row>
        <row r="66">
          <cell r="D66">
            <v>103774</v>
          </cell>
          <cell r="E66" t="str">
            <v>Advance for B T Roads</v>
          </cell>
          <cell r="F66">
            <v>0</v>
          </cell>
          <cell r="G66">
            <v>14369415</v>
          </cell>
          <cell r="H66">
            <v>13219216</v>
          </cell>
          <cell r="I66">
            <v>1150199</v>
          </cell>
        </row>
        <row r="67">
          <cell r="D67">
            <v>103782</v>
          </cell>
          <cell r="E67" t="str">
            <v>Development of 5th &amp; 6th Berths L &amp; T</v>
          </cell>
          <cell r="F67">
            <v>0</v>
          </cell>
          <cell r="G67">
            <v>14875040</v>
          </cell>
          <cell r="H67">
            <v>0</v>
          </cell>
          <cell r="I67">
            <v>14875040</v>
          </cell>
        </row>
        <row r="68">
          <cell r="D68">
            <v>103788</v>
          </cell>
          <cell r="E68" t="str">
            <v>Import of Band Drains for 5th,6th &amp; 7th Berths</v>
          </cell>
          <cell r="F68">
            <v>0</v>
          </cell>
          <cell r="G68">
            <v>54046632</v>
          </cell>
          <cell r="H68">
            <v>143266</v>
          </cell>
          <cell r="I68">
            <v>53903366</v>
          </cell>
        </row>
        <row r="69">
          <cell r="D69">
            <v>103793</v>
          </cell>
          <cell r="E69" t="str">
            <v>Advance for SCN 1100 Rubber Fenders for 5th,6th &amp; 7th Berths (Trelleborg)</v>
          </cell>
          <cell r="F69">
            <v>0</v>
          </cell>
          <cell r="G69">
            <v>11516018</v>
          </cell>
          <cell r="H69">
            <v>0</v>
          </cell>
          <cell r="I69">
            <v>11516018</v>
          </cell>
        </row>
        <row r="70">
          <cell r="D70">
            <v>103794</v>
          </cell>
          <cell r="E70" t="str">
            <v>Advance for 150Ton TEE Head Bollards for 5th,6th &amp; 7th Berths(Trelleborg)</v>
          </cell>
          <cell r="F70">
            <v>0</v>
          </cell>
          <cell r="G70">
            <v>396900</v>
          </cell>
          <cell r="H70">
            <v>0</v>
          </cell>
          <cell r="I70">
            <v>396900</v>
          </cell>
        </row>
        <row r="71">
          <cell r="D71">
            <v>103802</v>
          </cell>
          <cell r="E71" t="str">
            <v>Approach Road from NRW Jetty Unit -1 at OSV Area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D72">
            <v>103803</v>
          </cell>
          <cell r="E72" t="str">
            <v>Construction of highmasts Foundations at OSV South side Road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D73">
            <v>102976</v>
          </cell>
          <cell r="E73" t="str">
            <v>Advance for Capital  Exp</v>
          </cell>
          <cell r="F73">
            <v>313867591</v>
          </cell>
          <cell r="G73">
            <v>1120469834</v>
          </cell>
          <cell r="H73">
            <v>226198797</v>
          </cell>
          <cell r="I73">
            <v>1208138628</v>
          </cell>
        </row>
        <row r="74">
          <cell r="D74">
            <v>102981</v>
          </cell>
          <cell r="E74" t="str">
            <v>Advance for NRW Extension</v>
          </cell>
          <cell r="F74">
            <v>0</v>
          </cell>
          <cell r="G74">
            <v>122811</v>
          </cell>
          <cell r="H74">
            <v>0</v>
          </cell>
          <cell r="I74">
            <v>122811</v>
          </cell>
        </row>
        <row r="75">
          <cell r="D75">
            <v>102984</v>
          </cell>
          <cell r="E75" t="str">
            <v>Advance for OSV Power House Building 2nd Floor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102986</v>
          </cell>
          <cell r="E76" t="str">
            <v>Advance for Gravel Filling 300mm thick at 4th Berth Backup Area</v>
          </cell>
          <cell r="F76">
            <v>6518304</v>
          </cell>
          <cell r="G76">
            <v>9713335</v>
          </cell>
          <cell r="H76">
            <v>16231639</v>
          </cell>
          <cell r="I76">
            <v>0</v>
          </cell>
        </row>
        <row r="77">
          <cell r="D77">
            <v>102992</v>
          </cell>
          <cell r="E77" t="str">
            <v>Bank Charges (CWIP)</v>
          </cell>
          <cell r="F77">
            <v>0</v>
          </cell>
          <cell r="G77">
            <v>10200000</v>
          </cell>
          <cell r="H77">
            <v>2000000</v>
          </cell>
          <cell r="I77">
            <v>8200000</v>
          </cell>
        </row>
        <row r="78">
          <cell r="D78">
            <v>103002</v>
          </cell>
          <cell r="E78" t="str">
            <v>Installation of Band Drains - 5th,6th &amp; 7th Berths</v>
          </cell>
          <cell r="F78">
            <v>0</v>
          </cell>
          <cell r="G78">
            <v>15485405</v>
          </cell>
          <cell r="H78">
            <v>0</v>
          </cell>
          <cell r="I78">
            <v>15485405</v>
          </cell>
        </row>
        <row r="79">
          <cell r="D79">
            <v>103004</v>
          </cell>
          <cell r="E79" t="str">
            <v>Strengthening of Yard at South side of Spur -1 &amp; North side of Alumina Siding (Bay-1)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D80">
            <v>103005</v>
          </cell>
          <cell r="E80" t="str">
            <v>Development of Back up area behind 5th,6th berths - Dredging International asia</v>
          </cell>
          <cell r="F80">
            <v>0</v>
          </cell>
          <cell r="G80">
            <v>711164429</v>
          </cell>
          <cell r="H80">
            <v>0</v>
          </cell>
          <cell r="I80">
            <v>711164429</v>
          </cell>
        </row>
        <row r="81">
          <cell r="D81">
            <v>103009</v>
          </cell>
          <cell r="E81" t="str">
            <v>Advance for Dredging at Sand trap for reclamation of 4 acres north of OSV backup area- OSL</v>
          </cell>
          <cell r="F81">
            <v>0</v>
          </cell>
          <cell r="G81">
            <v>2735588</v>
          </cell>
          <cell r="H81">
            <v>0</v>
          </cell>
          <cell r="I81">
            <v>2735588</v>
          </cell>
        </row>
        <row r="82">
          <cell r="D82">
            <v>103010</v>
          </cell>
          <cell r="E82" t="str">
            <v>Laying of BT Road at South Side of OSV Facility (Srija)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D83">
            <v>103011</v>
          </cell>
          <cell r="E83" t="str">
            <v>Construction of Storm Water Outlet &amp; Culverts in S Bund Area(Srija)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D84">
            <v>103769</v>
          </cell>
          <cell r="E84" t="str">
            <v>CONTRACTOR -1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D85">
            <v>103775</v>
          </cell>
          <cell r="E85" t="str">
            <v>Advance for 4th Berth Deck Slab Culvert,Approadch Road &amp; Compound wall</v>
          </cell>
          <cell r="F85">
            <v>0</v>
          </cell>
          <cell r="G85">
            <v>1848754</v>
          </cell>
          <cell r="H85">
            <v>1848754</v>
          </cell>
          <cell r="I85">
            <v>0</v>
          </cell>
        </row>
        <row r="86">
          <cell r="D86">
            <v>103777</v>
          </cell>
          <cell r="E86" t="str">
            <v>Construction of Drains &amp; Approaches at OSV backup area at New Ril yard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103783</v>
          </cell>
          <cell r="E87" t="str">
            <v>Advance for 5th, 6th Berths Navayuga</v>
          </cell>
          <cell r="F87">
            <v>0</v>
          </cell>
          <cell r="G87">
            <v>463626405</v>
          </cell>
          <cell r="H87">
            <v>0</v>
          </cell>
          <cell r="I87">
            <v>463626405</v>
          </cell>
        </row>
        <row r="88">
          <cell r="D88">
            <v>103784</v>
          </cell>
          <cell r="E88" t="str">
            <v>Advance for Supply of Fenders NRW (Trellborg)</v>
          </cell>
          <cell r="F88">
            <v>0</v>
          </cell>
          <cell r="G88">
            <v>16907202</v>
          </cell>
          <cell r="H88">
            <v>2759150</v>
          </cell>
          <cell r="I88">
            <v>14148052</v>
          </cell>
        </row>
        <row r="89">
          <cell r="D89">
            <v>103789</v>
          </cell>
          <cell r="E89" t="str">
            <v>Survey for Reclemation 5th,6th &amp; 7th Berth back up areas</v>
          </cell>
          <cell r="F89">
            <v>0</v>
          </cell>
          <cell r="G89">
            <v>48000</v>
          </cell>
          <cell r="H89">
            <v>0</v>
          </cell>
          <cell r="I89">
            <v>48000</v>
          </cell>
        </row>
        <row r="90">
          <cell r="D90">
            <v>103801</v>
          </cell>
          <cell r="E90" t="str">
            <v>Preparation of land Use Plan and Model Studies (L&amp;T)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D91">
            <v>103805</v>
          </cell>
          <cell r="E91" t="str">
            <v>Laying of RCC Hume Pipes for 5th Berth Backup Area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D92">
            <v>102977</v>
          </cell>
          <cell r="E92" t="str">
            <v>Capital Dredging at NRW Jetty</v>
          </cell>
          <cell r="F92">
            <v>13031010</v>
          </cell>
          <cell r="G92">
            <v>223287591</v>
          </cell>
          <cell r="H92">
            <v>0</v>
          </cell>
          <cell r="I92">
            <v>236318601</v>
          </cell>
        </row>
        <row r="93">
          <cell r="D93">
            <v>102991</v>
          </cell>
          <cell r="E93" t="str">
            <v>Advance for Development of 4th Berth Backup Area</v>
          </cell>
          <cell r="F93">
            <v>0</v>
          </cell>
          <cell r="G93">
            <v>27225666</v>
          </cell>
          <cell r="H93">
            <v>6360000</v>
          </cell>
          <cell r="I93">
            <v>20865666</v>
          </cell>
        </row>
        <row r="94">
          <cell r="D94">
            <v>102994</v>
          </cell>
          <cell r="E94" t="str">
            <v>Const. of 2000Mtrs RCC Humepipe ConDuit &amp; Manholes for 4th Berth</v>
          </cell>
          <cell r="F94">
            <v>0</v>
          </cell>
          <cell r="G94">
            <v>2708125</v>
          </cell>
          <cell r="H94">
            <v>2708125</v>
          </cell>
          <cell r="I94">
            <v>0</v>
          </cell>
        </row>
        <row r="95">
          <cell r="D95">
            <v>102996</v>
          </cell>
          <cell r="E95" t="str">
            <v>Construction of Customs &amp; Sec Gate at 4th Berth &amp; OSV Gate</v>
          </cell>
          <cell r="F95">
            <v>0</v>
          </cell>
          <cell r="G95">
            <v>2155163</v>
          </cell>
          <cell r="H95">
            <v>2155163</v>
          </cell>
          <cell r="I95">
            <v>0</v>
          </cell>
        </row>
        <row r="96">
          <cell r="D96">
            <v>102999</v>
          </cell>
          <cell r="E96" t="str">
            <v>Installation of Band Drains - " S " Bund</v>
          </cell>
          <cell r="F96">
            <v>0</v>
          </cell>
          <cell r="G96">
            <v>1604850</v>
          </cell>
          <cell r="H96">
            <v>0</v>
          </cell>
          <cell r="I96">
            <v>1604850</v>
          </cell>
        </row>
        <row r="97">
          <cell r="D97">
            <v>103901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D98">
            <v>103749</v>
          </cell>
          <cell r="E98" t="str">
            <v>Advance for development of back up area NRW OSL</v>
          </cell>
          <cell r="F98">
            <v>0</v>
          </cell>
          <cell r="G98">
            <v>32364000</v>
          </cell>
          <cell r="H98">
            <v>0</v>
          </cell>
          <cell r="I98">
            <v>32364000</v>
          </cell>
        </row>
        <row r="99">
          <cell r="D99">
            <v>103752</v>
          </cell>
          <cell r="E99" t="str">
            <v>Advance for NRW extension - Navayuga</v>
          </cell>
          <cell r="F99">
            <v>733247694</v>
          </cell>
          <cell r="G99">
            <v>827283085</v>
          </cell>
          <cell r="H99">
            <v>120172149</v>
          </cell>
          <cell r="I99">
            <v>1440358630</v>
          </cell>
        </row>
        <row r="100">
          <cell r="D100">
            <v>103753</v>
          </cell>
          <cell r="E100" t="str">
            <v>Advance for NRW Extension</v>
          </cell>
          <cell r="F100">
            <v>0</v>
          </cell>
          <cell r="G100">
            <v>761161</v>
          </cell>
          <cell r="H100">
            <v>2993</v>
          </cell>
          <cell r="I100">
            <v>758168</v>
          </cell>
        </row>
        <row r="101">
          <cell r="D101">
            <v>103773</v>
          </cell>
          <cell r="E101" t="str">
            <v>Advance for Strengthening of Railway Siding Line 3, 1 in R&amp;D Yard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D102">
            <v>103779</v>
          </cell>
          <cell r="E102" t="str">
            <v>Supply &amp; Fabrication of 4th Berth Approach MS Gate in KDWP</v>
          </cell>
          <cell r="F102">
            <v>0</v>
          </cell>
          <cell r="G102">
            <v>297474</v>
          </cell>
          <cell r="H102">
            <v>297474</v>
          </cell>
          <cell r="I102">
            <v>0</v>
          </cell>
        </row>
        <row r="103">
          <cell r="D103">
            <v>103780</v>
          </cell>
          <cell r="E103" t="str">
            <v>Strengthening of Sidings on Spur-1 North Side from Buffer end 520Mts &amp; 12 Mts wide from Rly Sweeper</v>
          </cell>
          <cell r="F103">
            <v>0</v>
          </cell>
          <cell r="G103">
            <v>1235520</v>
          </cell>
          <cell r="H103">
            <v>1235520</v>
          </cell>
          <cell r="I103">
            <v>0</v>
          </cell>
        </row>
        <row r="104">
          <cell r="D104">
            <v>103781</v>
          </cell>
          <cell r="E104" t="str">
            <v>Strengthening of Stacking yard at Warehouse 4 &amp; 5</v>
          </cell>
          <cell r="F104">
            <v>0</v>
          </cell>
          <cell r="G104">
            <v>1099104</v>
          </cell>
          <cell r="H104">
            <v>1099104</v>
          </cell>
          <cell r="I104">
            <v>0</v>
          </cell>
        </row>
        <row r="105">
          <cell r="D105">
            <v>103785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D106">
            <v>103786</v>
          </cell>
          <cell r="E106" t="str">
            <v>Strengthening of Sidings on Spur-1 South Side from Buffer end 580Mts &amp; 13 Mts wide from Rly Sweeper</v>
          </cell>
          <cell r="F106">
            <v>0</v>
          </cell>
          <cell r="G106">
            <v>1442529</v>
          </cell>
          <cell r="H106">
            <v>1442529</v>
          </cell>
          <cell r="I106">
            <v>0</v>
          </cell>
        </row>
        <row r="107">
          <cell r="D107">
            <v>103787</v>
          </cell>
          <cell r="E107" t="str">
            <v>Dredging at 5th,6th &amp; 7th Berths (OSL)</v>
          </cell>
          <cell r="F107">
            <v>0</v>
          </cell>
          <cell r="G107">
            <v>100000000</v>
          </cell>
          <cell r="H107">
            <v>0</v>
          </cell>
          <cell r="I107">
            <v>100000000</v>
          </cell>
        </row>
        <row r="108">
          <cell r="D108">
            <v>103792</v>
          </cell>
          <cell r="E108" t="str">
            <v>Import of Fenders for 5th,6th &amp; 7th Berths</v>
          </cell>
          <cell r="F108">
            <v>0</v>
          </cell>
          <cell r="G108">
            <v>221055</v>
          </cell>
          <cell r="H108">
            <v>0</v>
          </cell>
          <cell r="I108">
            <v>221055</v>
          </cell>
        </row>
        <row r="109">
          <cell r="D109">
            <v>103798</v>
          </cell>
          <cell r="E109" t="str">
            <v>Advance for Weighbridge at 4th Berth Backup Area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D110">
            <v>103799</v>
          </cell>
          <cell r="E110" t="str">
            <v>Consultancy &amp; Engineering Services for 5th Berth Rly. Line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D111">
            <v>103804</v>
          </cell>
          <cell r="E111" t="str">
            <v>Construction of CC Road Pavement &amp; Drain at U Bend Road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D112">
            <v>103578</v>
          </cell>
          <cell r="E112" t="str">
            <v>Advance for Removal of Rocks from Rock Bunds of OSV approache &amp; S Bund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D113">
            <v>103796</v>
          </cell>
          <cell r="E113" t="str">
            <v>Advance for Construction of Safety Staff office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D114">
            <v>103797</v>
          </cell>
          <cell r="E114" t="str">
            <v>Filling of Gravel/Morrum West Side 5th Berth Backup Area(180Mx300M)(Sidhvi)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D115">
            <v>103800</v>
          </cell>
          <cell r="E115" t="str">
            <v>Advance for heighmests at OSV Road 16nos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D116">
            <v>103748</v>
          </cell>
          <cell r="E116" t="str">
            <v>Advance for development of back up area 4th Berth OSL</v>
          </cell>
          <cell r="F116">
            <v>0</v>
          </cell>
          <cell r="G116">
            <v>3250000</v>
          </cell>
          <cell r="H116">
            <v>3250000</v>
          </cell>
          <cell r="I116">
            <v>0</v>
          </cell>
        </row>
        <row r="117">
          <cell r="D117">
            <v>103750</v>
          </cell>
          <cell r="E117" t="str">
            <v>Geotechnical investigation for 5th &amp; 6th Berths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D118">
            <v>103751</v>
          </cell>
          <cell r="E118" t="str">
            <v>Advance for NRW Entension L &amp; T</v>
          </cell>
          <cell r="F118">
            <v>0</v>
          </cell>
          <cell r="G118">
            <v>15861290</v>
          </cell>
          <cell r="H118">
            <v>4725000</v>
          </cell>
          <cell r="I118">
            <v>11136290</v>
          </cell>
        </row>
        <row r="119">
          <cell r="D119">
            <v>103755</v>
          </cell>
          <cell r="E119" t="str">
            <v>Interest on Loan - SBP (CWIP)</v>
          </cell>
          <cell r="F119">
            <v>0</v>
          </cell>
          <cell r="G119">
            <v>26398918</v>
          </cell>
          <cell r="H119">
            <v>0</v>
          </cell>
          <cell r="I119">
            <v>26398918</v>
          </cell>
        </row>
        <row r="120">
          <cell r="D120">
            <v>103770</v>
          </cell>
          <cell r="E120" t="str">
            <v>CONTRACTOR -2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D121">
            <v>103771</v>
          </cell>
          <cell r="E121" t="str">
            <v>Advance for 3rd Railway line(Premco)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D122">
            <v>103772</v>
          </cell>
          <cell r="E122" t="str">
            <v>Envirironemet Expe for 5th,6th &amp; 7th Berths</v>
          </cell>
          <cell r="F122">
            <v>463750</v>
          </cell>
          <cell r="G122">
            <v>1243500</v>
          </cell>
          <cell r="H122">
            <v>0</v>
          </cell>
          <cell r="I122">
            <v>1707250</v>
          </cell>
        </row>
        <row r="123">
          <cell r="D123">
            <v>103776</v>
          </cell>
          <cell r="E123" t="str">
            <v>Adv for BT Road from ADB Road to West Side R&amp;D Yard(MSRao)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D124">
            <v>103778</v>
          </cell>
          <cell r="E124" t="str">
            <v>Fixing of Chain Link Fencing at Approach Bund 4th Berth Backup Area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D125">
            <v>102978</v>
          </cell>
          <cell r="E125" t="str">
            <v>Construction of Closed warehouse &amp; Bulkplant in OSV Backup area</v>
          </cell>
          <cell r="F125">
            <v>3992109</v>
          </cell>
          <cell r="G125">
            <v>1461522</v>
          </cell>
          <cell r="H125">
            <v>5453631</v>
          </cell>
          <cell r="I125">
            <v>0</v>
          </cell>
        </row>
        <row r="126">
          <cell r="D126">
            <v>102988</v>
          </cell>
          <cell r="E126" t="str">
            <v>Installation of Band Drains - 4th Berth</v>
          </cell>
          <cell r="F126">
            <v>0</v>
          </cell>
          <cell r="G126">
            <v>12322778</v>
          </cell>
          <cell r="H126">
            <v>12322778</v>
          </cell>
          <cell r="I126">
            <v>0</v>
          </cell>
        </row>
        <row r="127">
          <cell r="D127">
            <v>102993</v>
          </cell>
          <cell r="E127" t="str">
            <v>CC Floring of Ware House - 3 (4500Sqm)</v>
          </cell>
          <cell r="F127">
            <v>0</v>
          </cell>
          <cell r="G127">
            <v>3538989</v>
          </cell>
          <cell r="H127">
            <v>3538989</v>
          </cell>
          <cell r="I127">
            <v>0</v>
          </cell>
        </row>
        <row r="128">
          <cell r="D128">
            <v>102995</v>
          </cell>
          <cell r="E128" t="str">
            <v>Construction of Foundations &amp; protection wall 10nos Highmasts at 4th Berth</v>
          </cell>
          <cell r="F128">
            <v>0</v>
          </cell>
          <cell r="G128">
            <v>1232906</v>
          </cell>
          <cell r="H128">
            <v>1232906</v>
          </cell>
          <cell r="I128">
            <v>0</v>
          </cell>
        </row>
        <row r="129">
          <cell r="D129">
            <v>102997</v>
          </cell>
          <cell r="E129" t="str">
            <v>Electrical Systems Consultancy Charges - OSV Facility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0">
          <cell r="D130">
            <v>103003</v>
          </cell>
          <cell r="E130" t="str">
            <v>Construction of CC Drain &amp; RCC Culverts along Alumina Rly Siding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</row>
        <row r="131">
          <cell r="D131">
            <v>103012</v>
          </cell>
          <cell r="E131" t="str">
            <v>Removal of Rocks from 4th Berth Approach Bund for Strengthening of Yard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D132">
            <v>103526</v>
          </cell>
          <cell r="E132" t="str">
            <v>Bajaj Ct 100</v>
          </cell>
          <cell r="F132">
            <v>37208</v>
          </cell>
          <cell r="G132">
            <v>0</v>
          </cell>
          <cell r="H132">
            <v>0</v>
          </cell>
          <cell r="I132">
            <v>37208</v>
          </cell>
        </row>
        <row r="133">
          <cell r="D133">
            <v>103529</v>
          </cell>
          <cell r="E133" t="str">
            <v>Bolero SLX</v>
          </cell>
          <cell r="F133">
            <v>813241</v>
          </cell>
          <cell r="G133">
            <v>0</v>
          </cell>
          <cell r="H133">
            <v>0</v>
          </cell>
          <cell r="I133">
            <v>813241</v>
          </cell>
        </row>
        <row r="134">
          <cell r="D134">
            <v>103534</v>
          </cell>
          <cell r="E134" t="str">
            <v>Toyota Corolla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D135">
            <v>103537</v>
          </cell>
          <cell r="E135" t="str">
            <v>Toyota Altis</v>
          </cell>
          <cell r="F135">
            <v>1501838</v>
          </cell>
          <cell r="G135">
            <v>0</v>
          </cell>
          <cell r="H135">
            <v>0</v>
          </cell>
          <cell r="I135">
            <v>1501838</v>
          </cell>
        </row>
        <row r="136">
          <cell r="D136">
            <v>103544</v>
          </cell>
          <cell r="E136" t="str">
            <v>Bajaj Platina Blach &amp; Maron</v>
          </cell>
          <cell r="F136">
            <v>0</v>
          </cell>
          <cell r="G136">
            <v>44719</v>
          </cell>
          <cell r="H136">
            <v>0</v>
          </cell>
          <cell r="I136">
            <v>44719</v>
          </cell>
        </row>
        <row r="137">
          <cell r="D137">
            <v>103293</v>
          </cell>
          <cell r="E137" t="str">
            <v>First Leasing Assets - F&amp;F</v>
          </cell>
          <cell r="F137">
            <v>184782</v>
          </cell>
          <cell r="G137">
            <v>0</v>
          </cell>
          <cell r="H137">
            <v>0</v>
          </cell>
          <cell r="I137">
            <v>184782</v>
          </cell>
        </row>
        <row r="138">
          <cell r="D138">
            <v>103318</v>
          </cell>
          <cell r="E138" t="str">
            <v>Ceilling Fans</v>
          </cell>
          <cell r="F138">
            <v>5194</v>
          </cell>
          <cell r="G138">
            <v>0</v>
          </cell>
          <cell r="H138">
            <v>0</v>
          </cell>
          <cell r="I138">
            <v>5194</v>
          </cell>
        </row>
        <row r="139">
          <cell r="D139">
            <v>103322</v>
          </cell>
          <cell r="E139" t="str">
            <v>Pushbutton Telephone</v>
          </cell>
          <cell r="F139">
            <v>4500</v>
          </cell>
          <cell r="G139">
            <v>0</v>
          </cell>
          <cell r="H139">
            <v>0</v>
          </cell>
          <cell r="I139">
            <v>4500</v>
          </cell>
        </row>
        <row r="140">
          <cell r="D140">
            <v>103323</v>
          </cell>
          <cell r="E140" t="str">
            <v>Stablizer - Guest House</v>
          </cell>
          <cell r="F140">
            <v>12500</v>
          </cell>
          <cell r="G140">
            <v>0</v>
          </cell>
          <cell r="H140">
            <v>0</v>
          </cell>
          <cell r="I140">
            <v>12500</v>
          </cell>
        </row>
        <row r="141">
          <cell r="D141">
            <v>103353</v>
          </cell>
          <cell r="E141" t="str">
            <v>EPABX</v>
          </cell>
          <cell r="F141">
            <v>323290</v>
          </cell>
          <cell r="G141">
            <v>0</v>
          </cell>
          <cell r="H141">
            <v>0</v>
          </cell>
          <cell r="I141">
            <v>323290</v>
          </cell>
        </row>
        <row r="142">
          <cell r="D142">
            <v>103355</v>
          </cell>
          <cell r="E142" t="str">
            <v>Fans</v>
          </cell>
          <cell r="F142">
            <v>13332</v>
          </cell>
          <cell r="G142">
            <v>0</v>
          </cell>
          <cell r="H142">
            <v>0</v>
          </cell>
          <cell r="I142">
            <v>13332</v>
          </cell>
        </row>
        <row r="143">
          <cell r="D143">
            <v>103359</v>
          </cell>
          <cell r="E143" t="str">
            <v>First Leasing Assets - Off EQ.</v>
          </cell>
          <cell r="F143">
            <v>182363</v>
          </cell>
          <cell r="G143">
            <v>0</v>
          </cell>
          <cell r="H143">
            <v>0</v>
          </cell>
          <cell r="I143">
            <v>182363</v>
          </cell>
        </row>
        <row r="144">
          <cell r="D144">
            <v>103360</v>
          </cell>
          <cell r="E144" t="str">
            <v>Hitachi Lcd (Projector)</v>
          </cell>
          <cell r="F144">
            <v>92800</v>
          </cell>
          <cell r="G144">
            <v>83013</v>
          </cell>
          <cell r="H144">
            <v>0</v>
          </cell>
          <cell r="I144">
            <v>175813</v>
          </cell>
        </row>
        <row r="145">
          <cell r="D145">
            <v>103364</v>
          </cell>
          <cell r="E145" t="str">
            <v>Over Head Projector</v>
          </cell>
          <cell r="F145">
            <v>14900</v>
          </cell>
          <cell r="G145">
            <v>0</v>
          </cell>
          <cell r="H145">
            <v>0</v>
          </cell>
          <cell r="I145">
            <v>14900</v>
          </cell>
        </row>
        <row r="146">
          <cell r="D146">
            <v>103367</v>
          </cell>
          <cell r="E146" t="str">
            <v>Refrigirator</v>
          </cell>
          <cell r="F146">
            <v>45050</v>
          </cell>
          <cell r="G146">
            <v>18750</v>
          </cell>
          <cell r="H146">
            <v>0</v>
          </cell>
          <cell r="I146">
            <v>63800</v>
          </cell>
        </row>
        <row r="147">
          <cell r="D147">
            <v>103381</v>
          </cell>
          <cell r="E147" t="str">
            <v>Mattress (Kurlon) - GH</v>
          </cell>
          <cell r="F147">
            <v>0</v>
          </cell>
          <cell r="G147">
            <v>45698</v>
          </cell>
          <cell r="H147">
            <v>0</v>
          </cell>
          <cell r="I147">
            <v>45698</v>
          </cell>
        </row>
        <row r="148">
          <cell r="D148">
            <v>103890</v>
          </cell>
          <cell r="E148" t="str">
            <v>Wireless Smoke Detection System</v>
          </cell>
          <cell r="F148">
            <v>0</v>
          </cell>
          <cell r="G148">
            <v>117134</v>
          </cell>
          <cell r="H148">
            <v>0</v>
          </cell>
          <cell r="I148">
            <v>117134</v>
          </cell>
        </row>
        <row r="149">
          <cell r="D149">
            <v>103889</v>
          </cell>
          <cell r="E149" t="str">
            <v>Security Posts</v>
          </cell>
          <cell r="F149">
            <v>0</v>
          </cell>
          <cell r="G149">
            <v>670480</v>
          </cell>
          <cell r="H149">
            <v>0</v>
          </cell>
          <cell r="I149">
            <v>670480</v>
          </cell>
        </row>
        <row r="150">
          <cell r="D150">
            <v>103527</v>
          </cell>
          <cell r="E150" t="str">
            <v>Bajaj Platina</v>
          </cell>
          <cell r="F150">
            <v>39992</v>
          </cell>
          <cell r="G150">
            <v>0</v>
          </cell>
          <cell r="H150">
            <v>39992</v>
          </cell>
          <cell r="I150">
            <v>0</v>
          </cell>
        </row>
        <row r="151">
          <cell r="D151">
            <v>103532</v>
          </cell>
          <cell r="E151" t="str">
            <v>TATA - Multi Utility Vehicle</v>
          </cell>
          <cell r="F151">
            <v>437142</v>
          </cell>
          <cell r="G151">
            <v>0</v>
          </cell>
          <cell r="H151">
            <v>437142</v>
          </cell>
          <cell r="I151">
            <v>0</v>
          </cell>
        </row>
        <row r="152">
          <cell r="D152">
            <v>103538</v>
          </cell>
          <cell r="E152" t="str">
            <v>Scorpio - LX</v>
          </cell>
          <cell r="F152">
            <v>0</v>
          </cell>
          <cell r="G152">
            <v>927750</v>
          </cell>
          <cell r="H152">
            <v>0</v>
          </cell>
          <cell r="I152">
            <v>927750</v>
          </cell>
        </row>
        <row r="153">
          <cell r="D153">
            <v>103542</v>
          </cell>
          <cell r="E153" t="str">
            <v>Indica Vista Vehicle - TDI</v>
          </cell>
          <cell r="F153">
            <v>0</v>
          </cell>
          <cell r="G153">
            <v>506061</v>
          </cell>
          <cell r="H153">
            <v>0</v>
          </cell>
          <cell r="I153">
            <v>506061</v>
          </cell>
        </row>
        <row r="154">
          <cell r="D154">
            <v>103295</v>
          </cell>
          <cell r="E154" t="str">
            <v>Furniture @ New Canteens</v>
          </cell>
          <cell r="F154">
            <v>392946</v>
          </cell>
          <cell r="G154">
            <v>0</v>
          </cell>
          <cell r="H154">
            <v>0</v>
          </cell>
          <cell r="I154">
            <v>392946</v>
          </cell>
        </row>
        <row r="155">
          <cell r="D155">
            <v>103316</v>
          </cell>
          <cell r="E155" t="str">
            <v>Air Conditioners - GH</v>
          </cell>
          <cell r="F155">
            <v>131775</v>
          </cell>
          <cell r="G155">
            <v>0</v>
          </cell>
          <cell r="H155">
            <v>0</v>
          </cell>
          <cell r="I155">
            <v>131775</v>
          </cell>
        </row>
        <row r="156">
          <cell r="D156">
            <v>103319</v>
          </cell>
          <cell r="E156" t="str">
            <v>Colour Televisions - GH</v>
          </cell>
          <cell r="F156">
            <v>46400</v>
          </cell>
          <cell r="G156">
            <v>0</v>
          </cell>
          <cell r="H156">
            <v>0</v>
          </cell>
          <cell r="I156">
            <v>46400</v>
          </cell>
        </row>
        <row r="157">
          <cell r="D157">
            <v>103344</v>
          </cell>
          <cell r="E157" t="str">
            <v>Air Conditioners</v>
          </cell>
          <cell r="F157">
            <v>1400940</v>
          </cell>
          <cell r="G157">
            <v>221000</v>
          </cell>
          <cell r="H157">
            <v>200</v>
          </cell>
          <cell r="I157">
            <v>1621740</v>
          </cell>
        </row>
        <row r="158">
          <cell r="D158">
            <v>103347</v>
          </cell>
          <cell r="E158" t="str">
            <v>Coffee Machines</v>
          </cell>
          <cell r="F158">
            <v>34560</v>
          </cell>
          <cell r="G158">
            <v>0</v>
          </cell>
          <cell r="H158">
            <v>0</v>
          </cell>
          <cell r="I158">
            <v>34560</v>
          </cell>
        </row>
        <row r="159">
          <cell r="D159">
            <v>103354</v>
          </cell>
          <cell r="E159" t="str">
            <v>Erp Hardware Items</v>
          </cell>
          <cell r="F159">
            <v>2950000</v>
          </cell>
          <cell r="G159">
            <v>0</v>
          </cell>
          <cell r="H159">
            <v>0</v>
          </cell>
          <cell r="I159">
            <v>2950000</v>
          </cell>
        </row>
        <row r="160">
          <cell r="D160">
            <v>103357</v>
          </cell>
          <cell r="E160" t="str">
            <v>File Rack</v>
          </cell>
          <cell r="F160">
            <v>17554</v>
          </cell>
          <cell r="G160">
            <v>0</v>
          </cell>
          <cell r="H160">
            <v>0</v>
          </cell>
          <cell r="I160">
            <v>17554</v>
          </cell>
        </row>
        <row r="161">
          <cell r="D161">
            <v>103361</v>
          </cell>
          <cell r="E161" t="str">
            <v>Honda - Genset</v>
          </cell>
          <cell r="F161">
            <v>45808</v>
          </cell>
          <cell r="G161">
            <v>0</v>
          </cell>
          <cell r="H161">
            <v>0</v>
          </cell>
          <cell r="I161">
            <v>45808</v>
          </cell>
        </row>
        <row r="162">
          <cell r="D162">
            <v>103368</v>
          </cell>
          <cell r="E162" t="str">
            <v>Safe Defender</v>
          </cell>
          <cell r="F162">
            <v>38675</v>
          </cell>
          <cell r="G162">
            <v>0</v>
          </cell>
          <cell r="H162">
            <v>0</v>
          </cell>
          <cell r="I162">
            <v>38675</v>
          </cell>
        </row>
        <row r="163">
          <cell r="D163">
            <v>103370</v>
          </cell>
          <cell r="E163" t="str">
            <v>Scanner Machine</v>
          </cell>
          <cell r="F163">
            <v>3500</v>
          </cell>
          <cell r="G163">
            <v>3800</v>
          </cell>
          <cell r="H163">
            <v>3800</v>
          </cell>
          <cell r="I163">
            <v>3500</v>
          </cell>
        </row>
        <row r="164">
          <cell r="D164">
            <v>103374</v>
          </cell>
          <cell r="E164" t="str">
            <v>Vaccum Cleaner</v>
          </cell>
          <cell r="F164">
            <v>17570</v>
          </cell>
          <cell r="G164">
            <v>0</v>
          </cell>
          <cell r="H164">
            <v>0</v>
          </cell>
          <cell r="I164">
            <v>17570</v>
          </cell>
        </row>
        <row r="165">
          <cell r="D165">
            <v>103377</v>
          </cell>
          <cell r="E165" t="str">
            <v>CCTC Surveillance System</v>
          </cell>
          <cell r="F165">
            <v>2116515</v>
          </cell>
          <cell r="G165">
            <v>0</v>
          </cell>
          <cell r="H165">
            <v>0</v>
          </cell>
          <cell r="I165">
            <v>2116515</v>
          </cell>
        </row>
        <row r="166">
          <cell r="D166">
            <v>103382</v>
          </cell>
          <cell r="E166" t="str">
            <v>Boom Barriers</v>
          </cell>
          <cell r="F166">
            <v>160000</v>
          </cell>
          <cell r="G166">
            <v>0</v>
          </cell>
          <cell r="H166">
            <v>0</v>
          </cell>
          <cell r="I166">
            <v>160000</v>
          </cell>
        </row>
        <row r="167">
          <cell r="D167">
            <v>103383</v>
          </cell>
          <cell r="E167" t="str">
            <v>Breath Analyzers</v>
          </cell>
          <cell r="F167">
            <v>30994</v>
          </cell>
          <cell r="G167">
            <v>0</v>
          </cell>
          <cell r="H167">
            <v>0</v>
          </cell>
          <cell r="I167">
            <v>30994</v>
          </cell>
        </row>
        <row r="168">
          <cell r="D168">
            <v>103385</v>
          </cell>
          <cell r="E168" t="str">
            <v>Boi Matric reader at HYD office</v>
          </cell>
          <cell r="F168">
            <v>0</v>
          </cell>
          <cell r="G168">
            <v>40075</v>
          </cell>
          <cell r="H168">
            <v>0</v>
          </cell>
          <cell r="I168">
            <v>40075</v>
          </cell>
        </row>
        <row r="169">
          <cell r="D169">
            <v>103386</v>
          </cell>
          <cell r="E169" t="str">
            <v>Conference Hall Mike System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D170">
            <v>103530</v>
          </cell>
          <cell r="E170" t="str">
            <v>Hero Puch Motor Cycle</v>
          </cell>
          <cell r="F170">
            <v>29589</v>
          </cell>
          <cell r="G170">
            <v>0</v>
          </cell>
          <cell r="H170">
            <v>0</v>
          </cell>
          <cell r="I170">
            <v>29589</v>
          </cell>
        </row>
        <row r="171">
          <cell r="D171">
            <v>103531</v>
          </cell>
          <cell r="E171" t="str">
            <v>Honda ZX GXI</v>
          </cell>
          <cell r="F171">
            <v>858787</v>
          </cell>
          <cell r="G171">
            <v>0</v>
          </cell>
          <cell r="H171">
            <v>0</v>
          </cell>
          <cell r="I171">
            <v>858787</v>
          </cell>
        </row>
        <row r="172">
          <cell r="D172">
            <v>103536</v>
          </cell>
          <cell r="E172" t="str">
            <v>Vehicles - cycle</v>
          </cell>
          <cell r="F172">
            <v>1460</v>
          </cell>
          <cell r="G172">
            <v>0</v>
          </cell>
          <cell r="H172">
            <v>0</v>
          </cell>
          <cell r="I172">
            <v>1460</v>
          </cell>
        </row>
        <row r="173">
          <cell r="D173">
            <v>103539</v>
          </cell>
          <cell r="E173" t="str">
            <v>Vehicle - Rickshaw</v>
          </cell>
          <cell r="F173">
            <v>0</v>
          </cell>
          <cell r="G173">
            <v>16000</v>
          </cell>
          <cell r="H173">
            <v>0</v>
          </cell>
          <cell r="I173">
            <v>16000</v>
          </cell>
        </row>
        <row r="174">
          <cell r="D174">
            <v>103540</v>
          </cell>
          <cell r="E174" t="str">
            <v>Tavera Vehicle - B4</v>
          </cell>
          <cell r="F174">
            <v>0</v>
          </cell>
          <cell r="G174">
            <v>901700</v>
          </cell>
          <cell r="H174">
            <v>0</v>
          </cell>
          <cell r="I174">
            <v>901700</v>
          </cell>
        </row>
        <row r="175">
          <cell r="D175">
            <v>103541</v>
          </cell>
          <cell r="E175" t="str">
            <v>Innova - Vehicle</v>
          </cell>
          <cell r="F175">
            <v>0</v>
          </cell>
          <cell r="G175">
            <v>1524108</v>
          </cell>
          <cell r="H175">
            <v>0</v>
          </cell>
          <cell r="I175">
            <v>1524108</v>
          </cell>
        </row>
        <row r="176">
          <cell r="D176">
            <v>103546</v>
          </cell>
          <cell r="E176" t="str">
            <v>Discover 150BS 111 - Vehicle</v>
          </cell>
          <cell r="F176">
            <v>0</v>
          </cell>
          <cell r="G176">
            <v>58919</v>
          </cell>
          <cell r="H176">
            <v>0</v>
          </cell>
          <cell r="I176">
            <v>58919</v>
          </cell>
        </row>
        <row r="177">
          <cell r="D177">
            <v>103296</v>
          </cell>
          <cell r="E177" t="str">
            <v>Furniture &amp; Fixtures</v>
          </cell>
          <cell r="F177">
            <v>3067914</v>
          </cell>
          <cell r="G177">
            <v>1042739</v>
          </cell>
          <cell r="H177">
            <v>0</v>
          </cell>
          <cell r="I177">
            <v>4110653</v>
          </cell>
        </row>
        <row r="178">
          <cell r="D178">
            <v>103317</v>
          </cell>
          <cell r="E178" t="str">
            <v>Aqua Care</v>
          </cell>
          <cell r="F178">
            <v>6290</v>
          </cell>
          <cell r="G178">
            <v>0</v>
          </cell>
          <cell r="H178">
            <v>0</v>
          </cell>
          <cell r="I178">
            <v>6290</v>
          </cell>
        </row>
        <row r="179">
          <cell r="D179">
            <v>103321</v>
          </cell>
          <cell r="E179" t="str">
            <v>Pressure Cooker</v>
          </cell>
          <cell r="F179">
            <v>1473</v>
          </cell>
          <cell r="G179">
            <v>0</v>
          </cell>
          <cell r="H179">
            <v>0</v>
          </cell>
          <cell r="I179">
            <v>1473</v>
          </cell>
        </row>
        <row r="180">
          <cell r="D180">
            <v>103343</v>
          </cell>
          <cell r="E180" t="str">
            <v>A/c's for Ongc Building</v>
          </cell>
          <cell r="F180">
            <v>76060</v>
          </cell>
          <cell r="G180">
            <v>0</v>
          </cell>
          <cell r="H180">
            <v>0</v>
          </cell>
          <cell r="I180">
            <v>76060</v>
          </cell>
        </row>
        <row r="181">
          <cell r="D181">
            <v>103345</v>
          </cell>
          <cell r="E181" t="str">
            <v>Blue Star Hot and Cold Bottled Cooler</v>
          </cell>
          <cell r="F181">
            <v>7500</v>
          </cell>
          <cell r="G181">
            <v>0</v>
          </cell>
          <cell r="H181">
            <v>0</v>
          </cell>
          <cell r="I181">
            <v>7500</v>
          </cell>
        </row>
        <row r="182">
          <cell r="D182">
            <v>103346</v>
          </cell>
          <cell r="E182" t="str">
            <v>Cardless Phone</v>
          </cell>
          <cell r="F182">
            <v>3600</v>
          </cell>
          <cell r="G182">
            <v>0</v>
          </cell>
          <cell r="H182">
            <v>0</v>
          </cell>
          <cell r="I182">
            <v>3600</v>
          </cell>
        </row>
        <row r="183">
          <cell r="D183">
            <v>103349</v>
          </cell>
          <cell r="E183" t="str">
            <v>Computers</v>
          </cell>
          <cell r="F183">
            <v>2712389</v>
          </cell>
          <cell r="G183">
            <v>360850</v>
          </cell>
          <cell r="H183">
            <v>0</v>
          </cell>
          <cell r="I183">
            <v>3073239</v>
          </cell>
        </row>
        <row r="184">
          <cell r="D184">
            <v>103351</v>
          </cell>
          <cell r="E184" t="str">
            <v>Digital Camera</v>
          </cell>
          <cell r="F184">
            <v>32500</v>
          </cell>
          <cell r="G184">
            <v>0</v>
          </cell>
          <cell r="H184">
            <v>0</v>
          </cell>
          <cell r="I184">
            <v>32500</v>
          </cell>
        </row>
        <row r="185">
          <cell r="D185">
            <v>103352</v>
          </cell>
          <cell r="E185" t="str">
            <v>D-Link Modem &amp; Adaptor</v>
          </cell>
          <cell r="F185">
            <v>22705</v>
          </cell>
          <cell r="G185">
            <v>0</v>
          </cell>
          <cell r="H185">
            <v>0</v>
          </cell>
          <cell r="I185">
            <v>22705</v>
          </cell>
        </row>
        <row r="186">
          <cell r="D186">
            <v>103356</v>
          </cell>
          <cell r="E186" t="str">
            <v>Fax Machine</v>
          </cell>
          <cell r="F186">
            <v>22825</v>
          </cell>
          <cell r="G186">
            <v>0</v>
          </cell>
          <cell r="H186">
            <v>0</v>
          </cell>
          <cell r="I186">
            <v>22825</v>
          </cell>
        </row>
        <row r="187">
          <cell r="D187">
            <v>103358</v>
          </cell>
          <cell r="E187" t="str">
            <v>Fire Existinguishers - Gh</v>
          </cell>
          <cell r="F187">
            <v>5400</v>
          </cell>
          <cell r="G187">
            <v>0</v>
          </cell>
          <cell r="H187">
            <v>0</v>
          </cell>
          <cell r="I187">
            <v>5400</v>
          </cell>
        </row>
        <row r="188">
          <cell r="D188">
            <v>103372</v>
          </cell>
          <cell r="E188" t="str">
            <v>Stablizer - Office</v>
          </cell>
          <cell r="F188">
            <v>9900</v>
          </cell>
          <cell r="G188">
            <v>0</v>
          </cell>
          <cell r="H188">
            <v>0</v>
          </cell>
          <cell r="I188">
            <v>9900</v>
          </cell>
        </row>
        <row r="189">
          <cell r="D189">
            <v>103373</v>
          </cell>
          <cell r="E189" t="str">
            <v>UPS System</v>
          </cell>
          <cell r="F189">
            <v>166473</v>
          </cell>
          <cell r="G189">
            <v>0</v>
          </cell>
          <cell r="H189">
            <v>0</v>
          </cell>
          <cell r="I189">
            <v>166473</v>
          </cell>
        </row>
        <row r="190">
          <cell r="D190">
            <v>103375</v>
          </cell>
          <cell r="E190" t="str">
            <v>Water Cooler</v>
          </cell>
          <cell r="F190">
            <v>45850</v>
          </cell>
          <cell r="G190">
            <v>0</v>
          </cell>
          <cell r="H190">
            <v>0</v>
          </cell>
          <cell r="I190">
            <v>45850</v>
          </cell>
        </row>
        <row r="191">
          <cell r="D191">
            <v>103376</v>
          </cell>
          <cell r="E191" t="str">
            <v>Xerox Machine</v>
          </cell>
          <cell r="F191">
            <v>48000</v>
          </cell>
          <cell r="G191">
            <v>0</v>
          </cell>
          <cell r="H191">
            <v>0</v>
          </cell>
          <cell r="I191">
            <v>48000</v>
          </cell>
        </row>
        <row r="192">
          <cell r="D192">
            <v>103378</v>
          </cell>
          <cell r="E192" t="str">
            <v>Siron</v>
          </cell>
          <cell r="F192">
            <v>121644</v>
          </cell>
          <cell r="G192">
            <v>0</v>
          </cell>
          <cell r="H192">
            <v>0</v>
          </cell>
          <cell r="I192">
            <v>121644</v>
          </cell>
        </row>
        <row r="193">
          <cell r="D193">
            <v>103379</v>
          </cell>
          <cell r="E193" t="str">
            <v>Dicta Phone</v>
          </cell>
          <cell r="F193">
            <v>5995</v>
          </cell>
          <cell r="G193">
            <v>0</v>
          </cell>
          <cell r="H193">
            <v>0</v>
          </cell>
          <cell r="I193">
            <v>5995</v>
          </cell>
        </row>
        <row r="194">
          <cell r="D194">
            <v>103380</v>
          </cell>
          <cell r="E194" t="str">
            <v>Fibre optic cable connectvity at jetty</v>
          </cell>
          <cell r="F194">
            <v>124416</v>
          </cell>
          <cell r="G194">
            <v>0</v>
          </cell>
          <cell r="H194">
            <v>0</v>
          </cell>
          <cell r="I194">
            <v>124416</v>
          </cell>
        </row>
        <row r="195">
          <cell r="D195">
            <v>103384</v>
          </cell>
          <cell r="E195" t="str">
            <v>Retro Reflective Sign Boards</v>
          </cell>
          <cell r="F195">
            <v>0</v>
          </cell>
          <cell r="G195">
            <v>176000</v>
          </cell>
          <cell r="H195">
            <v>0</v>
          </cell>
          <cell r="I195">
            <v>176000</v>
          </cell>
        </row>
        <row r="196">
          <cell r="D196">
            <v>103387</v>
          </cell>
          <cell r="E196" t="str">
            <v>Aqua Guard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D197">
            <v>103888</v>
          </cell>
          <cell r="E197" t="str">
            <v>Water Jetting Machine</v>
          </cell>
          <cell r="F197">
            <v>0</v>
          </cell>
          <cell r="G197">
            <v>395025</v>
          </cell>
          <cell r="H197">
            <v>0</v>
          </cell>
          <cell r="I197">
            <v>395025</v>
          </cell>
        </row>
        <row r="198">
          <cell r="D198">
            <v>103892</v>
          </cell>
          <cell r="E198" t="str">
            <v>Mirror for inspection  of vehicles</v>
          </cell>
          <cell r="F198">
            <v>0</v>
          </cell>
          <cell r="G198">
            <v>29889</v>
          </cell>
          <cell r="H198">
            <v>0</v>
          </cell>
          <cell r="I198">
            <v>29889</v>
          </cell>
        </row>
        <row r="199">
          <cell r="D199">
            <v>103528</v>
          </cell>
          <cell r="E199" t="str">
            <v>Bajaj Platina Hyd Office</v>
          </cell>
          <cell r="F199">
            <v>36225</v>
          </cell>
          <cell r="G199">
            <v>0</v>
          </cell>
          <cell r="H199">
            <v>0</v>
          </cell>
          <cell r="I199">
            <v>36225</v>
          </cell>
        </row>
        <row r="200">
          <cell r="D200">
            <v>103533</v>
          </cell>
          <cell r="E200" t="str">
            <v>Tavera (L-2 BS-III)</v>
          </cell>
          <cell r="F200">
            <v>956514</v>
          </cell>
          <cell r="G200">
            <v>0</v>
          </cell>
          <cell r="H200">
            <v>956514</v>
          </cell>
          <cell r="I200">
            <v>0</v>
          </cell>
        </row>
        <row r="201">
          <cell r="D201">
            <v>103535</v>
          </cell>
          <cell r="E201" t="str">
            <v>Toyota Innova</v>
          </cell>
          <cell r="F201">
            <v>1238842</v>
          </cell>
          <cell r="G201">
            <v>0</v>
          </cell>
          <cell r="H201">
            <v>0</v>
          </cell>
          <cell r="I201">
            <v>1238842</v>
          </cell>
        </row>
        <row r="202">
          <cell r="D202">
            <v>103543</v>
          </cell>
          <cell r="E202" t="str">
            <v>Volkswagen Vento Vehicle - 1.6</v>
          </cell>
          <cell r="F202">
            <v>0</v>
          </cell>
          <cell r="G202">
            <v>1033664</v>
          </cell>
          <cell r="H202">
            <v>0</v>
          </cell>
          <cell r="I202">
            <v>1033664</v>
          </cell>
        </row>
        <row r="203">
          <cell r="D203">
            <v>103545</v>
          </cell>
          <cell r="E203" t="str">
            <v>BMW Vehicle - 730LD</v>
          </cell>
          <cell r="F203">
            <v>0</v>
          </cell>
          <cell r="G203">
            <v>10265160</v>
          </cell>
          <cell r="H203">
            <v>0</v>
          </cell>
          <cell r="I203">
            <v>10265160</v>
          </cell>
        </row>
        <row r="204">
          <cell r="D204">
            <v>103294</v>
          </cell>
          <cell r="E204" t="str">
            <v>Furnishing - Guesthouse(Corp.Off.)</v>
          </cell>
          <cell r="F204">
            <v>17050</v>
          </cell>
          <cell r="G204">
            <v>0</v>
          </cell>
          <cell r="H204">
            <v>0</v>
          </cell>
          <cell r="I204">
            <v>17050</v>
          </cell>
        </row>
        <row r="205">
          <cell r="D205">
            <v>103320</v>
          </cell>
          <cell r="E205" t="str">
            <v>Mixie -GH</v>
          </cell>
          <cell r="F205">
            <v>2390</v>
          </cell>
          <cell r="G205">
            <v>0</v>
          </cell>
          <cell r="H205">
            <v>0</v>
          </cell>
          <cell r="I205">
            <v>2390</v>
          </cell>
        </row>
        <row r="206">
          <cell r="D206">
            <v>103348</v>
          </cell>
          <cell r="E206" t="str">
            <v>Colour TV</v>
          </cell>
          <cell r="F206">
            <v>66200</v>
          </cell>
          <cell r="G206">
            <v>0</v>
          </cell>
          <cell r="H206">
            <v>0</v>
          </cell>
          <cell r="I206">
            <v>66200</v>
          </cell>
        </row>
        <row r="207">
          <cell r="D207">
            <v>103350</v>
          </cell>
          <cell r="E207" t="str">
            <v>Connectivity-Hardware Items</v>
          </cell>
          <cell r="F207">
            <v>147000</v>
          </cell>
          <cell r="G207">
            <v>0</v>
          </cell>
          <cell r="H207">
            <v>0</v>
          </cell>
          <cell r="I207">
            <v>147000</v>
          </cell>
        </row>
        <row r="208">
          <cell r="D208">
            <v>103362</v>
          </cell>
          <cell r="E208" t="str">
            <v>Metal Detector Etc.,</v>
          </cell>
          <cell r="F208">
            <v>80661</v>
          </cell>
          <cell r="G208">
            <v>0</v>
          </cell>
          <cell r="H208">
            <v>0</v>
          </cell>
          <cell r="I208">
            <v>80661</v>
          </cell>
        </row>
        <row r="209">
          <cell r="D209">
            <v>103363</v>
          </cell>
          <cell r="E209" t="str">
            <v>Office Equipment - Corp Office</v>
          </cell>
          <cell r="F209">
            <v>180204</v>
          </cell>
          <cell r="G209">
            <v>0</v>
          </cell>
          <cell r="H209">
            <v>0</v>
          </cell>
          <cell r="I209">
            <v>180204</v>
          </cell>
        </row>
        <row r="210">
          <cell r="D210">
            <v>103365</v>
          </cell>
          <cell r="E210" t="str">
            <v>Photocopier M/C.</v>
          </cell>
          <cell r="F210">
            <v>214575</v>
          </cell>
          <cell r="G210">
            <v>0</v>
          </cell>
          <cell r="H210">
            <v>0</v>
          </cell>
          <cell r="I210">
            <v>214575</v>
          </cell>
        </row>
        <row r="211">
          <cell r="D211">
            <v>103366</v>
          </cell>
          <cell r="E211" t="str">
            <v>Printers</v>
          </cell>
          <cell r="F211">
            <v>398339</v>
          </cell>
          <cell r="G211">
            <v>241341</v>
          </cell>
          <cell r="H211">
            <v>0</v>
          </cell>
          <cell r="I211">
            <v>639680</v>
          </cell>
        </row>
        <row r="212">
          <cell r="D212">
            <v>103369</v>
          </cell>
          <cell r="E212" t="str">
            <v>Samsung Plasma Ps 50p  (5H)</v>
          </cell>
          <cell r="F212">
            <v>269000</v>
          </cell>
          <cell r="G212">
            <v>0</v>
          </cell>
          <cell r="H212">
            <v>0</v>
          </cell>
          <cell r="I212">
            <v>269000</v>
          </cell>
        </row>
        <row r="213">
          <cell r="D213">
            <v>103371</v>
          </cell>
          <cell r="E213" t="str">
            <v>Shore Ais System -Isps Compliance</v>
          </cell>
          <cell r="F213">
            <v>2546068</v>
          </cell>
          <cell r="G213">
            <v>0</v>
          </cell>
          <cell r="H213">
            <v>0</v>
          </cell>
          <cell r="I213">
            <v>2546068</v>
          </cell>
        </row>
        <row r="214">
          <cell r="D214">
            <v>103397</v>
          </cell>
          <cell r="E214" t="str">
            <v>2 T Capacity Fork Lifts</v>
          </cell>
          <cell r="F214">
            <v>4436102</v>
          </cell>
          <cell r="G214">
            <v>0</v>
          </cell>
          <cell r="H214">
            <v>0</v>
          </cell>
          <cell r="I214">
            <v>4436102</v>
          </cell>
        </row>
        <row r="215">
          <cell r="D215">
            <v>103439</v>
          </cell>
          <cell r="E215" t="str">
            <v>Dewatering Pump Diesel Engine</v>
          </cell>
          <cell r="F215">
            <v>217679</v>
          </cell>
          <cell r="G215">
            <v>235800</v>
          </cell>
          <cell r="H215">
            <v>0</v>
          </cell>
          <cell r="I215">
            <v>453479</v>
          </cell>
        </row>
        <row r="216">
          <cell r="D216">
            <v>103442</v>
          </cell>
          <cell r="E216" t="str">
            <v>Electrical System - R&amp;D Yard</v>
          </cell>
          <cell r="F216">
            <v>7449984</v>
          </cell>
          <cell r="G216">
            <v>0</v>
          </cell>
          <cell r="H216">
            <v>0</v>
          </cell>
          <cell r="I216">
            <v>7449984</v>
          </cell>
        </row>
        <row r="217">
          <cell r="D217">
            <v>103445</v>
          </cell>
          <cell r="E217" t="str">
            <v>Electronic Weigh Bridge- R&amp;D Yard</v>
          </cell>
          <cell r="F217">
            <v>2535658</v>
          </cell>
          <cell r="G217">
            <v>0</v>
          </cell>
          <cell r="H217">
            <v>0</v>
          </cell>
          <cell r="I217">
            <v>2535658</v>
          </cell>
        </row>
        <row r="218">
          <cell r="D218">
            <v>103447</v>
          </cell>
          <cell r="E218" t="str">
            <v>First Leasing Assets - P&amp;M</v>
          </cell>
          <cell r="F218">
            <v>647732</v>
          </cell>
          <cell r="G218">
            <v>0</v>
          </cell>
          <cell r="H218">
            <v>0</v>
          </cell>
          <cell r="I218">
            <v>647732</v>
          </cell>
        </row>
        <row r="219">
          <cell r="D219">
            <v>103449</v>
          </cell>
          <cell r="E219" t="str">
            <v>Fresh Water Pipeline 2</v>
          </cell>
          <cell r="F219">
            <v>1350000</v>
          </cell>
          <cell r="G219">
            <v>0</v>
          </cell>
          <cell r="H219">
            <v>0</v>
          </cell>
          <cell r="I219">
            <v>1350000</v>
          </cell>
        </row>
        <row r="220">
          <cell r="D220">
            <v>103452</v>
          </cell>
          <cell r="E220" t="str">
            <v>Generator at Guest House</v>
          </cell>
          <cell r="F220">
            <v>627375</v>
          </cell>
          <cell r="G220">
            <v>0</v>
          </cell>
          <cell r="H220">
            <v>0</v>
          </cell>
          <cell r="I220">
            <v>627375</v>
          </cell>
        </row>
        <row r="221">
          <cell r="D221">
            <v>103461</v>
          </cell>
          <cell r="E221" t="str">
            <v>4th berth bund road illumination.</v>
          </cell>
          <cell r="F221">
            <v>0</v>
          </cell>
          <cell r="G221">
            <v>1274645</v>
          </cell>
          <cell r="H221">
            <v>0</v>
          </cell>
          <cell r="I221">
            <v>1274645</v>
          </cell>
        </row>
        <row r="222">
          <cell r="D222">
            <v>103463</v>
          </cell>
          <cell r="E222" t="str">
            <v>Illumination on NRW Extn.      (UNIT-1).</v>
          </cell>
          <cell r="F222">
            <v>0</v>
          </cell>
          <cell r="G222">
            <v>1315328</v>
          </cell>
          <cell r="H222">
            <v>0</v>
          </cell>
          <cell r="I222">
            <v>1315328</v>
          </cell>
        </row>
        <row r="223">
          <cell r="D223">
            <v>103466</v>
          </cell>
          <cell r="E223" t="str">
            <v>North Road  illumination.</v>
          </cell>
          <cell r="F223">
            <v>0</v>
          </cell>
          <cell r="G223">
            <v>228000</v>
          </cell>
          <cell r="H223">
            <v>0</v>
          </cell>
          <cell r="I223">
            <v>228000</v>
          </cell>
        </row>
        <row r="224">
          <cell r="D224">
            <v>103619</v>
          </cell>
          <cell r="E224" t="str">
            <v>Fire Extinguishers - 4th Berth</v>
          </cell>
          <cell r="F224">
            <v>64645</v>
          </cell>
          <cell r="G224">
            <v>0</v>
          </cell>
          <cell r="H224">
            <v>0</v>
          </cell>
          <cell r="I224">
            <v>64645</v>
          </cell>
        </row>
        <row r="225">
          <cell r="D225">
            <v>103641</v>
          </cell>
          <cell r="E225" t="str">
            <v>Highmasts at Osv Jetty</v>
          </cell>
          <cell r="F225">
            <v>1749349</v>
          </cell>
          <cell r="G225">
            <v>0</v>
          </cell>
          <cell r="H225">
            <v>0</v>
          </cell>
          <cell r="I225">
            <v>1749349</v>
          </cell>
        </row>
        <row r="226">
          <cell r="D226">
            <v>103642</v>
          </cell>
          <cell r="E226" t="str">
            <v>Liebherr CBW 40/29.5 Mtrs Cranes</v>
          </cell>
          <cell r="F226">
            <v>150183931</v>
          </cell>
          <cell r="G226">
            <v>0</v>
          </cell>
          <cell r="H226">
            <v>0</v>
          </cell>
          <cell r="I226">
            <v>150183931</v>
          </cell>
        </row>
        <row r="227">
          <cell r="D227">
            <v>103398</v>
          </cell>
          <cell r="E227" t="str">
            <v>3 T Capacity Fork Lifts</v>
          </cell>
          <cell r="F227">
            <v>1173965</v>
          </cell>
          <cell r="G227">
            <v>0</v>
          </cell>
          <cell r="H227">
            <v>0</v>
          </cell>
          <cell r="I227">
            <v>1173965</v>
          </cell>
        </row>
        <row r="228">
          <cell r="D228">
            <v>103418</v>
          </cell>
          <cell r="E228" t="str">
            <v>15 T Capacity Mobile Cranes</v>
          </cell>
          <cell r="F228">
            <v>4576511</v>
          </cell>
          <cell r="G228">
            <v>0</v>
          </cell>
          <cell r="H228">
            <v>0</v>
          </cell>
          <cell r="I228">
            <v>4576511</v>
          </cell>
        </row>
        <row r="229">
          <cell r="D229">
            <v>103441</v>
          </cell>
          <cell r="E229" t="str">
            <v>Electrical System - Back Up Area</v>
          </cell>
          <cell r="F229">
            <v>10639384</v>
          </cell>
          <cell r="G229">
            <v>0</v>
          </cell>
          <cell r="H229">
            <v>0</v>
          </cell>
          <cell r="I229">
            <v>10639384</v>
          </cell>
        </row>
        <row r="230">
          <cell r="D230">
            <v>103443</v>
          </cell>
          <cell r="E230" t="str">
            <v>Electrical Systems - Jetty</v>
          </cell>
          <cell r="F230">
            <v>7112402</v>
          </cell>
          <cell r="G230">
            <v>0</v>
          </cell>
          <cell r="H230">
            <v>0</v>
          </cell>
          <cell r="I230">
            <v>7112402</v>
          </cell>
        </row>
        <row r="231">
          <cell r="D231">
            <v>103446</v>
          </cell>
          <cell r="E231" t="str">
            <v>Fire Fighting System</v>
          </cell>
          <cell r="F231">
            <v>30053212</v>
          </cell>
          <cell r="G231">
            <v>0</v>
          </cell>
          <cell r="H231">
            <v>0</v>
          </cell>
          <cell r="I231">
            <v>30053212</v>
          </cell>
        </row>
        <row r="232">
          <cell r="D232">
            <v>103455</v>
          </cell>
          <cell r="E232" t="str">
            <v>Preoperative Exp - P&amp;M</v>
          </cell>
          <cell r="F232">
            <v>2382057</v>
          </cell>
          <cell r="G232">
            <v>0</v>
          </cell>
          <cell r="H232">
            <v>0</v>
          </cell>
          <cell r="I232">
            <v>2382057</v>
          </cell>
        </row>
        <row r="233">
          <cell r="D233">
            <v>103456</v>
          </cell>
          <cell r="E233" t="str">
            <v>Sokhi Max Road Sweeping Machine</v>
          </cell>
          <cell r="F233">
            <v>3011265</v>
          </cell>
          <cell r="G233">
            <v>0</v>
          </cell>
          <cell r="H233">
            <v>0</v>
          </cell>
          <cell r="I233">
            <v>3011265</v>
          </cell>
        </row>
        <row r="234">
          <cell r="D234">
            <v>103457</v>
          </cell>
          <cell r="E234" t="str">
            <v>Spares for Fork Lifts</v>
          </cell>
          <cell r="F234">
            <v>1608298</v>
          </cell>
          <cell r="G234">
            <v>0</v>
          </cell>
          <cell r="H234">
            <v>0</v>
          </cell>
          <cell r="I234">
            <v>1608298</v>
          </cell>
        </row>
        <row r="235">
          <cell r="D235">
            <v>103459</v>
          </cell>
          <cell r="E235" t="str">
            <v>Wagon Shunting Winches</v>
          </cell>
          <cell r="F235">
            <v>16819310</v>
          </cell>
          <cell r="G235">
            <v>0</v>
          </cell>
          <cell r="H235">
            <v>0</v>
          </cell>
          <cell r="I235">
            <v>16819310</v>
          </cell>
        </row>
        <row r="236">
          <cell r="D236">
            <v>103464</v>
          </cell>
          <cell r="E236" t="str">
            <v>4th berth backup area HM illumination.</v>
          </cell>
          <cell r="F236">
            <v>0</v>
          </cell>
          <cell r="G236">
            <v>9253453</v>
          </cell>
          <cell r="H236">
            <v>0</v>
          </cell>
          <cell r="I236">
            <v>9253453</v>
          </cell>
        </row>
        <row r="237">
          <cell r="D237">
            <v>103618</v>
          </cell>
          <cell r="E237" t="str">
            <v>Buoys for 4th Berth</v>
          </cell>
          <cell r="F237">
            <v>1136729</v>
          </cell>
          <cell r="G237">
            <v>0</v>
          </cell>
          <cell r="H237">
            <v>0</v>
          </cell>
          <cell r="I237">
            <v>1136729</v>
          </cell>
        </row>
        <row r="238">
          <cell r="D238">
            <v>103640</v>
          </cell>
          <cell r="E238" t="str">
            <v>Buoys for Osv Berth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D239">
            <v>103440</v>
          </cell>
          <cell r="E239" t="str">
            <v>Ebile Oil Pipe Line and Pipe Trench</v>
          </cell>
          <cell r="F239">
            <v>40606303</v>
          </cell>
          <cell r="G239">
            <v>0</v>
          </cell>
          <cell r="H239">
            <v>0</v>
          </cell>
          <cell r="I239">
            <v>40606303</v>
          </cell>
        </row>
        <row r="240">
          <cell r="D240">
            <v>103448</v>
          </cell>
          <cell r="E240" t="str">
            <v>Fresh Water Pipeline 1</v>
          </cell>
          <cell r="F240">
            <v>1380666</v>
          </cell>
          <cell r="G240">
            <v>0</v>
          </cell>
          <cell r="H240">
            <v>0</v>
          </cell>
          <cell r="I240">
            <v>1380666</v>
          </cell>
        </row>
        <row r="241">
          <cell r="D241">
            <v>103450</v>
          </cell>
          <cell r="E241" t="str">
            <v>Generator 500 Kva Cummins Kta 19 G9</v>
          </cell>
          <cell r="F241">
            <v>3250352</v>
          </cell>
          <cell r="G241">
            <v>0</v>
          </cell>
          <cell r="H241">
            <v>0</v>
          </cell>
          <cell r="I241">
            <v>3250352</v>
          </cell>
        </row>
        <row r="242">
          <cell r="D242">
            <v>103458</v>
          </cell>
          <cell r="E242" t="str">
            <v>Substation at R&amp;D Yard with Dg Sets</v>
          </cell>
          <cell r="F242">
            <v>5241800</v>
          </cell>
          <cell r="G242">
            <v>0</v>
          </cell>
          <cell r="H242">
            <v>0</v>
          </cell>
          <cell r="I242">
            <v>5241800</v>
          </cell>
        </row>
        <row r="243">
          <cell r="D243">
            <v>103462</v>
          </cell>
          <cell r="E243" t="str">
            <v>Middle road illumination</v>
          </cell>
          <cell r="F243">
            <v>0</v>
          </cell>
          <cell r="G243">
            <v>298280</v>
          </cell>
          <cell r="H243">
            <v>0</v>
          </cell>
          <cell r="I243">
            <v>298280</v>
          </cell>
        </row>
        <row r="244">
          <cell r="D244">
            <v>103465</v>
          </cell>
          <cell r="E244" t="str">
            <v>ADB Road illumination.</v>
          </cell>
          <cell r="F244">
            <v>0</v>
          </cell>
          <cell r="G244">
            <v>428000</v>
          </cell>
          <cell r="H244">
            <v>0</v>
          </cell>
          <cell r="I244">
            <v>428000</v>
          </cell>
        </row>
        <row r="245">
          <cell r="D245">
            <v>103467</v>
          </cell>
          <cell r="E245" t="str">
            <v>Illumination at Main Gate, Middle Gate, OSV Gate &amp; 4th Gate.</v>
          </cell>
          <cell r="F245">
            <v>0</v>
          </cell>
          <cell r="G245">
            <v>268000</v>
          </cell>
          <cell r="H245">
            <v>0</v>
          </cell>
          <cell r="I245">
            <v>268000</v>
          </cell>
        </row>
        <row r="246">
          <cell r="D246">
            <v>103617</v>
          </cell>
          <cell r="E246" t="str">
            <v>4th Berth Fenders</v>
          </cell>
          <cell r="F246">
            <v>5627873</v>
          </cell>
          <cell r="G246">
            <v>0</v>
          </cell>
          <cell r="H246">
            <v>0</v>
          </cell>
          <cell r="I246">
            <v>5627873</v>
          </cell>
        </row>
        <row r="247">
          <cell r="D247">
            <v>103643</v>
          </cell>
          <cell r="E247" t="str">
            <v>Osv Fenders</v>
          </cell>
          <cell r="F247">
            <v>7401079</v>
          </cell>
          <cell r="G247">
            <v>0</v>
          </cell>
          <cell r="H247">
            <v>0</v>
          </cell>
          <cell r="I247">
            <v>7401079</v>
          </cell>
        </row>
        <row r="248">
          <cell r="D248">
            <v>103396</v>
          </cell>
          <cell r="E248" t="str">
            <v>2.5 T Capacity Fork Lift</v>
          </cell>
          <cell r="F248">
            <v>1130674</v>
          </cell>
          <cell r="G248">
            <v>0</v>
          </cell>
          <cell r="H248">
            <v>0</v>
          </cell>
          <cell r="I248">
            <v>1130674</v>
          </cell>
        </row>
        <row r="249">
          <cell r="D249">
            <v>103419</v>
          </cell>
          <cell r="E249" t="str">
            <v>35 T Capacity Mobile Crane</v>
          </cell>
          <cell r="F249">
            <v>8112400</v>
          </cell>
          <cell r="G249">
            <v>0</v>
          </cell>
          <cell r="H249">
            <v>0</v>
          </cell>
          <cell r="I249">
            <v>8112400</v>
          </cell>
        </row>
        <row r="250">
          <cell r="D250">
            <v>103444</v>
          </cell>
          <cell r="E250" t="str">
            <v>Electrical System-West Side of the ADB Road</v>
          </cell>
          <cell r="F250">
            <v>532000</v>
          </cell>
          <cell r="G250">
            <v>0</v>
          </cell>
          <cell r="H250">
            <v>0</v>
          </cell>
          <cell r="I250">
            <v>532000</v>
          </cell>
        </row>
        <row r="251">
          <cell r="D251">
            <v>103451</v>
          </cell>
          <cell r="E251" t="str">
            <v>Generator Admn Office</v>
          </cell>
          <cell r="F251">
            <v>546352</v>
          </cell>
          <cell r="G251">
            <v>0</v>
          </cell>
          <cell r="H251">
            <v>0</v>
          </cell>
          <cell r="I251">
            <v>546352</v>
          </cell>
        </row>
        <row r="252">
          <cell r="D252">
            <v>103453</v>
          </cell>
          <cell r="E252" t="str">
            <v>Mobile Siloes</v>
          </cell>
          <cell r="F252">
            <v>3700000</v>
          </cell>
          <cell r="G252">
            <v>0</v>
          </cell>
          <cell r="H252">
            <v>0</v>
          </cell>
          <cell r="I252">
            <v>3700000</v>
          </cell>
        </row>
        <row r="253">
          <cell r="D253">
            <v>103454</v>
          </cell>
          <cell r="E253" t="str">
            <v>Portable Rotary Screw Air Compressor ( Mobile Silos</v>
          </cell>
          <cell r="F253">
            <v>6434984</v>
          </cell>
          <cell r="G253">
            <v>0</v>
          </cell>
          <cell r="H253">
            <v>0</v>
          </cell>
          <cell r="I253">
            <v>6434984</v>
          </cell>
        </row>
        <row r="254">
          <cell r="D254">
            <v>103460</v>
          </cell>
          <cell r="E254" t="str">
            <v>Buoys at Entrance Channel</v>
          </cell>
          <cell r="F254">
            <v>3857756</v>
          </cell>
          <cell r="G254">
            <v>4604903</v>
          </cell>
          <cell r="H254">
            <v>0</v>
          </cell>
          <cell r="I254">
            <v>8462659</v>
          </cell>
        </row>
        <row r="255">
          <cell r="D255">
            <v>103620</v>
          </cell>
          <cell r="E255" t="str">
            <v>High Masts at 4th Berth</v>
          </cell>
          <cell r="F255">
            <v>1026737</v>
          </cell>
          <cell r="G255">
            <v>0</v>
          </cell>
          <cell r="H255">
            <v>0</v>
          </cell>
          <cell r="I255">
            <v>1026737</v>
          </cell>
        </row>
        <row r="256">
          <cell r="D256">
            <v>103644</v>
          </cell>
          <cell r="E256" t="str">
            <v>Electrical Systems at OSV</v>
          </cell>
          <cell r="F256">
            <v>27092487</v>
          </cell>
          <cell r="G256">
            <v>0</v>
          </cell>
          <cell r="H256">
            <v>0</v>
          </cell>
          <cell r="I256">
            <v>27092487</v>
          </cell>
        </row>
        <row r="257">
          <cell r="D257">
            <v>400820</v>
          </cell>
          <cell r="E257" t="str">
            <v>Channel Fee</v>
          </cell>
          <cell r="F257">
            <v>0</v>
          </cell>
          <cell r="G257">
            <v>744000</v>
          </cell>
          <cell r="H257">
            <v>744000</v>
          </cell>
          <cell r="I257">
            <v>-744000</v>
          </cell>
        </row>
        <row r="258">
          <cell r="D258">
            <v>400821</v>
          </cell>
          <cell r="E258" t="str">
            <v>Towage Charges</v>
          </cell>
          <cell r="F258">
            <v>0</v>
          </cell>
          <cell r="G258">
            <v>12679926</v>
          </cell>
          <cell r="H258">
            <v>12679926</v>
          </cell>
          <cell r="I258">
            <v>-12679926</v>
          </cell>
        </row>
        <row r="259">
          <cell r="D259">
            <v>400840</v>
          </cell>
          <cell r="E259" t="str">
            <v>Pilot Standby Charges</v>
          </cell>
          <cell r="F259">
            <v>0</v>
          </cell>
          <cell r="G259">
            <v>897002</v>
          </cell>
          <cell r="H259">
            <v>897002</v>
          </cell>
          <cell r="I259">
            <v>-897002</v>
          </cell>
        </row>
        <row r="260">
          <cell r="D260">
            <v>400841</v>
          </cell>
          <cell r="E260" t="str">
            <v>Pilotage Normal</v>
          </cell>
          <cell r="F260">
            <v>0</v>
          </cell>
          <cell r="G260">
            <v>238006902</v>
          </cell>
          <cell r="H260">
            <v>238006902</v>
          </cell>
          <cell r="I260">
            <v>-238006902</v>
          </cell>
        </row>
        <row r="261">
          <cell r="D261">
            <v>400844</v>
          </cell>
          <cell r="E261" t="str">
            <v>Pilot Detention Charges</v>
          </cell>
          <cell r="F261">
            <v>0</v>
          </cell>
          <cell r="G261">
            <v>98670</v>
          </cell>
          <cell r="H261">
            <v>98670</v>
          </cell>
          <cell r="I261">
            <v>-98670</v>
          </cell>
        </row>
        <row r="262">
          <cell r="D262">
            <v>400802</v>
          </cell>
          <cell r="E262" t="str">
            <v>Bearth Hire SC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D263">
            <v>400843</v>
          </cell>
          <cell r="E263" t="str">
            <v>Pilot Launch (Inc)</v>
          </cell>
          <cell r="F263">
            <v>0</v>
          </cell>
          <cell r="G263">
            <v>250000</v>
          </cell>
          <cell r="H263">
            <v>250000</v>
          </cell>
          <cell r="I263">
            <v>-250000</v>
          </cell>
        </row>
        <row r="264">
          <cell r="D264">
            <v>400803</v>
          </cell>
          <cell r="E264" t="str">
            <v>Bearth hire non cargo vessels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D265">
            <v>400822</v>
          </cell>
          <cell r="E265" t="str">
            <v>Vessel Shifting Fees</v>
          </cell>
          <cell r="F265">
            <v>0</v>
          </cell>
          <cell r="G265">
            <v>4035571</v>
          </cell>
          <cell r="H265">
            <v>4035571</v>
          </cell>
          <cell r="I265">
            <v>-4035571</v>
          </cell>
        </row>
        <row r="266">
          <cell r="D266">
            <v>400860</v>
          </cell>
          <cell r="E266" t="str">
            <v>Pilotage, Berth Hire - Non Cargo Vessels</v>
          </cell>
          <cell r="F266">
            <v>0</v>
          </cell>
          <cell r="G266">
            <v>49604250</v>
          </cell>
          <cell r="H266">
            <v>49604250</v>
          </cell>
          <cell r="I266">
            <v>-48855729</v>
          </cell>
        </row>
        <row r="267">
          <cell r="D267">
            <v>400800</v>
          </cell>
          <cell r="E267" t="str">
            <v>Berth Hire</v>
          </cell>
          <cell r="F267">
            <v>0</v>
          </cell>
          <cell r="G267">
            <v>229422552</v>
          </cell>
          <cell r="H267">
            <v>229422552</v>
          </cell>
          <cell r="I267">
            <v>-229422552</v>
          </cell>
        </row>
        <row r="268">
          <cell r="D268">
            <v>400801</v>
          </cell>
          <cell r="E268" t="str">
            <v>Bearth Hire UP</v>
          </cell>
          <cell r="F268">
            <v>0</v>
          </cell>
          <cell r="G268">
            <v>24326880</v>
          </cell>
          <cell r="H268">
            <v>24326880</v>
          </cell>
          <cell r="I268">
            <v>-24326880</v>
          </cell>
        </row>
        <row r="269">
          <cell r="D269">
            <v>400842</v>
          </cell>
          <cell r="E269" t="str">
            <v>Pilot Cancellation Charges</v>
          </cell>
          <cell r="F269">
            <v>0</v>
          </cell>
          <cell r="G269">
            <v>316972</v>
          </cell>
          <cell r="H269">
            <v>316972</v>
          </cell>
          <cell r="I269">
            <v>-316972</v>
          </cell>
        </row>
        <row r="270">
          <cell r="D270">
            <v>400845</v>
          </cell>
          <cell r="E270" t="str">
            <v>Additional Tug Usage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1">
          <cell r="D271">
            <v>400944</v>
          </cell>
          <cell r="E271" t="str">
            <v>Other Vessel Related Charges SC</v>
          </cell>
          <cell r="F271">
            <v>0</v>
          </cell>
          <cell r="G271">
            <v>27000</v>
          </cell>
          <cell r="H271">
            <v>27000</v>
          </cell>
          <cell r="I271">
            <v>-27000</v>
          </cell>
        </row>
        <row r="272">
          <cell r="D272">
            <v>400960</v>
          </cell>
          <cell r="E272" t="str">
            <v>Dedicated Berth Hire Sc - Helix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D273">
            <v>400980</v>
          </cell>
          <cell r="E273" t="str">
            <v>Dedicated Berth Hire - Sc-Reliance</v>
          </cell>
          <cell r="F273">
            <v>0</v>
          </cell>
          <cell r="G273">
            <v>121605748</v>
          </cell>
          <cell r="H273">
            <v>121605748</v>
          </cell>
          <cell r="I273">
            <v>-121605748</v>
          </cell>
        </row>
        <row r="274">
          <cell r="D274">
            <v>400880</v>
          </cell>
          <cell r="E274" t="str">
            <v>Pipeline Rental/usage Income</v>
          </cell>
          <cell r="F274">
            <v>0</v>
          </cell>
          <cell r="G274">
            <v>41504492</v>
          </cell>
          <cell r="H274">
            <v>41504492</v>
          </cell>
          <cell r="I274">
            <v>-41504492</v>
          </cell>
        </row>
        <row r="275">
          <cell r="D275">
            <v>400881</v>
          </cell>
          <cell r="E275" t="str">
            <v>Weighbridge Income</v>
          </cell>
          <cell r="F275">
            <v>0</v>
          </cell>
          <cell r="G275">
            <v>5141809</v>
          </cell>
          <cell r="H275">
            <v>5141809</v>
          </cell>
          <cell r="I275">
            <v>-5078809</v>
          </cell>
        </row>
        <row r="276">
          <cell r="D276">
            <v>400920</v>
          </cell>
          <cell r="E276" t="str">
            <v>Wharfage - SC</v>
          </cell>
          <cell r="F276">
            <v>0</v>
          </cell>
          <cell r="G276">
            <v>9138509</v>
          </cell>
          <cell r="H276">
            <v>9138509</v>
          </cell>
          <cell r="I276">
            <v>-9138509</v>
          </cell>
        </row>
        <row r="277">
          <cell r="D277">
            <v>400940</v>
          </cell>
          <cell r="E277" t="str">
            <v>Nighmovement Sc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</row>
        <row r="278">
          <cell r="D278">
            <v>400882</v>
          </cell>
          <cell r="E278" t="str">
            <v>Wharfage</v>
          </cell>
          <cell r="F278">
            <v>0</v>
          </cell>
          <cell r="G278">
            <v>625353312</v>
          </cell>
          <cell r="H278">
            <v>625353312</v>
          </cell>
          <cell r="I278">
            <v>-624914030</v>
          </cell>
        </row>
        <row r="279">
          <cell r="D279">
            <v>401191</v>
          </cell>
          <cell r="E279" t="str">
            <v>Pollution Control Charges(Watering of Berths and Yards)</v>
          </cell>
          <cell r="F279">
            <v>0</v>
          </cell>
          <cell r="G279">
            <v>12360212</v>
          </cell>
          <cell r="H279">
            <v>12360212</v>
          </cell>
          <cell r="I279">
            <v>-12360212</v>
          </cell>
        </row>
        <row r="280">
          <cell r="D280">
            <v>400941</v>
          </cell>
          <cell r="E280" t="str">
            <v>Shifting Charges SC</v>
          </cell>
          <cell r="F280">
            <v>0</v>
          </cell>
          <cell r="G280">
            <v>40450</v>
          </cell>
          <cell r="H280">
            <v>40450</v>
          </cell>
          <cell r="I280">
            <v>-40450</v>
          </cell>
        </row>
        <row r="281">
          <cell r="D281">
            <v>400961</v>
          </cell>
          <cell r="E281" t="str">
            <v>Dedicated Berth Hire Sc -GSPC</v>
          </cell>
          <cell r="F281">
            <v>0</v>
          </cell>
          <cell r="G281">
            <v>118750000</v>
          </cell>
          <cell r="H281">
            <v>118750000</v>
          </cell>
          <cell r="I281">
            <v>-118750000</v>
          </cell>
        </row>
        <row r="282">
          <cell r="D282">
            <v>400942</v>
          </cell>
          <cell r="E282" t="str">
            <v>Dedicated Berth Hire - SC</v>
          </cell>
          <cell r="F282">
            <v>0</v>
          </cell>
          <cell r="G282">
            <v>131710527</v>
          </cell>
          <cell r="H282">
            <v>131710527</v>
          </cell>
          <cell r="I282">
            <v>-131710527</v>
          </cell>
        </row>
        <row r="283">
          <cell r="D283">
            <v>400943</v>
          </cell>
          <cell r="E283" t="str">
            <v>Other Fees - SC</v>
          </cell>
          <cell r="F283">
            <v>0</v>
          </cell>
          <cell r="G283">
            <v>9250609</v>
          </cell>
          <cell r="H283">
            <v>9250609</v>
          </cell>
          <cell r="I283">
            <v>-9250609</v>
          </cell>
        </row>
        <row r="284">
          <cell r="D284">
            <v>400981</v>
          </cell>
          <cell r="E284" t="str">
            <v>Dedicated berthing charges for berthing of OSVs Cairn</v>
          </cell>
          <cell r="F284">
            <v>0</v>
          </cell>
          <cell r="G284">
            <v>77066667</v>
          </cell>
          <cell r="H284">
            <v>77066667</v>
          </cell>
          <cell r="I284">
            <v>-77066667</v>
          </cell>
        </row>
        <row r="285">
          <cell r="D285">
            <v>401000</v>
          </cell>
          <cell r="E285" t="str">
            <v>Shore Support Income Others</v>
          </cell>
          <cell r="F285">
            <v>0</v>
          </cell>
          <cell r="G285">
            <v>12500439</v>
          </cell>
          <cell r="H285">
            <v>12500439</v>
          </cell>
          <cell r="I285">
            <v>-12495968</v>
          </cell>
        </row>
        <row r="286">
          <cell r="D286">
            <v>401001</v>
          </cell>
          <cell r="E286" t="str">
            <v>Mobile Silos Usage Income</v>
          </cell>
          <cell r="F286">
            <v>0</v>
          </cell>
          <cell r="G286">
            <v>1523700</v>
          </cell>
          <cell r="H286">
            <v>1523700</v>
          </cell>
          <cell r="I286">
            <v>-1523700</v>
          </cell>
        </row>
        <row r="287">
          <cell r="D287">
            <v>401044</v>
          </cell>
          <cell r="E287" t="str">
            <v>Water, Bunkering infrastructure charges</v>
          </cell>
          <cell r="F287">
            <v>0</v>
          </cell>
          <cell r="G287">
            <v>22666667</v>
          </cell>
          <cell r="H287">
            <v>22666667</v>
          </cell>
          <cell r="I287">
            <v>-22666667</v>
          </cell>
        </row>
        <row r="288">
          <cell r="D288">
            <v>401060</v>
          </cell>
          <cell r="E288" t="str">
            <v>CHI Fork Lifts</v>
          </cell>
          <cell r="F288">
            <v>0</v>
          </cell>
          <cell r="G288">
            <v>263095</v>
          </cell>
          <cell r="H288">
            <v>263095</v>
          </cell>
          <cell r="I288">
            <v>-263095</v>
          </cell>
        </row>
        <row r="289">
          <cell r="D289">
            <v>401061</v>
          </cell>
          <cell r="E289" t="str">
            <v>CHI Mobile Crane</v>
          </cell>
          <cell r="F289">
            <v>0</v>
          </cell>
          <cell r="G289">
            <v>149900</v>
          </cell>
          <cell r="H289">
            <v>149900</v>
          </cell>
          <cell r="I289">
            <v>-149900</v>
          </cell>
        </row>
        <row r="290">
          <cell r="D290">
            <v>401064</v>
          </cell>
          <cell r="E290" t="str">
            <v>CHI Mobile Crane-SC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D291">
            <v>401101</v>
          </cell>
          <cell r="E291" t="str">
            <v>Entry Fees</v>
          </cell>
          <cell r="F291">
            <v>0</v>
          </cell>
          <cell r="G291">
            <v>8132836</v>
          </cell>
          <cell r="H291">
            <v>8132836</v>
          </cell>
          <cell r="I291">
            <v>-8132836</v>
          </cell>
        </row>
        <row r="292">
          <cell r="D292">
            <v>401102</v>
          </cell>
          <cell r="E292" t="str">
            <v>Entry Fees From Esskay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</row>
        <row r="293">
          <cell r="D293">
            <v>401142</v>
          </cell>
          <cell r="E293" t="str">
            <v>Penalties</v>
          </cell>
          <cell r="F293">
            <v>0</v>
          </cell>
          <cell r="G293">
            <v>219448</v>
          </cell>
          <cell r="H293">
            <v>219448</v>
          </cell>
          <cell r="I293">
            <v>-219448</v>
          </cell>
        </row>
        <row r="294">
          <cell r="D294">
            <v>401020</v>
          </cell>
          <cell r="E294" t="str">
            <v>Closed Storage</v>
          </cell>
          <cell r="F294">
            <v>0</v>
          </cell>
          <cell r="G294">
            <v>12870570</v>
          </cell>
          <cell r="H294">
            <v>12870570</v>
          </cell>
          <cell r="I294">
            <v>-12870570</v>
          </cell>
        </row>
        <row r="295">
          <cell r="D295">
            <v>401021</v>
          </cell>
          <cell r="E295" t="str">
            <v>Storage Inc Open Storage</v>
          </cell>
          <cell r="F295">
            <v>0</v>
          </cell>
          <cell r="G295">
            <v>76307527</v>
          </cell>
          <cell r="H295">
            <v>76307527</v>
          </cell>
          <cell r="I295">
            <v>-76307527</v>
          </cell>
        </row>
        <row r="296">
          <cell r="D296">
            <v>401024</v>
          </cell>
          <cell r="E296" t="str">
            <v>Storage Inc Open Storage - SC</v>
          </cell>
          <cell r="F296">
            <v>0</v>
          </cell>
          <cell r="G296">
            <v>35216451</v>
          </cell>
          <cell r="H296">
            <v>35216451</v>
          </cell>
          <cell r="I296">
            <v>-35216451</v>
          </cell>
        </row>
        <row r="297">
          <cell r="D297">
            <v>401040</v>
          </cell>
          <cell r="E297" t="str">
            <v>Supply of water</v>
          </cell>
          <cell r="F297">
            <v>0</v>
          </cell>
          <cell r="G297">
            <v>17569703</v>
          </cell>
          <cell r="H297">
            <v>17569703</v>
          </cell>
          <cell r="I297">
            <v>-17569703</v>
          </cell>
        </row>
        <row r="298">
          <cell r="D298">
            <v>401041</v>
          </cell>
          <cell r="E298" t="str">
            <v>Supply of HF HSD Transportaion charges</v>
          </cell>
          <cell r="F298">
            <v>0</v>
          </cell>
          <cell r="G298">
            <v>15200000</v>
          </cell>
          <cell r="H298">
            <v>15200000</v>
          </cell>
          <cell r="I298">
            <v>-15200000</v>
          </cell>
        </row>
        <row r="299">
          <cell r="D299">
            <v>401062</v>
          </cell>
          <cell r="E299" t="str">
            <v>CHI Mobile Crane 35 MT</v>
          </cell>
          <cell r="F299">
            <v>0</v>
          </cell>
          <cell r="G299">
            <v>374180</v>
          </cell>
          <cell r="H299">
            <v>374180</v>
          </cell>
          <cell r="I299">
            <v>-369500</v>
          </cell>
        </row>
        <row r="300">
          <cell r="D300">
            <v>401100</v>
          </cell>
          <cell r="E300" t="str">
            <v>Entry Fees  From Bothra</v>
          </cell>
          <cell r="F300">
            <v>0</v>
          </cell>
          <cell r="G300">
            <v>1239145</v>
          </cell>
          <cell r="H300">
            <v>1239145</v>
          </cell>
          <cell r="I300">
            <v>-1104989</v>
          </cell>
        </row>
        <row r="301">
          <cell r="D301">
            <v>401103</v>
          </cell>
          <cell r="E301" t="str">
            <v>Entry Fees From Prathyusha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D302">
            <v>401105</v>
          </cell>
          <cell r="E302" t="str">
            <v>Entry fees from Triar Logistics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D303">
            <v>401141</v>
          </cell>
          <cell r="E303" t="str">
            <v>Over/Under Payment Revenue</v>
          </cell>
          <cell r="F303">
            <v>0</v>
          </cell>
          <cell r="G303">
            <v>2</v>
          </cell>
          <cell r="H303">
            <v>2</v>
          </cell>
          <cell r="I303">
            <v>2</v>
          </cell>
        </row>
        <row r="304">
          <cell r="D304">
            <v>401160</v>
          </cell>
          <cell r="E304" t="str">
            <v>Misc. Income  Photograph</v>
          </cell>
          <cell r="F304">
            <v>0</v>
          </cell>
          <cell r="G304">
            <v>43087</v>
          </cell>
          <cell r="H304">
            <v>43087</v>
          </cell>
          <cell r="I304">
            <v>-42543</v>
          </cell>
        </row>
        <row r="305">
          <cell r="D305">
            <v>401161</v>
          </cell>
          <cell r="E305" t="str">
            <v>Misc.Income Photograph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D306">
            <v>400900</v>
          </cell>
          <cell r="E306" t="str">
            <v>STS Operation Income</v>
          </cell>
          <cell r="F306">
            <v>0</v>
          </cell>
          <cell r="G306">
            <v>5842196</v>
          </cell>
          <cell r="H306">
            <v>5842196</v>
          </cell>
          <cell r="I306">
            <v>-5842196</v>
          </cell>
        </row>
        <row r="307">
          <cell r="D307">
            <v>401023</v>
          </cell>
          <cell r="E307" t="str">
            <v>Storage Inc Closed Storage - SC</v>
          </cell>
          <cell r="F307">
            <v>0</v>
          </cell>
          <cell r="G307">
            <v>20576555</v>
          </cell>
          <cell r="H307">
            <v>20576555</v>
          </cell>
          <cell r="I307">
            <v>-19249349</v>
          </cell>
        </row>
        <row r="308">
          <cell r="D308">
            <v>401043</v>
          </cell>
          <cell r="E308" t="str">
            <v>Wharfage - bunkering</v>
          </cell>
          <cell r="F308">
            <v>0</v>
          </cell>
          <cell r="G308">
            <v>2579914</v>
          </cell>
          <cell r="H308">
            <v>2579914</v>
          </cell>
          <cell r="I308">
            <v>-2334414</v>
          </cell>
        </row>
        <row r="309">
          <cell r="D309">
            <v>401066</v>
          </cell>
          <cell r="E309" t="str">
            <v>OSV  fixed cranes usage charges</v>
          </cell>
          <cell r="F309">
            <v>0</v>
          </cell>
          <cell r="G309">
            <v>1282500</v>
          </cell>
          <cell r="H309">
            <v>1282500</v>
          </cell>
          <cell r="I309">
            <v>-1282500</v>
          </cell>
        </row>
        <row r="310">
          <cell r="D310">
            <v>401104</v>
          </cell>
          <cell r="E310" t="str">
            <v>Entry Fees   Security</v>
          </cell>
          <cell r="F310">
            <v>0</v>
          </cell>
          <cell r="G310">
            <v>3868887</v>
          </cell>
          <cell r="H310">
            <v>3868887</v>
          </cell>
          <cell r="I310">
            <v>-3802274</v>
          </cell>
        </row>
        <row r="311">
          <cell r="D311">
            <v>401022</v>
          </cell>
          <cell r="E311" t="str">
            <v>Land Lease Rentals Inc</v>
          </cell>
          <cell r="F311">
            <v>0</v>
          </cell>
          <cell r="G311">
            <v>7259068</v>
          </cell>
          <cell r="H311">
            <v>7259068</v>
          </cell>
          <cell r="I311">
            <v>-3822975</v>
          </cell>
        </row>
        <row r="312">
          <cell r="D312">
            <v>401042</v>
          </cell>
          <cell r="E312" t="str">
            <v>Water pipe line charges</v>
          </cell>
          <cell r="F312">
            <v>0</v>
          </cell>
          <cell r="G312">
            <v>2133123</v>
          </cell>
          <cell r="H312">
            <v>2133123</v>
          </cell>
          <cell r="I312">
            <v>-1833123</v>
          </cell>
        </row>
        <row r="313">
          <cell r="D313">
            <v>401063</v>
          </cell>
          <cell r="E313" t="str">
            <v>CHI Forklifts - SC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D314">
            <v>401065</v>
          </cell>
          <cell r="E314" t="str">
            <v>CHI Mobile Crane 35 MT-SC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D315">
            <v>401080</v>
          </cell>
          <cell r="E315" t="str">
            <v>Railway siding usage charges</v>
          </cell>
          <cell r="F315">
            <v>0</v>
          </cell>
          <cell r="G315">
            <v>112926100</v>
          </cell>
          <cell r="H315">
            <v>112926100</v>
          </cell>
          <cell r="I315">
            <v>-112926100</v>
          </cell>
        </row>
        <row r="316">
          <cell r="D316">
            <v>401120</v>
          </cell>
          <cell r="E316" t="str">
            <v>ISPS Registration Fee Misc.Income</v>
          </cell>
          <cell r="F316">
            <v>0</v>
          </cell>
          <cell r="G316">
            <v>537500</v>
          </cell>
          <cell r="H316">
            <v>537500</v>
          </cell>
          <cell r="I316">
            <v>-537500</v>
          </cell>
        </row>
        <row r="317">
          <cell r="D317">
            <v>401140</v>
          </cell>
          <cell r="E317" t="str">
            <v>Misc. Income General</v>
          </cell>
          <cell r="F317">
            <v>0</v>
          </cell>
          <cell r="G317">
            <v>374221</v>
          </cell>
          <cell r="H317">
            <v>374221</v>
          </cell>
          <cell r="I317">
            <v>-314714</v>
          </cell>
        </row>
        <row r="318">
          <cell r="D318">
            <v>401180</v>
          </cell>
          <cell r="E318" t="str">
            <v>Overheads recovered</v>
          </cell>
          <cell r="F318">
            <v>0</v>
          </cell>
          <cell r="G318">
            <v>41695788</v>
          </cell>
          <cell r="H318">
            <v>41695788</v>
          </cell>
          <cell r="I318">
            <v>-41695788</v>
          </cell>
        </row>
        <row r="319">
          <cell r="D319">
            <v>401181</v>
          </cell>
          <cell r="E319" t="str">
            <v>Interest on Fixed Deposits</v>
          </cell>
          <cell r="F319">
            <v>0</v>
          </cell>
          <cell r="G319">
            <v>7376405</v>
          </cell>
          <cell r="H319">
            <v>7376405</v>
          </cell>
          <cell r="I319">
            <v>-4940964</v>
          </cell>
        </row>
        <row r="320">
          <cell r="D320">
            <v>401193</v>
          </cell>
          <cell r="E320" t="str">
            <v>Interest received INR others</v>
          </cell>
          <cell r="F320">
            <v>0</v>
          </cell>
          <cell r="G320">
            <v>7560951</v>
          </cell>
          <cell r="H320">
            <v>7560951</v>
          </cell>
          <cell r="I320">
            <v>-7560951</v>
          </cell>
        </row>
        <row r="321">
          <cell r="D321">
            <v>401184</v>
          </cell>
          <cell r="E321" t="str">
            <v>Insurance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D322">
            <v>401188</v>
          </cell>
          <cell r="E322" t="str">
            <v>Rent - Canteen at Backup Area</v>
          </cell>
          <cell r="F322">
            <v>0</v>
          </cell>
          <cell r="G322">
            <v>151200</v>
          </cell>
          <cell r="H322">
            <v>151200</v>
          </cell>
          <cell r="I322">
            <v>-151200</v>
          </cell>
        </row>
        <row r="323">
          <cell r="D323">
            <v>401190</v>
          </cell>
          <cell r="E323" t="str">
            <v>Rent - Net Point office</v>
          </cell>
          <cell r="F323">
            <v>0</v>
          </cell>
          <cell r="G323">
            <v>54537</v>
          </cell>
          <cell r="H323">
            <v>54537</v>
          </cell>
          <cell r="I323">
            <v>-54537</v>
          </cell>
        </row>
        <row r="324">
          <cell r="D324">
            <v>401185</v>
          </cell>
          <cell r="E324" t="str">
            <v>Packing and Forwarding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D325">
            <v>401189</v>
          </cell>
          <cell r="E325" t="str">
            <v>Office Space KSSP</v>
          </cell>
          <cell r="F325">
            <v>0</v>
          </cell>
          <cell r="G325">
            <v>3300</v>
          </cell>
          <cell r="H325">
            <v>3300</v>
          </cell>
          <cell r="I325">
            <v>-3300</v>
          </cell>
        </row>
        <row r="326">
          <cell r="D326">
            <v>401192</v>
          </cell>
          <cell r="E326" t="str">
            <v>Rent -  Cafeteria at OSV Area</v>
          </cell>
          <cell r="F326">
            <v>0</v>
          </cell>
          <cell r="G326">
            <v>63100</v>
          </cell>
          <cell r="H326">
            <v>63100</v>
          </cell>
          <cell r="I326">
            <v>-63100</v>
          </cell>
        </row>
        <row r="327">
          <cell r="D327">
            <v>401186</v>
          </cell>
          <cell r="E327" t="str">
            <v>Extra fright Charges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D328">
            <v>401183</v>
          </cell>
          <cell r="E328" t="str">
            <v>Freight Revenue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D329">
            <v>401187</v>
          </cell>
          <cell r="E329" t="str">
            <v>Rent - Canteen at R &amp; D Yard</v>
          </cell>
          <cell r="F329">
            <v>0</v>
          </cell>
          <cell r="G329">
            <v>155452</v>
          </cell>
          <cell r="H329">
            <v>155452</v>
          </cell>
          <cell r="I329">
            <v>-145452</v>
          </cell>
        </row>
        <row r="330">
          <cell r="D330">
            <v>401182</v>
          </cell>
          <cell r="E330" t="str">
            <v>Foreign Exchange gain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D331">
            <v>401195</v>
          </cell>
          <cell r="E331" t="str">
            <v>Provision for bad and doubtful debts reversal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D332">
            <v>501300</v>
          </cell>
          <cell r="E332" t="str">
            <v>Pilotage contractor Charges</v>
          </cell>
          <cell r="F332">
            <v>0</v>
          </cell>
          <cell r="G332">
            <v>99483049</v>
          </cell>
          <cell r="H332">
            <v>99483049</v>
          </cell>
          <cell r="I332">
            <v>96129349</v>
          </cell>
        </row>
        <row r="333">
          <cell r="D333">
            <v>501344</v>
          </cell>
          <cell r="E333" t="str">
            <v>Pilot Launch Spares Consumed</v>
          </cell>
          <cell r="F333">
            <v>0</v>
          </cell>
          <cell r="G333">
            <v>83839</v>
          </cell>
          <cell r="H333">
            <v>83839</v>
          </cell>
          <cell r="I333">
            <v>83839</v>
          </cell>
        </row>
        <row r="334">
          <cell r="D334">
            <v>501346</v>
          </cell>
          <cell r="E334" t="str">
            <v>Pilot Launch Survey</v>
          </cell>
          <cell r="F334">
            <v>0</v>
          </cell>
          <cell r="G334">
            <v>48182</v>
          </cell>
          <cell r="H334">
            <v>48182</v>
          </cell>
          <cell r="I334">
            <v>48182</v>
          </cell>
        </row>
        <row r="335">
          <cell r="D335">
            <v>501367</v>
          </cell>
          <cell r="E335" t="str">
            <v>Tug - JH Lube Oil Consumed</v>
          </cell>
          <cell r="F335">
            <v>0</v>
          </cell>
          <cell r="G335">
            <v>230845</v>
          </cell>
          <cell r="H335">
            <v>230845</v>
          </cell>
          <cell r="I335">
            <v>230845</v>
          </cell>
        </row>
        <row r="336">
          <cell r="D336">
            <v>501371</v>
          </cell>
          <cell r="E336" t="str">
            <v>Tug Jh Safety equipment maintenance</v>
          </cell>
          <cell r="F336">
            <v>0</v>
          </cell>
          <cell r="G336">
            <v>4293</v>
          </cell>
          <cell r="H336">
            <v>4293</v>
          </cell>
          <cell r="I336">
            <v>4293</v>
          </cell>
        </row>
        <row r="337">
          <cell r="D337">
            <v>501395</v>
          </cell>
          <cell r="E337" t="str">
            <v>Tug - JK Spares Consumed</v>
          </cell>
          <cell r="F337">
            <v>0</v>
          </cell>
          <cell r="G337">
            <v>525468</v>
          </cell>
          <cell r="H337">
            <v>525468</v>
          </cell>
          <cell r="I337">
            <v>525468</v>
          </cell>
        </row>
        <row r="338">
          <cell r="D338">
            <v>501418</v>
          </cell>
          <cell r="E338" t="str">
            <v>Tug JT Dry Docking Exps</v>
          </cell>
          <cell r="F338">
            <v>0</v>
          </cell>
          <cell r="G338">
            <v>16033491</v>
          </cell>
          <cell r="H338">
            <v>16033491</v>
          </cell>
          <cell r="I338">
            <v>16033490</v>
          </cell>
        </row>
        <row r="339">
          <cell r="D339">
            <v>501423</v>
          </cell>
          <cell r="E339" t="str">
            <v>Tug Jt Safety equipment charges</v>
          </cell>
          <cell r="F339">
            <v>0</v>
          </cell>
          <cell r="G339">
            <v>51687</v>
          </cell>
          <cell r="H339">
            <v>51687</v>
          </cell>
          <cell r="I339">
            <v>51630</v>
          </cell>
        </row>
        <row r="340">
          <cell r="D340">
            <v>501347</v>
          </cell>
          <cell r="E340" t="str">
            <v>Tug Atlas - 21 Pilotage Charges</v>
          </cell>
          <cell r="F340">
            <v>0</v>
          </cell>
          <cell r="G340">
            <v>450000</v>
          </cell>
          <cell r="H340">
            <v>450000</v>
          </cell>
          <cell r="I340">
            <v>450000</v>
          </cell>
        </row>
        <row r="341">
          <cell r="D341">
            <v>501365</v>
          </cell>
          <cell r="E341" t="str">
            <v>Tug - JH Diesel Consumed</v>
          </cell>
          <cell r="F341">
            <v>0</v>
          </cell>
          <cell r="G341">
            <v>7810426</v>
          </cell>
          <cell r="H341">
            <v>7810426</v>
          </cell>
          <cell r="I341">
            <v>7810426</v>
          </cell>
        </row>
        <row r="342">
          <cell r="D342">
            <v>501370</v>
          </cell>
          <cell r="E342" t="str">
            <v>Tug Jh - Survey</v>
          </cell>
          <cell r="F342">
            <v>0</v>
          </cell>
          <cell r="G342">
            <v>199356</v>
          </cell>
          <cell r="H342">
            <v>199356</v>
          </cell>
          <cell r="I342">
            <v>199356</v>
          </cell>
        </row>
        <row r="343">
          <cell r="D343">
            <v>501394</v>
          </cell>
          <cell r="E343" t="str">
            <v>Tug - JK Others(R&amp;M)</v>
          </cell>
          <cell r="F343">
            <v>0</v>
          </cell>
          <cell r="G343">
            <v>112521</v>
          </cell>
          <cell r="H343">
            <v>112521</v>
          </cell>
          <cell r="I343">
            <v>104538</v>
          </cell>
        </row>
        <row r="344">
          <cell r="D344">
            <v>501396</v>
          </cell>
          <cell r="E344" t="str">
            <v>Tug Jk Survey</v>
          </cell>
          <cell r="F344">
            <v>0</v>
          </cell>
          <cell r="G344">
            <v>249196</v>
          </cell>
          <cell r="H344">
            <v>249196</v>
          </cell>
          <cell r="I344">
            <v>249196</v>
          </cell>
        </row>
        <row r="345">
          <cell r="D345">
            <v>501419</v>
          </cell>
          <cell r="E345" t="str">
            <v>Tug - JT Lube Oil Consumed</v>
          </cell>
          <cell r="F345">
            <v>0</v>
          </cell>
          <cell r="G345">
            <v>235355</v>
          </cell>
          <cell r="H345">
            <v>235355</v>
          </cell>
          <cell r="I345">
            <v>235355</v>
          </cell>
        </row>
        <row r="346">
          <cell r="D346">
            <v>501422</v>
          </cell>
          <cell r="E346" t="str">
            <v>Tug Jt Survey</v>
          </cell>
          <cell r="F346">
            <v>0</v>
          </cell>
          <cell r="G346">
            <v>155669</v>
          </cell>
          <cell r="H346">
            <v>155669</v>
          </cell>
          <cell r="I346">
            <v>155669</v>
          </cell>
        </row>
        <row r="347">
          <cell r="D347">
            <v>501340</v>
          </cell>
          <cell r="E347" t="str">
            <v>Pilot Launch Bhima Dry Dock - P &amp; L</v>
          </cell>
          <cell r="F347">
            <v>0</v>
          </cell>
          <cell r="G347">
            <v>728165</v>
          </cell>
          <cell r="H347">
            <v>728165</v>
          </cell>
          <cell r="I347">
            <v>728165</v>
          </cell>
        </row>
        <row r="348">
          <cell r="D348">
            <v>501341</v>
          </cell>
          <cell r="E348" t="str">
            <v>Pilot Launch  Bhima Diesel Consumed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D349">
            <v>501342</v>
          </cell>
          <cell r="E349" t="str">
            <v>Pilot Launch  Bhima Lube Oil Consumed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D350">
            <v>501343</v>
          </cell>
          <cell r="E350" t="str">
            <v>Pilot Launch Others</v>
          </cell>
          <cell r="F350">
            <v>0</v>
          </cell>
          <cell r="G350">
            <v>60835</v>
          </cell>
          <cell r="H350">
            <v>60835</v>
          </cell>
          <cell r="I350">
            <v>58174</v>
          </cell>
        </row>
        <row r="351">
          <cell r="D351">
            <v>501366</v>
          </cell>
          <cell r="E351" t="str">
            <v>Tug JH Dry Docking Exps P &amp; L</v>
          </cell>
          <cell r="F351">
            <v>0</v>
          </cell>
          <cell r="G351">
            <v>1127065</v>
          </cell>
          <cell r="H351">
            <v>1127065</v>
          </cell>
          <cell r="I351">
            <v>1127065</v>
          </cell>
        </row>
        <row r="352">
          <cell r="D352">
            <v>501391</v>
          </cell>
          <cell r="E352" t="str">
            <v>Tug - JK Diesel Consumed</v>
          </cell>
          <cell r="F352">
            <v>0</v>
          </cell>
          <cell r="G352">
            <v>8602541</v>
          </cell>
          <cell r="H352">
            <v>8602541</v>
          </cell>
          <cell r="I352">
            <v>8602541</v>
          </cell>
        </row>
        <row r="353">
          <cell r="D353">
            <v>501397</v>
          </cell>
          <cell r="E353" t="str">
            <v>Tug Jk Safety equipment maintenance</v>
          </cell>
          <cell r="F353">
            <v>0</v>
          </cell>
          <cell r="G353">
            <v>15606</v>
          </cell>
          <cell r="H353">
            <v>15606</v>
          </cell>
          <cell r="I353">
            <v>15606</v>
          </cell>
        </row>
        <row r="354">
          <cell r="D354">
            <v>501417</v>
          </cell>
          <cell r="E354" t="str">
            <v>Tug - JT Diesel Consumed</v>
          </cell>
          <cell r="F354">
            <v>0</v>
          </cell>
          <cell r="G354">
            <v>6208131</v>
          </cell>
          <cell r="H354">
            <v>6208131</v>
          </cell>
          <cell r="I354">
            <v>6193002</v>
          </cell>
        </row>
        <row r="355">
          <cell r="D355">
            <v>501420</v>
          </cell>
          <cell r="E355" t="str">
            <v>Tug - JT Others(R&amp;M)</v>
          </cell>
          <cell r="F355">
            <v>0</v>
          </cell>
          <cell r="G355">
            <v>99263</v>
          </cell>
          <cell r="H355">
            <v>99263</v>
          </cell>
          <cell r="I355">
            <v>91280</v>
          </cell>
        </row>
        <row r="356">
          <cell r="D356">
            <v>501320</v>
          </cell>
          <cell r="E356" t="str">
            <v>Oceansymphony Diesel Consumed</v>
          </cell>
          <cell r="F356">
            <v>0</v>
          </cell>
          <cell r="G356">
            <v>12885299</v>
          </cell>
          <cell r="H356">
            <v>12885299</v>
          </cell>
          <cell r="I356">
            <v>12885299</v>
          </cell>
        </row>
        <row r="357">
          <cell r="D357">
            <v>501345</v>
          </cell>
          <cell r="E357" t="str">
            <v>Pilot Launch safety equipment maintenance</v>
          </cell>
          <cell r="F357">
            <v>0</v>
          </cell>
          <cell r="G357">
            <v>55559</v>
          </cell>
          <cell r="H357">
            <v>55559</v>
          </cell>
          <cell r="I357">
            <v>55559</v>
          </cell>
        </row>
        <row r="358">
          <cell r="D358">
            <v>501368</v>
          </cell>
          <cell r="E358" t="str">
            <v>Tug - JH Others(R&amp;M)</v>
          </cell>
          <cell r="F358">
            <v>0</v>
          </cell>
          <cell r="G358">
            <v>267236</v>
          </cell>
          <cell r="H358">
            <v>267236</v>
          </cell>
          <cell r="I358">
            <v>259253</v>
          </cell>
        </row>
        <row r="359">
          <cell r="D359">
            <v>501369</v>
          </cell>
          <cell r="E359" t="str">
            <v>Tug - JH Spares Consumed</v>
          </cell>
          <cell r="F359">
            <v>0</v>
          </cell>
          <cell r="G359">
            <v>1014508</v>
          </cell>
          <cell r="H359">
            <v>1014508</v>
          </cell>
          <cell r="I359">
            <v>1014508</v>
          </cell>
        </row>
        <row r="360">
          <cell r="D360">
            <v>501392</v>
          </cell>
          <cell r="E360" t="str">
            <v>Tug JK Dry Docking Exps</v>
          </cell>
          <cell r="F360">
            <v>0</v>
          </cell>
          <cell r="G360">
            <v>13266608</v>
          </cell>
          <cell r="H360">
            <v>13266608</v>
          </cell>
          <cell r="I360">
            <v>13266608</v>
          </cell>
        </row>
        <row r="361">
          <cell r="D361">
            <v>501393</v>
          </cell>
          <cell r="E361" t="str">
            <v>Tug - JK Lube Oil Consumed</v>
          </cell>
          <cell r="F361">
            <v>0</v>
          </cell>
          <cell r="G361">
            <v>127565</v>
          </cell>
          <cell r="H361">
            <v>127565</v>
          </cell>
          <cell r="I361">
            <v>127565</v>
          </cell>
        </row>
        <row r="362">
          <cell r="D362">
            <v>501421</v>
          </cell>
          <cell r="E362" t="str">
            <v>Tug - JT Spares Consumed</v>
          </cell>
          <cell r="F362">
            <v>0</v>
          </cell>
          <cell r="G362">
            <v>930746</v>
          </cell>
          <cell r="H362">
            <v>930746</v>
          </cell>
          <cell r="I362">
            <v>930746</v>
          </cell>
        </row>
        <row r="363">
          <cell r="D363">
            <v>501443</v>
          </cell>
          <cell r="E363" t="str">
            <v>STS Operation Expenses -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D364">
            <v>501464</v>
          </cell>
          <cell r="E364" t="str">
            <v>Land Lease - Ex - IMC - 9.67 acres</v>
          </cell>
          <cell r="F364">
            <v>0</v>
          </cell>
          <cell r="G364">
            <v>3279740</v>
          </cell>
          <cell r="H364">
            <v>3279740</v>
          </cell>
          <cell r="I364">
            <v>1639872</v>
          </cell>
        </row>
        <row r="365">
          <cell r="D365">
            <v>501466</v>
          </cell>
          <cell r="E365" t="str">
            <v>Land Lease Direct Acess Road- 1.62 acres</v>
          </cell>
          <cell r="F365">
            <v>0</v>
          </cell>
          <cell r="G365">
            <v>591682</v>
          </cell>
          <cell r="H365">
            <v>591682</v>
          </cell>
          <cell r="I365">
            <v>295841</v>
          </cell>
        </row>
        <row r="366">
          <cell r="D366">
            <v>501472</v>
          </cell>
          <cell r="E366" t="str">
            <v>Land Lease - OSV - 25.18 Acres</v>
          </cell>
          <cell r="F366">
            <v>0</v>
          </cell>
          <cell r="G366">
            <v>311713</v>
          </cell>
          <cell r="H366">
            <v>311713</v>
          </cell>
          <cell r="I366">
            <v>311713</v>
          </cell>
        </row>
        <row r="367">
          <cell r="D367">
            <v>501467</v>
          </cell>
          <cell r="E367" t="str">
            <v>Land Lease Charges GoAP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</row>
        <row r="368">
          <cell r="D368">
            <v>501473</v>
          </cell>
          <cell r="E368" t="str">
            <v>Land Lease - OSV corner - 4.17 acres</v>
          </cell>
          <cell r="F368">
            <v>0</v>
          </cell>
          <cell r="G368">
            <v>51621</v>
          </cell>
          <cell r="H368">
            <v>51621</v>
          </cell>
          <cell r="I368">
            <v>51621</v>
          </cell>
        </row>
        <row r="369">
          <cell r="D369">
            <v>501488</v>
          </cell>
          <cell r="E369" t="str">
            <v>Area 1 Land lease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</row>
        <row r="370">
          <cell r="D370">
            <v>501465</v>
          </cell>
          <cell r="E370" t="str">
            <v>Land Lease R&amp;D Yard - 47.76 acres</v>
          </cell>
          <cell r="F370">
            <v>0</v>
          </cell>
          <cell r="G370">
            <v>15869099</v>
          </cell>
          <cell r="H370">
            <v>15869099</v>
          </cell>
          <cell r="I370">
            <v>7934550</v>
          </cell>
        </row>
        <row r="371">
          <cell r="D371">
            <v>501469</v>
          </cell>
          <cell r="E371" t="str">
            <v>Land Lease - Ex GSPC land -  6.58 acres</v>
          </cell>
          <cell r="F371">
            <v>0</v>
          </cell>
          <cell r="G371">
            <v>2403174</v>
          </cell>
          <cell r="H371">
            <v>2403174</v>
          </cell>
          <cell r="I371">
            <v>1201587</v>
          </cell>
        </row>
        <row r="372">
          <cell r="D372">
            <v>501471</v>
          </cell>
          <cell r="E372" t="str">
            <v>Land Lease - 4th Berth back up area - 54.33 acres</v>
          </cell>
          <cell r="F372">
            <v>0</v>
          </cell>
          <cell r="G372">
            <v>4959370</v>
          </cell>
          <cell r="H372">
            <v>4959370</v>
          </cell>
          <cell r="I372">
            <v>2479685</v>
          </cell>
        </row>
        <row r="373">
          <cell r="D373">
            <v>501468</v>
          </cell>
          <cell r="E373" t="str">
            <v>Land Lease charges - 114.39 acres</v>
          </cell>
          <cell r="F373">
            <v>0</v>
          </cell>
          <cell r="G373">
            <v>20894677</v>
          </cell>
          <cell r="H373">
            <v>20894677</v>
          </cell>
          <cell r="I373">
            <v>10447339</v>
          </cell>
        </row>
        <row r="374">
          <cell r="D374">
            <v>501470</v>
          </cell>
          <cell r="E374" t="str">
            <v>Land Lease - OSV - 25.94 acres</v>
          </cell>
          <cell r="F374">
            <v>0</v>
          </cell>
          <cell r="G374">
            <v>2367874</v>
          </cell>
          <cell r="H374">
            <v>2367874</v>
          </cell>
          <cell r="I374">
            <v>1183937</v>
          </cell>
        </row>
        <row r="375">
          <cell r="D375">
            <v>501514</v>
          </cell>
          <cell r="E375" t="str">
            <v>Water charges to Irrigation Dept</v>
          </cell>
          <cell r="F375">
            <v>0</v>
          </cell>
          <cell r="G375">
            <v>1004000</v>
          </cell>
          <cell r="H375">
            <v>1004000</v>
          </cell>
          <cell r="I375">
            <v>1004000</v>
          </cell>
        </row>
        <row r="376">
          <cell r="D376">
            <v>501515</v>
          </cell>
          <cell r="E376" t="str">
            <v>Water,Bunkering &amp; Logistics Charges</v>
          </cell>
          <cell r="F376">
            <v>0</v>
          </cell>
          <cell r="G376">
            <v>48000000</v>
          </cell>
          <cell r="H376">
            <v>48000000</v>
          </cell>
          <cell r="I376">
            <v>20400000</v>
          </cell>
        </row>
        <row r="377">
          <cell r="D377">
            <v>501509</v>
          </cell>
          <cell r="E377" t="str">
            <v>Fresh Water Charges- ONGC</v>
          </cell>
          <cell r="F377">
            <v>0</v>
          </cell>
          <cell r="G377">
            <v>16359635</v>
          </cell>
          <cell r="H377">
            <v>16359635</v>
          </cell>
          <cell r="I377">
            <v>16359635</v>
          </cell>
        </row>
        <row r="378">
          <cell r="D378">
            <v>501510</v>
          </cell>
          <cell r="E378" t="str">
            <v>Fresh Water Charges - Own Use</v>
          </cell>
          <cell r="F378">
            <v>0</v>
          </cell>
          <cell r="G378">
            <v>4971242</v>
          </cell>
          <cell r="H378">
            <v>4971242</v>
          </cell>
          <cell r="I378">
            <v>4971242</v>
          </cell>
        </row>
        <row r="379">
          <cell r="D379">
            <v>501511</v>
          </cell>
          <cell r="E379" t="str">
            <v>Hsd Bunkering Tranportaion - ONGC</v>
          </cell>
          <cell r="F379">
            <v>0</v>
          </cell>
          <cell r="G379">
            <v>15040000</v>
          </cell>
          <cell r="H379">
            <v>15040000</v>
          </cell>
          <cell r="I379">
            <v>15040000</v>
          </cell>
        </row>
        <row r="380">
          <cell r="D380">
            <v>501534</v>
          </cell>
          <cell r="E380" t="str">
            <v>Cargo Handling Equip. Maint. Charges Gen</v>
          </cell>
          <cell r="F380">
            <v>0</v>
          </cell>
          <cell r="G380">
            <v>1503036</v>
          </cell>
          <cell r="H380">
            <v>1503036</v>
          </cell>
          <cell r="I380">
            <v>1503036</v>
          </cell>
        </row>
        <row r="381">
          <cell r="D381">
            <v>501535</v>
          </cell>
          <cell r="E381" t="str">
            <v>Cargo Handling Equip.Maint.Charges OSV</v>
          </cell>
          <cell r="F381">
            <v>0</v>
          </cell>
          <cell r="G381">
            <v>1921908</v>
          </cell>
          <cell r="H381">
            <v>1921908</v>
          </cell>
          <cell r="I381">
            <v>1921908</v>
          </cell>
        </row>
        <row r="382">
          <cell r="D382">
            <v>501557</v>
          </cell>
          <cell r="E382" t="str">
            <v>Land Lease Charges - GFCL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</row>
        <row r="383">
          <cell r="D383">
            <v>501583</v>
          </cell>
          <cell r="E383" t="str">
            <v>Pipeline Repairs and Maintenance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</row>
        <row r="384">
          <cell r="D384">
            <v>501585</v>
          </cell>
          <cell r="E384" t="str">
            <v>Weigh Bridge Running and Maintenance</v>
          </cell>
          <cell r="F384">
            <v>0</v>
          </cell>
          <cell r="G384">
            <v>606832</v>
          </cell>
          <cell r="H384">
            <v>606832</v>
          </cell>
          <cell r="I384">
            <v>601759</v>
          </cell>
        </row>
        <row r="385">
          <cell r="D385">
            <v>501608</v>
          </cell>
          <cell r="E385" t="str">
            <v>Generator - Diesel Consumed-OSV</v>
          </cell>
          <cell r="F385">
            <v>0</v>
          </cell>
          <cell r="G385">
            <v>1054090</v>
          </cell>
          <cell r="H385">
            <v>1054090</v>
          </cell>
          <cell r="I385">
            <v>1054090</v>
          </cell>
        </row>
        <row r="386">
          <cell r="D386">
            <v>501627</v>
          </cell>
          <cell r="E386" t="str">
            <v>Electrical Maintenance-Jetty</v>
          </cell>
          <cell r="F386">
            <v>0</v>
          </cell>
          <cell r="G386">
            <v>2120417</v>
          </cell>
          <cell r="H386">
            <v>2120417</v>
          </cell>
          <cell r="I386">
            <v>2120417</v>
          </cell>
        </row>
        <row r="387">
          <cell r="D387">
            <v>501560</v>
          </cell>
          <cell r="E387" t="str">
            <v>Railway Line Usage Exp - GFCL</v>
          </cell>
          <cell r="F387">
            <v>0</v>
          </cell>
          <cell r="G387">
            <v>1260000</v>
          </cell>
          <cell r="H387">
            <v>1260000</v>
          </cell>
          <cell r="I387">
            <v>1260000</v>
          </cell>
        </row>
        <row r="388">
          <cell r="D388">
            <v>501639</v>
          </cell>
          <cell r="E388" t="str">
            <v>Port dues deficit balance written off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</row>
        <row r="389">
          <cell r="D389">
            <v>501640</v>
          </cell>
          <cell r="E389" t="str">
            <v>Electrical Maintenance -OSV</v>
          </cell>
          <cell r="F389">
            <v>0</v>
          </cell>
          <cell r="G389">
            <v>333551</v>
          </cell>
          <cell r="H389">
            <v>333551</v>
          </cell>
          <cell r="I389">
            <v>333551</v>
          </cell>
        </row>
        <row r="390">
          <cell r="D390">
            <v>501641</v>
          </cell>
          <cell r="E390" t="str">
            <v>Electrical Maintenance-R&amp;D</v>
          </cell>
          <cell r="F390">
            <v>0</v>
          </cell>
          <cell r="G390">
            <v>98222</v>
          </cell>
          <cell r="H390">
            <v>98222</v>
          </cell>
          <cell r="I390">
            <v>98222</v>
          </cell>
        </row>
        <row r="391">
          <cell r="D391">
            <v>501607</v>
          </cell>
          <cell r="E391" t="str">
            <v>O&amp;M of Electrical systems - Monthly Contract</v>
          </cell>
          <cell r="F391">
            <v>0</v>
          </cell>
          <cell r="G391">
            <v>2740980</v>
          </cell>
          <cell r="H391">
            <v>2740980</v>
          </cell>
          <cell r="I391">
            <v>2740980</v>
          </cell>
        </row>
        <row r="392">
          <cell r="D392">
            <v>501609</v>
          </cell>
          <cell r="E392" t="str">
            <v>Generator - Diesel Consumed-R&amp;D</v>
          </cell>
          <cell r="F392">
            <v>0</v>
          </cell>
          <cell r="G392">
            <v>518874</v>
          </cell>
          <cell r="H392">
            <v>518874</v>
          </cell>
          <cell r="I392">
            <v>518874</v>
          </cell>
        </row>
        <row r="393">
          <cell r="D393">
            <v>501612</v>
          </cell>
          <cell r="E393" t="str">
            <v>Generator Maintenance - R&amp;D Yard</v>
          </cell>
          <cell r="F393">
            <v>0</v>
          </cell>
          <cell r="G393">
            <v>3443</v>
          </cell>
          <cell r="H393">
            <v>3443</v>
          </cell>
          <cell r="I393">
            <v>3443</v>
          </cell>
        </row>
        <row r="394">
          <cell r="D394">
            <v>501630</v>
          </cell>
          <cell r="E394" t="str">
            <v>Jetty Office Maintenance</v>
          </cell>
          <cell r="F394">
            <v>0</v>
          </cell>
          <cell r="G394">
            <v>290936</v>
          </cell>
          <cell r="H394">
            <v>290936</v>
          </cell>
          <cell r="I394">
            <v>290936</v>
          </cell>
        </row>
        <row r="395">
          <cell r="D395">
            <v>501631</v>
          </cell>
          <cell r="E395" t="str">
            <v>Repairs &amp; Maintenance</v>
          </cell>
          <cell r="F395">
            <v>0</v>
          </cell>
          <cell r="G395">
            <v>13756826</v>
          </cell>
          <cell r="H395">
            <v>13756826</v>
          </cell>
          <cell r="I395">
            <v>13250407</v>
          </cell>
        </row>
        <row r="396">
          <cell r="D396">
            <v>501633</v>
          </cell>
          <cell r="E396" t="str">
            <v>OSV Electrical Maintenance Closed</v>
          </cell>
          <cell r="F396">
            <v>0</v>
          </cell>
          <cell r="G396">
            <v>139</v>
          </cell>
          <cell r="H396">
            <v>139</v>
          </cell>
          <cell r="I396">
            <v>0</v>
          </cell>
        </row>
        <row r="397">
          <cell r="D397">
            <v>501635</v>
          </cell>
          <cell r="E397" t="str">
            <v>Ware houseRepairs &amp; Maintenance</v>
          </cell>
          <cell r="F397">
            <v>0</v>
          </cell>
          <cell r="G397">
            <v>914965</v>
          </cell>
          <cell r="H397">
            <v>914965</v>
          </cell>
          <cell r="I397">
            <v>914965</v>
          </cell>
        </row>
        <row r="398">
          <cell r="D398">
            <v>501643</v>
          </cell>
          <cell r="E398" t="str">
            <v>Port Facility Security Reassessment Fees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</row>
        <row r="399">
          <cell r="D399">
            <v>501645</v>
          </cell>
          <cell r="E399" t="str">
            <v>Welfare Expenses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</row>
        <row r="400">
          <cell r="D400">
            <v>501559</v>
          </cell>
          <cell r="E400" t="str">
            <v>Railwayline Maintenance</v>
          </cell>
          <cell r="F400">
            <v>0</v>
          </cell>
          <cell r="G400">
            <v>24144362</v>
          </cell>
          <cell r="H400">
            <v>24144362</v>
          </cell>
          <cell r="I400">
            <v>24144362</v>
          </cell>
        </row>
        <row r="401">
          <cell r="D401">
            <v>501532</v>
          </cell>
          <cell r="E401" t="str">
            <v>MC 35 MT Running Expenses</v>
          </cell>
          <cell r="F401">
            <v>0</v>
          </cell>
          <cell r="G401">
            <v>427312</v>
          </cell>
          <cell r="H401">
            <v>427312</v>
          </cell>
          <cell r="I401">
            <v>427312</v>
          </cell>
        </row>
        <row r="402">
          <cell r="D402">
            <v>501533</v>
          </cell>
          <cell r="E402" t="str">
            <v>Mobile Crane Running Expenses - 20T</v>
          </cell>
          <cell r="F402">
            <v>0</v>
          </cell>
          <cell r="G402">
            <v>151625</v>
          </cell>
          <cell r="H402">
            <v>151625</v>
          </cell>
          <cell r="I402">
            <v>150025</v>
          </cell>
        </row>
        <row r="403">
          <cell r="D403">
            <v>501582</v>
          </cell>
          <cell r="E403" t="str">
            <v>Edible Oil Pipe Line Rapairs &amp; Maintenance</v>
          </cell>
          <cell r="F403">
            <v>0</v>
          </cell>
          <cell r="G403">
            <v>310969</v>
          </cell>
          <cell r="H403">
            <v>310969</v>
          </cell>
          <cell r="I403">
            <v>310969</v>
          </cell>
        </row>
        <row r="404">
          <cell r="D404">
            <v>501606</v>
          </cell>
          <cell r="E404" t="str">
            <v>Generator - Lube Oil Consumed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</row>
        <row r="405">
          <cell r="D405">
            <v>501610</v>
          </cell>
          <cell r="E405" t="str">
            <v>Generator Maintenance Expenses-OSV</v>
          </cell>
          <cell r="F405">
            <v>0</v>
          </cell>
          <cell r="G405">
            <v>5711</v>
          </cell>
          <cell r="H405">
            <v>5711</v>
          </cell>
          <cell r="I405">
            <v>5711</v>
          </cell>
        </row>
        <row r="406">
          <cell r="D406">
            <v>501611</v>
          </cell>
          <cell r="E406" t="str">
            <v>Generator Maintenance - Jetty</v>
          </cell>
          <cell r="F406">
            <v>0</v>
          </cell>
          <cell r="G406">
            <v>449717</v>
          </cell>
          <cell r="H406">
            <v>449717</v>
          </cell>
          <cell r="I406">
            <v>447541</v>
          </cell>
        </row>
        <row r="407">
          <cell r="D407">
            <v>501444</v>
          </cell>
          <cell r="E407" t="str">
            <v>STS other expenses</v>
          </cell>
          <cell r="F407">
            <v>0</v>
          </cell>
          <cell r="G407">
            <v>253</v>
          </cell>
          <cell r="H407">
            <v>253</v>
          </cell>
          <cell r="I407">
            <v>0</v>
          </cell>
        </row>
        <row r="408">
          <cell r="D408">
            <v>501706</v>
          </cell>
          <cell r="E408" t="str">
            <v>Max sweeper running maintenance</v>
          </cell>
          <cell r="F408">
            <v>0</v>
          </cell>
          <cell r="G408">
            <v>1227326</v>
          </cell>
          <cell r="H408">
            <v>1227326</v>
          </cell>
          <cell r="I408">
            <v>1227326</v>
          </cell>
        </row>
        <row r="409">
          <cell r="D409">
            <v>501632</v>
          </cell>
          <cell r="E409" t="str">
            <v>OSV Cranes Repairs &amp; Maintenance</v>
          </cell>
          <cell r="F409">
            <v>0</v>
          </cell>
          <cell r="G409">
            <v>2898712</v>
          </cell>
          <cell r="H409">
            <v>2898712</v>
          </cell>
          <cell r="I409">
            <v>2778719</v>
          </cell>
        </row>
        <row r="410">
          <cell r="D410">
            <v>501634</v>
          </cell>
          <cell r="E410" t="str">
            <v>R&amp;D Yard Electrical Maintenance (Closed)</v>
          </cell>
          <cell r="F410">
            <v>0</v>
          </cell>
          <cell r="G410">
            <v>768</v>
          </cell>
          <cell r="H410">
            <v>768</v>
          </cell>
          <cell r="I410">
            <v>0</v>
          </cell>
        </row>
        <row r="411">
          <cell r="D411">
            <v>501638</v>
          </cell>
          <cell r="E411" t="str">
            <v>VHF Repairs &amp; maintenance</v>
          </cell>
          <cell r="F411">
            <v>0</v>
          </cell>
          <cell r="G411">
            <v>213854</v>
          </cell>
          <cell r="H411">
            <v>213854</v>
          </cell>
          <cell r="I411">
            <v>213854</v>
          </cell>
        </row>
        <row r="412">
          <cell r="D412">
            <v>501642</v>
          </cell>
          <cell r="E412" t="str">
            <v>Fenders Repairs &amp; Maintenance</v>
          </cell>
          <cell r="F412">
            <v>0</v>
          </cell>
          <cell r="G412">
            <v>12300</v>
          </cell>
          <cell r="H412">
            <v>12300</v>
          </cell>
          <cell r="I412">
            <v>12300</v>
          </cell>
        </row>
        <row r="413">
          <cell r="D413">
            <v>501531</v>
          </cell>
          <cell r="E413" t="str">
            <v>Forklift Running Expenses</v>
          </cell>
          <cell r="F413">
            <v>0</v>
          </cell>
          <cell r="G413">
            <v>612650</v>
          </cell>
          <cell r="H413">
            <v>612650</v>
          </cell>
          <cell r="I413">
            <v>612650</v>
          </cell>
        </row>
        <row r="414">
          <cell r="D414">
            <v>501536</v>
          </cell>
          <cell r="E414" t="str">
            <v>Mobile Siloes Running &amp; Maintenance</v>
          </cell>
          <cell r="F414">
            <v>0</v>
          </cell>
          <cell r="G414">
            <v>6577194</v>
          </cell>
          <cell r="H414">
            <v>6577194</v>
          </cell>
          <cell r="I414">
            <v>5785080</v>
          </cell>
        </row>
        <row r="415">
          <cell r="D415">
            <v>501605</v>
          </cell>
          <cell r="E415" t="str">
            <v>Generator - Diesel Consumed-Jetty</v>
          </cell>
          <cell r="F415">
            <v>0</v>
          </cell>
          <cell r="G415">
            <v>1286890</v>
          </cell>
          <cell r="H415">
            <v>1286890</v>
          </cell>
          <cell r="I415">
            <v>1285250</v>
          </cell>
        </row>
        <row r="416">
          <cell r="D416">
            <v>501636</v>
          </cell>
          <cell r="E416" t="str">
            <v>Roads Reparis &amp; maintenance</v>
          </cell>
          <cell r="F416">
            <v>0</v>
          </cell>
          <cell r="G416">
            <v>1251175</v>
          </cell>
          <cell r="H416">
            <v>1251175</v>
          </cell>
          <cell r="I416">
            <v>1251175</v>
          </cell>
        </row>
        <row r="417">
          <cell r="D417">
            <v>501644</v>
          </cell>
          <cell r="E417" t="str">
            <v>11 KV HT Line Re Route Work - APEPDCL R&amp;D Yard</v>
          </cell>
          <cell r="F417">
            <v>0</v>
          </cell>
          <cell r="G417">
            <v>1040333</v>
          </cell>
          <cell r="H417">
            <v>1040333</v>
          </cell>
          <cell r="I417">
            <v>1040333</v>
          </cell>
        </row>
        <row r="418">
          <cell r="D418">
            <v>501708</v>
          </cell>
          <cell r="E418" t="str">
            <v>De-Watering Pump Running &amp; Maintenance</v>
          </cell>
          <cell r="F418">
            <v>0</v>
          </cell>
          <cell r="G418">
            <v>220372</v>
          </cell>
          <cell r="H418">
            <v>220372</v>
          </cell>
          <cell r="I418">
            <v>220372</v>
          </cell>
        </row>
        <row r="419">
          <cell r="D419">
            <v>501659</v>
          </cell>
          <cell r="E419" t="str">
            <v>Fire fighting maintenance contract</v>
          </cell>
          <cell r="F419">
            <v>0</v>
          </cell>
          <cell r="G419">
            <v>3012320</v>
          </cell>
          <cell r="H419">
            <v>3012320</v>
          </cell>
          <cell r="I419">
            <v>3012320</v>
          </cell>
        </row>
        <row r="420">
          <cell r="D420">
            <v>501660</v>
          </cell>
          <cell r="E420" t="str">
            <v>Fire fighting maintenance - diesel</v>
          </cell>
          <cell r="F420">
            <v>0</v>
          </cell>
          <cell r="G420">
            <v>97950</v>
          </cell>
          <cell r="H420">
            <v>97950</v>
          </cell>
          <cell r="I420">
            <v>97950</v>
          </cell>
        </row>
        <row r="421">
          <cell r="D421">
            <v>501661</v>
          </cell>
          <cell r="E421" t="str">
            <v>Fire fighting maintenance - spares</v>
          </cell>
          <cell r="F421">
            <v>0</v>
          </cell>
          <cell r="G421">
            <v>50967</v>
          </cell>
          <cell r="H421">
            <v>50967</v>
          </cell>
          <cell r="I421">
            <v>50967</v>
          </cell>
        </row>
        <row r="422">
          <cell r="D422">
            <v>501628</v>
          </cell>
          <cell r="E422" t="str">
            <v>Jetty Fire Fighting Maintenance</v>
          </cell>
          <cell r="F422">
            <v>0</v>
          </cell>
          <cell r="G422">
            <v>1233008</v>
          </cell>
          <cell r="H422">
            <v>1233008</v>
          </cell>
          <cell r="I422">
            <v>1233008</v>
          </cell>
        </row>
        <row r="423">
          <cell r="D423">
            <v>501662</v>
          </cell>
          <cell r="E423" t="str">
            <v>Fire fighting maintenance - others</v>
          </cell>
          <cell r="F423">
            <v>0</v>
          </cell>
          <cell r="G423">
            <v>7189</v>
          </cell>
          <cell r="H423">
            <v>7189</v>
          </cell>
          <cell r="I423">
            <v>7189</v>
          </cell>
        </row>
        <row r="424">
          <cell r="D424">
            <v>501682</v>
          </cell>
          <cell r="E424" t="str">
            <v>Security contract charges</v>
          </cell>
          <cell r="F424">
            <v>0</v>
          </cell>
          <cell r="G424">
            <v>11235348</v>
          </cell>
          <cell r="H424">
            <v>11235348</v>
          </cell>
          <cell r="I424">
            <v>11194548</v>
          </cell>
        </row>
        <row r="425">
          <cell r="D425">
            <v>501683</v>
          </cell>
          <cell r="E425" t="str">
            <v>Security other charges</v>
          </cell>
          <cell r="F425">
            <v>0</v>
          </cell>
          <cell r="G425">
            <v>13790</v>
          </cell>
          <cell r="H425">
            <v>13790</v>
          </cell>
          <cell r="I425">
            <v>13790</v>
          </cell>
        </row>
        <row r="426">
          <cell r="D426">
            <v>501703</v>
          </cell>
          <cell r="E426" t="str">
            <v>Fresh water -Sprinkling (Closed)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</row>
        <row r="427">
          <cell r="D427">
            <v>501704</v>
          </cell>
          <cell r="E427" t="str">
            <v>Green belt maintenance</v>
          </cell>
          <cell r="F427">
            <v>0</v>
          </cell>
          <cell r="G427">
            <v>3483575</v>
          </cell>
          <cell r="H427">
            <v>3483575</v>
          </cell>
          <cell r="I427">
            <v>3357905</v>
          </cell>
        </row>
        <row r="428">
          <cell r="D428">
            <v>501707</v>
          </cell>
          <cell r="E428" t="str">
            <v>Watering of Berths and Yards</v>
          </cell>
          <cell r="F428">
            <v>0</v>
          </cell>
          <cell r="G428">
            <v>15597186</v>
          </cell>
          <cell r="H428">
            <v>15597186</v>
          </cell>
          <cell r="I428">
            <v>12338295</v>
          </cell>
        </row>
        <row r="429">
          <cell r="D429">
            <v>501705</v>
          </cell>
          <cell r="E429" t="str">
            <v>Environment maintenance</v>
          </cell>
          <cell r="F429">
            <v>0</v>
          </cell>
          <cell r="G429">
            <v>8150671</v>
          </cell>
          <cell r="H429">
            <v>8150671</v>
          </cell>
          <cell r="I429">
            <v>6740385</v>
          </cell>
        </row>
        <row r="430">
          <cell r="D430">
            <v>501516</v>
          </cell>
          <cell r="E430" t="str">
            <v>Water Jetting Machine R &amp; M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</row>
        <row r="431">
          <cell r="D431">
            <v>501512</v>
          </cell>
          <cell r="E431" t="str">
            <v>Fresh Water Charges - Sprinkling</v>
          </cell>
          <cell r="F431">
            <v>0</v>
          </cell>
          <cell r="G431">
            <v>4348740</v>
          </cell>
          <cell r="H431">
            <v>4348740</v>
          </cell>
          <cell r="I431">
            <v>4348740</v>
          </cell>
        </row>
        <row r="432">
          <cell r="D432">
            <v>501513</v>
          </cell>
          <cell r="E432" t="str">
            <v>HSE Supervising Contract Charges</v>
          </cell>
          <cell r="F432">
            <v>0</v>
          </cell>
          <cell r="G432">
            <v>355809</v>
          </cell>
          <cell r="H432">
            <v>355809</v>
          </cell>
          <cell r="I432">
            <v>355809</v>
          </cell>
        </row>
        <row r="433">
          <cell r="D433">
            <v>501728</v>
          </cell>
          <cell r="E433" t="str">
            <v>Electricity charges - OSV</v>
          </cell>
          <cell r="F433">
            <v>0</v>
          </cell>
          <cell r="G433">
            <v>6527385</v>
          </cell>
          <cell r="H433">
            <v>6527385</v>
          </cell>
          <cell r="I433">
            <v>6527385</v>
          </cell>
        </row>
        <row r="434">
          <cell r="D434">
            <v>501726</v>
          </cell>
          <cell r="E434" t="str">
            <v>Electricity charges - Jetty</v>
          </cell>
          <cell r="F434">
            <v>0</v>
          </cell>
          <cell r="G434">
            <v>6232545</v>
          </cell>
          <cell r="H434">
            <v>6232545</v>
          </cell>
          <cell r="I434">
            <v>6232545</v>
          </cell>
        </row>
        <row r="435">
          <cell r="D435">
            <v>501727</v>
          </cell>
          <cell r="E435" t="str">
            <v>Electricity charges - R&amp;D Yard</v>
          </cell>
          <cell r="F435">
            <v>0</v>
          </cell>
          <cell r="G435">
            <v>1318796</v>
          </cell>
          <cell r="H435">
            <v>1318796</v>
          </cell>
          <cell r="I435">
            <v>1318796</v>
          </cell>
        </row>
        <row r="436">
          <cell r="D436">
            <v>501749</v>
          </cell>
          <cell r="E436" t="str">
            <v>Insurance - Fire Policy</v>
          </cell>
          <cell r="F436">
            <v>0</v>
          </cell>
          <cell r="G436">
            <v>1240511</v>
          </cell>
          <cell r="H436">
            <v>1240511</v>
          </cell>
          <cell r="I436">
            <v>1240511</v>
          </cell>
        </row>
        <row r="437">
          <cell r="D437">
            <v>501750</v>
          </cell>
          <cell r="E437" t="str">
            <v>Insurance - Public Liability</v>
          </cell>
          <cell r="F437">
            <v>0</v>
          </cell>
          <cell r="G437">
            <v>52356</v>
          </cell>
          <cell r="H437">
            <v>52356</v>
          </cell>
          <cell r="I437">
            <v>52356</v>
          </cell>
        </row>
        <row r="438">
          <cell r="D438">
            <v>501752</v>
          </cell>
          <cell r="E438" t="str">
            <v>Insurance - Unnamed Policy</v>
          </cell>
          <cell r="F438">
            <v>0</v>
          </cell>
          <cell r="G438">
            <v>329596</v>
          </cell>
          <cell r="H438">
            <v>329596</v>
          </cell>
          <cell r="I438">
            <v>329596</v>
          </cell>
        </row>
        <row r="439">
          <cell r="D439">
            <v>501748</v>
          </cell>
          <cell r="E439" t="str">
            <v>Insurance - Comprehensive Package</v>
          </cell>
          <cell r="F439">
            <v>0</v>
          </cell>
          <cell r="G439">
            <v>2497831</v>
          </cell>
          <cell r="H439">
            <v>2497831</v>
          </cell>
          <cell r="I439">
            <v>2497831</v>
          </cell>
        </row>
        <row r="440">
          <cell r="D440">
            <v>501751</v>
          </cell>
          <cell r="E440" t="str">
            <v>Insurance - Tugs</v>
          </cell>
          <cell r="F440">
            <v>0</v>
          </cell>
          <cell r="G440">
            <v>425656</v>
          </cell>
          <cell r="H440">
            <v>425656</v>
          </cell>
          <cell r="I440">
            <v>425656</v>
          </cell>
        </row>
        <row r="441">
          <cell r="D441">
            <v>501792</v>
          </cell>
          <cell r="E441" t="str">
            <v>Staff Basic Salary &amp; Wages</v>
          </cell>
          <cell r="F441">
            <v>0</v>
          </cell>
          <cell r="G441">
            <v>18414946</v>
          </cell>
          <cell r="H441">
            <v>18414946</v>
          </cell>
          <cell r="I441">
            <v>18395757</v>
          </cell>
        </row>
        <row r="442">
          <cell r="D442">
            <v>501795</v>
          </cell>
          <cell r="E442" t="str">
            <v>Staff LTA</v>
          </cell>
          <cell r="F442">
            <v>0</v>
          </cell>
          <cell r="G442">
            <v>1382852</v>
          </cell>
          <cell r="H442">
            <v>1382852</v>
          </cell>
          <cell r="I442">
            <v>1373500</v>
          </cell>
        </row>
        <row r="443">
          <cell r="D443">
            <v>501791</v>
          </cell>
          <cell r="E443" t="str">
            <v>ESI Employers Contribution</v>
          </cell>
          <cell r="F443">
            <v>0</v>
          </cell>
          <cell r="G443">
            <v>265900</v>
          </cell>
          <cell r="H443">
            <v>265900</v>
          </cell>
          <cell r="I443">
            <v>265900</v>
          </cell>
        </row>
        <row r="444">
          <cell r="D444">
            <v>501793</v>
          </cell>
          <cell r="E444" t="str">
            <v>Staff Bouns, Exgretio</v>
          </cell>
          <cell r="F444">
            <v>0</v>
          </cell>
          <cell r="G444">
            <v>1833250</v>
          </cell>
          <cell r="H444">
            <v>1833250</v>
          </cell>
          <cell r="I444">
            <v>1833250</v>
          </cell>
        </row>
        <row r="445">
          <cell r="D445">
            <v>502077</v>
          </cell>
          <cell r="E445" t="str">
            <v>Recruitment Expenses</v>
          </cell>
          <cell r="F445">
            <v>0</v>
          </cell>
          <cell r="G445">
            <v>10000</v>
          </cell>
          <cell r="H445">
            <v>10000</v>
          </cell>
          <cell r="I445">
            <v>0</v>
          </cell>
        </row>
        <row r="446">
          <cell r="D446">
            <v>501796</v>
          </cell>
          <cell r="E446" t="str">
            <v>Staff - Mediclaim &amp; Per Accident Policy- FBT</v>
          </cell>
          <cell r="F446">
            <v>0</v>
          </cell>
          <cell r="G446">
            <v>919368</v>
          </cell>
          <cell r="H446">
            <v>919368</v>
          </cell>
          <cell r="I446">
            <v>919368</v>
          </cell>
        </row>
        <row r="447">
          <cell r="D447">
            <v>501801</v>
          </cell>
          <cell r="E447" t="str">
            <v>Staff Salaries (Others)</v>
          </cell>
          <cell r="F447">
            <v>0</v>
          </cell>
          <cell r="G447">
            <v>247806</v>
          </cell>
          <cell r="H447">
            <v>247806</v>
          </cell>
          <cell r="I447">
            <v>242806</v>
          </cell>
        </row>
        <row r="448">
          <cell r="D448">
            <v>501854</v>
          </cell>
          <cell r="E448" t="str">
            <v>Directors Remuneration  - Salary</v>
          </cell>
          <cell r="F448">
            <v>0</v>
          </cell>
          <cell r="G448">
            <v>12000000</v>
          </cell>
          <cell r="H448">
            <v>12000000</v>
          </cell>
          <cell r="I448">
            <v>12000000</v>
          </cell>
        </row>
        <row r="449">
          <cell r="D449">
            <v>501798</v>
          </cell>
          <cell r="E449" t="str">
            <v>Staff Provident Fund</v>
          </cell>
          <cell r="F449">
            <v>0</v>
          </cell>
          <cell r="G449">
            <v>1134142</v>
          </cell>
          <cell r="H449">
            <v>1134142</v>
          </cell>
          <cell r="I449">
            <v>1134142</v>
          </cell>
        </row>
        <row r="450">
          <cell r="D450">
            <v>501797</v>
          </cell>
          <cell r="E450" t="str">
            <v>Staff Pf Admn. Cost</v>
          </cell>
          <cell r="F450">
            <v>0</v>
          </cell>
          <cell r="G450">
            <v>152175</v>
          </cell>
          <cell r="H450">
            <v>152175</v>
          </cell>
          <cell r="I450">
            <v>152175</v>
          </cell>
        </row>
        <row r="451">
          <cell r="D451">
            <v>501800</v>
          </cell>
          <cell r="E451" t="str">
            <v>Gratutity</v>
          </cell>
          <cell r="F451">
            <v>0</v>
          </cell>
          <cell r="G451">
            <v>336478</v>
          </cell>
          <cell r="H451">
            <v>336478</v>
          </cell>
          <cell r="I451">
            <v>336478</v>
          </cell>
        </row>
        <row r="452">
          <cell r="D452">
            <v>501794</v>
          </cell>
          <cell r="E452" t="str">
            <v>Staff Leave Encashment</v>
          </cell>
          <cell r="F452">
            <v>0</v>
          </cell>
          <cell r="G452">
            <v>883446</v>
          </cell>
          <cell r="H452">
            <v>883446</v>
          </cell>
          <cell r="I452">
            <v>883446</v>
          </cell>
        </row>
        <row r="453">
          <cell r="D453">
            <v>501799</v>
          </cell>
          <cell r="E453" t="str">
            <v>Staff Welfare Expenses</v>
          </cell>
          <cell r="F453">
            <v>0</v>
          </cell>
          <cell r="G453">
            <v>493823</v>
          </cell>
          <cell r="H453">
            <v>493823</v>
          </cell>
          <cell r="I453">
            <v>493823</v>
          </cell>
        </row>
        <row r="454">
          <cell r="D454">
            <v>501825</v>
          </cell>
          <cell r="E454" t="str">
            <v>Travelling - Others</v>
          </cell>
          <cell r="F454">
            <v>0</v>
          </cell>
          <cell r="G454">
            <v>976965</v>
          </cell>
          <cell r="H454">
            <v>976965</v>
          </cell>
          <cell r="I454">
            <v>969034</v>
          </cell>
        </row>
        <row r="455">
          <cell r="D455">
            <v>501835</v>
          </cell>
          <cell r="E455" t="str">
            <v>Car hire mktg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</row>
        <row r="456">
          <cell r="D456">
            <v>501845</v>
          </cell>
          <cell r="E456" t="str">
            <v>Honda City R&amp;M</v>
          </cell>
          <cell r="F456">
            <v>0</v>
          </cell>
          <cell r="G456">
            <v>197663</v>
          </cell>
          <cell r="H456">
            <v>197663</v>
          </cell>
          <cell r="I456">
            <v>197663</v>
          </cell>
        </row>
        <row r="457">
          <cell r="D457">
            <v>502074</v>
          </cell>
          <cell r="E457" t="str">
            <v>Insurance - Vehicle</v>
          </cell>
          <cell r="F457">
            <v>0</v>
          </cell>
          <cell r="G457">
            <v>64284</v>
          </cell>
          <cell r="H457">
            <v>64284</v>
          </cell>
          <cell r="I457">
            <v>64284</v>
          </cell>
        </row>
        <row r="458">
          <cell r="D458">
            <v>503004</v>
          </cell>
          <cell r="E458" t="str">
            <v>Vehicle Volks Wagen-Vento R &amp; M</v>
          </cell>
          <cell r="F458">
            <v>0</v>
          </cell>
          <cell r="G458">
            <v>82956</v>
          </cell>
          <cell r="H458">
            <v>82956</v>
          </cell>
          <cell r="I458">
            <v>82956</v>
          </cell>
        </row>
        <row r="459">
          <cell r="D459">
            <v>503006</v>
          </cell>
          <cell r="E459" t="str">
            <v>Bajaj Discovery R&amp;M (Two Wheeler)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</row>
        <row r="460">
          <cell r="D460">
            <v>503000</v>
          </cell>
          <cell r="E460" t="str">
            <v>Toyota Altis R&amp;M</v>
          </cell>
          <cell r="F460">
            <v>0</v>
          </cell>
          <cell r="G460">
            <v>238093</v>
          </cell>
          <cell r="H460">
            <v>238093</v>
          </cell>
          <cell r="I460">
            <v>237593</v>
          </cell>
        </row>
        <row r="461">
          <cell r="D461">
            <v>503005</v>
          </cell>
          <cell r="E461" t="str">
            <v>Vehicle BMW R &amp; M</v>
          </cell>
          <cell r="F461">
            <v>0</v>
          </cell>
          <cell r="G461">
            <v>20471</v>
          </cell>
          <cell r="H461">
            <v>20471</v>
          </cell>
          <cell r="I461">
            <v>20471</v>
          </cell>
        </row>
        <row r="462">
          <cell r="D462">
            <v>501823</v>
          </cell>
          <cell r="E462" t="str">
            <v>Travelling Inland Rail Others</v>
          </cell>
          <cell r="F462">
            <v>0</v>
          </cell>
          <cell r="G462">
            <v>74483</v>
          </cell>
          <cell r="H462">
            <v>74483</v>
          </cell>
          <cell r="I462">
            <v>74483</v>
          </cell>
        </row>
        <row r="463">
          <cell r="D463">
            <v>501828</v>
          </cell>
          <cell r="E463" t="str">
            <v>Board Meeting Expenses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</row>
        <row r="464">
          <cell r="D464">
            <v>501829</v>
          </cell>
          <cell r="E464" t="str">
            <v>Other Expenses Directors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</row>
        <row r="465">
          <cell r="D465">
            <v>501833</v>
          </cell>
          <cell r="E465" t="str">
            <v>Car Hire - Dir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</row>
        <row r="466">
          <cell r="D466">
            <v>501838</v>
          </cell>
          <cell r="E466" t="str">
            <v>Tavera Running &amp; Maintenance FBT</v>
          </cell>
          <cell r="F466">
            <v>0</v>
          </cell>
          <cell r="G466">
            <v>325119</v>
          </cell>
          <cell r="H466">
            <v>325119</v>
          </cell>
          <cell r="I466">
            <v>307360</v>
          </cell>
        </row>
        <row r="467">
          <cell r="D467">
            <v>501839</v>
          </cell>
          <cell r="E467" t="str">
            <v>Toyota Corolla R &amp; M</v>
          </cell>
          <cell r="F467">
            <v>0</v>
          </cell>
          <cell r="G467">
            <v>4189</v>
          </cell>
          <cell r="H467">
            <v>4189</v>
          </cell>
          <cell r="I467">
            <v>4189</v>
          </cell>
        </row>
        <row r="468">
          <cell r="D468">
            <v>501843</v>
          </cell>
          <cell r="E468" t="str">
            <v>Vehicle R&amp;M</v>
          </cell>
          <cell r="F468">
            <v>0</v>
          </cell>
          <cell r="G468">
            <v>175286</v>
          </cell>
          <cell r="H468">
            <v>175286</v>
          </cell>
          <cell r="I468">
            <v>175026</v>
          </cell>
        </row>
        <row r="469">
          <cell r="D469">
            <v>501848</v>
          </cell>
          <cell r="E469" t="str">
            <v>Vehicle R&amp;M - TVS, Ezee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</row>
        <row r="470">
          <cell r="D470">
            <v>501849</v>
          </cell>
          <cell r="E470" t="str">
            <v>Vehicle Tata Mobile R &amp; M</v>
          </cell>
          <cell r="F470">
            <v>0</v>
          </cell>
          <cell r="G470">
            <v>183311</v>
          </cell>
          <cell r="H470">
            <v>183311</v>
          </cell>
          <cell r="I470">
            <v>183011</v>
          </cell>
        </row>
        <row r="471">
          <cell r="D471">
            <v>501853</v>
          </cell>
          <cell r="E471" t="str">
            <v>Travelling Foreign Admin</v>
          </cell>
          <cell r="F471">
            <v>0</v>
          </cell>
          <cell r="G471">
            <v>224364</v>
          </cell>
          <cell r="H471">
            <v>224364</v>
          </cell>
          <cell r="I471">
            <v>224364</v>
          </cell>
        </row>
        <row r="472">
          <cell r="D472">
            <v>501820</v>
          </cell>
          <cell r="E472" t="str">
            <v>Boarding &amp; Lodging Admn-FBT</v>
          </cell>
          <cell r="F472">
            <v>0</v>
          </cell>
          <cell r="G472">
            <v>237395</v>
          </cell>
          <cell r="H472">
            <v>237395</v>
          </cell>
          <cell r="I472">
            <v>217935</v>
          </cell>
        </row>
        <row r="473">
          <cell r="D473">
            <v>501821</v>
          </cell>
          <cell r="E473" t="str">
            <v>Travelling Inland Air  Admn.-FBT</v>
          </cell>
          <cell r="F473">
            <v>0</v>
          </cell>
          <cell r="G473">
            <v>287495</v>
          </cell>
          <cell r="H473">
            <v>287495</v>
          </cell>
          <cell r="I473">
            <v>287495</v>
          </cell>
        </row>
        <row r="474">
          <cell r="D474">
            <v>501824</v>
          </cell>
          <cell r="E474" t="str">
            <v>Travelling Inland Rly Admn-FBT</v>
          </cell>
          <cell r="F474">
            <v>0</v>
          </cell>
          <cell r="G474">
            <v>49215</v>
          </cell>
          <cell r="H474">
            <v>49215</v>
          </cell>
          <cell r="I474">
            <v>49215</v>
          </cell>
        </row>
        <row r="475">
          <cell r="D475">
            <v>501834</v>
          </cell>
          <cell r="E475" t="str">
            <v>Car Hire - Railway siding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</row>
        <row r="476">
          <cell r="D476">
            <v>502011</v>
          </cell>
          <cell r="E476" t="str">
            <v>Sales Promotion Exp</v>
          </cell>
          <cell r="F476">
            <v>0</v>
          </cell>
          <cell r="G476">
            <v>19860</v>
          </cell>
          <cell r="H476">
            <v>19860</v>
          </cell>
          <cell r="I476">
            <v>0</v>
          </cell>
        </row>
        <row r="477">
          <cell r="D477">
            <v>502071</v>
          </cell>
          <cell r="E477" t="str">
            <v>Boarding &amp; Loadging Exp Others</v>
          </cell>
          <cell r="F477">
            <v>0</v>
          </cell>
          <cell r="G477">
            <v>169508</v>
          </cell>
          <cell r="H477">
            <v>169508</v>
          </cell>
          <cell r="I477">
            <v>169508</v>
          </cell>
        </row>
        <row r="478">
          <cell r="D478">
            <v>503001</v>
          </cell>
          <cell r="E478" t="str">
            <v>Scorpio Running &amp; Maintenance</v>
          </cell>
          <cell r="F478">
            <v>0</v>
          </cell>
          <cell r="G478">
            <v>174978</v>
          </cell>
          <cell r="H478">
            <v>174978</v>
          </cell>
          <cell r="I478">
            <v>174978</v>
          </cell>
        </row>
        <row r="479">
          <cell r="D479">
            <v>503003</v>
          </cell>
          <cell r="E479" t="str">
            <v>Travelling Foreign Others</v>
          </cell>
          <cell r="F479">
            <v>0</v>
          </cell>
          <cell r="G479">
            <v>121162</v>
          </cell>
          <cell r="H479">
            <v>121162</v>
          </cell>
          <cell r="I479">
            <v>121162</v>
          </cell>
        </row>
        <row r="480">
          <cell r="D480">
            <v>503002</v>
          </cell>
          <cell r="E480" t="str">
            <v>Vehicle Maintenance GH</v>
          </cell>
          <cell r="F480">
            <v>0</v>
          </cell>
          <cell r="G480">
            <v>35601</v>
          </cell>
          <cell r="H480">
            <v>35601</v>
          </cell>
          <cell r="I480">
            <v>35601</v>
          </cell>
        </row>
        <row r="481">
          <cell r="D481">
            <v>501819</v>
          </cell>
          <cell r="E481" t="str">
            <v>Conveyance</v>
          </cell>
          <cell r="F481">
            <v>0</v>
          </cell>
          <cell r="G481">
            <v>642992</v>
          </cell>
          <cell r="H481">
            <v>642992</v>
          </cell>
          <cell r="I481">
            <v>631132</v>
          </cell>
        </row>
        <row r="482">
          <cell r="D482">
            <v>501822</v>
          </cell>
          <cell r="E482" t="str">
            <v>Travelling Inland Air Others</v>
          </cell>
          <cell r="F482">
            <v>0</v>
          </cell>
          <cell r="G482">
            <v>25656</v>
          </cell>
          <cell r="H482">
            <v>25656</v>
          </cell>
          <cell r="I482">
            <v>25656</v>
          </cell>
        </row>
        <row r="483">
          <cell r="D483">
            <v>501826</v>
          </cell>
          <cell r="E483" t="str">
            <v>Travelling Others - Admn-FBT</v>
          </cell>
          <cell r="F483">
            <v>0</v>
          </cell>
          <cell r="G483">
            <v>568408</v>
          </cell>
          <cell r="H483">
            <v>568408</v>
          </cell>
          <cell r="I483">
            <v>552728</v>
          </cell>
        </row>
        <row r="484">
          <cell r="D484">
            <v>501827</v>
          </cell>
          <cell r="E484" t="str">
            <v>Boarding &amp; Lodging Directors</v>
          </cell>
          <cell r="F484">
            <v>0</v>
          </cell>
          <cell r="G484">
            <v>1059956</v>
          </cell>
          <cell r="H484">
            <v>1059956</v>
          </cell>
          <cell r="I484">
            <v>1059956</v>
          </cell>
        </row>
        <row r="485">
          <cell r="D485">
            <v>501830</v>
          </cell>
          <cell r="E485" t="str">
            <v>Travelling Foreign - Directors</v>
          </cell>
          <cell r="F485">
            <v>0</v>
          </cell>
          <cell r="G485">
            <v>5989383</v>
          </cell>
          <cell r="H485">
            <v>5989383</v>
          </cell>
          <cell r="I485">
            <v>5977686</v>
          </cell>
        </row>
        <row r="486">
          <cell r="D486">
            <v>501831</v>
          </cell>
          <cell r="E486" t="str">
            <v>Travelling Inland Air  Directors</v>
          </cell>
          <cell r="F486">
            <v>0</v>
          </cell>
          <cell r="G486">
            <v>1372674</v>
          </cell>
          <cell r="H486">
            <v>1372674</v>
          </cell>
          <cell r="I486">
            <v>1372674</v>
          </cell>
        </row>
        <row r="487">
          <cell r="D487">
            <v>501832</v>
          </cell>
          <cell r="E487" t="str">
            <v>Travelling Inland Rly Directors</v>
          </cell>
          <cell r="F487">
            <v>0</v>
          </cell>
          <cell r="G487">
            <v>13501</v>
          </cell>
          <cell r="H487">
            <v>13501</v>
          </cell>
          <cell r="I487">
            <v>13501</v>
          </cell>
        </row>
        <row r="488">
          <cell r="D488">
            <v>501836</v>
          </cell>
          <cell r="E488" t="str">
            <v>Vehicle Running &amp; Maintenance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</row>
        <row r="489">
          <cell r="D489">
            <v>501837</v>
          </cell>
          <cell r="E489" t="str">
            <v>Innova Running &amp; Maintenance FBT</v>
          </cell>
          <cell r="F489">
            <v>0</v>
          </cell>
          <cell r="G489">
            <v>188059</v>
          </cell>
          <cell r="H489">
            <v>188059</v>
          </cell>
          <cell r="I489">
            <v>188059</v>
          </cell>
        </row>
        <row r="490">
          <cell r="D490">
            <v>501840</v>
          </cell>
          <cell r="E490" t="str">
            <v>Toyota Innova R&amp;M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</row>
        <row r="491">
          <cell r="D491">
            <v>501841</v>
          </cell>
          <cell r="E491" t="str">
            <v>Bajaj Platina R &amp; M</v>
          </cell>
          <cell r="F491">
            <v>0</v>
          </cell>
          <cell r="G491">
            <v>75845</v>
          </cell>
          <cell r="H491">
            <v>75845</v>
          </cell>
          <cell r="I491">
            <v>75845</v>
          </cell>
        </row>
        <row r="492">
          <cell r="D492">
            <v>501842</v>
          </cell>
          <cell r="E492" t="str">
            <v>Vehicle Bolero R &amp; M</v>
          </cell>
          <cell r="F492">
            <v>0</v>
          </cell>
          <cell r="G492">
            <v>128750</v>
          </cell>
          <cell r="H492">
            <v>128750</v>
          </cell>
          <cell r="I492">
            <v>128750</v>
          </cell>
        </row>
        <row r="493">
          <cell r="D493">
            <v>501844</v>
          </cell>
          <cell r="E493" t="str">
            <v>Vehicle R &amp; M CT 100</v>
          </cell>
          <cell r="F493">
            <v>0</v>
          </cell>
          <cell r="G493">
            <v>40012</v>
          </cell>
          <cell r="H493">
            <v>40012</v>
          </cell>
          <cell r="I493">
            <v>40012</v>
          </cell>
        </row>
        <row r="494">
          <cell r="D494">
            <v>501846</v>
          </cell>
          <cell r="E494" t="str">
            <v>Indica Running &amp; maintenance</v>
          </cell>
          <cell r="F494">
            <v>0</v>
          </cell>
          <cell r="G494">
            <v>111340</v>
          </cell>
          <cell r="H494">
            <v>111340</v>
          </cell>
          <cell r="I494">
            <v>111340</v>
          </cell>
        </row>
        <row r="495">
          <cell r="D495">
            <v>501847</v>
          </cell>
          <cell r="E495" t="str">
            <v>Vehicle R&amp;M  - TATA Siera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</row>
        <row r="496">
          <cell r="D496">
            <v>501850</v>
          </cell>
          <cell r="E496" t="str">
            <v>Car Hire Charges Admn</v>
          </cell>
          <cell r="F496">
            <v>0</v>
          </cell>
          <cell r="G496">
            <v>61189</v>
          </cell>
          <cell r="H496">
            <v>61189</v>
          </cell>
          <cell r="I496">
            <v>61189</v>
          </cell>
        </row>
        <row r="497">
          <cell r="D497">
            <v>501851</v>
          </cell>
          <cell r="E497" t="str">
            <v>Car Hire Charges Others</v>
          </cell>
          <cell r="F497">
            <v>0</v>
          </cell>
          <cell r="G497">
            <v>480684</v>
          </cell>
          <cell r="H497">
            <v>480684</v>
          </cell>
          <cell r="I497">
            <v>480684</v>
          </cell>
        </row>
        <row r="498">
          <cell r="D498">
            <v>501852</v>
          </cell>
          <cell r="E498" t="str">
            <v>Misc Exp - Toll Gate, Parking and Drivers exp</v>
          </cell>
          <cell r="F498">
            <v>0</v>
          </cell>
          <cell r="G498">
            <v>2970</v>
          </cell>
          <cell r="H498">
            <v>2970</v>
          </cell>
          <cell r="I498">
            <v>2970</v>
          </cell>
        </row>
        <row r="499">
          <cell r="D499">
            <v>502079</v>
          </cell>
          <cell r="E499" t="str">
            <v>Indica Diesel Consumption (Admin)</v>
          </cell>
          <cell r="F499">
            <v>0</v>
          </cell>
          <cell r="G499">
            <v>47360</v>
          </cell>
          <cell r="H499">
            <v>47360</v>
          </cell>
          <cell r="I499">
            <v>47360</v>
          </cell>
        </row>
        <row r="500">
          <cell r="D500">
            <v>501562</v>
          </cell>
          <cell r="E500" t="str">
            <v>Telephone - Railway Office-FBT</v>
          </cell>
          <cell r="F500">
            <v>0</v>
          </cell>
          <cell r="G500">
            <v>1209</v>
          </cell>
          <cell r="H500">
            <v>1209</v>
          </cell>
          <cell r="I500">
            <v>1209</v>
          </cell>
        </row>
        <row r="501">
          <cell r="D501">
            <v>501873</v>
          </cell>
          <cell r="E501" t="str">
            <v>Postage &amp; Courier</v>
          </cell>
          <cell r="F501">
            <v>0</v>
          </cell>
          <cell r="G501">
            <v>125429</v>
          </cell>
          <cell r="H501">
            <v>125429</v>
          </cell>
          <cell r="I501">
            <v>125454</v>
          </cell>
        </row>
        <row r="502">
          <cell r="D502">
            <v>501875</v>
          </cell>
          <cell r="E502" t="str">
            <v>Telephone - Port-FBT (No Wise)</v>
          </cell>
          <cell r="F502">
            <v>0</v>
          </cell>
          <cell r="G502">
            <v>273113</v>
          </cell>
          <cell r="H502">
            <v>273113</v>
          </cell>
          <cell r="I502">
            <v>272873</v>
          </cell>
        </row>
        <row r="503">
          <cell r="D503">
            <v>501880</v>
          </cell>
          <cell r="E503" t="str">
            <v>Telephone - Corp.Office</v>
          </cell>
          <cell r="F503">
            <v>0</v>
          </cell>
          <cell r="G503">
            <v>70445</v>
          </cell>
          <cell r="H503">
            <v>70445</v>
          </cell>
          <cell r="I503">
            <v>70445</v>
          </cell>
        </row>
        <row r="504">
          <cell r="D504">
            <v>501881</v>
          </cell>
          <cell r="E504" t="str">
            <v>Cell Phone - Railway siding</v>
          </cell>
          <cell r="F504">
            <v>0</v>
          </cell>
          <cell r="G504">
            <v>34985</v>
          </cell>
          <cell r="H504">
            <v>34985</v>
          </cell>
          <cell r="I504">
            <v>31055</v>
          </cell>
        </row>
        <row r="505">
          <cell r="D505">
            <v>501882</v>
          </cell>
          <cell r="E505" t="str">
            <v>Railway office Telephone (Closed)</v>
          </cell>
          <cell r="F505">
            <v>0</v>
          </cell>
          <cell r="G505">
            <v>606</v>
          </cell>
          <cell r="H505">
            <v>606</v>
          </cell>
          <cell r="I505">
            <v>0</v>
          </cell>
        </row>
        <row r="506">
          <cell r="D506">
            <v>501556</v>
          </cell>
          <cell r="E506" t="str">
            <v>Cell Phone - Railwaysiding-FBT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</row>
        <row r="507">
          <cell r="D507">
            <v>501871</v>
          </cell>
          <cell r="E507" t="str">
            <v>Cell Phone - Office - FBT ( nos wise)</v>
          </cell>
          <cell r="F507">
            <v>0</v>
          </cell>
          <cell r="G507">
            <v>713420</v>
          </cell>
          <cell r="H507">
            <v>713420</v>
          </cell>
          <cell r="I507">
            <v>611861</v>
          </cell>
        </row>
        <row r="508">
          <cell r="D508">
            <v>501872</v>
          </cell>
          <cell r="E508" t="str">
            <v>Internet Accounts (NO wise)</v>
          </cell>
          <cell r="F508">
            <v>0</v>
          </cell>
          <cell r="G508">
            <v>413998</v>
          </cell>
          <cell r="H508">
            <v>413998</v>
          </cell>
          <cell r="I508">
            <v>413355</v>
          </cell>
        </row>
        <row r="509">
          <cell r="D509">
            <v>501874</v>
          </cell>
          <cell r="E509" t="str">
            <v>Telephone - Office- FBT (No wise)</v>
          </cell>
          <cell r="F509">
            <v>0</v>
          </cell>
          <cell r="G509">
            <v>145093</v>
          </cell>
          <cell r="H509">
            <v>145093</v>
          </cell>
          <cell r="I509">
            <v>145033</v>
          </cell>
        </row>
        <row r="510">
          <cell r="D510">
            <v>501883</v>
          </cell>
          <cell r="E510" t="str">
            <v>Cell phone others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</row>
        <row r="511">
          <cell r="D511">
            <v>501877</v>
          </cell>
          <cell r="E511" t="str">
            <v>Cell Phone - Directors</v>
          </cell>
          <cell r="F511">
            <v>0</v>
          </cell>
          <cell r="G511">
            <v>273985</v>
          </cell>
          <cell r="H511">
            <v>273985</v>
          </cell>
          <cell r="I511">
            <v>221406</v>
          </cell>
        </row>
        <row r="512">
          <cell r="D512">
            <v>501903</v>
          </cell>
          <cell r="E512" t="str">
            <v>Generator Maintenance - Admn Bldg</v>
          </cell>
          <cell r="F512">
            <v>0</v>
          </cell>
          <cell r="G512">
            <v>132259</v>
          </cell>
          <cell r="H512">
            <v>132259</v>
          </cell>
          <cell r="I512">
            <v>132259</v>
          </cell>
        </row>
        <row r="513">
          <cell r="D513">
            <v>501902</v>
          </cell>
          <cell r="E513" t="str">
            <v>Electricity Charges office</v>
          </cell>
          <cell r="F513">
            <v>0</v>
          </cell>
          <cell r="G513">
            <v>472172</v>
          </cell>
          <cell r="H513">
            <v>472172</v>
          </cell>
          <cell r="I513">
            <v>472172</v>
          </cell>
        </row>
        <row r="514">
          <cell r="D514">
            <v>501905</v>
          </cell>
          <cell r="E514" t="str">
            <v>Interest on Delayed Payment</v>
          </cell>
          <cell r="F514">
            <v>0</v>
          </cell>
          <cell r="G514">
            <v>187758</v>
          </cell>
          <cell r="H514">
            <v>187758</v>
          </cell>
          <cell r="I514">
            <v>134236</v>
          </cell>
        </row>
        <row r="515">
          <cell r="D515">
            <v>501904</v>
          </cell>
          <cell r="E515" t="str">
            <v>Rates &amp; Taxes</v>
          </cell>
          <cell r="F515">
            <v>0</v>
          </cell>
          <cell r="G515">
            <v>50358</v>
          </cell>
          <cell r="H515">
            <v>50358</v>
          </cell>
          <cell r="I515">
            <v>48358</v>
          </cell>
        </row>
        <row r="516">
          <cell r="D516">
            <v>501928</v>
          </cell>
          <cell r="E516" t="str">
            <v>Professional Fees - Marketing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</row>
        <row r="517">
          <cell r="D517">
            <v>501951</v>
          </cell>
          <cell r="E517" t="str">
            <v>Professional Fees - railway</v>
          </cell>
          <cell r="F517">
            <v>0</v>
          </cell>
          <cell r="G517">
            <v>651584</v>
          </cell>
          <cell r="H517">
            <v>651584</v>
          </cell>
          <cell r="I517">
            <v>632417</v>
          </cell>
        </row>
        <row r="518">
          <cell r="D518">
            <v>501924</v>
          </cell>
          <cell r="E518" t="str">
            <v>Consultany Fee  INR</v>
          </cell>
          <cell r="F518">
            <v>0</v>
          </cell>
          <cell r="G518">
            <v>587134</v>
          </cell>
          <cell r="H518">
            <v>587134</v>
          </cell>
          <cell r="I518">
            <v>587134</v>
          </cell>
        </row>
        <row r="519">
          <cell r="D519">
            <v>501927</v>
          </cell>
          <cell r="E519" t="str">
            <v>Professional Fees  Other</v>
          </cell>
          <cell r="F519">
            <v>0</v>
          </cell>
          <cell r="G519">
            <v>2468100</v>
          </cell>
          <cell r="H519">
            <v>2468100</v>
          </cell>
          <cell r="I519">
            <v>2106100</v>
          </cell>
        </row>
        <row r="520">
          <cell r="D520">
            <v>501558</v>
          </cell>
          <cell r="E520" t="str">
            <v>Professional Fee - Railway Siding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</row>
        <row r="521">
          <cell r="D521">
            <v>50277</v>
          </cell>
          <cell r="E521" t="str">
            <v>OHSAS - Certification Fee</v>
          </cell>
          <cell r="F521">
            <v>0</v>
          </cell>
          <cell r="G521">
            <v>10000</v>
          </cell>
          <cell r="H521">
            <v>10000</v>
          </cell>
          <cell r="I521">
            <v>10000</v>
          </cell>
        </row>
        <row r="522">
          <cell r="D522">
            <v>501926</v>
          </cell>
          <cell r="E522" t="str">
            <v>Professional Fees  Marine</v>
          </cell>
          <cell r="F522">
            <v>0</v>
          </cell>
          <cell r="G522">
            <v>474000</v>
          </cell>
          <cell r="H522">
            <v>474000</v>
          </cell>
          <cell r="I522">
            <v>474000</v>
          </cell>
        </row>
        <row r="523">
          <cell r="D523">
            <v>501925</v>
          </cell>
          <cell r="E523" t="str">
            <v>Professional Fees  Internal Audit</v>
          </cell>
          <cell r="F523">
            <v>0</v>
          </cell>
          <cell r="G523">
            <v>450000</v>
          </cell>
          <cell r="H523">
            <v>450000</v>
          </cell>
          <cell r="I523">
            <v>450000</v>
          </cell>
        </row>
        <row r="524">
          <cell r="D524">
            <v>501977</v>
          </cell>
          <cell r="E524" t="str">
            <v>Guest House  Veg &amp; Milk</v>
          </cell>
          <cell r="F524">
            <v>0</v>
          </cell>
          <cell r="G524">
            <v>63911</v>
          </cell>
          <cell r="H524">
            <v>63911</v>
          </cell>
          <cell r="I524">
            <v>63911</v>
          </cell>
        </row>
        <row r="525">
          <cell r="D525">
            <v>501998</v>
          </cell>
          <cell r="E525" t="str">
            <v>Buildings Repairs &amp; Maintenance</v>
          </cell>
          <cell r="F525">
            <v>0</v>
          </cell>
          <cell r="G525">
            <v>555287</v>
          </cell>
          <cell r="H525">
            <v>555287</v>
          </cell>
          <cell r="I525">
            <v>555287</v>
          </cell>
        </row>
        <row r="526">
          <cell r="D526">
            <v>502004</v>
          </cell>
          <cell r="E526" t="str">
            <v>House Keeping</v>
          </cell>
          <cell r="F526">
            <v>0</v>
          </cell>
          <cell r="G526">
            <v>3661091</v>
          </cell>
          <cell r="H526">
            <v>3661091</v>
          </cell>
          <cell r="I526">
            <v>3661091</v>
          </cell>
        </row>
        <row r="527">
          <cell r="D527">
            <v>502007</v>
          </cell>
          <cell r="E527" t="str">
            <v>Office Equipment Maintenance</v>
          </cell>
          <cell r="F527">
            <v>0</v>
          </cell>
          <cell r="G527">
            <v>1178678</v>
          </cell>
          <cell r="H527">
            <v>1178678</v>
          </cell>
          <cell r="I527">
            <v>1173275</v>
          </cell>
        </row>
        <row r="528">
          <cell r="D528">
            <v>502010</v>
          </cell>
          <cell r="E528" t="str">
            <v>Office Maintenance</v>
          </cell>
          <cell r="F528">
            <v>0</v>
          </cell>
          <cell r="G528">
            <v>1902300</v>
          </cell>
          <cell r="H528">
            <v>1902300</v>
          </cell>
          <cell r="I528">
            <v>1826601</v>
          </cell>
        </row>
        <row r="529">
          <cell r="D529">
            <v>501973</v>
          </cell>
          <cell r="E529" t="str">
            <v>Guest House Maintenance</v>
          </cell>
          <cell r="F529">
            <v>0</v>
          </cell>
          <cell r="G529">
            <v>294675</v>
          </cell>
          <cell r="H529">
            <v>294675</v>
          </cell>
          <cell r="I529">
            <v>287525</v>
          </cell>
        </row>
        <row r="530">
          <cell r="D530">
            <v>501974</v>
          </cell>
          <cell r="E530" t="str">
            <v>Guest House Maintenance  generator</v>
          </cell>
          <cell r="F530">
            <v>0</v>
          </cell>
          <cell r="G530">
            <v>38481</v>
          </cell>
          <cell r="H530">
            <v>38481</v>
          </cell>
          <cell r="I530">
            <v>38481</v>
          </cell>
        </row>
        <row r="531">
          <cell r="D531">
            <v>501978</v>
          </cell>
          <cell r="E531" t="str">
            <v>Rent  Guest House</v>
          </cell>
          <cell r="F531">
            <v>0</v>
          </cell>
          <cell r="G531">
            <v>950000</v>
          </cell>
          <cell r="H531">
            <v>950000</v>
          </cell>
          <cell r="I531">
            <v>950000</v>
          </cell>
        </row>
        <row r="532">
          <cell r="D532">
            <v>501979</v>
          </cell>
          <cell r="E532" t="str">
            <v>Guest House Crockery etc.,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</row>
        <row r="533">
          <cell r="D533">
            <v>501876</v>
          </cell>
          <cell r="E533" t="str">
            <v>Telephone - Guest House</v>
          </cell>
          <cell r="F533">
            <v>0</v>
          </cell>
          <cell r="G533">
            <v>24701</v>
          </cell>
          <cell r="H533">
            <v>24701</v>
          </cell>
          <cell r="I533">
            <v>24112</v>
          </cell>
        </row>
        <row r="534">
          <cell r="D534">
            <v>502065</v>
          </cell>
          <cell r="E534" t="str">
            <v>Computers Maintenance</v>
          </cell>
          <cell r="F534">
            <v>0</v>
          </cell>
          <cell r="G534">
            <v>89310</v>
          </cell>
          <cell r="H534">
            <v>89310</v>
          </cell>
          <cell r="I534">
            <v>89310</v>
          </cell>
        </row>
        <row r="535">
          <cell r="D535">
            <v>502182</v>
          </cell>
          <cell r="E535" t="str">
            <v>Insurance expenses</v>
          </cell>
          <cell r="F535">
            <v>0</v>
          </cell>
          <cell r="G535">
            <v>1000</v>
          </cell>
          <cell r="H535">
            <v>1000</v>
          </cell>
          <cell r="I535">
            <v>1000</v>
          </cell>
        </row>
        <row r="536">
          <cell r="D536">
            <v>501637</v>
          </cell>
          <cell r="E536" t="str">
            <v>Office Reparis &amp; maintenance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</row>
        <row r="537">
          <cell r="D537">
            <v>501971</v>
          </cell>
          <cell r="E537" t="str">
            <v>Electricity Charges  Guest House</v>
          </cell>
          <cell r="F537">
            <v>0</v>
          </cell>
          <cell r="G537">
            <v>171763</v>
          </cell>
          <cell r="H537">
            <v>171763</v>
          </cell>
          <cell r="I537">
            <v>171763</v>
          </cell>
        </row>
        <row r="538">
          <cell r="D538">
            <v>501975</v>
          </cell>
          <cell r="E538" t="str">
            <v>Guest House  Other Expenses</v>
          </cell>
          <cell r="F538">
            <v>0</v>
          </cell>
          <cell r="G538">
            <v>84348</v>
          </cell>
          <cell r="H538">
            <v>84348</v>
          </cell>
          <cell r="I538">
            <v>84348</v>
          </cell>
        </row>
        <row r="539">
          <cell r="D539">
            <v>501972</v>
          </cell>
          <cell r="E539" t="str">
            <v>Guest House  Laundry</v>
          </cell>
          <cell r="F539">
            <v>0</v>
          </cell>
          <cell r="G539">
            <v>8014</v>
          </cell>
          <cell r="H539">
            <v>8014</v>
          </cell>
          <cell r="I539">
            <v>8014</v>
          </cell>
        </row>
        <row r="540">
          <cell r="D540">
            <v>501976</v>
          </cell>
          <cell r="E540" t="str">
            <v>Guest House  Provisions &amp; Household Items</v>
          </cell>
          <cell r="F540">
            <v>0</v>
          </cell>
          <cell r="G540">
            <v>82697</v>
          </cell>
          <cell r="H540">
            <v>82697</v>
          </cell>
          <cell r="I540">
            <v>82697</v>
          </cell>
        </row>
        <row r="541">
          <cell r="D541">
            <v>502001</v>
          </cell>
          <cell r="E541" t="str">
            <v>Furniture &amp; Fixture Maintenance</v>
          </cell>
          <cell r="F541">
            <v>0</v>
          </cell>
          <cell r="G541">
            <v>29538</v>
          </cell>
          <cell r="H541">
            <v>29538</v>
          </cell>
          <cell r="I541">
            <v>29538</v>
          </cell>
        </row>
        <row r="542">
          <cell r="D542">
            <v>502030</v>
          </cell>
          <cell r="E542" t="str">
            <v>Foreign Exchange Loss</v>
          </cell>
          <cell r="F542">
            <v>0</v>
          </cell>
          <cell r="G542">
            <v>1062968</v>
          </cell>
          <cell r="H542">
            <v>1062968</v>
          </cell>
          <cell r="I542">
            <v>920479</v>
          </cell>
        </row>
        <row r="543">
          <cell r="D543">
            <v>502033</v>
          </cell>
          <cell r="E543" t="str">
            <v>Loss on Sale of Fixed Assets</v>
          </cell>
          <cell r="F543">
            <v>0</v>
          </cell>
          <cell r="G543">
            <v>423057</v>
          </cell>
          <cell r="H543">
            <v>423057</v>
          </cell>
          <cell r="I543">
            <v>423057</v>
          </cell>
        </row>
        <row r="544">
          <cell r="D544">
            <v>502039</v>
          </cell>
          <cell r="E544" t="str">
            <v>Bad debts written off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</row>
        <row r="545">
          <cell r="D545">
            <v>502036</v>
          </cell>
          <cell r="E545" t="str">
            <v>Provision for doubtful debts&amp; Advances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</row>
        <row r="546">
          <cell r="D546">
            <v>502042</v>
          </cell>
          <cell r="E546" t="str">
            <v>Bank Charges</v>
          </cell>
          <cell r="F546">
            <v>0</v>
          </cell>
          <cell r="G546">
            <v>6093790</v>
          </cell>
          <cell r="H546">
            <v>6093790</v>
          </cell>
          <cell r="I546">
            <v>6090771</v>
          </cell>
        </row>
        <row r="547">
          <cell r="D547">
            <v>502064</v>
          </cell>
          <cell r="E547" t="str">
            <v>Books &amp; Periodicals</v>
          </cell>
          <cell r="F547">
            <v>0</v>
          </cell>
          <cell r="G547">
            <v>115408</v>
          </cell>
          <cell r="H547">
            <v>115408</v>
          </cell>
          <cell r="I547">
            <v>115408</v>
          </cell>
        </row>
        <row r="548">
          <cell r="D548">
            <v>502066</v>
          </cell>
          <cell r="E548" t="str">
            <v>Member Ships &amp; Subsidiries</v>
          </cell>
          <cell r="F548">
            <v>0</v>
          </cell>
          <cell r="G548">
            <v>60413</v>
          </cell>
          <cell r="H548">
            <v>60413</v>
          </cell>
          <cell r="I548">
            <v>60413</v>
          </cell>
        </row>
        <row r="549">
          <cell r="D549">
            <v>502067</v>
          </cell>
          <cell r="E549" t="str">
            <v>Sundries</v>
          </cell>
          <cell r="F549">
            <v>0</v>
          </cell>
          <cell r="G549">
            <v>406505</v>
          </cell>
          <cell r="H549">
            <v>406505</v>
          </cell>
          <cell r="I549">
            <v>406505</v>
          </cell>
        </row>
        <row r="550">
          <cell r="D550">
            <v>502012</v>
          </cell>
          <cell r="E550" t="str">
            <v>Marketing Expenses</v>
          </cell>
          <cell r="F550">
            <v>0</v>
          </cell>
          <cell r="G550">
            <v>199403</v>
          </cell>
          <cell r="H550">
            <v>199403</v>
          </cell>
          <cell r="I550">
            <v>199403</v>
          </cell>
        </row>
        <row r="551">
          <cell r="D551">
            <v>501561</v>
          </cell>
          <cell r="E551" t="str">
            <v>Railway Office Maintenance (Closed)</v>
          </cell>
          <cell r="F551">
            <v>0</v>
          </cell>
          <cell r="G551">
            <v>36778</v>
          </cell>
          <cell r="H551">
            <v>36778</v>
          </cell>
          <cell r="I551">
            <v>0</v>
          </cell>
        </row>
        <row r="552">
          <cell r="D552">
            <v>502180</v>
          </cell>
          <cell r="E552" t="str">
            <v>Cash discount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</row>
        <row r="553">
          <cell r="D553">
            <v>502043</v>
          </cell>
          <cell r="E553" t="str">
            <v>Misc Expenses</v>
          </cell>
          <cell r="F553">
            <v>0</v>
          </cell>
          <cell r="G553">
            <v>10624</v>
          </cell>
          <cell r="H553">
            <v>10624</v>
          </cell>
          <cell r="I553">
            <v>1427</v>
          </cell>
        </row>
        <row r="554">
          <cell r="D554">
            <v>502062</v>
          </cell>
          <cell r="E554" t="str">
            <v>Advertisement</v>
          </cell>
          <cell r="F554">
            <v>0</v>
          </cell>
          <cell r="G554">
            <v>534707</v>
          </cell>
          <cell r="H554">
            <v>534707</v>
          </cell>
          <cell r="I554">
            <v>325169</v>
          </cell>
        </row>
        <row r="555">
          <cell r="D555">
            <v>502073</v>
          </cell>
          <cell r="E555" t="str">
            <v>Conferences &amp; Seminars</v>
          </cell>
          <cell r="F555">
            <v>0</v>
          </cell>
          <cell r="G555">
            <v>119037</v>
          </cell>
          <cell r="H555">
            <v>119037</v>
          </cell>
          <cell r="I555">
            <v>119037</v>
          </cell>
        </row>
        <row r="556">
          <cell r="D556">
            <v>502078</v>
          </cell>
          <cell r="E556" t="str">
            <v>Railway office maintenance</v>
          </cell>
          <cell r="F556">
            <v>0</v>
          </cell>
          <cell r="G556">
            <v>68446</v>
          </cell>
          <cell r="H556">
            <v>68446</v>
          </cell>
          <cell r="I556">
            <v>68446</v>
          </cell>
        </row>
        <row r="557">
          <cell r="D557">
            <v>502008</v>
          </cell>
          <cell r="E557" t="str">
            <v>Software Development Expenses</v>
          </cell>
          <cell r="F557">
            <v>0</v>
          </cell>
          <cell r="G557">
            <v>283265</v>
          </cell>
          <cell r="H557">
            <v>283265</v>
          </cell>
          <cell r="I557">
            <v>283265</v>
          </cell>
        </row>
        <row r="558">
          <cell r="D558">
            <v>502185</v>
          </cell>
          <cell r="E558" t="str">
            <v>Extra fright Charges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</row>
        <row r="559">
          <cell r="D559">
            <v>502105</v>
          </cell>
          <cell r="E559" t="str">
            <v>Credit Card Deposit Fee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</row>
        <row r="560">
          <cell r="D560">
            <v>502106</v>
          </cell>
          <cell r="E560" t="str">
            <v>News Papers &amp; Magazines</v>
          </cell>
          <cell r="F560">
            <v>0</v>
          </cell>
          <cell r="G560">
            <v>38081</v>
          </cell>
          <cell r="H560">
            <v>38081</v>
          </cell>
          <cell r="I560">
            <v>38081</v>
          </cell>
        </row>
        <row r="561">
          <cell r="D561">
            <v>502063</v>
          </cell>
          <cell r="E561" t="str">
            <v>Printing &amp; Stationery</v>
          </cell>
          <cell r="F561">
            <v>0</v>
          </cell>
          <cell r="G561">
            <v>1015144</v>
          </cell>
          <cell r="H561">
            <v>1015144</v>
          </cell>
          <cell r="I561">
            <v>1014924</v>
          </cell>
        </row>
        <row r="562">
          <cell r="D562">
            <v>502068</v>
          </cell>
          <cell r="E562" t="str">
            <v>Food Expenses</v>
          </cell>
          <cell r="F562">
            <v>0</v>
          </cell>
          <cell r="G562">
            <v>699989</v>
          </cell>
          <cell r="H562">
            <v>699989</v>
          </cell>
          <cell r="I562">
            <v>699989</v>
          </cell>
        </row>
        <row r="563">
          <cell r="D563">
            <v>502181</v>
          </cell>
          <cell r="E563" t="str">
            <v>Freight expenses</v>
          </cell>
          <cell r="F563">
            <v>0</v>
          </cell>
          <cell r="G563">
            <v>40000</v>
          </cell>
          <cell r="H563">
            <v>40000</v>
          </cell>
          <cell r="I563">
            <v>40000</v>
          </cell>
        </row>
        <row r="564">
          <cell r="D564">
            <v>502076</v>
          </cell>
          <cell r="E564" t="str">
            <v>Iso 9001 Certification Fee</v>
          </cell>
          <cell r="F564">
            <v>0</v>
          </cell>
          <cell r="G564">
            <v>10000</v>
          </cell>
          <cell r="H564">
            <v>10000</v>
          </cell>
          <cell r="I564">
            <v>10000</v>
          </cell>
        </row>
        <row r="565">
          <cell r="D565">
            <v>502013</v>
          </cell>
          <cell r="E565" t="str">
            <v>Anniversary Expenses</v>
          </cell>
          <cell r="F565">
            <v>0</v>
          </cell>
          <cell r="G565">
            <v>637605</v>
          </cell>
          <cell r="H565">
            <v>637605</v>
          </cell>
          <cell r="I565">
            <v>637605</v>
          </cell>
        </row>
        <row r="566">
          <cell r="D566">
            <v>502069</v>
          </cell>
          <cell r="E566" t="str">
            <v>Legal Expenses</v>
          </cell>
          <cell r="F566">
            <v>0</v>
          </cell>
          <cell r="G566">
            <v>705750</v>
          </cell>
          <cell r="H566">
            <v>705750</v>
          </cell>
          <cell r="I566">
            <v>330750</v>
          </cell>
        </row>
        <row r="567">
          <cell r="D567">
            <v>502183</v>
          </cell>
          <cell r="E567" t="str">
            <v>Packing and Forwarding Exp.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</row>
        <row r="568">
          <cell r="D568">
            <v>502184</v>
          </cell>
          <cell r="E568" t="str">
            <v>Cash discount clearing account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</row>
        <row r="569">
          <cell r="D569">
            <v>502091</v>
          </cell>
          <cell r="E569" t="str">
            <v>Rounding Account</v>
          </cell>
          <cell r="F569">
            <v>0</v>
          </cell>
          <cell r="G569">
            <v>405</v>
          </cell>
          <cell r="H569">
            <v>405</v>
          </cell>
          <cell r="I569">
            <v>-423</v>
          </cell>
        </row>
        <row r="570">
          <cell r="D570">
            <v>502075</v>
          </cell>
          <cell r="E570" t="str">
            <v>ISO  14001 Certification Fee</v>
          </cell>
          <cell r="F570">
            <v>0</v>
          </cell>
          <cell r="G570">
            <v>10000</v>
          </cell>
          <cell r="H570">
            <v>10000</v>
          </cell>
          <cell r="I570">
            <v>10000</v>
          </cell>
        </row>
        <row r="571">
          <cell r="D571">
            <v>502098</v>
          </cell>
          <cell r="E571" t="str">
            <v>Interest on Loan Boi P&amp;L</v>
          </cell>
          <cell r="F571">
            <v>0</v>
          </cell>
          <cell r="G571">
            <v>96297490</v>
          </cell>
          <cell r="H571">
            <v>96297490</v>
          </cell>
          <cell r="I571">
            <v>96297490</v>
          </cell>
        </row>
        <row r="572">
          <cell r="D572">
            <v>502101</v>
          </cell>
          <cell r="E572" t="str">
            <v>Interest on Loan Ubi 215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</row>
        <row r="573">
          <cell r="D573">
            <v>502102</v>
          </cell>
          <cell r="E573" t="str">
            <v>Interest on Loan Ubi 245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</row>
        <row r="574">
          <cell r="D574">
            <v>502108</v>
          </cell>
          <cell r="E574" t="str">
            <v>Interest on BMW vehicle Loan</v>
          </cell>
          <cell r="F574">
            <v>0</v>
          </cell>
          <cell r="G574">
            <v>182719</v>
          </cell>
          <cell r="H574">
            <v>182719</v>
          </cell>
          <cell r="I574">
            <v>182719</v>
          </cell>
        </row>
        <row r="575">
          <cell r="D575">
            <v>502099</v>
          </cell>
          <cell r="E575" t="str">
            <v>Interest on Loan Sbp P&amp;L</v>
          </cell>
          <cell r="F575">
            <v>0</v>
          </cell>
          <cell r="G575">
            <v>79170759</v>
          </cell>
          <cell r="H575">
            <v>79170759</v>
          </cell>
          <cell r="I575">
            <v>72877017</v>
          </cell>
        </row>
        <row r="576">
          <cell r="D576">
            <v>502103</v>
          </cell>
          <cell r="E576" t="str">
            <v>Interest on current accounts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</row>
        <row r="577">
          <cell r="D577">
            <v>502100</v>
          </cell>
          <cell r="E577" t="str">
            <v>Interest on Loan Ubi 208 P&amp;L</v>
          </cell>
          <cell r="F577">
            <v>0</v>
          </cell>
          <cell r="G577">
            <v>20529161</v>
          </cell>
          <cell r="H577">
            <v>20529161</v>
          </cell>
          <cell r="I577">
            <v>20529161</v>
          </cell>
        </row>
        <row r="578">
          <cell r="D578">
            <v>502107</v>
          </cell>
          <cell r="E578" t="str">
            <v>Interest on EURO loan and commitment fee etc.,</v>
          </cell>
          <cell r="F578">
            <v>0</v>
          </cell>
          <cell r="G578">
            <v>91897</v>
          </cell>
          <cell r="H578">
            <v>91897</v>
          </cell>
          <cell r="I578">
            <v>91897</v>
          </cell>
        </row>
        <row r="579">
          <cell r="D579">
            <v>103482</v>
          </cell>
          <cell r="E579" t="str">
            <v>Alumina Line Ohe Erection</v>
          </cell>
          <cell r="F579">
            <v>3670619</v>
          </cell>
          <cell r="G579">
            <v>0</v>
          </cell>
          <cell r="H579">
            <v>0</v>
          </cell>
          <cell r="I579">
            <v>3670619</v>
          </cell>
        </row>
        <row r="580">
          <cell r="D580">
            <v>103481</v>
          </cell>
          <cell r="E580" t="str">
            <v>Railwaysiding - 2</v>
          </cell>
          <cell r="F580">
            <v>60866113</v>
          </cell>
          <cell r="G580">
            <v>0</v>
          </cell>
          <cell r="H580">
            <v>0</v>
          </cell>
          <cell r="I580">
            <v>60866113</v>
          </cell>
        </row>
        <row r="581">
          <cell r="D581">
            <v>103483</v>
          </cell>
          <cell r="E581" t="str">
            <v>West Side Rly Line in R&amp;D Yard(3rd)</v>
          </cell>
          <cell r="F581">
            <v>39429050</v>
          </cell>
          <cell r="G581">
            <v>0</v>
          </cell>
          <cell r="H581">
            <v>0</v>
          </cell>
          <cell r="I581">
            <v>39429050</v>
          </cell>
        </row>
        <row r="582">
          <cell r="D582">
            <v>103480</v>
          </cell>
          <cell r="E582" t="str">
            <v>Railway Siding-1</v>
          </cell>
          <cell r="F582">
            <v>79793755</v>
          </cell>
          <cell r="G582">
            <v>2678049</v>
          </cell>
          <cell r="H582">
            <v>0</v>
          </cell>
          <cell r="I582">
            <v>82471804</v>
          </cell>
        </row>
        <row r="583">
          <cell r="D583">
            <v>103479</v>
          </cell>
          <cell r="E583" t="str">
            <v>Preoperative Exp - Rly</v>
          </cell>
          <cell r="F583">
            <v>2051451</v>
          </cell>
          <cell r="G583">
            <v>0</v>
          </cell>
          <cell r="H583">
            <v>0</v>
          </cell>
          <cell r="I583">
            <v>2051451</v>
          </cell>
        </row>
        <row r="584">
          <cell r="D584">
            <v>103484</v>
          </cell>
          <cell r="E584" t="str">
            <v>4th Berth Rly Line along with OHE</v>
          </cell>
          <cell r="F584">
            <v>0</v>
          </cell>
          <cell r="G584">
            <v>24098886</v>
          </cell>
          <cell r="H584">
            <v>0</v>
          </cell>
          <cell r="I584">
            <v>24098886</v>
          </cell>
        </row>
        <row r="585">
          <cell r="D585">
            <v>103502</v>
          </cell>
          <cell r="E585" t="str">
            <v>Jala Kanya - Asset</v>
          </cell>
          <cell r="F585">
            <v>81366694</v>
          </cell>
          <cell r="G585">
            <v>0</v>
          </cell>
          <cell r="H585">
            <v>0</v>
          </cell>
          <cell r="I585">
            <v>81366694</v>
          </cell>
        </row>
        <row r="586">
          <cell r="D586">
            <v>103504</v>
          </cell>
          <cell r="E586" t="str">
            <v>Pilot Launch Bhima - Asset</v>
          </cell>
          <cell r="F586">
            <v>4176223</v>
          </cell>
          <cell r="G586">
            <v>0</v>
          </cell>
          <cell r="H586">
            <v>0</v>
          </cell>
          <cell r="I586">
            <v>4176223</v>
          </cell>
        </row>
        <row r="587">
          <cell r="D587">
            <v>103503</v>
          </cell>
          <cell r="E587" t="str">
            <v>Jala Tarangini - Asset</v>
          </cell>
          <cell r="F587">
            <v>75517832</v>
          </cell>
          <cell r="G587">
            <v>0</v>
          </cell>
          <cell r="H587">
            <v>0</v>
          </cell>
          <cell r="I587">
            <v>75517832</v>
          </cell>
        </row>
        <row r="588">
          <cell r="D588">
            <v>103505</v>
          </cell>
          <cell r="E588" t="str">
            <v>Preoperative Exp - Tugs</v>
          </cell>
          <cell r="F588">
            <v>6629824</v>
          </cell>
          <cell r="G588">
            <v>0</v>
          </cell>
          <cell r="H588">
            <v>0</v>
          </cell>
          <cell r="I588">
            <v>6629824</v>
          </cell>
        </row>
        <row r="589">
          <cell r="D589">
            <v>103501</v>
          </cell>
          <cell r="E589" t="str">
            <v>Jala Hamsa - Asset</v>
          </cell>
          <cell r="F589">
            <v>75616687</v>
          </cell>
          <cell r="G589">
            <v>0</v>
          </cell>
          <cell r="H589">
            <v>0</v>
          </cell>
          <cell r="I589">
            <v>75616687</v>
          </cell>
        </row>
        <row r="590">
          <cell r="D590">
            <v>103506</v>
          </cell>
          <cell r="E590" t="str">
            <v>Spares for Tugs &amp; Pilot Launch</v>
          </cell>
          <cell r="F590">
            <v>6933588</v>
          </cell>
          <cell r="G590">
            <v>0</v>
          </cell>
          <cell r="H590">
            <v>0</v>
          </cell>
          <cell r="I590">
            <v>6933588</v>
          </cell>
        </row>
        <row r="591">
          <cell r="D591">
            <v>103577</v>
          </cell>
          <cell r="E591" t="str">
            <v>Capital Dredging - 4th Berth</v>
          </cell>
          <cell r="F591">
            <v>257836883</v>
          </cell>
          <cell r="G591">
            <v>0</v>
          </cell>
          <cell r="H591">
            <v>0</v>
          </cell>
          <cell r="I591">
            <v>257836883</v>
          </cell>
        </row>
        <row r="592">
          <cell r="D592">
            <v>103576</v>
          </cell>
          <cell r="E592" t="str">
            <v>Dredging at OSV Area</v>
          </cell>
          <cell r="F592">
            <v>294041769</v>
          </cell>
          <cell r="G592">
            <v>0</v>
          </cell>
          <cell r="H592">
            <v>0</v>
          </cell>
          <cell r="I592">
            <v>294041769</v>
          </cell>
        </row>
        <row r="593">
          <cell r="D593">
            <v>103273</v>
          </cell>
          <cell r="E593" t="str">
            <v>Preoperative Exp - Cd</v>
          </cell>
          <cell r="F593">
            <v>5810955</v>
          </cell>
          <cell r="G593">
            <v>0</v>
          </cell>
          <cell r="H593">
            <v>0</v>
          </cell>
          <cell r="I593">
            <v>5810955</v>
          </cell>
        </row>
        <row r="594">
          <cell r="D594">
            <v>103272</v>
          </cell>
          <cell r="E594" t="str">
            <v>Capital Dredging</v>
          </cell>
          <cell r="F594">
            <v>213521897</v>
          </cell>
          <cell r="G594">
            <v>0</v>
          </cell>
          <cell r="H594">
            <v>0</v>
          </cell>
          <cell r="I594">
            <v>213521897</v>
          </cell>
        </row>
        <row r="595">
          <cell r="D595">
            <v>103666</v>
          </cell>
          <cell r="E595" t="str">
            <v>Area -1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</row>
        <row r="596">
          <cell r="D596">
            <v>103667</v>
          </cell>
          <cell r="E596" t="str">
            <v>Area -2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</row>
        <row r="597">
          <cell r="D597">
            <v>103672</v>
          </cell>
          <cell r="E597" t="str">
            <v>Hard Surfacing in Zone B Part I</v>
          </cell>
          <cell r="F597">
            <v>41348648</v>
          </cell>
          <cell r="G597">
            <v>0</v>
          </cell>
          <cell r="H597">
            <v>0</v>
          </cell>
          <cell r="I597">
            <v>41348648</v>
          </cell>
        </row>
        <row r="598">
          <cell r="D598">
            <v>103675</v>
          </cell>
          <cell r="E598" t="str">
            <v>Railway Line Land</v>
          </cell>
          <cell r="F598">
            <v>8500000</v>
          </cell>
          <cell r="G598">
            <v>0</v>
          </cell>
          <cell r="H598">
            <v>0</v>
          </cell>
          <cell r="I598">
            <v>8500000</v>
          </cell>
        </row>
        <row r="599">
          <cell r="D599">
            <v>103664</v>
          </cell>
          <cell r="E599" t="str">
            <v>Approach Bund to Osv NS -1</v>
          </cell>
          <cell r="F599">
            <v>60393735</v>
          </cell>
          <cell r="G599">
            <v>0</v>
          </cell>
          <cell r="H599">
            <v>0</v>
          </cell>
          <cell r="I599">
            <v>60393735</v>
          </cell>
        </row>
        <row r="600">
          <cell r="D600">
            <v>103669</v>
          </cell>
          <cell r="E600" t="str">
            <v>Coal Yard</v>
          </cell>
          <cell r="F600">
            <v>6160000</v>
          </cell>
          <cell r="G600">
            <v>0</v>
          </cell>
          <cell r="H600">
            <v>0</v>
          </cell>
          <cell r="I600">
            <v>6160000</v>
          </cell>
        </row>
        <row r="601">
          <cell r="D601">
            <v>103670</v>
          </cell>
          <cell r="E601" t="str">
            <v>Container Yard Development</v>
          </cell>
          <cell r="F601">
            <v>9133765</v>
          </cell>
          <cell r="G601">
            <v>0</v>
          </cell>
          <cell r="H601">
            <v>0</v>
          </cell>
          <cell r="I601">
            <v>9133765</v>
          </cell>
        </row>
        <row r="602">
          <cell r="D602">
            <v>103671</v>
          </cell>
          <cell r="E602" t="str">
            <v>Hard Surfacing at Zone B Part Ii</v>
          </cell>
          <cell r="F602">
            <v>10982766</v>
          </cell>
          <cell r="G602">
            <v>0</v>
          </cell>
          <cell r="H602">
            <v>0</v>
          </cell>
          <cell r="I602">
            <v>10982766</v>
          </cell>
        </row>
        <row r="603">
          <cell r="D603">
            <v>103676</v>
          </cell>
          <cell r="E603" t="str">
            <v>R&amp;D Yard</v>
          </cell>
          <cell r="F603">
            <v>21823536</v>
          </cell>
          <cell r="G603">
            <v>0</v>
          </cell>
          <cell r="H603">
            <v>0</v>
          </cell>
          <cell r="I603">
            <v>21823536</v>
          </cell>
        </row>
        <row r="604">
          <cell r="D604">
            <v>103683</v>
          </cell>
          <cell r="E604" t="str">
            <v>Strengthening of Stacking yard at Warehouse 4 &amp; 5</v>
          </cell>
          <cell r="F604">
            <v>0</v>
          </cell>
          <cell r="G604">
            <v>1099104</v>
          </cell>
          <cell r="H604">
            <v>0</v>
          </cell>
          <cell r="I604">
            <v>1099104</v>
          </cell>
        </row>
        <row r="605">
          <cell r="D605">
            <v>103663</v>
          </cell>
          <cell r="E605" t="str">
            <v>Approach Bunds to Osv EW - 1</v>
          </cell>
          <cell r="F605">
            <v>30089398</v>
          </cell>
          <cell r="G605">
            <v>0</v>
          </cell>
          <cell r="H605">
            <v>0</v>
          </cell>
          <cell r="I605">
            <v>30089398</v>
          </cell>
        </row>
        <row r="606">
          <cell r="D606">
            <v>103668</v>
          </cell>
          <cell r="E606" t="str">
            <v>Area -3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</row>
        <row r="607">
          <cell r="D607">
            <v>103677</v>
          </cell>
          <cell r="E607" t="str">
            <v>Retaining Wall at West Side of the Jetty</v>
          </cell>
          <cell r="F607">
            <v>1116546</v>
          </cell>
          <cell r="G607">
            <v>0</v>
          </cell>
          <cell r="H607">
            <v>0</v>
          </cell>
          <cell r="I607">
            <v>1116546</v>
          </cell>
        </row>
        <row r="608">
          <cell r="D608">
            <v>103679</v>
          </cell>
          <cell r="E608" t="str">
            <v>Zone B  Filling</v>
          </cell>
          <cell r="F608">
            <v>143625614</v>
          </cell>
          <cell r="G608">
            <v>0</v>
          </cell>
          <cell r="H608">
            <v>0</v>
          </cell>
          <cell r="I608">
            <v>143625614</v>
          </cell>
        </row>
        <row r="609">
          <cell r="D609">
            <v>103681</v>
          </cell>
          <cell r="E609" t="str">
            <v>Osv Back Up Area Filling and Hard Surfacing</v>
          </cell>
          <cell r="F609">
            <v>212390890</v>
          </cell>
          <cell r="G609">
            <v>0</v>
          </cell>
          <cell r="H609">
            <v>0</v>
          </cell>
          <cell r="I609">
            <v>212390890</v>
          </cell>
        </row>
        <row r="610">
          <cell r="D610">
            <v>103682</v>
          </cell>
          <cell r="E610" t="str">
            <v>4th Berth Back up area filling and Development</v>
          </cell>
          <cell r="F610">
            <v>0</v>
          </cell>
          <cell r="G610">
            <v>197450707</v>
          </cell>
          <cell r="H610">
            <v>0</v>
          </cell>
          <cell r="I610">
            <v>197450707</v>
          </cell>
        </row>
        <row r="611">
          <cell r="D611">
            <v>103665</v>
          </cell>
          <cell r="E611" t="str">
            <v>Back Up Area Works</v>
          </cell>
          <cell r="F611">
            <v>185343434</v>
          </cell>
          <cell r="G611">
            <v>0</v>
          </cell>
          <cell r="H611">
            <v>0</v>
          </cell>
          <cell r="I611">
            <v>185343434</v>
          </cell>
        </row>
        <row r="612">
          <cell r="D612">
            <v>103673</v>
          </cell>
          <cell r="E612" t="str">
            <v>Moorum Filling at West Side of the Cr Road  Bay 2&amp;3</v>
          </cell>
          <cell r="F612">
            <v>4934748</v>
          </cell>
          <cell r="G612">
            <v>0</v>
          </cell>
          <cell r="H612">
            <v>0</v>
          </cell>
          <cell r="I612">
            <v>4934748</v>
          </cell>
        </row>
        <row r="613">
          <cell r="D613">
            <v>103674</v>
          </cell>
          <cell r="E613" t="str">
            <v>Preoperative Exp - Land</v>
          </cell>
          <cell r="F613">
            <v>4268277</v>
          </cell>
          <cell r="G613">
            <v>0</v>
          </cell>
          <cell r="H613">
            <v>0</v>
          </cell>
          <cell r="I613">
            <v>4268277</v>
          </cell>
        </row>
        <row r="614">
          <cell r="D614">
            <v>103678</v>
          </cell>
          <cell r="E614" t="str">
            <v>Yard at West Side of the Adb Road</v>
          </cell>
          <cell r="F614">
            <v>2269294</v>
          </cell>
          <cell r="G614">
            <v>0</v>
          </cell>
          <cell r="H614">
            <v>0</v>
          </cell>
          <cell r="I614">
            <v>2269294</v>
          </cell>
        </row>
        <row r="615">
          <cell r="D615">
            <v>103680</v>
          </cell>
          <cell r="E615" t="str">
            <v>Approach Bunds 4th Berth</v>
          </cell>
          <cell r="F615">
            <v>181928965</v>
          </cell>
          <cell r="G615">
            <v>0</v>
          </cell>
          <cell r="H615">
            <v>0</v>
          </cell>
          <cell r="I615">
            <v>181928965</v>
          </cell>
        </row>
        <row r="616">
          <cell r="D616">
            <v>103699</v>
          </cell>
          <cell r="E616" t="str">
            <v>Erp Softwares - SAP</v>
          </cell>
          <cell r="F616">
            <v>2709520</v>
          </cell>
          <cell r="G616">
            <v>0</v>
          </cell>
          <cell r="H616">
            <v>0</v>
          </cell>
          <cell r="I616">
            <v>2709520</v>
          </cell>
        </row>
        <row r="617">
          <cell r="D617">
            <v>103646</v>
          </cell>
          <cell r="E617" t="str">
            <v>Softwares</v>
          </cell>
          <cell r="F617">
            <v>0</v>
          </cell>
          <cell r="G617">
            <v>748615</v>
          </cell>
          <cell r="H617">
            <v>0</v>
          </cell>
          <cell r="I617">
            <v>748615</v>
          </cell>
        </row>
        <row r="618">
          <cell r="D618">
            <v>103645</v>
          </cell>
          <cell r="E618" t="str">
            <v>ERP Soft Wares</v>
          </cell>
          <cell r="F618">
            <v>450000</v>
          </cell>
          <cell r="G618">
            <v>0</v>
          </cell>
          <cell r="H618">
            <v>0</v>
          </cell>
          <cell r="I618">
            <v>450000</v>
          </cell>
        </row>
        <row r="619">
          <cell r="D619">
            <v>103723</v>
          </cell>
          <cell r="E619" t="str">
            <v>Cumulative Depreciation - Erp Software</v>
          </cell>
          <cell r="F619">
            <v>-1353172</v>
          </cell>
          <cell r="G619">
            <v>0</v>
          </cell>
          <cell r="H619">
            <v>1152712</v>
          </cell>
          <cell r="I619">
            <v>-2505884</v>
          </cell>
        </row>
        <row r="620">
          <cell r="D620">
            <v>103724</v>
          </cell>
          <cell r="E620" t="str">
            <v>Cumulative Depreciation - Furniture &amp; Fixtues</v>
          </cell>
          <cell r="F620">
            <v>-1196955</v>
          </cell>
          <cell r="G620">
            <v>0</v>
          </cell>
          <cell r="H620">
            <v>241938</v>
          </cell>
          <cell r="I620">
            <v>-1438893</v>
          </cell>
        </row>
        <row r="621">
          <cell r="D621">
            <v>103719</v>
          </cell>
          <cell r="E621" t="str">
            <v>Cumulative Amortisation</v>
          </cell>
          <cell r="F621">
            <v>-169459872</v>
          </cell>
          <cell r="G621">
            <v>0</v>
          </cell>
          <cell r="H621">
            <v>30403833</v>
          </cell>
          <cell r="I621">
            <v>-199863705</v>
          </cell>
        </row>
        <row r="622">
          <cell r="D622">
            <v>103722</v>
          </cell>
          <cell r="E622" t="str">
            <v>Cumulative Depr. - Buildings</v>
          </cell>
          <cell r="F622">
            <v>-159291029</v>
          </cell>
          <cell r="G622">
            <v>0</v>
          </cell>
          <cell r="H622">
            <v>47694816</v>
          </cell>
          <cell r="I622">
            <v>-206985845</v>
          </cell>
        </row>
        <row r="623">
          <cell r="D623">
            <v>103726</v>
          </cell>
          <cell r="E623" t="str">
            <v>Cumulative Depreciation - Plant &amp; Machinaries</v>
          </cell>
          <cell r="F623">
            <v>-72916284</v>
          </cell>
          <cell r="G623">
            <v>0</v>
          </cell>
          <cell r="H623">
            <v>14873296</v>
          </cell>
          <cell r="I623">
            <v>-87789580</v>
          </cell>
        </row>
        <row r="624">
          <cell r="D624">
            <v>103728</v>
          </cell>
          <cell r="E624" t="str">
            <v>Cumulative Dep - Tugs &amp; Pilot Launch</v>
          </cell>
          <cell r="F624">
            <v>-198254507</v>
          </cell>
          <cell r="G624">
            <v>0</v>
          </cell>
          <cell r="H624">
            <v>17516859</v>
          </cell>
          <cell r="I624">
            <v>-215771366</v>
          </cell>
        </row>
        <row r="625">
          <cell r="D625">
            <v>103720</v>
          </cell>
          <cell r="E625" t="str">
            <v>Cumulative Depn - Lands</v>
          </cell>
          <cell r="F625">
            <v>-150639615</v>
          </cell>
          <cell r="G625">
            <v>0</v>
          </cell>
          <cell r="H625">
            <v>43034104</v>
          </cell>
          <cell r="I625">
            <v>-193673719</v>
          </cell>
        </row>
        <row r="626">
          <cell r="D626">
            <v>103721</v>
          </cell>
          <cell r="E626" t="str">
            <v>Cumulative Depn - Railway Siding</v>
          </cell>
          <cell r="F626">
            <v>-40570212</v>
          </cell>
          <cell r="G626">
            <v>0</v>
          </cell>
          <cell r="H626">
            <v>8019383</v>
          </cell>
          <cell r="I626">
            <v>-48589595</v>
          </cell>
        </row>
        <row r="627">
          <cell r="D627">
            <v>103725</v>
          </cell>
          <cell r="E627" t="str">
            <v>Cumulative Depreciation - Office Equipment</v>
          </cell>
          <cell r="F627">
            <v>-9022613</v>
          </cell>
          <cell r="G627">
            <v>0</v>
          </cell>
          <cell r="H627">
            <v>1430922</v>
          </cell>
          <cell r="I627">
            <v>-10453535</v>
          </cell>
        </row>
        <row r="628">
          <cell r="D628">
            <v>103727</v>
          </cell>
          <cell r="E628" t="str">
            <v>Cumulative Depreication - Vehicles</v>
          </cell>
          <cell r="F628">
            <v>-1127943</v>
          </cell>
          <cell r="G628">
            <v>689448</v>
          </cell>
          <cell r="H628">
            <v>785037</v>
          </cell>
          <cell r="I628">
            <v>-1223532</v>
          </cell>
        </row>
        <row r="629">
          <cell r="D629">
            <v>103811</v>
          </cell>
          <cell r="E629" t="str">
            <v>BHAGYANAGAR GAS LIMITED</v>
          </cell>
          <cell r="F629">
            <v>250000</v>
          </cell>
          <cell r="G629">
            <v>0</v>
          </cell>
          <cell r="H629">
            <v>0</v>
          </cell>
          <cell r="I629">
            <v>250000</v>
          </cell>
        </row>
        <row r="630">
          <cell r="D630">
            <v>103790</v>
          </cell>
          <cell r="E630" t="str">
            <v>KAKINADA LPG LIMITED</v>
          </cell>
          <cell r="F630">
            <v>199990</v>
          </cell>
          <cell r="G630">
            <v>0</v>
          </cell>
          <cell r="H630">
            <v>0</v>
          </cell>
          <cell r="I630">
            <v>199990</v>
          </cell>
        </row>
        <row r="631">
          <cell r="D631">
            <v>103791</v>
          </cell>
          <cell r="E631" t="str">
            <v>Samudra Maritime Company  Pvt Ltd.,</v>
          </cell>
          <cell r="F631">
            <v>36000000</v>
          </cell>
          <cell r="G631">
            <v>0</v>
          </cell>
          <cell r="H631">
            <v>0</v>
          </cell>
          <cell r="I631">
            <v>36000000</v>
          </cell>
        </row>
        <row r="632">
          <cell r="D632">
            <v>104300</v>
          </cell>
          <cell r="E632" t="str">
            <v>Samudra Maritime Pvt ltd., - share application money</v>
          </cell>
          <cell r="F632">
            <v>207600000</v>
          </cell>
          <cell r="G632">
            <v>0</v>
          </cell>
          <cell r="H632">
            <v>0</v>
          </cell>
          <cell r="I632">
            <v>207600000</v>
          </cell>
        </row>
        <row r="633">
          <cell r="D633">
            <v>103812</v>
          </cell>
          <cell r="E633" t="str">
            <v>Sembmarine Kakinada Limited (Investment)</v>
          </cell>
          <cell r="F633">
            <v>249750</v>
          </cell>
          <cell r="G633">
            <v>0</v>
          </cell>
          <cell r="H633">
            <v>0</v>
          </cell>
          <cell r="I633">
            <v>249750</v>
          </cell>
        </row>
        <row r="634">
          <cell r="D634">
            <v>103813</v>
          </cell>
          <cell r="E634" t="str">
            <v>Investment in Cuddalore Port</v>
          </cell>
          <cell r="F634">
            <v>0</v>
          </cell>
          <cell r="G634">
            <v>3095700</v>
          </cell>
          <cell r="H634">
            <v>3095700</v>
          </cell>
          <cell r="I634">
            <v>0</v>
          </cell>
        </row>
        <row r="635">
          <cell r="D635">
            <v>103969</v>
          </cell>
          <cell r="E635" t="str">
            <v>MaterialsAccounts WH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</row>
        <row r="636">
          <cell r="D636">
            <v>103972</v>
          </cell>
          <cell r="E636" t="str">
            <v>Materialslogistic WH</v>
          </cell>
          <cell r="F636">
            <v>0</v>
          </cell>
          <cell r="G636">
            <v>74488</v>
          </cell>
          <cell r="H636">
            <v>74488</v>
          </cell>
          <cell r="I636">
            <v>0</v>
          </cell>
        </row>
        <row r="637">
          <cell r="D637">
            <v>103973</v>
          </cell>
          <cell r="E637" t="str">
            <v>MaterialsOperations WH</v>
          </cell>
          <cell r="F637">
            <v>0</v>
          </cell>
          <cell r="G637">
            <v>95718</v>
          </cell>
          <cell r="H637">
            <v>95718</v>
          </cell>
          <cell r="I637">
            <v>0</v>
          </cell>
        </row>
        <row r="638">
          <cell r="D638">
            <v>103980</v>
          </cell>
          <cell r="E638" t="str">
            <v>Materials HYD WH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</row>
        <row r="639">
          <cell r="D639">
            <v>103981</v>
          </cell>
          <cell r="E639" t="str">
            <v>Materials Scrap WH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</row>
        <row r="640">
          <cell r="D640">
            <v>103975</v>
          </cell>
          <cell r="E640" t="str">
            <v>MaterialsElectrical WH</v>
          </cell>
          <cell r="F640">
            <v>0</v>
          </cell>
          <cell r="G640">
            <v>16343575</v>
          </cell>
          <cell r="H640">
            <v>14727617</v>
          </cell>
          <cell r="I640">
            <v>1615958</v>
          </cell>
        </row>
        <row r="641">
          <cell r="D641">
            <v>103977</v>
          </cell>
          <cell r="E641" t="str">
            <v>MaterialsSecurity WH</v>
          </cell>
          <cell r="F641">
            <v>0</v>
          </cell>
          <cell r="G641">
            <v>104896</v>
          </cell>
          <cell r="H641">
            <v>104896</v>
          </cell>
          <cell r="I641">
            <v>0</v>
          </cell>
        </row>
        <row r="642">
          <cell r="D642">
            <v>104467</v>
          </cell>
          <cell r="E642" t="str">
            <v>VAT Receivable(input) 1%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</row>
        <row r="643">
          <cell r="D643">
            <v>103978</v>
          </cell>
          <cell r="E643" t="str">
            <v>MaterialsHSC WH</v>
          </cell>
          <cell r="F643">
            <v>0</v>
          </cell>
          <cell r="G643">
            <v>676309</v>
          </cell>
          <cell r="H643">
            <v>676309</v>
          </cell>
          <cell r="I643">
            <v>0</v>
          </cell>
        </row>
        <row r="644">
          <cell r="D644">
            <v>103968</v>
          </cell>
          <cell r="E644" t="str">
            <v>MaterialsMaterial WH</v>
          </cell>
          <cell r="F644">
            <v>1716570</v>
          </cell>
          <cell r="G644">
            <v>4774260</v>
          </cell>
          <cell r="H644">
            <v>6268253</v>
          </cell>
          <cell r="I644">
            <v>222577</v>
          </cell>
        </row>
        <row r="645">
          <cell r="D645">
            <v>103970</v>
          </cell>
          <cell r="E645" t="str">
            <v>MaterialsHuman resorce WH</v>
          </cell>
          <cell r="F645">
            <v>0</v>
          </cell>
          <cell r="G645">
            <v>331240</v>
          </cell>
          <cell r="H645">
            <v>331240</v>
          </cell>
          <cell r="I645">
            <v>0</v>
          </cell>
        </row>
        <row r="646">
          <cell r="D646">
            <v>103971</v>
          </cell>
          <cell r="E646" t="str">
            <v>MaterialsProjects WH</v>
          </cell>
          <cell r="F646">
            <v>0</v>
          </cell>
          <cell r="G646">
            <v>37106681</v>
          </cell>
          <cell r="H646">
            <v>36865225</v>
          </cell>
          <cell r="I646">
            <v>241456</v>
          </cell>
        </row>
        <row r="647">
          <cell r="D647">
            <v>103974</v>
          </cell>
          <cell r="E647" t="str">
            <v>MaterialsMachanical WH</v>
          </cell>
          <cell r="F647">
            <v>0</v>
          </cell>
          <cell r="G647">
            <v>63561993</v>
          </cell>
          <cell r="H647">
            <v>60915583</v>
          </cell>
          <cell r="I647">
            <v>2646410</v>
          </cell>
        </row>
        <row r="648">
          <cell r="D648">
            <v>103976</v>
          </cell>
          <cell r="E648" t="str">
            <v>MaterialsIT WH</v>
          </cell>
          <cell r="F648">
            <v>0</v>
          </cell>
          <cell r="G648">
            <v>211896</v>
          </cell>
          <cell r="H648">
            <v>211896</v>
          </cell>
          <cell r="I648">
            <v>0</v>
          </cell>
        </row>
        <row r="649">
          <cell r="D649">
            <v>103979</v>
          </cell>
          <cell r="E649" t="str">
            <v>Material WIP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</row>
        <row r="650">
          <cell r="D650">
            <v>103848</v>
          </cell>
          <cell r="E650" t="str">
            <v>Bothra Shipping Services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</row>
        <row r="651">
          <cell r="D651">
            <v>104832</v>
          </cell>
          <cell r="E651" t="str">
            <v>Down Payment Receivables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</row>
        <row r="652">
          <cell r="D652">
            <v>104833</v>
          </cell>
          <cell r="E652" t="str">
            <v>ADVANCES FROM CUSTOMERS (DETAILS TO BE RECEIVED)</v>
          </cell>
          <cell r="F652">
            <v>0</v>
          </cell>
          <cell r="G652">
            <v>167569695</v>
          </cell>
          <cell r="H652">
            <v>167569695</v>
          </cell>
          <cell r="I652">
            <v>0</v>
          </cell>
        </row>
        <row r="653">
          <cell r="D653">
            <v>103839</v>
          </cell>
          <cell r="E653" t="str">
            <v>A.S.Shipping Agencies Pvt Ltd.,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</row>
        <row r="654">
          <cell r="D654">
            <v>103882</v>
          </cell>
          <cell r="E654" t="str">
            <v>Gujarath State Petroleum Corporation Ltd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</row>
        <row r="655">
          <cell r="D655">
            <v>103891</v>
          </cell>
          <cell r="E655" t="str">
            <v>Interocean Shipping (I) Pvt Ltd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</row>
        <row r="656">
          <cell r="D656">
            <v>104831</v>
          </cell>
          <cell r="E656" t="str">
            <v>Accounts Receivable_Local</v>
          </cell>
          <cell r="F656">
            <v>127588942</v>
          </cell>
          <cell r="G656">
            <v>2551220137</v>
          </cell>
          <cell r="H656">
            <v>2385554158</v>
          </cell>
          <cell r="I656">
            <v>293254921</v>
          </cell>
        </row>
        <row r="657">
          <cell r="D657">
            <v>104151</v>
          </cell>
          <cell r="E657" t="str">
            <v>Electricity Consumption Deposit  Railway  Sid Offi</v>
          </cell>
          <cell r="F657">
            <v>15000</v>
          </cell>
          <cell r="G657">
            <v>0</v>
          </cell>
          <cell r="H657">
            <v>0</v>
          </cell>
          <cell r="I657">
            <v>15000</v>
          </cell>
        </row>
        <row r="658">
          <cell r="D658">
            <v>104172</v>
          </cell>
          <cell r="E658" t="str">
            <v>Advance Income Tax 02-03</v>
          </cell>
          <cell r="F658">
            <v>13465898</v>
          </cell>
          <cell r="G658">
            <v>0</v>
          </cell>
          <cell r="H658">
            <v>0</v>
          </cell>
          <cell r="I658">
            <v>13465898</v>
          </cell>
        </row>
        <row r="659">
          <cell r="D659">
            <v>104176</v>
          </cell>
          <cell r="E659" t="str">
            <v>Tds Deducted Ay 2009-2010</v>
          </cell>
          <cell r="F659">
            <v>67354485</v>
          </cell>
          <cell r="G659">
            <v>0</v>
          </cell>
          <cell r="H659">
            <v>1332279</v>
          </cell>
          <cell r="I659">
            <v>66022206</v>
          </cell>
        </row>
        <row r="660">
          <cell r="D660">
            <v>104178</v>
          </cell>
          <cell r="E660" t="str">
            <v>Advance Income Tax Ay 2010-11</v>
          </cell>
          <cell r="F660">
            <v>45046241</v>
          </cell>
          <cell r="G660">
            <v>0</v>
          </cell>
          <cell r="H660">
            <v>0</v>
          </cell>
          <cell r="I660">
            <v>45046241</v>
          </cell>
        </row>
        <row r="661">
          <cell r="D661">
            <v>104182</v>
          </cell>
          <cell r="E661" t="str">
            <v>Tds Deducted Ay 2012-2013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</row>
        <row r="662">
          <cell r="D662">
            <v>104202</v>
          </cell>
          <cell r="E662" t="str">
            <v>Diesel Deposit</v>
          </cell>
          <cell r="F662">
            <v>4000</v>
          </cell>
          <cell r="G662">
            <v>0</v>
          </cell>
          <cell r="H662">
            <v>0</v>
          </cell>
          <cell r="I662">
            <v>4000</v>
          </cell>
        </row>
        <row r="663">
          <cell r="D663">
            <v>104279</v>
          </cell>
          <cell r="E663" t="str">
            <v>Employee -2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</row>
        <row r="664">
          <cell r="D664">
            <v>104284</v>
          </cell>
          <cell r="E664" t="str">
            <v>Mr Y Rambabu (Advance)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</row>
        <row r="665">
          <cell r="D665">
            <v>104289</v>
          </cell>
          <cell r="E665" t="str">
            <v>Raghunath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</row>
        <row r="666">
          <cell r="D666">
            <v>104294</v>
          </cell>
          <cell r="E666" t="str">
            <v>Capt M J G Satya Raj (Advance)</v>
          </cell>
          <cell r="F666">
            <v>0</v>
          </cell>
          <cell r="G666">
            <v>17000</v>
          </cell>
          <cell r="H666">
            <v>11000</v>
          </cell>
          <cell r="I666">
            <v>6000</v>
          </cell>
        </row>
        <row r="667">
          <cell r="D667">
            <v>104301</v>
          </cell>
          <cell r="E667" t="str">
            <v>Advances paid to Sundry creditors - Assets</v>
          </cell>
          <cell r="F667">
            <v>0</v>
          </cell>
          <cell r="G667">
            <v>7196644</v>
          </cell>
          <cell r="H667">
            <v>0</v>
          </cell>
          <cell r="I667">
            <v>7196644</v>
          </cell>
        </row>
        <row r="668">
          <cell r="D668">
            <v>104308</v>
          </cell>
          <cell r="E668" t="str">
            <v>Mr K V Satyanarayana (Advance)</v>
          </cell>
          <cell r="F668">
            <v>0</v>
          </cell>
          <cell r="G668">
            <v>25000</v>
          </cell>
          <cell r="H668">
            <v>15000</v>
          </cell>
          <cell r="I668">
            <v>10000</v>
          </cell>
        </row>
        <row r="669">
          <cell r="D669">
            <v>104310</v>
          </cell>
          <cell r="E669" t="str">
            <v>P Varahala Rao</v>
          </cell>
          <cell r="F669">
            <v>0</v>
          </cell>
          <cell r="G669">
            <v>7500</v>
          </cell>
          <cell r="H669">
            <v>7500</v>
          </cell>
          <cell r="I669">
            <v>0</v>
          </cell>
        </row>
        <row r="670">
          <cell r="D670">
            <v>104314</v>
          </cell>
          <cell r="E670" t="str">
            <v>Mr N Seshagiri Rao</v>
          </cell>
          <cell r="F670">
            <v>0</v>
          </cell>
          <cell r="G670">
            <v>17400</v>
          </cell>
          <cell r="H670">
            <v>11400</v>
          </cell>
          <cell r="I670">
            <v>6000</v>
          </cell>
        </row>
        <row r="671">
          <cell r="D671">
            <v>104457</v>
          </cell>
          <cell r="E671" t="str">
            <v>Skydreams Infra Private Limited</v>
          </cell>
          <cell r="F671">
            <v>0</v>
          </cell>
          <cell r="G671">
            <v>500000000</v>
          </cell>
          <cell r="H671">
            <v>500000000</v>
          </cell>
          <cell r="I671">
            <v>0</v>
          </cell>
        </row>
        <row r="672">
          <cell r="D672">
            <v>104459</v>
          </cell>
          <cell r="E672" t="str">
            <v>Meenakshi Infrastructure Pvt Ltd</v>
          </cell>
          <cell r="F672">
            <v>0</v>
          </cell>
          <cell r="G672">
            <v>30000000</v>
          </cell>
          <cell r="H672">
            <v>30000000</v>
          </cell>
          <cell r="I672">
            <v>0</v>
          </cell>
        </row>
        <row r="673">
          <cell r="D673">
            <v>104468</v>
          </cell>
          <cell r="E673" t="str">
            <v>VAT Receivable(input) 4%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</row>
        <row r="674">
          <cell r="D674">
            <v>104512</v>
          </cell>
          <cell r="E674" t="str">
            <v>CST Receivvables 12.5%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</row>
        <row r="675">
          <cell r="D675">
            <v>104149</v>
          </cell>
          <cell r="E675" t="str">
            <v>Telephone Deposit</v>
          </cell>
          <cell r="F675">
            <v>19470</v>
          </cell>
          <cell r="G675">
            <v>0</v>
          </cell>
          <cell r="H675">
            <v>0</v>
          </cell>
          <cell r="I675">
            <v>19470</v>
          </cell>
        </row>
        <row r="676">
          <cell r="D676">
            <v>104171</v>
          </cell>
          <cell r="E676" t="str">
            <v>Advance Fringe Benefit Tax</v>
          </cell>
          <cell r="F676">
            <v>1135980</v>
          </cell>
          <cell r="G676">
            <v>0</v>
          </cell>
          <cell r="H676">
            <v>569879</v>
          </cell>
          <cell r="I676">
            <v>566101</v>
          </cell>
        </row>
        <row r="677">
          <cell r="D677">
            <v>104173</v>
          </cell>
          <cell r="E677" t="str">
            <v>Advance Incometax Ay 2007-08</v>
          </cell>
          <cell r="F677">
            <v>8899730</v>
          </cell>
          <cell r="G677">
            <v>229179</v>
          </cell>
          <cell r="H677">
            <v>9128909</v>
          </cell>
          <cell r="I677">
            <v>0</v>
          </cell>
        </row>
        <row r="678">
          <cell r="D678">
            <v>104174</v>
          </cell>
          <cell r="E678" t="str">
            <v>Advance Income Tax Ay 2009-10</v>
          </cell>
          <cell r="F678">
            <v>18999999</v>
          </cell>
          <cell r="G678">
            <v>234950</v>
          </cell>
          <cell r="H678">
            <v>234950</v>
          </cell>
          <cell r="I678">
            <v>18999999</v>
          </cell>
        </row>
        <row r="679">
          <cell r="D679">
            <v>104181</v>
          </cell>
          <cell r="E679" t="str">
            <v>Advance Income Tax Ay 2012-2013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</row>
        <row r="680">
          <cell r="D680">
            <v>104207</v>
          </cell>
          <cell r="E680" t="str">
            <v>Gas Connection Deposit</v>
          </cell>
          <cell r="F680">
            <v>6750</v>
          </cell>
          <cell r="G680">
            <v>0</v>
          </cell>
          <cell r="H680">
            <v>0</v>
          </cell>
          <cell r="I680">
            <v>6750</v>
          </cell>
        </row>
        <row r="681">
          <cell r="D681">
            <v>104212</v>
          </cell>
          <cell r="E681" t="str">
            <v>Portdues Debit Balance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</row>
        <row r="682">
          <cell r="D682">
            <v>104278</v>
          </cell>
          <cell r="E682" t="str">
            <v>Staff Advances Opening Balance</v>
          </cell>
          <cell r="F682">
            <v>217358</v>
          </cell>
          <cell r="G682">
            <v>278005</v>
          </cell>
          <cell r="H682">
            <v>219643</v>
          </cell>
          <cell r="I682">
            <v>275720</v>
          </cell>
        </row>
        <row r="683">
          <cell r="D683">
            <v>104282</v>
          </cell>
          <cell r="E683" t="str">
            <v>T Rajani Kanth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</row>
        <row r="684">
          <cell r="D684">
            <v>104288</v>
          </cell>
          <cell r="E684" t="str">
            <v>Mrs. E Naaga Neelima</v>
          </cell>
          <cell r="F684">
            <v>0</v>
          </cell>
          <cell r="G684">
            <v>3000</v>
          </cell>
          <cell r="H684">
            <v>0</v>
          </cell>
          <cell r="I684">
            <v>3000</v>
          </cell>
        </row>
        <row r="685">
          <cell r="D685">
            <v>104292</v>
          </cell>
          <cell r="E685" t="str">
            <v>Imprest cash account</v>
          </cell>
          <cell r="F685">
            <v>0</v>
          </cell>
          <cell r="G685">
            <v>3000</v>
          </cell>
          <cell r="H685">
            <v>3000</v>
          </cell>
          <cell r="I685">
            <v>0</v>
          </cell>
        </row>
        <row r="686">
          <cell r="D686">
            <v>104296</v>
          </cell>
          <cell r="E686" t="str">
            <v>Capt. S Tejo Prakash</v>
          </cell>
          <cell r="F686">
            <v>0</v>
          </cell>
          <cell r="G686">
            <v>50000</v>
          </cell>
          <cell r="H686">
            <v>50000</v>
          </cell>
          <cell r="I686">
            <v>0</v>
          </cell>
        </row>
        <row r="687">
          <cell r="D687">
            <v>104298</v>
          </cell>
          <cell r="E687" t="str">
            <v>Mr P S Gangadhar Rao (Advance)</v>
          </cell>
          <cell r="F687">
            <v>0</v>
          </cell>
          <cell r="G687">
            <v>6000</v>
          </cell>
          <cell r="H687">
            <v>6000</v>
          </cell>
          <cell r="I687">
            <v>0</v>
          </cell>
        </row>
        <row r="688">
          <cell r="D688">
            <v>104302</v>
          </cell>
          <cell r="E688" t="str">
            <v>Advances for Spares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</row>
        <row r="689">
          <cell r="D689">
            <v>104305</v>
          </cell>
          <cell r="E689" t="str">
            <v>Mr M Murali Krishna (Advance)</v>
          </cell>
          <cell r="F689">
            <v>0</v>
          </cell>
          <cell r="G689">
            <v>5000</v>
          </cell>
          <cell r="H689">
            <v>5000</v>
          </cell>
          <cell r="I689">
            <v>0</v>
          </cell>
        </row>
        <row r="690">
          <cell r="D690">
            <v>104306</v>
          </cell>
          <cell r="E690" t="str">
            <v>Mr G Prasanna Kumar (advance)</v>
          </cell>
          <cell r="F690">
            <v>0</v>
          </cell>
          <cell r="G690">
            <v>6000</v>
          </cell>
          <cell r="H690">
            <v>6000</v>
          </cell>
          <cell r="I690">
            <v>0</v>
          </cell>
        </row>
        <row r="691">
          <cell r="D691">
            <v>104309</v>
          </cell>
          <cell r="E691" t="str">
            <v>Mr BH P S Raju</v>
          </cell>
          <cell r="F691">
            <v>0</v>
          </cell>
          <cell r="G691">
            <v>5000</v>
          </cell>
          <cell r="H691">
            <v>0</v>
          </cell>
          <cell r="I691">
            <v>5000</v>
          </cell>
        </row>
        <row r="692">
          <cell r="D692">
            <v>104311</v>
          </cell>
          <cell r="E692" t="str">
            <v>D Rajesh Varma</v>
          </cell>
          <cell r="F692">
            <v>0</v>
          </cell>
          <cell r="G692">
            <v>20000</v>
          </cell>
          <cell r="H692">
            <v>20000</v>
          </cell>
          <cell r="I692">
            <v>0</v>
          </cell>
        </row>
        <row r="693">
          <cell r="D693">
            <v>104318</v>
          </cell>
          <cell r="E693" t="str">
            <v>Pilot Launch Dry Docking</v>
          </cell>
          <cell r="F693">
            <v>10760</v>
          </cell>
          <cell r="G693">
            <v>852</v>
          </cell>
          <cell r="H693">
            <v>11612</v>
          </cell>
          <cell r="I693">
            <v>0</v>
          </cell>
        </row>
        <row r="694">
          <cell r="D694">
            <v>104320</v>
          </cell>
          <cell r="E694" t="str">
            <v>Tug - JK Dry Docking</v>
          </cell>
          <cell r="F694">
            <v>3728649</v>
          </cell>
          <cell r="G694">
            <v>3645992</v>
          </cell>
          <cell r="H694">
            <v>7374642</v>
          </cell>
          <cell r="I694">
            <v>0</v>
          </cell>
        </row>
        <row r="695">
          <cell r="D695">
            <v>104448</v>
          </cell>
          <cell r="E695" t="str">
            <v>Jayabheri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</row>
        <row r="696">
          <cell r="D696">
            <v>104450</v>
          </cell>
          <cell r="E696" t="str">
            <v>Emar MGF  Construction Pvt Ltd.,</v>
          </cell>
          <cell r="F696">
            <v>13476177</v>
          </cell>
          <cell r="G696">
            <v>12786766</v>
          </cell>
          <cell r="H696">
            <v>26262943</v>
          </cell>
          <cell r="I696">
            <v>0</v>
          </cell>
        </row>
        <row r="697">
          <cell r="D697">
            <v>104453</v>
          </cell>
          <cell r="E697" t="str">
            <v>Advance for Expenses</v>
          </cell>
          <cell r="F697">
            <v>40791</v>
          </cell>
          <cell r="G697">
            <v>148550</v>
          </cell>
          <cell r="H697">
            <v>189341</v>
          </cell>
          <cell r="I697">
            <v>0</v>
          </cell>
        </row>
        <row r="698">
          <cell r="D698">
            <v>104455</v>
          </cell>
          <cell r="E698" t="str">
            <v>ABC Trading Company Limited</v>
          </cell>
          <cell r="F698">
            <v>5000</v>
          </cell>
          <cell r="G698">
            <v>25000</v>
          </cell>
          <cell r="H698">
            <v>10000</v>
          </cell>
          <cell r="I698">
            <v>20000</v>
          </cell>
        </row>
        <row r="699">
          <cell r="D699">
            <v>104456</v>
          </cell>
          <cell r="E699" t="str">
            <v>Global Hospitals Limited</v>
          </cell>
          <cell r="F699">
            <v>0</v>
          </cell>
          <cell r="G699">
            <v>33077260</v>
          </cell>
          <cell r="H699">
            <v>33077260</v>
          </cell>
          <cell r="I699">
            <v>0</v>
          </cell>
        </row>
        <row r="700">
          <cell r="D700">
            <v>104469</v>
          </cell>
          <cell r="E700" t="str">
            <v>VAT Receivable(input) 12.5%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</row>
        <row r="701">
          <cell r="D701">
            <v>104490</v>
          </cell>
          <cell r="E701" t="str">
            <v>Service tax receivable 10%</v>
          </cell>
          <cell r="F701">
            <v>0</v>
          </cell>
          <cell r="G701">
            <v>241829292</v>
          </cell>
          <cell r="H701">
            <v>206295366</v>
          </cell>
          <cell r="I701">
            <v>35533926</v>
          </cell>
        </row>
        <row r="702">
          <cell r="D702">
            <v>104513</v>
          </cell>
          <cell r="E702" t="str">
            <v>CST Receivables 4%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</row>
        <row r="703">
          <cell r="D703">
            <v>104533</v>
          </cell>
          <cell r="E703" t="str">
            <v>Education cess receivable  2%</v>
          </cell>
          <cell r="F703">
            <v>0</v>
          </cell>
          <cell r="G703">
            <v>2506224</v>
          </cell>
          <cell r="H703">
            <v>2506224</v>
          </cell>
          <cell r="I703">
            <v>0</v>
          </cell>
        </row>
        <row r="704">
          <cell r="D704">
            <v>104304</v>
          </cell>
          <cell r="E704" t="str">
            <v>Athena Infraprojects P.Ltd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</row>
        <row r="705">
          <cell r="D705">
            <v>104307</v>
          </cell>
          <cell r="E705" t="str">
            <v>Mr P V V Satyanarayana (Advance)</v>
          </cell>
          <cell r="F705">
            <v>0</v>
          </cell>
          <cell r="G705">
            <v>20000</v>
          </cell>
          <cell r="H705">
            <v>20000</v>
          </cell>
          <cell r="I705">
            <v>0</v>
          </cell>
        </row>
        <row r="706">
          <cell r="D706">
            <v>104325</v>
          </cell>
          <cell r="E706" t="str">
            <v>P V S S Srinivas</v>
          </cell>
          <cell r="F706">
            <v>0</v>
          </cell>
          <cell r="G706">
            <v>10000</v>
          </cell>
          <cell r="H706">
            <v>10000</v>
          </cell>
          <cell r="I706">
            <v>0</v>
          </cell>
        </row>
        <row r="707">
          <cell r="D707">
            <v>104326</v>
          </cell>
          <cell r="E707" t="str">
            <v>CH Srinivas</v>
          </cell>
          <cell r="F707">
            <v>0</v>
          </cell>
          <cell r="G707">
            <v>5000</v>
          </cell>
          <cell r="H707">
            <v>5000</v>
          </cell>
          <cell r="I707">
            <v>0</v>
          </cell>
        </row>
        <row r="708">
          <cell r="D708">
            <v>104445</v>
          </cell>
          <cell r="E708" t="str">
            <v>Accrued Income</v>
          </cell>
          <cell r="F708">
            <v>545500</v>
          </cell>
          <cell r="G708">
            <v>0</v>
          </cell>
          <cell r="H708">
            <v>545500</v>
          </cell>
          <cell r="I708">
            <v>0</v>
          </cell>
        </row>
        <row r="709">
          <cell r="D709">
            <v>104447</v>
          </cell>
          <cell r="E709" t="str">
            <v>Prepaid Expenses</v>
          </cell>
          <cell r="F709">
            <v>1556738</v>
          </cell>
          <cell r="G709">
            <v>34630320</v>
          </cell>
          <cell r="H709">
            <v>32513782</v>
          </cell>
          <cell r="I709">
            <v>3673275</v>
          </cell>
        </row>
        <row r="710">
          <cell r="D710">
            <v>104449</v>
          </cell>
          <cell r="E710" t="str">
            <v>Emgee Logistics Limited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</row>
        <row r="711">
          <cell r="D711">
            <v>104458</v>
          </cell>
          <cell r="E711" t="str">
            <v>Subhodaya Chemicals Limited</v>
          </cell>
          <cell r="F711">
            <v>0</v>
          </cell>
          <cell r="G711">
            <v>15911781</v>
          </cell>
          <cell r="H711">
            <v>15911781</v>
          </cell>
          <cell r="I711">
            <v>0</v>
          </cell>
        </row>
        <row r="712">
          <cell r="D712">
            <v>104514</v>
          </cell>
          <cell r="E712" t="str">
            <v>CST Receivables 1%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</row>
        <row r="713">
          <cell r="D713">
            <v>104532</v>
          </cell>
          <cell r="E713" t="str">
            <v>CENVAT Payable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</row>
        <row r="714">
          <cell r="D714">
            <v>104534</v>
          </cell>
          <cell r="E714" t="str">
            <v>HSCess  1%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</row>
        <row r="715">
          <cell r="D715">
            <v>104152</v>
          </cell>
          <cell r="E715" t="str">
            <v>Deposit ( Irrigation Department)</v>
          </cell>
          <cell r="F715">
            <v>0</v>
          </cell>
          <cell r="G715">
            <v>301100</v>
          </cell>
          <cell r="H715">
            <v>0</v>
          </cell>
          <cell r="I715">
            <v>301100</v>
          </cell>
        </row>
        <row r="716">
          <cell r="D716">
            <v>104175</v>
          </cell>
          <cell r="E716" t="str">
            <v>Tds Deducted Ay 2008-2009</v>
          </cell>
          <cell r="F716">
            <v>46541471</v>
          </cell>
          <cell r="G716">
            <v>3264830</v>
          </cell>
          <cell r="H716">
            <v>39335283</v>
          </cell>
          <cell r="I716">
            <v>10471018</v>
          </cell>
        </row>
        <row r="717">
          <cell r="D717">
            <v>104179</v>
          </cell>
          <cell r="E717" t="str">
            <v>Advance Income Tax Ay 2011-2012</v>
          </cell>
          <cell r="F717">
            <v>0</v>
          </cell>
          <cell r="G717">
            <v>67000000</v>
          </cell>
          <cell r="H717">
            <v>0</v>
          </cell>
          <cell r="I717">
            <v>67000000</v>
          </cell>
        </row>
        <row r="718">
          <cell r="D718">
            <v>104180</v>
          </cell>
          <cell r="E718" t="str">
            <v>Tds Deducted Ay 2011-2012</v>
          </cell>
          <cell r="F718">
            <v>0</v>
          </cell>
          <cell r="G718">
            <v>82587945</v>
          </cell>
          <cell r="H718">
            <v>3901785</v>
          </cell>
          <cell r="I718">
            <v>78686160</v>
          </cell>
        </row>
        <row r="719">
          <cell r="D719">
            <v>104259</v>
          </cell>
          <cell r="E719" t="str">
            <v>T Sridhar</v>
          </cell>
          <cell r="F719">
            <v>45000</v>
          </cell>
          <cell r="G719">
            <v>0</v>
          </cell>
          <cell r="H719">
            <v>0</v>
          </cell>
          <cell r="I719">
            <v>45000</v>
          </cell>
        </row>
        <row r="720">
          <cell r="D720">
            <v>104281</v>
          </cell>
          <cell r="E720" t="str">
            <v>B Raja Rao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</row>
        <row r="721">
          <cell r="D721">
            <v>104285</v>
          </cell>
          <cell r="E721" t="str">
            <v>Mr P Satish Kumar (Advance)</v>
          </cell>
          <cell r="F721">
            <v>0</v>
          </cell>
          <cell r="G721">
            <v>80200</v>
          </cell>
          <cell r="H721">
            <v>71700</v>
          </cell>
          <cell r="I721">
            <v>8500</v>
          </cell>
        </row>
        <row r="722">
          <cell r="D722">
            <v>104287</v>
          </cell>
          <cell r="E722" t="str">
            <v>Mr D V S Srinivas (Advance)</v>
          </cell>
          <cell r="F722">
            <v>0</v>
          </cell>
          <cell r="G722">
            <v>8700</v>
          </cell>
          <cell r="H722">
            <v>0</v>
          </cell>
          <cell r="I722">
            <v>8700</v>
          </cell>
        </row>
        <row r="723">
          <cell r="D723">
            <v>104299</v>
          </cell>
          <cell r="E723" t="str">
            <v>Tug Hire Charges - Goap- Receivable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</row>
        <row r="724">
          <cell r="D724">
            <v>104150</v>
          </cell>
          <cell r="E724" t="str">
            <v>Electricity Consumption Deposit</v>
          </cell>
          <cell r="F724">
            <v>5363528</v>
          </cell>
          <cell r="G724">
            <v>0</v>
          </cell>
          <cell r="H724">
            <v>0</v>
          </cell>
          <cell r="I724">
            <v>5363528</v>
          </cell>
        </row>
        <row r="725">
          <cell r="D725">
            <v>104177</v>
          </cell>
          <cell r="E725" t="str">
            <v>Tds Deducted Ay 2010-2011</v>
          </cell>
          <cell r="F725">
            <v>57926027</v>
          </cell>
          <cell r="G725">
            <v>7793932</v>
          </cell>
          <cell r="H725">
            <v>1980982</v>
          </cell>
          <cell r="I725">
            <v>63738977</v>
          </cell>
        </row>
        <row r="726">
          <cell r="D726">
            <v>104197</v>
          </cell>
          <cell r="E726" t="str">
            <v>Deposits - Cell Phones</v>
          </cell>
          <cell r="F726">
            <v>11470</v>
          </cell>
          <cell r="G726">
            <v>0</v>
          </cell>
          <cell r="H726">
            <v>0</v>
          </cell>
          <cell r="I726">
            <v>11470</v>
          </cell>
        </row>
        <row r="727">
          <cell r="D727">
            <v>104257</v>
          </cell>
          <cell r="E727" t="str">
            <v>K V Rao</v>
          </cell>
          <cell r="F727">
            <v>429300</v>
          </cell>
          <cell r="G727">
            <v>0</v>
          </cell>
          <cell r="H727">
            <v>0</v>
          </cell>
          <cell r="I727">
            <v>429300</v>
          </cell>
        </row>
        <row r="728">
          <cell r="D728">
            <v>104280</v>
          </cell>
          <cell r="E728" t="str">
            <v>Mr.M P R Murthy (Advance)</v>
          </cell>
          <cell r="F728">
            <v>0</v>
          </cell>
          <cell r="G728">
            <v>28600</v>
          </cell>
          <cell r="H728">
            <v>28600</v>
          </cell>
          <cell r="I728">
            <v>0</v>
          </cell>
        </row>
        <row r="729">
          <cell r="D729">
            <v>104283</v>
          </cell>
          <cell r="E729" t="str">
            <v>K Anil Kumar</v>
          </cell>
          <cell r="F729">
            <v>0</v>
          </cell>
          <cell r="G729">
            <v>5000</v>
          </cell>
          <cell r="H729">
            <v>5000</v>
          </cell>
          <cell r="I729">
            <v>0</v>
          </cell>
        </row>
        <row r="730">
          <cell r="D730">
            <v>104286</v>
          </cell>
          <cell r="E730" t="str">
            <v>Mr B S N Murthy (Advance)</v>
          </cell>
          <cell r="F730">
            <v>0</v>
          </cell>
          <cell r="G730">
            <v>98000</v>
          </cell>
          <cell r="H730">
            <v>94000</v>
          </cell>
          <cell r="I730">
            <v>4000</v>
          </cell>
        </row>
        <row r="731">
          <cell r="D731">
            <v>104290</v>
          </cell>
          <cell r="E731" t="str">
            <v>Sunil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</row>
        <row r="732">
          <cell r="D732">
            <v>104291</v>
          </cell>
          <cell r="E732" t="str">
            <v>Venkatesh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</row>
        <row r="733">
          <cell r="D733">
            <v>104293</v>
          </cell>
          <cell r="E733" t="str">
            <v>Mr Shaik Kasim (Advance)</v>
          </cell>
          <cell r="F733">
            <v>0</v>
          </cell>
          <cell r="G733">
            <v>70700</v>
          </cell>
          <cell r="H733">
            <v>70700</v>
          </cell>
          <cell r="I733">
            <v>0</v>
          </cell>
        </row>
        <row r="734">
          <cell r="D734">
            <v>104295</v>
          </cell>
          <cell r="E734" t="str">
            <v>Mr MD Kareemulla</v>
          </cell>
          <cell r="F734">
            <v>0</v>
          </cell>
          <cell r="G734">
            <v>17000</v>
          </cell>
          <cell r="H734">
            <v>17000</v>
          </cell>
          <cell r="I734">
            <v>0</v>
          </cell>
        </row>
        <row r="735">
          <cell r="D735">
            <v>104297</v>
          </cell>
          <cell r="E735" t="str">
            <v>P Mohan Rao</v>
          </cell>
          <cell r="F735">
            <v>0</v>
          </cell>
          <cell r="G735">
            <v>10000</v>
          </cell>
          <cell r="H735">
            <v>10000</v>
          </cell>
          <cell r="I735">
            <v>0</v>
          </cell>
        </row>
        <row r="736">
          <cell r="D736">
            <v>104312</v>
          </cell>
          <cell r="E736" t="str">
            <v>Mr B S N Rao (Advance)</v>
          </cell>
          <cell r="F736">
            <v>0</v>
          </cell>
          <cell r="G736">
            <v>10000</v>
          </cell>
          <cell r="H736">
            <v>10000</v>
          </cell>
          <cell r="I736">
            <v>0</v>
          </cell>
        </row>
        <row r="737">
          <cell r="D737">
            <v>104313</v>
          </cell>
          <cell r="E737" t="str">
            <v>B Ramesh (Advance)</v>
          </cell>
          <cell r="F737">
            <v>0</v>
          </cell>
          <cell r="G737">
            <v>7000</v>
          </cell>
          <cell r="H737">
            <v>7000</v>
          </cell>
          <cell r="I737">
            <v>0</v>
          </cell>
        </row>
        <row r="738">
          <cell r="D738">
            <v>104315</v>
          </cell>
          <cell r="E738" t="str">
            <v>Mr P Prabhakar</v>
          </cell>
          <cell r="F738">
            <v>0</v>
          </cell>
          <cell r="G738">
            <v>3000</v>
          </cell>
          <cell r="H738">
            <v>0</v>
          </cell>
          <cell r="I738">
            <v>3000</v>
          </cell>
        </row>
        <row r="739">
          <cell r="D739">
            <v>104316</v>
          </cell>
          <cell r="E739" t="str">
            <v>Mr. O R K Prasad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</row>
        <row r="740">
          <cell r="D740">
            <v>104319</v>
          </cell>
          <cell r="E740" t="str">
            <v>Tug - JH Dry Docking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</row>
        <row r="741">
          <cell r="D741">
            <v>104321</v>
          </cell>
          <cell r="E741" t="str">
            <v>Tug - JT  Dry Docking</v>
          </cell>
          <cell r="F741">
            <v>669572</v>
          </cell>
          <cell r="G741">
            <v>4764799</v>
          </cell>
          <cell r="H741">
            <v>5434371</v>
          </cell>
          <cell r="I741">
            <v>0</v>
          </cell>
        </row>
        <row r="742">
          <cell r="D742">
            <v>104451</v>
          </cell>
          <cell r="E742" t="str">
            <v>Chiron Infratech Pvt Ltd.,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</row>
        <row r="743">
          <cell r="D743">
            <v>104452</v>
          </cell>
          <cell r="E743" t="str">
            <v>Staff IOU's Advance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</row>
        <row r="744">
          <cell r="D744">
            <v>104454</v>
          </cell>
          <cell r="E744" t="str">
            <v>Sembmarine Kakinada Limited</v>
          </cell>
          <cell r="F744">
            <v>12870227</v>
          </cell>
          <cell r="G744">
            <v>11709651</v>
          </cell>
          <cell r="H744">
            <v>15861619</v>
          </cell>
          <cell r="I744">
            <v>8718259</v>
          </cell>
        </row>
        <row r="745">
          <cell r="D745">
            <v>104460</v>
          </cell>
          <cell r="E745" t="str">
            <v>Meenakshi Energy &amp; Infrastructure Holdings Pvt Ltd.,- Share application money</v>
          </cell>
          <cell r="F745">
            <v>0</v>
          </cell>
          <cell r="G745">
            <v>668700000</v>
          </cell>
          <cell r="H745">
            <v>140000000</v>
          </cell>
          <cell r="I745">
            <v>528700000</v>
          </cell>
        </row>
        <row r="746">
          <cell r="D746">
            <v>104470</v>
          </cell>
          <cell r="E746" t="str">
            <v>VAT Receivable(input) 0%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</row>
        <row r="747">
          <cell r="D747">
            <v>104471</v>
          </cell>
          <cell r="E747" t="str">
            <v>VAT Receivable(input) 14.5%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</row>
        <row r="748">
          <cell r="D748">
            <v>104491</v>
          </cell>
          <cell r="E748" t="str">
            <v>Education cess receivable for services 2%</v>
          </cell>
          <cell r="F748">
            <v>0</v>
          </cell>
          <cell r="G748">
            <v>5173616</v>
          </cell>
          <cell r="H748">
            <v>4422457</v>
          </cell>
          <cell r="I748">
            <v>751159</v>
          </cell>
        </row>
        <row r="749">
          <cell r="D749">
            <v>104492</v>
          </cell>
          <cell r="E749" t="str">
            <v>Secondary and Higher Ed Cess receivable 1%</v>
          </cell>
          <cell r="F749">
            <v>0</v>
          </cell>
          <cell r="G749">
            <v>2449476</v>
          </cell>
          <cell r="H749">
            <v>2062954</v>
          </cell>
          <cell r="I749">
            <v>386522</v>
          </cell>
        </row>
        <row r="750">
          <cell r="D750">
            <v>104493</v>
          </cell>
          <cell r="E750" t="str">
            <v>Service tax receivable 2.5%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</row>
        <row r="751">
          <cell r="D751">
            <v>104013</v>
          </cell>
          <cell r="E751" t="str">
            <v>Hdfc Fd Rs 2.49 Cr(10.50%Pa) 10th Feb 09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</row>
        <row r="752">
          <cell r="D752">
            <v>104022</v>
          </cell>
          <cell r="E752" t="str">
            <v>Ing Vysya Fd Rs 5 Crs - 7.9% - 13th Jan 09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</row>
        <row r="753">
          <cell r="D753">
            <v>104025</v>
          </cell>
          <cell r="E753" t="str">
            <v>Uco bank FD Rs.8 Crores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</row>
        <row r="754">
          <cell r="D754">
            <v>104029</v>
          </cell>
          <cell r="E754" t="str">
            <v>Ing Vysya Bank 5 Cr 4.2% 13th Jan,09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</row>
        <row r="755">
          <cell r="D755">
            <v>104033</v>
          </cell>
          <cell r="E755" t="str">
            <v>SB of Patiala FD Rs.95 Lacs 7.25% 16th June,15 (DSRA)</v>
          </cell>
          <cell r="F755">
            <v>0</v>
          </cell>
          <cell r="G755">
            <v>9500000</v>
          </cell>
          <cell r="H755">
            <v>0</v>
          </cell>
          <cell r="I755">
            <v>9500000</v>
          </cell>
        </row>
        <row r="756">
          <cell r="D756">
            <v>104040</v>
          </cell>
          <cell r="E756" t="str">
            <v>SB of Patiala FD Rs.98 Lakh - 29th Apr,11</v>
          </cell>
          <cell r="F756">
            <v>0</v>
          </cell>
          <cell r="G756">
            <v>9800000</v>
          </cell>
          <cell r="H756">
            <v>0</v>
          </cell>
          <cell r="I756">
            <v>9800000</v>
          </cell>
        </row>
        <row r="757">
          <cell r="D757">
            <v>104041</v>
          </cell>
          <cell r="E757" t="str">
            <v>SB of Patiala FD Rs.95 Lakh 30th April,11</v>
          </cell>
          <cell r="F757">
            <v>0</v>
          </cell>
          <cell r="G757">
            <v>9500000</v>
          </cell>
          <cell r="H757">
            <v>0</v>
          </cell>
          <cell r="I757">
            <v>9500000</v>
          </cell>
        </row>
        <row r="758">
          <cell r="D758">
            <v>104066</v>
          </cell>
          <cell r="E758" t="str">
            <v>ON CURRENT ACCOUNTS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</row>
        <row r="759">
          <cell r="D759">
            <v>104086</v>
          </cell>
          <cell r="E759" t="str">
            <v>Union Bank of India - PDC Account-328401010034002</v>
          </cell>
          <cell r="F759">
            <v>17405023</v>
          </cell>
          <cell r="G759">
            <v>485342125</v>
          </cell>
          <cell r="H759">
            <v>495686272</v>
          </cell>
          <cell r="I759">
            <v>7060876</v>
          </cell>
        </row>
        <row r="760">
          <cell r="D760">
            <v>104093</v>
          </cell>
          <cell r="E760" t="str">
            <v>Ing Vysya Fd Rs 10Crores 4.9%- 20th Aug,10</v>
          </cell>
          <cell r="F760">
            <v>0</v>
          </cell>
          <cell r="G760">
            <v>100670740</v>
          </cell>
          <cell r="H760">
            <v>100670740</v>
          </cell>
          <cell r="I760">
            <v>0</v>
          </cell>
        </row>
        <row r="761">
          <cell r="D761">
            <v>104108</v>
          </cell>
          <cell r="E761" t="str">
            <v>Bank of India- BG</v>
          </cell>
          <cell r="F761">
            <v>3482000</v>
          </cell>
          <cell r="G761">
            <v>0</v>
          </cell>
          <cell r="H761">
            <v>0</v>
          </cell>
          <cell r="I761">
            <v>3482000</v>
          </cell>
        </row>
        <row r="762">
          <cell r="D762">
            <v>104109</v>
          </cell>
          <cell r="E762" t="str">
            <v>Bank of India 801545110000203 - 8 Lacs</v>
          </cell>
          <cell r="F762">
            <v>800000</v>
          </cell>
          <cell r="G762">
            <v>225414</v>
          </cell>
          <cell r="H762">
            <v>1025414</v>
          </cell>
          <cell r="I762">
            <v>0</v>
          </cell>
        </row>
        <row r="763">
          <cell r="D763">
            <v>104110</v>
          </cell>
          <cell r="E763" t="str">
            <v>Bank of India-BG</v>
          </cell>
          <cell r="F763">
            <v>290000</v>
          </cell>
          <cell r="G763">
            <v>93552</v>
          </cell>
          <cell r="H763">
            <v>383552</v>
          </cell>
          <cell r="I763">
            <v>0</v>
          </cell>
        </row>
        <row r="764">
          <cell r="D764">
            <v>103987</v>
          </cell>
          <cell r="E764" t="str">
            <v>Bank of India (Payment) 865120110000009</v>
          </cell>
          <cell r="F764">
            <v>0</v>
          </cell>
          <cell r="G764">
            <v>2070826606</v>
          </cell>
          <cell r="H764">
            <v>2069900906</v>
          </cell>
          <cell r="I764">
            <v>925701</v>
          </cell>
        </row>
        <row r="765">
          <cell r="D765">
            <v>103989</v>
          </cell>
          <cell r="E765" t="str">
            <v>Indian Bank (Kspl-'ees Group Gratuity Fund)</v>
          </cell>
          <cell r="F765">
            <v>8970</v>
          </cell>
          <cell r="G765">
            <v>0</v>
          </cell>
          <cell r="H765">
            <v>0</v>
          </cell>
          <cell r="I765">
            <v>8970</v>
          </cell>
        </row>
        <row r="766">
          <cell r="D766">
            <v>103990</v>
          </cell>
          <cell r="E766" t="str">
            <v>Cheque Clearing account</v>
          </cell>
          <cell r="F766">
            <v>0</v>
          </cell>
          <cell r="G766">
            <v>1214867589</v>
          </cell>
          <cell r="H766">
            <v>1209682889</v>
          </cell>
          <cell r="I766">
            <v>5184700</v>
          </cell>
        </row>
        <row r="767">
          <cell r="D767">
            <v>103991</v>
          </cell>
          <cell r="E767" t="str">
            <v>Cash on Hand  - Hyderabad</v>
          </cell>
          <cell r="F767">
            <v>0</v>
          </cell>
          <cell r="G767">
            <v>966352</v>
          </cell>
          <cell r="H767">
            <v>966352</v>
          </cell>
          <cell r="I767">
            <v>0</v>
          </cell>
        </row>
        <row r="768">
          <cell r="D768">
            <v>103994</v>
          </cell>
          <cell r="E768" t="str">
            <v>State Bank of Patiala  - 65084660738</v>
          </cell>
          <cell r="F768">
            <v>0</v>
          </cell>
          <cell r="G768">
            <v>56190000</v>
          </cell>
          <cell r="H768">
            <v>56180206</v>
          </cell>
          <cell r="I768">
            <v>9794</v>
          </cell>
        </row>
        <row r="769">
          <cell r="D769">
            <v>104009</v>
          </cell>
          <cell r="E769" t="str">
            <v>Bank of India Fd( @ 8.75%)- Bg - 25th Sep 2012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</row>
        <row r="770">
          <cell r="D770">
            <v>104017</v>
          </cell>
          <cell r="E770" t="str">
            <v>Ing Vysya Fd Rs 11 Crs @ 11.5 % - 22nd Feb 2009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</row>
        <row r="771">
          <cell r="D771">
            <v>104018</v>
          </cell>
          <cell r="E771" t="str">
            <v>Ing Vysya Fd Rs 2.03 Cr (11.50%) 16th Feb 09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</row>
        <row r="772">
          <cell r="D772">
            <v>104023</v>
          </cell>
          <cell r="E772" t="str">
            <v>Sbi Fd Rs 2 Crores (@ 10.00%) - 30th Jan 09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</row>
        <row r="773">
          <cell r="D773">
            <v>104026</v>
          </cell>
          <cell r="E773" t="str">
            <v>Uco bank FD Rs.90.12 Lacs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</row>
        <row r="774">
          <cell r="D774">
            <v>104030</v>
          </cell>
          <cell r="E774" t="str">
            <v>Ing Vysya FD 5crs (5.15%)12th Apr,10</v>
          </cell>
          <cell r="F774">
            <v>50000000</v>
          </cell>
          <cell r="G774">
            <v>366144</v>
          </cell>
          <cell r="H774">
            <v>50366144</v>
          </cell>
          <cell r="I774">
            <v>0</v>
          </cell>
        </row>
        <row r="775">
          <cell r="D775">
            <v>104037</v>
          </cell>
          <cell r="E775" t="str">
            <v>SB of Patiala FD Rs.50 Lakh 7.5% -8th Oct,12 (DSRA)</v>
          </cell>
          <cell r="F775">
            <v>0</v>
          </cell>
          <cell r="G775">
            <v>5000000</v>
          </cell>
          <cell r="H775">
            <v>0</v>
          </cell>
          <cell r="I775">
            <v>5000000</v>
          </cell>
        </row>
        <row r="776">
          <cell r="D776">
            <v>104038</v>
          </cell>
          <cell r="E776" t="str">
            <v>SB of Patiala FD Rs.90 Lakh 7.5% -13th Oct,12 (DSRA)</v>
          </cell>
          <cell r="F776">
            <v>0</v>
          </cell>
          <cell r="G776">
            <v>9000000</v>
          </cell>
          <cell r="H776">
            <v>0</v>
          </cell>
          <cell r="I776">
            <v>9000000</v>
          </cell>
        </row>
        <row r="777">
          <cell r="D777">
            <v>104115</v>
          </cell>
          <cell r="E777" t="str">
            <v>State Bank of India Fd 2Crores(6%)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</row>
        <row r="778">
          <cell r="D778">
            <v>104116</v>
          </cell>
          <cell r="E778" t="str">
            <v>State Bank of India Rs.7.57Crores (5.25%)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</row>
        <row r="779">
          <cell r="D779">
            <v>103988</v>
          </cell>
          <cell r="E779" t="str">
            <v>Bank of India Trust &amp; Retention - 865120110000010</v>
          </cell>
          <cell r="F779">
            <v>25829634</v>
          </cell>
          <cell r="G779">
            <v>3858112822</v>
          </cell>
          <cell r="H779">
            <v>3742119500</v>
          </cell>
          <cell r="I779">
            <v>141822957</v>
          </cell>
        </row>
        <row r="780">
          <cell r="D780">
            <v>103992</v>
          </cell>
          <cell r="E780" t="str">
            <v>Union Bank of India A/c 530701010000166</v>
          </cell>
          <cell r="F780">
            <v>0</v>
          </cell>
          <cell r="G780">
            <v>27346769</v>
          </cell>
          <cell r="H780">
            <v>26618012</v>
          </cell>
          <cell r="I780">
            <v>728757</v>
          </cell>
        </row>
        <row r="781">
          <cell r="D781">
            <v>103993</v>
          </cell>
          <cell r="E781" t="str">
            <v>Bank of India (HO) A/c 863920110000399</v>
          </cell>
          <cell r="F781">
            <v>0</v>
          </cell>
          <cell r="G781">
            <v>2998884587</v>
          </cell>
          <cell r="H781">
            <v>2967575187</v>
          </cell>
          <cell r="I781">
            <v>31309400</v>
          </cell>
        </row>
        <row r="782">
          <cell r="D782">
            <v>104015</v>
          </cell>
          <cell r="E782" t="str">
            <v>Hdfc Fd Rs.31.13 Lacs (10.50% Pa) 12th Feb 09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</row>
        <row r="783">
          <cell r="D783">
            <v>104016</v>
          </cell>
          <cell r="E783" t="str">
            <v>Hdfc Fd Rs 5.12cr(10.50% Pa) 9th Feb 09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</row>
        <row r="784">
          <cell r="D784">
            <v>104020</v>
          </cell>
          <cell r="E784" t="str">
            <v>Ing Vysya Fd Rs 4.08 Crs @ 10.4 % - 25th Feb 2009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</row>
        <row r="785">
          <cell r="D785">
            <v>104021</v>
          </cell>
          <cell r="E785" t="str">
            <v>Ing Vysya Fd Rs 5.04 Crs @ 10.4 % - 23rd Feb 2009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</row>
        <row r="786">
          <cell r="D786">
            <v>104024</v>
          </cell>
          <cell r="E786" t="str">
            <v>Sbi Fd Rs 5 Crores ( @ 10.00%)  - 30th Jan 09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</row>
        <row r="787">
          <cell r="D787">
            <v>104027</v>
          </cell>
          <cell r="E787" t="str">
            <v>Bank of India FD RS 6 Crores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</row>
        <row r="788">
          <cell r="D788">
            <v>104028</v>
          </cell>
          <cell r="E788" t="str">
            <v>Union Bank of India Fd's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</row>
        <row r="789">
          <cell r="D789">
            <v>104035</v>
          </cell>
          <cell r="E789" t="str">
            <v>Bank of India FD's (DSRA)</v>
          </cell>
          <cell r="F789">
            <v>0</v>
          </cell>
          <cell r="G789">
            <v>38000000</v>
          </cell>
          <cell r="H789">
            <v>0</v>
          </cell>
          <cell r="I789">
            <v>38000000</v>
          </cell>
        </row>
        <row r="790">
          <cell r="D790">
            <v>104036</v>
          </cell>
          <cell r="E790" t="str">
            <v>SB of Patiala FD Rs.90 Lakh 7.5% -7th Oct,12 (DSRA)</v>
          </cell>
          <cell r="F790">
            <v>0</v>
          </cell>
          <cell r="G790">
            <v>9000000</v>
          </cell>
          <cell r="H790">
            <v>0</v>
          </cell>
          <cell r="I790">
            <v>9000000</v>
          </cell>
        </row>
        <row r="791">
          <cell r="D791">
            <v>104047</v>
          </cell>
          <cell r="E791" t="str">
            <v>Interest Accrued on Deposits Portdues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</row>
        <row r="792">
          <cell r="D792">
            <v>104089</v>
          </cell>
          <cell r="E792" t="str">
            <v>UBI FD's 1.49Crs 14th Apr, 10 4.25%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</row>
        <row r="793">
          <cell r="D793">
            <v>104095</v>
          </cell>
          <cell r="E793" t="str">
            <v>Ing Vysya FD Rs 2.5Crores 5.6% -25th July,10</v>
          </cell>
          <cell r="F793">
            <v>0</v>
          </cell>
          <cell r="G793">
            <v>25063800</v>
          </cell>
          <cell r="H793">
            <v>25063800</v>
          </cell>
          <cell r="I793">
            <v>0</v>
          </cell>
        </row>
        <row r="794">
          <cell r="D794">
            <v>104096</v>
          </cell>
          <cell r="E794" t="str">
            <v>UBI Fd Rs. 1.26 Crore (DSRA)</v>
          </cell>
          <cell r="F794">
            <v>0</v>
          </cell>
          <cell r="G794">
            <v>12600000</v>
          </cell>
          <cell r="H794">
            <v>0</v>
          </cell>
          <cell r="I794">
            <v>12600000</v>
          </cell>
        </row>
        <row r="795">
          <cell r="D795">
            <v>104107</v>
          </cell>
          <cell r="E795" t="str">
            <v>Bank of India 801545110000264 - 83 lacs</v>
          </cell>
          <cell r="F795">
            <v>8300000</v>
          </cell>
          <cell r="G795">
            <v>2003923</v>
          </cell>
          <cell r="H795">
            <v>10303923</v>
          </cell>
          <cell r="I795">
            <v>0</v>
          </cell>
        </row>
        <row r="796">
          <cell r="D796">
            <v>104111</v>
          </cell>
          <cell r="E796" t="str">
            <v>Ing Vysya Opening Balance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</row>
        <row r="797">
          <cell r="D797">
            <v>104113</v>
          </cell>
          <cell r="E797" t="str">
            <v>State Bank of India Fd 5Crores (6%)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</row>
        <row r="798">
          <cell r="D798">
            <v>104128</v>
          </cell>
          <cell r="E798" t="str">
            <v>Interest Accrued on Deposits- OB</v>
          </cell>
          <cell r="F798">
            <v>2972003</v>
          </cell>
          <cell r="G798">
            <v>3748616</v>
          </cell>
          <cell r="H798">
            <v>2627412</v>
          </cell>
          <cell r="I798">
            <v>4093207</v>
          </cell>
        </row>
        <row r="799">
          <cell r="D799">
            <v>103986</v>
          </cell>
          <cell r="E799" t="str">
            <v>Cash on Hand -Kakinada</v>
          </cell>
          <cell r="F799">
            <v>0</v>
          </cell>
          <cell r="G799">
            <v>14810460</v>
          </cell>
          <cell r="H799">
            <v>14810460</v>
          </cell>
          <cell r="I799">
            <v>0</v>
          </cell>
        </row>
        <row r="800">
          <cell r="D800">
            <v>104010</v>
          </cell>
          <cell r="E800" t="str">
            <v>Bank of India Fd(@ 9.00% )  - Bg 21st Jan 2013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</row>
        <row r="801">
          <cell r="D801">
            <v>104011</v>
          </cell>
          <cell r="E801" t="str">
            <v>Bank of India Fd for Bg Rs 8 Lacs( 8.25%)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</row>
        <row r="802">
          <cell r="D802">
            <v>104012</v>
          </cell>
          <cell r="E802" t="str">
            <v>Bank of India Fixed Depost( @ 8.25%)   - Bg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</row>
        <row r="803">
          <cell r="D803">
            <v>104014</v>
          </cell>
          <cell r="E803" t="str">
            <v>Hdfc Fd Rs 2.5 Cr(10.50% Pa) 10th Feb 09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</row>
        <row r="804">
          <cell r="D804">
            <v>104019</v>
          </cell>
          <cell r="E804" t="str">
            <v>Ing Vysya Fd Rs 2 Crs @ 11.5 % - 22nd Feb 2009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</row>
        <row r="805">
          <cell r="D805">
            <v>104031</v>
          </cell>
          <cell r="E805" t="str">
            <v>Bank of India FD 1.26Crs (LC Purpose)</v>
          </cell>
          <cell r="F805">
            <v>12600000</v>
          </cell>
          <cell r="G805">
            <v>66282</v>
          </cell>
          <cell r="H805">
            <v>12666282</v>
          </cell>
          <cell r="I805">
            <v>0</v>
          </cell>
        </row>
        <row r="806">
          <cell r="D806">
            <v>104032</v>
          </cell>
          <cell r="E806" t="str">
            <v>BOI FD at Banjara Hills (Band Drains) -BG</v>
          </cell>
          <cell r="F806">
            <v>0</v>
          </cell>
          <cell r="G806">
            <v>760000</v>
          </cell>
          <cell r="H806">
            <v>0</v>
          </cell>
          <cell r="I806">
            <v>760000</v>
          </cell>
        </row>
        <row r="807">
          <cell r="D807">
            <v>104034</v>
          </cell>
          <cell r="E807" t="str">
            <v>SB of Patiala FD Rs. 8.5 Lacs 7.25% 17th June,15 (DSRA)</v>
          </cell>
          <cell r="F807">
            <v>0</v>
          </cell>
          <cell r="G807">
            <v>850000</v>
          </cell>
          <cell r="H807">
            <v>0</v>
          </cell>
          <cell r="I807">
            <v>850000</v>
          </cell>
        </row>
        <row r="808">
          <cell r="D808">
            <v>104039</v>
          </cell>
          <cell r="E808" t="str">
            <v>Bank of India - Fd 60 Days for LC</v>
          </cell>
          <cell r="F808">
            <v>0</v>
          </cell>
          <cell r="G808">
            <v>55900000</v>
          </cell>
          <cell r="H808">
            <v>55900000</v>
          </cell>
          <cell r="I808">
            <v>0</v>
          </cell>
        </row>
        <row r="809">
          <cell r="D809">
            <v>104067</v>
          </cell>
          <cell r="E809" t="str">
            <v>ON FIXED DEPOSITS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</row>
        <row r="810">
          <cell r="D810">
            <v>104087</v>
          </cell>
          <cell r="E810" t="str">
            <v>UBI FD's 1.95Crs 3rd Dec to 3rd Mar,10 (4.25%)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</row>
        <row r="811">
          <cell r="D811">
            <v>104088</v>
          </cell>
          <cell r="E811" t="str">
            <v>UBI FD's 89.70Lakh 21st Dec to 22nd Mar,10 (4.25%)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</row>
        <row r="812">
          <cell r="D812">
            <v>104090</v>
          </cell>
          <cell r="E812" t="str">
            <v>UBI FD's 1.20Crs 10th May,10  4.25%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</row>
        <row r="813">
          <cell r="D813">
            <v>104091</v>
          </cell>
          <cell r="E813" t="str">
            <v>UBI FD's 5.88Crs 18th May,10  4.25%</v>
          </cell>
          <cell r="F813">
            <v>58800000</v>
          </cell>
          <cell r="G813">
            <v>510754</v>
          </cell>
          <cell r="H813">
            <v>59310754</v>
          </cell>
          <cell r="I813">
            <v>0</v>
          </cell>
        </row>
        <row r="814">
          <cell r="D814">
            <v>104092</v>
          </cell>
          <cell r="E814" t="str">
            <v>Ing Vysya 1Crore 3rd June-10 (5.65%)</v>
          </cell>
          <cell r="F814">
            <v>10000000</v>
          </cell>
          <cell r="G814">
            <v>131111</v>
          </cell>
          <cell r="H814">
            <v>10131111</v>
          </cell>
          <cell r="I814">
            <v>0</v>
          </cell>
        </row>
        <row r="815">
          <cell r="D815">
            <v>104094</v>
          </cell>
          <cell r="E815" t="str">
            <v>Ing Vysya 1Crore 5.75%-2nd Sep 10</v>
          </cell>
          <cell r="F815">
            <v>0</v>
          </cell>
          <cell r="G815">
            <v>10051452</v>
          </cell>
          <cell r="H815">
            <v>10051452</v>
          </cell>
          <cell r="I815">
            <v>0</v>
          </cell>
        </row>
        <row r="816">
          <cell r="D816">
            <v>104112</v>
          </cell>
          <cell r="E816" t="str">
            <v>State Bank of India Opening Balance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</row>
        <row r="817">
          <cell r="D817">
            <v>104114</v>
          </cell>
          <cell r="E817" t="str">
            <v>State Bank of India Fd 5Crores (5.25%)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</row>
        <row r="818">
          <cell r="D818">
            <v>201600</v>
          </cell>
          <cell r="E818" t="str">
            <v>UNION BANK OF INDIA LOAN - 530706390000208</v>
          </cell>
          <cell r="F818">
            <v>-184805935</v>
          </cell>
          <cell r="G818">
            <v>34426814</v>
          </cell>
          <cell r="H818">
            <v>20529161</v>
          </cell>
          <cell r="I818">
            <v>-170908282</v>
          </cell>
        </row>
        <row r="819">
          <cell r="D819">
            <v>201605</v>
          </cell>
          <cell r="E819" t="str">
            <v>UNION BANK OF INDIA LOAN - 530706390000215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</row>
        <row r="820">
          <cell r="D820">
            <v>201610</v>
          </cell>
          <cell r="E820" t="str">
            <v>UNION BANK OF INDIA LOAN - 530706390000245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</row>
        <row r="821">
          <cell r="D821">
            <v>201615</v>
          </cell>
          <cell r="E821" t="str">
            <v>BANK OF INDIA LOAN - 801565410000012</v>
          </cell>
          <cell r="F821">
            <v>-866257497</v>
          </cell>
          <cell r="G821">
            <v>137738272</v>
          </cell>
          <cell r="H821">
            <v>96453211</v>
          </cell>
          <cell r="I821">
            <v>-824972436</v>
          </cell>
        </row>
        <row r="822">
          <cell r="D822">
            <v>201616</v>
          </cell>
          <cell r="E822" t="str">
            <v>STATE BANK OF PATIALA LOAN - 65009354888</v>
          </cell>
          <cell r="F822">
            <v>-662316287</v>
          </cell>
          <cell r="G822">
            <v>113450252</v>
          </cell>
          <cell r="H822">
            <v>79182759</v>
          </cell>
          <cell r="I822">
            <v>-628048794</v>
          </cell>
        </row>
        <row r="823">
          <cell r="D823">
            <v>201632</v>
          </cell>
          <cell r="E823" t="str">
            <v>Union Bank of India Loan - 530706390000298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</row>
        <row r="824">
          <cell r="D824">
            <v>201617</v>
          </cell>
          <cell r="E824" t="str">
            <v>Bank Of India Loan  801565410000084</v>
          </cell>
          <cell r="F824">
            <v>0</v>
          </cell>
          <cell r="G824">
            <v>70929112</v>
          </cell>
          <cell r="H824">
            <v>1020715025</v>
          </cell>
          <cell r="I824">
            <v>-949785913</v>
          </cell>
        </row>
        <row r="825">
          <cell r="D825">
            <v>201618</v>
          </cell>
          <cell r="E825" t="str">
            <v>State Bank of Patiala Loan 65089257213</v>
          </cell>
          <cell r="F825">
            <v>0</v>
          </cell>
          <cell r="G825">
            <v>28837003</v>
          </cell>
          <cell r="H825">
            <v>666398918</v>
          </cell>
          <cell r="I825">
            <v>-637561915</v>
          </cell>
        </row>
        <row r="826">
          <cell r="D826">
            <v>201627</v>
          </cell>
          <cell r="E826" t="str">
            <v>Euro Loan</v>
          </cell>
          <cell r="F826">
            <v>0</v>
          </cell>
          <cell r="G826">
            <v>59803</v>
          </cell>
          <cell r="H826">
            <v>1187528431</v>
          </cell>
          <cell r="I826">
            <v>-1187468628</v>
          </cell>
        </row>
        <row r="827">
          <cell r="D827">
            <v>201630</v>
          </cell>
          <cell r="E827" t="str">
            <v>Deferred Tax Liabilities</v>
          </cell>
          <cell r="F827">
            <v>-93319869</v>
          </cell>
          <cell r="G827">
            <v>27276</v>
          </cell>
          <cell r="H827">
            <v>44819435</v>
          </cell>
          <cell r="I827">
            <v>-138112028</v>
          </cell>
        </row>
        <row r="828">
          <cell r="D828">
            <v>201631</v>
          </cell>
          <cell r="E828" t="str">
            <v>Deffered Interest on BMW India Financial Services Pvt Ltd</v>
          </cell>
          <cell r="F828">
            <v>0</v>
          </cell>
          <cell r="G828">
            <v>1002316</v>
          </cell>
          <cell r="H828">
            <v>157119</v>
          </cell>
          <cell r="I828">
            <v>845197</v>
          </cell>
        </row>
        <row r="829">
          <cell r="D829">
            <v>201639</v>
          </cell>
          <cell r="E829" t="str">
            <v>BMW India Financial Services Pvt. Ltd</v>
          </cell>
          <cell r="F829">
            <v>0</v>
          </cell>
          <cell r="G829">
            <v>800193</v>
          </cell>
          <cell r="H829">
            <v>9335585</v>
          </cell>
          <cell r="I829">
            <v>-8535392</v>
          </cell>
        </row>
        <row r="830">
          <cell r="D830">
            <v>201637</v>
          </cell>
          <cell r="E830" t="str">
            <v>Opening Balance Control account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</row>
        <row r="831">
          <cell r="D831">
            <v>201636</v>
          </cell>
          <cell r="E831" t="str">
            <v>Unsecured Loans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</row>
        <row r="832">
          <cell r="D832">
            <v>201638</v>
          </cell>
          <cell r="E832" t="str">
            <v>Book Overdraft</v>
          </cell>
          <cell r="F832">
            <v>-75921387</v>
          </cell>
          <cell r="G832">
            <v>0</v>
          </cell>
          <cell r="H832">
            <v>-75921387</v>
          </cell>
          <cell r="I832">
            <v>0</v>
          </cell>
        </row>
        <row r="833">
          <cell r="D833">
            <v>502157</v>
          </cell>
          <cell r="E833" t="str">
            <v>Depreciation - Land</v>
          </cell>
          <cell r="F833">
            <v>0</v>
          </cell>
          <cell r="G833">
            <v>43034104</v>
          </cell>
          <cell r="H833">
            <v>43034104</v>
          </cell>
          <cell r="I833">
            <v>43034104</v>
          </cell>
        </row>
        <row r="834">
          <cell r="D834">
            <v>502159</v>
          </cell>
          <cell r="E834" t="str">
            <v>Depreciation - ERP Software</v>
          </cell>
          <cell r="F834">
            <v>0</v>
          </cell>
          <cell r="G834">
            <v>933938</v>
          </cell>
          <cell r="H834">
            <v>933938</v>
          </cell>
          <cell r="I834">
            <v>933938</v>
          </cell>
        </row>
        <row r="835">
          <cell r="D835">
            <v>502153</v>
          </cell>
          <cell r="E835" t="str">
            <v>Depreciation - Office Equipment</v>
          </cell>
          <cell r="F835">
            <v>0</v>
          </cell>
          <cell r="G835">
            <v>1430922</v>
          </cell>
          <cell r="H835">
            <v>1430922</v>
          </cell>
          <cell r="I835">
            <v>1430922</v>
          </cell>
        </row>
        <row r="836">
          <cell r="D836">
            <v>502154</v>
          </cell>
          <cell r="E836" t="str">
            <v>Depreciation Tugs &amp; Pilot Launch</v>
          </cell>
          <cell r="F836">
            <v>0</v>
          </cell>
          <cell r="G836">
            <v>17516859</v>
          </cell>
          <cell r="H836">
            <v>17516859</v>
          </cell>
          <cell r="I836">
            <v>17516859</v>
          </cell>
        </row>
        <row r="837">
          <cell r="D837">
            <v>502155</v>
          </cell>
          <cell r="E837" t="str">
            <v>Depreciation - Vehicles</v>
          </cell>
          <cell r="F837">
            <v>0</v>
          </cell>
          <cell r="G837">
            <v>1003811</v>
          </cell>
          <cell r="H837">
            <v>1003811</v>
          </cell>
          <cell r="I837">
            <v>1003811</v>
          </cell>
        </row>
        <row r="838">
          <cell r="D838">
            <v>502156</v>
          </cell>
          <cell r="E838" t="str">
            <v>Capital Dredging - Amortisaion</v>
          </cell>
          <cell r="F838">
            <v>0</v>
          </cell>
          <cell r="G838">
            <v>30403833</v>
          </cell>
          <cell r="H838">
            <v>30403833</v>
          </cell>
          <cell r="I838">
            <v>30403833</v>
          </cell>
        </row>
        <row r="839">
          <cell r="D839">
            <v>502150</v>
          </cell>
          <cell r="E839" t="str">
            <v>Depreciation-plant and machinery</v>
          </cell>
          <cell r="F839">
            <v>0</v>
          </cell>
          <cell r="G839">
            <v>14873296</v>
          </cell>
          <cell r="H839">
            <v>14873296</v>
          </cell>
          <cell r="I839">
            <v>14873296</v>
          </cell>
        </row>
        <row r="840">
          <cell r="D840">
            <v>502151</v>
          </cell>
          <cell r="E840" t="str">
            <v>Depreciation Building</v>
          </cell>
          <cell r="F840">
            <v>0</v>
          </cell>
          <cell r="G840">
            <v>47694816</v>
          </cell>
          <cell r="H840">
            <v>47694816</v>
          </cell>
          <cell r="I840">
            <v>47694816</v>
          </cell>
        </row>
        <row r="841">
          <cell r="D841">
            <v>502152</v>
          </cell>
          <cell r="E841" t="str">
            <v>Depreciation - Futniture &amp; Fixtures</v>
          </cell>
          <cell r="F841">
            <v>0</v>
          </cell>
          <cell r="G841">
            <v>241938</v>
          </cell>
          <cell r="H841">
            <v>241938</v>
          </cell>
          <cell r="I841">
            <v>241938</v>
          </cell>
        </row>
        <row r="842">
          <cell r="D842">
            <v>502158</v>
          </cell>
          <cell r="E842" t="str">
            <v>Depreciation - Railway Siding</v>
          </cell>
          <cell r="F842">
            <v>0</v>
          </cell>
          <cell r="G842">
            <v>8019383</v>
          </cell>
          <cell r="H842">
            <v>8019383</v>
          </cell>
          <cell r="I842">
            <v>8019383</v>
          </cell>
        </row>
        <row r="843">
          <cell r="D843">
            <v>201657</v>
          </cell>
          <cell r="E843" t="str">
            <v>Ncs Storage - Land Lease Deposit</v>
          </cell>
          <cell r="F843">
            <v>-405000</v>
          </cell>
          <cell r="G843">
            <v>0</v>
          </cell>
          <cell r="H843">
            <v>0</v>
          </cell>
          <cell r="I843">
            <v>-405000</v>
          </cell>
        </row>
        <row r="844">
          <cell r="D844">
            <v>201659</v>
          </cell>
          <cell r="E844" t="str">
            <v>Arani Agro Oil Industries - Deposit</v>
          </cell>
          <cell r="F844">
            <v>-404640</v>
          </cell>
          <cell r="G844">
            <v>0</v>
          </cell>
          <cell r="H844">
            <v>0</v>
          </cell>
          <cell r="I844">
            <v>-404640</v>
          </cell>
        </row>
        <row r="845">
          <cell r="D845">
            <v>201664</v>
          </cell>
          <cell r="E845" t="str">
            <v>IMC (DEPOSIT)</v>
          </cell>
          <cell r="F845">
            <v>-1000000</v>
          </cell>
          <cell r="G845">
            <v>0</v>
          </cell>
          <cell r="H845">
            <v>0</v>
          </cell>
          <cell r="I845">
            <v>-1000000</v>
          </cell>
        </row>
        <row r="846">
          <cell r="D846">
            <v>201667</v>
          </cell>
          <cell r="E846" t="str">
            <v>Sravan Shipping Services - Other Deposit</v>
          </cell>
          <cell r="F846">
            <v>-500000</v>
          </cell>
          <cell r="G846">
            <v>0</v>
          </cell>
          <cell r="H846">
            <v>0</v>
          </cell>
          <cell r="I846">
            <v>-500000</v>
          </cell>
        </row>
        <row r="847">
          <cell r="D847">
            <v>201669</v>
          </cell>
          <cell r="E847" t="str">
            <v>United Portservices - Deposit</v>
          </cell>
          <cell r="F847">
            <v>-950000</v>
          </cell>
          <cell r="G847">
            <v>0</v>
          </cell>
          <cell r="H847">
            <v>0</v>
          </cell>
          <cell r="I847">
            <v>-950000</v>
          </cell>
        </row>
        <row r="848">
          <cell r="D848">
            <v>201670</v>
          </cell>
          <cell r="E848" t="str">
            <v>Kakinada Supply Base Ltd - Deposit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</row>
        <row r="849">
          <cell r="D849">
            <v>201671</v>
          </cell>
          <cell r="E849" t="str">
            <v>Sri Padmavathi Catering Services(Deposit)</v>
          </cell>
          <cell r="F849">
            <v>-26890</v>
          </cell>
          <cell r="G849">
            <v>8273</v>
          </cell>
          <cell r="H849">
            <v>0</v>
          </cell>
          <cell r="I849">
            <v>-18617</v>
          </cell>
        </row>
        <row r="850">
          <cell r="D850">
            <v>201673</v>
          </cell>
          <cell r="E850" t="str">
            <v>United Port Services Pvt Ltd Ware house deposit</v>
          </cell>
          <cell r="F850">
            <v>-58000000</v>
          </cell>
          <cell r="G850">
            <v>0</v>
          </cell>
          <cell r="H850">
            <v>0</v>
          </cell>
          <cell r="I850">
            <v>-58000000</v>
          </cell>
        </row>
        <row r="851">
          <cell r="D851">
            <v>201682</v>
          </cell>
          <cell r="E851" t="str">
            <v>Md Saiqul Rahman ( Deposit)</v>
          </cell>
          <cell r="F851">
            <v>0</v>
          </cell>
          <cell r="G851">
            <v>0</v>
          </cell>
          <cell r="H851">
            <v>6000</v>
          </cell>
          <cell r="I851">
            <v>-6000</v>
          </cell>
        </row>
        <row r="852">
          <cell r="D852">
            <v>201684</v>
          </cell>
          <cell r="E852" t="str">
            <v>Sri Prasunamba Logistics Pvt Ltd.,(Deposit)</v>
          </cell>
          <cell r="F852">
            <v>0</v>
          </cell>
          <cell r="G852">
            <v>0</v>
          </cell>
          <cell r="H852">
            <v>15000</v>
          </cell>
          <cell r="I852">
            <v>-15000</v>
          </cell>
        </row>
        <row r="853">
          <cell r="D853">
            <v>201687</v>
          </cell>
          <cell r="E853" t="str">
            <v>Elite Shipping Agencies Pvt Ltd.,(Deposit)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</row>
        <row r="854">
          <cell r="D854">
            <v>202672</v>
          </cell>
          <cell r="E854" t="str">
            <v>A.Kasiviswanadham(Deposit)</v>
          </cell>
          <cell r="F854">
            <v>-35000</v>
          </cell>
          <cell r="G854">
            <v>0</v>
          </cell>
          <cell r="H854">
            <v>0</v>
          </cell>
          <cell r="I854">
            <v>-35000</v>
          </cell>
        </row>
        <row r="855">
          <cell r="D855">
            <v>202674</v>
          </cell>
          <cell r="E855" t="str">
            <v>Arya Offshore Services Pvt Ltd.,(Deposit)</v>
          </cell>
          <cell r="F855">
            <v>-30000</v>
          </cell>
          <cell r="G855">
            <v>0</v>
          </cell>
          <cell r="H855">
            <v>0</v>
          </cell>
          <cell r="I855">
            <v>-30000</v>
          </cell>
        </row>
        <row r="856">
          <cell r="D856">
            <v>202680</v>
          </cell>
          <cell r="E856" t="str">
            <v>Balaji Enterprises (Deposit)</v>
          </cell>
          <cell r="F856">
            <v>-45000</v>
          </cell>
          <cell r="G856">
            <v>0</v>
          </cell>
          <cell r="H856">
            <v>0</v>
          </cell>
          <cell r="I856">
            <v>-45000</v>
          </cell>
        </row>
        <row r="857">
          <cell r="D857">
            <v>202681</v>
          </cell>
          <cell r="E857" t="str">
            <v>Bothra Shipping Services (Deposit)</v>
          </cell>
          <cell r="F857">
            <v>-45000</v>
          </cell>
          <cell r="G857">
            <v>0</v>
          </cell>
          <cell r="H857">
            <v>0</v>
          </cell>
          <cell r="I857">
            <v>-45000</v>
          </cell>
        </row>
        <row r="858">
          <cell r="D858">
            <v>202683</v>
          </cell>
          <cell r="E858" t="str">
            <v>Chandra Maritime ( Deposit)</v>
          </cell>
          <cell r="F858">
            <v>-15000</v>
          </cell>
          <cell r="G858">
            <v>0</v>
          </cell>
          <cell r="H858">
            <v>0</v>
          </cell>
          <cell r="I858">
            <v>-15000</v>
          </cell>
        </row>
        <row r="859">
          <cell r="D859">
            <v>202689</v>
          </cell>
          <cell r="E859" t="str">
            <v>Coromandel Shipping Agencies P Ltd., (Deposit)</v>
          </cell>
          <cell r="F859">
            <v>-45000</v>
          </cell>
          <cell r="G859">
            <v>0</v>
          </cell>
          <cell r="H859">
            <v>0</v>
          </cell>
          <cell r="I859">
            <v>-45000</v>
          </cell>
        </row>
        <row r="860">
          <cell r="D860">
            <v>202696</v>
          </cell>
          <cell r="E860" t="str">
            <v>Ganesh Shipping Agency (Deposit)</v>
          </cell>
          <cell r="F860">
            <v>-15000</v>
          </cell>
          <cell r="G860">
            <v>0</v>
          </cell>
          <cell r="H860">
            <v>0</v>
          </cell>
          <cell r="I860">
            <v>-15000</v>
          </cell>
        </row>
        <row r="861">
          <cell r="D861">
            <v>202702</v>
          </cell>
          <cell r="E861" t="str">
            <v>Impetus Mark Trade India Pvt Ltd.,(Deposit)</v>
          </cell>
          <cell r="F861">
            <v>-15000</v>
          </cell>
          <cell r="G861">
            <v>0</v>
          </cell>
          <cell r="H861">
            <v>0</v>
          </cell>
          <cell r="I861">
            <v>-15000</v>
          </cell>
        </row>
        <row r="862">
          <cell r="D862">
            <v>202704</v>
          </cell>
          <cell r="E862" t="str">
            <v>Infinite Shipping &amp; Logistics Pvt. Ltd.,(Deposit)</v>
          </cell>
          <cell r="F862">
            <v>-15000</v>
          </cell>
          <cell r="G862">
            <v>0</v>
          </cell>
          <cell r="H862">
            <v>0</v>
          </cell>
          <cell r="I862">
            <v>-15000</v>
          </cell>
        </row>
        <row r="863">
          <cell r="D863">
            <v>202705</v>
          </cell>
          <cell r="E863" t="str">
            <v>International Clearing &amp;  Shipping Agen(Dep)</v>
          </cell>
          <cell r="F863">
            <v>-15000</v>
          </cell>
          <cell r="G863">
            <v>0</v>
          </cell>
          <cell r="H863">
            <v>0</v>
          </cell>
          <cell r="I863">
            <v>-15000</v>
          </cell>
        </row>
        <row r="864">
          <cell r="D864">
            <v>202707</v>
          </cell>
          <cell r="E864" t="str">
            <v>Interocean Shipping (I) Pvt Ltd., (Deposit)</v>
          </cell>
          <cell r="F864">
            <v>-15000</v>
          </cell>
          <cell r="G864">
            <v>0</v>
          </cell>
          <cell r="H864">
            <v>0</v>
          </cell>
          <cell r="I864">
            <v>-15000</v>
          </cell>
        </row>
        <row r="865">
          <cell r="D865">
            <v>202710</v>
          </cell>
          <cell r="E865" t="str">
            <v>J M Baxi &amp; Co.,(Deposit)</v>
          </cell>
          <cell r="F865">
            <v>-45000</v>
          </cell>
          <cell r="G865">
            <v>0</v>
          </cell>
          <cell r="H865">
            <v>0</v>
          </cell>
          <cell r="I865">
            <v>-45000</v>
          </cell>
        </row>
        <row r="866">
          <cell r="D866">
            <v>202711</v>
          </cell>
          <cell r="E866" t="str">
            <v>Kaanha Shipping (P) Ltd (Deposit)</v>
          </cell>
          <cell r="F866">
            <v>-15000</v>
          </cell>
          <cell r="G866">
            <v>0</v>
          </cell>
          <cell r="H866">
            <v>0</v>
          </cell>
          <cell r="I866">
            <v>-15000</v>
          </cell>
        </row>
        <row r="867">
          <cell r="D867">
            <v>202713</v>
          </cell>
          <cell r="E867" t="str">
            <v>Kingfisher Agencies Pvt Ltd.,(Deposit)</v>
          </cell>
          <cell r="F867">
            <v>-15000</v>
          </cell>
          <cell r="G867">
            <v>0</v>
          </cell>
          <cell r="H867">
            <v>0</v>
          </cell>
          <cell r="I867">
            <v>-15000</v>
          </cell>
        </row>
        <row r="868">
          <cell r="D868">
            <v>202714</v>
          </cell>
          <cell r="E868" t="str">
            <v>K P V Shaikmohamad Rowther &amp; Co(Deposit)</v>
          </cell>
          <cell r="F868">
            <v>-15000</v>
          </cell>
          <cell r="G868">
            <v>0</v>
          </cell>
          <cell r="H868">
            <v>0</v>
          </cell>
          <cell r="I868">
            <v>-15000</v>
          </cell>
        </row>
        <row r="869">
          <cell r="D869">
            <v>202732</v>
          </cell>
          <cell r="E869" t="str">
            <v>Prudential Shipping Agencies Pvt. Ltd.,(Deposit)</v>
          </cell>
          <cell r="F869">
            <v>-15000</v>
          </cell>
          <cell r="G869">
            <v>0</v>
          </cell>
          <cell r="H869">
            <v>0</v>
          </cell>
          <cell r="I869">
            <v>-15000</v>
          </cell>
        </row>
        <row r="870">
          <cell r="D870">
            <v>202735</v>
          </cell>
          <cell r="E870" t="str">
            <v>Rajive &amp; Co., (Deposit)</v>
          </cell>
          <cell r="F870">
            <v>-15000</v>
          </cell>
          <cell r="G870">
            <v>0</v>
          </cell>
          <cell r="H870">
            <v>0</v>
          </cell>
          <cell r="I870">
            <v>-15000</v>
          </cell>
        </row>
        <row r="871">
          <cell r="D871">
            <v>202737</v>
          </cell>
          <cell r="E871" t="str">
            <v>R.V.K. Freight Forwarders Pvt. Ltd., (Deposits)</v>
          </cell>
          <cell r="F871">
            <v>-15000</v>
          </cell>
          <cell r="G871">
            <v>0</v>
          </cell>
          <cell r="H871">
            <v>0</v>
          </cell>
          <cell r="I871">
            <v>-15000</v>
          </cell>
        </row>
        <row r="872">
          <cell r="D872">
            <v>202746</v>
          </cell>
          <cell r="E872" t="str">
            <v>Seaport Services Pvt Ltd (Deposit)</v>
          </cell>
          <cell r="F872">
            <v>-15000</v>
          </cell>
          <cell r="G872">
            <v>0</v>
          </cell>
          <cell r="H872">
            <v>0</v>
          </cell>
          <cell r="I872">
            <v>-15000</v>
          </cell>
        </row>
        <row r="873">
          <cell r="D873">
            <v>202748</v>
          </cell>
          <cell r="E873" t="str">
            <v>Seatrans Marine Pvt Ltd.,(Deposit)</v>
          </cell>
          <cell r="F873">
            <v>-15000</v>
          </cell>
          <cell r="G873">
            <v>0</v>
          </cell>
          <cell r="H873">
            <v>0</v>
          </cell>
          <cell r="I873">
            <v>-15000</v>
          </cell>
        </row>
        <row r="874">
          <cell r="D874">
            <v>202756</v>
          </cell>
          <cell r="E874" t="str">
            <v>Sravan Shipping Services ( Deposit)</v>
          </cell>
          <cell r="F874">
            <v>-45000</v>
          </cell>
          <cell r="G874">
            <v>0</v>
          </cell>
          <cell r="H874">
            <v>0</v>
          </cell>
          <cell r="I874">
            <v>-45000</v>
          </cell>
        </row>
        <row r="875">
          <cell r="D875">
            <v>202758</v>
          </cell>
          <cell r="E875" t="str">
            <v>Sri Sharmila &amp; Co.,(Deposit)</v>
          </cell>
          <cell r="F875">
            <v>-35000</v>
          </cell>
          <cell r="G875">
            <v>0</v>
          </cell>
          <cell r="H875">
            <v>0</v>
          </cell>
          <cell r="I875">
            <v>-35000</v>
          </cell>
        </row>
        <row r="876">
          <cell r="D876">
            <v>203679</v>
          </cell>
          <cell r="E876" t="str">
            <v>Continental Warehousing Corporation Ltd(Rly Deposit)</v>
          </cell>
          <cell r="F876">
            <v>-500000</v>
          </cell>
          <cell r="G876">
            <v>0</v>
          </cell>
          <cell r="H876">
            <v>0</v>
          </cell>
          <cell r="I876">
            <v>-500000</v>
          </cell>
        </row>
        <row r="877">
          <cell r="D877">
            <v>203680</v>
          </cell>
          <cell r="E877" t="str">
            <v>Aspinwall &amp; Co. Ltd.,(Rly Deposit)</v>
          </cell>
          <cell r="F877">
            <v>-500000</v>
          </cell>
          <cell r="G877">
            <v>500000</v>
          </cell>
          <cell r="H877">
            <v>0</v>
          </cell>
          <cell r="I877">
            <v>0</v>
          </cell>
        </row>
        <row r="878">
          <cell r="D878">
            <v>203681</v>
          </cell>
          <cell r="E878" t="str">
            <v>A Kasiviswanadham (Rly. Deposit)</v>
          </cell>
          <cell r="F878">
            <v>-500000</v>
          </cell>
          <cell r="G878">
            <v>0</v>
          </cell>
          <cell r="H878">
            <v>0</v>
          </cell>
          <cell r="I878">
            <v>-500000</v>
          </cell>
        </row>
        <row r="879">
          <cell r="D879">
            <v>203683</v>
          </cell>
          <cell r="E879" t="str">
            <v>Bothra Shipping Services  Rly Deposit</v>
          </cell>
          <cell r="F879">
            <v>-500000</v>
          </cell>
          <cell r="G879">
            <v>0</v>
          </cell>
          <cell r="H879">
            <v>0</v>
          </cell>
          <cell r="I879">
            <v>-500000</v>
          </cell>
        </row>
        <row r="880">
          <cell r="D880">
            <v>203693</v>
          </cell>
          <cell r="E880" t="str">
            <v>Srivalli Shipping &amp; Transport(Rly Deposit)</v>
          </cell>
          <cell r="F880">
            <v>0</v>
          </cell>
          <cell r="G880">
            <v>0</v>
          </cell>
          <cell r="H880">
            <v>500000</v>
          </cell>
          <cell r="I880">
            <v>-500000</v>
          </cell>
        </row>
        <row r="881">
          <cell r="D881">
            <v>204779</v>
          </cell>
          <cell r="E881" t="str">
            <v>Aswini Constructions - Retention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</row>
        <row r="882">
          <cell r="D882">
            <v>204783</v>
          </cell>
          <cell r="E882" t="str">
            <v>G R K Nirman - Retention</v>
          </cell>
          <cell r="F882">
            <v>-2405</v>
          </cell>
          <cell r="G882">
            <v>0</v>
          </cell>
          <cell r="H882">
            <v>0</v>
          </cell>
          <cell r="I882">
            <v>-2405</v>
          </cell>
        </row>
        <row r="883">
          <cell r="D883">
            <v>204786</v>
          </cell>
          <cell r="E883" t="str">
            <v>J L Technologies - Retention</v>
          </cell>
          <cell r="F883">
            <v>-2744</v>
          </cell>
          <cell r="G883">
            <v>0</v>
          </cell>
          <cell r="H883">
            <v>0</v>
          </cell>
          <cell r="I883">
            <v>-2744</v>
          </cell>
        </row>
        <row r="884">
          <cell r="D884">
            <v>204791</v>
          </cell>
          <cell r="E884" t="str">
            <v>Larive &amp; Company(Stevedores) Pvt Ltd., Retention</v>
          </cell>
          <cell r="F884">
            <v>-45000</v>
          </cell>
          <cell r="G884">
            <v>0</v>
          </cell>
          <cell r="H884">
            <v>0</v>
          </cell>
          <cell r="I884">
            <v>-45000</v>
          </cell>
        </row>
        <row r="885">
          <cell r="D885">
            <v>204793</v>
          </cell>
          <cell r="E885" t="str">
            <v>M.S.Associates - Retention</v>
          </cell>
          <cell r="F885">
            <v>-65204</v>
          </cell>
          <cell r="G885">
            <v>0</v>
          </cell>
          <cell r="H885">
            <v>0</v>
          </cell>
          <cell r="I885">
            <v>-65204</v>
          </cell>
        </row>
        <row r="886">
          <cell r="D886">
            <v>204801</v>
          </cell>
          <cell r="E886" t="str">
            <v>Sri Dattatriya Construction &amp; Service Pvt Ltd. - Retention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</row>
        <row r="887">
          <cell r="D887">
            <v>204804</v>
          </cell>
          <cell r="E887" t="str">
            <v>Sri Venkateswara Electrical Works - Retention</v>
          </cell>
          <cell r="F887">
            <v>-4495</v>
          </cell>
          <cell r="G887">
            <v>0</v>
          </cell>
          <cell r="H887">
            <v>0</v>
          </cell>
          <cell r="I887">
            <v>-4495</v>
          </cell>
        </row>
        <row r="888">
          <cell r="D888">
            <v>204815</v>
          </cell>
          <cell r="E888" t="str">
            <v>N Veeranna - Retention</v>
          </cell>
          <cell r="F888">
            <v>0</v>
          </cell>
          <cell r="G888">
            <v>0</v>
          </cell>
          <cell r="H888">
            <v>435891</v>
          </cell>
          <cell r="I888">
            <v>-435891</v>
          </cell>
        </row>
        <row r="889">
          <cell r="D889">
            <v>204816</v>
          </cell>
          <cell r="E889" t="str">
            <v>G Surya Prabhakara Chowdary-Retention</v>
          </cell>
          <cell r="F889">
            <v>0</v>
          </cell>
          <cell r="G889">
            <v>28114</v>
          </cell>
          <cell r="H889">
            <v>28114</v>
          </cell>
          <cell r="I889">
            <v>0</v>
          </cell>
        </row>
        <row r="890">
          <cell r="D890">
            <v>204818</v>
          </cell>
          <cell r="E890" t="str">
            <v>P Adinarayana - Retention</v>
          </cell>
          <cell r="F890">
            <v>0</v>
          </cell>
          <cell r="G890">
            <v>402189</v>
          </cell>
          <cell r="H890">
            <v>414137</v>
          </cell>
          <cell r="I890">
            <v>-11948</v>
          </cell>
        </row>
        <row r="891">
          <cell r="D891">
            <v>204819</v>
          </cell>
          <cell r="E891" t="str">
            <v>Sidhvi Infrastructure Projects Ltd - Retention</v>
          </cell>
          <cell r="F891">
            <v>-158630</v>
          </cell>
          <cell r="G891">
            <v>675322</v>
          </cell>
          <cell r="H891">
            <v>1960525</v>
          </cell>
          <cell r="I891">
            <v>-1443833</v>
          </cell>
        </row>
        <row r="892">
          <cell r="D892">
            <v>204826</v>
          </cell>
          <cell r="E892" t="str">
            <v>Trelleborg Marine Sys.Ind Pvt Ltd-Retention</v>
          </cell>
          <cell r="F892">
            <v>0</v>
          </cell>
          <cell r="G892">
            <v>1530673</v>
          </cell>
          <cell r="H892">
            <v>2224728</v>
          </cell>
          <cell r="I892">
            <v>-694055</v>
          </cell>
        </row>
        <row r="893">
          <cell r="D893">
            <v>204828</v>
          </cell>
          <cell r="E893" t="str">
            <v>Navayuva Enterprises - Retention</v>
          </cell>
          <cell r="F893">
            <v>0</v>
          </cell>
          <cell r="G893">
            <v>0</v>
          </cell>
          <cell r="H893">
            <v>71445</v>
          </cell>
          <cell r="I893">
            <v>-71445</v>
          </cell>
        </row>
        <row r="894">
          <cell r="D894">
            <v>204835</v>
          </cell>
          <cell r="E894" t="str">
            <v>N Bhaskara Rao - Retention</v>
          </cell>
          <cell r="F894">
            <v>-190724</v>
          </cell>
          <cell r="G894">
            <v>0</v>
          </cell>
          <cell r="H894">
            <v>61157</v>
          </cell>
          <cell r="I894">
            <v>-251881</v>
          </cell>
        </row>
        <row r="895">
          <cell r="D895">
            <v>204836</v>
          </cell>
          <cell r="E895" t="str">
            <v>Royal Logistics - Retention</v>
          </cell>
          <cell r="F895">
            <v>-38193</v>
          </cell>
          <cell r="G895">
            <v>0</v>
          </cell>
          <cell r="H895">
            <v>0</v>
          </cell>
          <cell r="I895">
            <v>-38193</v>
          </cell>
        </row>
        <row r="896">
          <cell r="D896">
            <v>204839</v>
          </cell>
          <cell r="E896" t="str">
            <v>G Satyanarayana - Retention</v>
          </cell>
          <cell r="F896">
            <v>0</v>
          </cell>
          <cell r="G896">
            <v>0</v>
          </cell>
          <cell r="H896">
            <v>13000</v>
          </cell>
          <cell r="I896">
            <v>-13000</v>
          </cell>
        </row>
        <row r="897">
          <cell r="D897">
            <v>205779</v>
          </cell>
          <cell r="E897" t="str">
            <v>Act Marine (Storage Deposit)</v>
          </cell>
          <cell r="F897">
            <v>-232965</v>
          </cell>
          <cell r="G897">
            <v>0</v>
          </cell>
          <cell r="H897">
            <v>0</v>
          </cell>
          <cell r="I897">
            <v>-232965</v>
          </cell>
        </row>
        <row r="898">
          <cell r="D898">
            <v>205783</v>
          </cell>
          <cell r="E898" t="str">
            <v>Center for Seafarers Walfare(Storage Dep)</v>
          </cell>
          <cell r="F898">
            <v>-3000</v>
          </cell>
          <cell r="G898">
            <v>0</v>
          </cell>
          <cell r="H898">
            <v>0</v>
          </cell>
          <cell r="I898">
            <v>-3000</v>
          </cell>
        </row>
        <row r="899">
          <cell r="D899">
            <v>205786</v>
          </cell>
          <cell r="E899" t="str">
            <v>Imperial Shipping Co(Storage Deposit)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</row>
        <row r="900">
          <cell r="D900">
            <v>205791</v>
          </cell>
          <cell r="E900" t="str">
            <v>Puy Vast Maritime India Ltd(Sto Dep)</v>
          </cell>
          <cell r="F900">
            <v>-600000</v>
          </cell>
          <cell r="G900">
            <v>0</v>
          </cell>
          <cell r="H900">
            <v>1745829</v>
          </cell>
          <cell r="I900">
            <v>-2345829</v>
          </cell>
        </row>
        <row r="901">
          <cell r="D901">
            <v>205793</v>
          </cell>
          <cell r="E901" t="str">
            <v>Sarat Chatterjee &amp; Co Vsp Pvt Ltd(Storage Deposit)</v>
          </cell>
          <cell r="F901">
            <v>-2106750</v>
          </cell>
          <cell r="G901">
            <v>0</v>
          </cell>
          <cell r="H901">
            <v>0</v>
          </cell>
          <cell r="I901">
            <v>-2106750</v>
          </cell>
        </row>
        <row r="902">
          <cell r="D902">
            <v>205801</v>
          </cell>
          <cell r="E902" t="str">
            <v>Srivalli Shipping &amp; Transport  (Storage Deposit)</v>
          </cell>
          <cell r="F902">
            <v>-337710</v>
          </cell>
          <cell r="G902">
            <v>337710</v>
          </cell>
          <cell r="H902">
            <v>100373</v>
          </cell>
          <cell r="I902">
            <v>-100373</v>
          </cell>
        </row>
        <row r="903">
          <cell r="D903">
            <v>205803</v>
          </cell>
          <cell r="E903" t="str">
            <v>Sharadha Associates(Deposit)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</row>
        <row r="904">
          <cell r="D904">
            <v>208795</v>
          </cell>
          <cell r="E904" t="str">
            <v>Liability for Expenses</v>
          </cell>
          <cell r="F904">
            <v>-4731008</v>
          </cell>
          <cell r="G904">
            <v>35592152</v>
          </cell>
          <cell r="H904">
            <v>43049982</v>
          </cell>
          <cell r="I904">
            <v>-12188838</v>
          </cell>
        </row>
        <row r="905">
          <cell r="D905">
            <v>208848</v>
          </cell>
          <cell r="E905" t="str">
            <v>Service Tax Payable</v>
          </cell>
          <cell r="F905">
            <v>-10533308</v>
          </cell>
          <cell r="G905">
            <v>216769171</v>
          </cell>
          <cell r="H905">
            <v>231505433</v>
          </cell>
          <cell r="I905">
            <v>-25269569</v>
          </cell>
        </row>
        <row r="906">
          <cell r="D906">
            <v>208849</v>
          </cell>
          <cell r="E906" t="str">
            <v>Service Tax Payable - GTA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</row>
        <row r="907">
          <cell r="D907">
            <v>208870</v>
          </cell>
          <cell r="E907" t="str">
            <v>Pf Employees Contribution payable</v>
          </cell>
          <cell r="F907">
            <v>-82034</v>
          </cell>
          <cell r="G907">
            <v>256294</v>
          </cell>
          <cell r="H907">
            <v>270297</v>
          </cell>
          <cell r="I907">
            <v>-96037</v>
          </cell>
        </row>
        <row r="908">
          <cell r="D908">
            <v>208889</v>
          </cell>
          <cell r="E908" t="str">
            <v>TDS Payable - Contractors</v>
          </cell>
          <cell r="F908">
            <v>-12784060</v>
          </cell>
          <cell r="G908">
            <v>70469180</v>
          </cell>
          <cell r="H908">
            <v>65807006</v>
          </cell>
          <cell r="I908">
            <v>-8121886</v>
          </cell>
        </row>
        <row r="909">
          <cell r="D909">
            <v>208892</v>
          </cell>
          <cell r="E909" t="str">
            <v>TDS Payable - others</v>
          </cell>
          <cell r="F909">
            <v>-2451</v>
          </cell>
          <cell r="G909">
            <v>4386</v>
          </cell>
          <cell r="H909">
            <v>2334</v>
          </cell>
          <cell r="I909">
            <v>-399</v>
          </cell>
        </row>
        <row r="910">
          <cell r="D910">
            <v>208905</v>
          </cell>
          <cell r="E910" t="str">
            <v>VAT Payable(out put) 12.5%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</row>
        <row r="911">
          <cell r="D911">
            <v>208906</v>
          </cell>
          <cell r="E911" t="str">
            <v>VAT Payable(out put) 0%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</row>
        <row r="912">
          <cell r="D912">
            <v>208907</v>
          </cell>
          <cell r="E912" t="str">
            <v>VAT Payable (Out Put) 14.5%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</row>
        <row r="913">
          <cell r="D913">
            <v>208910</v>
          </cell>
          <cell r="E913" t="str">
            <v>CST Payable 4 %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</row>
        <row r="914">
          <cell r="D914">
            <v>208911</v>
          </cell>
          <cell r="E914" t="str">
            <v>CST Payable 1 %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</row>
        <row r="915">
          <cell r="D915">
            <v>208935</v>
          </cell>
          <cell r="E915" t="str">
            <v>Domestic Accounts Payable</v>
          </cell>
          <cell r="F915">
            <v>-206394863</v>
          </cell>
          <cell r="G915">
            <v>3837089913</v>
          </cell>
          <cell r="H915">
            <v>4807224023</v>
          </cell>
          <cell r="I915">
            <v>-1176528973</v>
          </cell>
        </row>
        <row r="916">
          <cell r="D916">
            <v>208936</v>
          </cell>
          <cell r="E916" t="str">
            <v>Down Payment Payables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</row>
        <row r="917">
          <cell r="D917">
            <v>208979</v>
          </cell>
          <cell r="E917" t="str">
            <v>Income Accrued But Not Due - UPSPL 5 Acres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</row>
        <row r="918">
          <cell r="D918">
            <v>208980</v>
          </cell>
          <cell r="E918" t="str">
            <v>Income Accrued But Not Due - BELAIR 20 Acres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</row>
        <row r="919">
          <cell r="D919">
            <v>209100</v>
          </cell>
          <cell r="E919" t="str">
            <v>Materials received not invoiced(MRNI)-Projects WH</v>
          </cell>
          <cell r="F919">
            <v>0</v>
          </cell>
          <cell r="G919">
            <v>47839082</v>
          </cell>
          <cell r="H919">
            <v>47839082</v>
          </cell>
          <cell r="I919">
            <v>0</v>
          </cell>
        </row>
        <row r="920">
          <cell r="D920">
            <v>209105</v>
          </cell>
          <cell r="E920" t="str">
            <v>Materials received not invoiced(MRNI)-IT WH</v>
          </cell>
          <cell r="F920">
            <v>0</v>
          </cell>
          <cell r="G920">
            <v>186884</v>
          </cell>
          <cell r="H920">
            <v>186884</v>
          </cell>
          <cell r="I920">
            <v>0</v>
          </cell>
        </row>
        <row r="921">
          <cell r="D921">
            <v>209106</v>
          </cell>
          <cell r="E921" t="str">
            <v>Materials received not invoiced(MRNI)-Security WH</v>
          </cell>
          <cell r="F921">
            <v>0</v>
          </cell>
          <cell r="G921">
            <v>108436</v>
          </cell>
          <cell r="H921">
            <v>108436</v>
          </cell>
          <cell r="I921">
            <v>0</v>
          </cell>
        </row>
        <row r="922">
          <cell r="D922">
            <v>209108</v>
          </cell>
          <cell r="E922" t="str">
            <v>Materials received not invoiced(MRNI)-HYD WH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</row>
        <row r="923">
          <cell r="D923">
            <v>209109</v>
          </cell>
          <cell r="E923" t="str">
            <v>Materials received not invoiced(MRNI)-Scrap WH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</row>
        <row r="924">
          <cell r="D924">
            <v>201662</v>
          </cell>
          <cell r="E924" t="str">
            <v>Hercles International Drilling Ltd (Sec Deposit)</v>
          </cell>
          <cell r="F924">
            <v>-2000000</v>
          </cell>
          <cell r="G924">
            <v>0</v>
          </cell>
          <cell r="H924">
            <v>0</v>
          </cell>
          <cell r="I924">
            <v>-2000000</v>
          </cell>
        </row>
        <row r="925">
          <cell r="D925">
            <v>201666</v>
          </cell>
          <cell r="E925" t="str">
            <v>Reliance Industires Ltd. OSV Sec Deposit</v>
          </cell>
          <cell r="F925">
            <v>-9500000</v>
          </cell>
          <cell r="G925">
            <v>0</v>
          </cell>
          <cell r="H925">
            <v>0</v>
          </cell>
          <cell r="I925">
            <v>-9500000</v>
          </cell>
        </row>
        <row r="926">
          <cell r="D926">
            <v>201674</v>
          </cell>
          <cell r="E926" t="str">
            <v>Nationwide Shipping Services(Deposit)</v>
          </cell>
          <cell r="F926">
            <v>-15000</v>
          </cell>
          <cell r="G926">
            <v>0</v>
          </cell>
          <cell r="H926">
            <v>15000</v>
          </cell>
          <cell r="I926">
            <v>-30000</v>
          </cell>
        </row>
        <row r="927">
          <cell r="D927">
            <v>201677</v>
          </cell>
          <cell r="E927" t="str">
            <v>Tikkoo Foods(Rent Deposit)</v>
          </cell>
          <cell r="F927">
            <v>0</v>
          </cell>
          <cell r="G927">
            <v>0</v>
          </cell>
          <cell r="H927">
            <v>50562</v>
          </cell>
          <cell r="I927">
            <v>-50562</v>
          </cell>
        </row>
        <row r="928">
          <cell r="D928">
            <v>201679</v>
          </cell>
          <cell r="E928" t="str">
            <v>Sunrich Logistics Pvt Ltd.,(Deposit)</v>
          </cell>
          <cell r="F928">
            <v>0</v>
          </cell>
          <cell r="G928">
            <v>0</v>
          </cell>
          <cell r="H928">
            <v>15000</v>
          </cell>
          <cell r="I928">
            <v>-15000</v>
          </cell>
        </row>
        <row r="929">
          <cell r="D929">
            <v>201686</v>
          </cell>
          <cell r="E929" t="str">
            <v>Gemini Edibles &amp; Fats India Pvt Ltd.,(Deposit)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</row>
        <row r="930">
          <cell r="D930">
            <v>202675</v>
          </cell>
          <cell r="E930" t="str">
            <v>Ashok International ( Deposit)</v>
          </cell>
          <cell r="F930">
            <v>-35000</v>
          </cell>
          <cell r="G930">
            <v>0</v>
          </cell>
          <cell r="H930">
            <v>0</v>
          </cell>
          <cell r="I930">
            <v>-35000</v>
          </cell>
        </row>
        <row r="931">
          <cell r="D931">
            <v>202676</v>
          </cell>
          <cell r="E931" t="str">
            <v>Aspinwall &amp; Co. Limited (Deposit)</v>
          </cell>
          <cell r="F931">
            <v>-45000</v>
          </cell>
          <cell r="G931">
            <v>0</v>
          </cell>
          <cell r="H931">
            <v>0</v>
          </cell>
          <cell r="I931">
            <v>-45000</v>
          </cell>
        </row>
        <row r="932">
          <cell r="D932">
            <v>202678</v>
          </cell>
          <cell r="E932" t="str">
            <v>Atlantic Shipping Limited(Deposit)</v>
          </cell>
          <cell r="F932">
            <v>-15000</v>
          </cell>
          <cell r="G932">
            <v>0</v>
          </cell>
          <cell r="H932">
            <v>0</v>
          </cell>
          <cell r="I932">
            <v>-15000</v>
          </cell>
        </row>
        <row r="933">
          <cell r="D933">
            <v>202684</v>
          </cell>
          <cell r="E933" t="str">
            <v>Chandra Shipping &amp; Trading Ser.(Deposit)</v>
          </cell>
          <cell r="F933">
            <v>-45000</v>
          </cell>
          <cell r="G933">
            <v>0</v>
          </cell>
          <cell r="H933">
            <v>0</v>
          </cell>
          <cell r="I933">
            <v>-45000</v>
          </cell>
        </row>
        <row r="934">
          <cell r="D934">
            <v>202687</v>
          </cell>
          <cell r="E934" t="str">
            <v>Cocanada Marine Projects and Services P L(Deposit)</v>
          </cell>
          <cell r="F934">
            <v>-15000</v>
          </cell>
          <cell r="G934">
            <v>0</v>
          </cell>
          <cell r="H934">
            <v>0</v>
          </cell>
          <cell r="I934">
            <v>-15000</v>
          </cell>
        </row>
        <row r="935">
          <cell r="D935">
            <v>202693</v>
          </cell>
          <cell r="E935" t="str">
            <v>Esdi Maritime Pvt Ltd (Deposit )</v>
          </cell>
          <cell r="F935">
            <v>-30000</v>
          </cell>
          <cell r="G935">
            <v>0</v>
          </cell>
          <cell r="H935">
            <v>0</v>
          </cell>
          <cell r="I935">
            <v>-30000</v>
          </cell>
        </row>
        <row r="936">
          <cell r="D936">
            <v>202695</v>
          </cell>
          <cell r="E936" t="str">
            <v>Gac Shipping (I) Pvt Ltd (Deposit)</v>
          </cell>
          <cell r="F936">
            <v>-30000</v>
          </cell>
          <cell r="G936">
            <v>0</v>
          </cell>
          <cell r="H936">
            <v>0</v>
          </cell>
          <cell r="I936">
            <v>-30000</v>
          </cell>
        </row>
        <row r="937">
          <cell r="D937">
            <v>202698</v>
          </cell>
          <cell r="E937" t="str">
            <v>Glory Faith Shipping Agencies(Deposit)</v>
          </cell>
          <cell r="F937">
            <v>-15000</v>
          </cell>
          <cell r="G937">
            <v>0</v>
          </cell>
          <cell r="H937">
            <v>0</v>
          </cell>
          <cell r="I937">
            <v>-15000</v>
          </cell>
        </row>
        <row r="938">
          <cell r="D938">
            <v>202700</v>
          </cell>
          <cell r="E938" t="str">
            <v>G Pattabhi Ramayya &amp; Co., (Deposit)</v>
          </cell>
          <cell r="F938">
            <v>-35000</v>
          </cell>
          <cell r="G938">
            <v>0</v>
          </cell>
          <cell r="H938">
            <v>0</v>
          </cell>
          <cell r="I938">
            <v>-35000</v>
          </cell>
        </row>
        <row r="939">
          <cell r="D939">
            <v>202701</v>
          </cell>
          <cell r="E939" t="str">
            <v>Imperial Shipping Co.,(Deposit)</v>
          </cell>
          <cell r="F939">
            <v>-15000</v>
          </cell>
          <cell r="G939">
            <v>0</v>
          </cell>
          <cell r="H939">
            <v>0</v>
          </cell>
          <cell r="I939">
            <v>-15000</v>
          </cell>
        </row>
        <row r="940">
          <cell r="D940">
            <v>202703</v>
          </cell>
          <cell r="E940" t="str">
            <v>Inchcape Shipping Services(Deposit)</v>
          </cell>
          <cell r="F940">
            <v>-15000</v>
          </cell>
          <cell r="G940">
            <v>0</v>
          </cell>
          <cell r="H940">
            <v>0</v>
          </cell>
          <cell r="I940">
            <v>-15000</v>
          </cell>
        </row>
        <row r="941">
          <cell r="D941">
            <v>202709</v>
          </cell>
          <cell r="E941" t="str">
            <v>J.K.Shipping Agency(Deposit)</v>
          </cell>
          <cell r="F941">
            <v>-15000</v>
          </cell>
          <cell r="G941">
            <v>0</v>
          </cell>
          <cell r="H941">
            <v>0</v>
          </cell>
          <cell r="I941">
            <v>-15000</v>
          </cell>
        </row>
        <row r="942">
          <cell r="D942">
            <v>202716</v>
          </cell>
          <cell r="E942" t="str">
            <v>Lakshmi Enterprises (Deposit)</v>
          </cell>
          <cell r="F942">
            <v>-15000</v>
          </cell>
          <cell r="G942">
            <v>0</v>
          </cell>
          <cell r="H942">
            <v>15000</v>
          </cell>
          <cell r="I942">
            <v>-30000</v>
          </cell>
        </row>
        <row r="943">
          <cell r="D943">
            <v>202718</v>
          </cell>
          <cell r="E943" t="str">
            <v>Libra Shipping &amp; Logistics - Deposit</v>
          </cell>
          <cell r="F943">
            <v>-15000</v>
          </cell>
          <cell r="G943">
            <v>0</v>
          </cell>
          <cell r="H943">
            <v>0</v>
          </cell>
          <cell r="I943">
            <v>-15000</v>
          </cell>
        </row>
        <row r="944">
          <cell r="D944">
            <v>202719</v>
          </cell>
          <cell r="E944" t="str">
            <v>Logistics Enterprises Pvt Ltd.,(Deposit)</v>
          </cell>
          <cell r="F944">
            <v>-15000</v>
          </cell>
          <cell r="G944">
            <v>0</v>
          </cell>
          <cell r="H944">
            <v>0</v>
          </cell>
          <cell r="I944">
            <v>-15000</v>
          </cell>
        </row>
        <row r="945">
          <cell r="D945">
            <v>202722</v>
          </cell>
          <cell r="E945" t="str">
            <v>MR Mercantile Agents (P) Ltd.(Deposit)</v>
          </cell>
          <cell r="F945">
            <v>-15000</v>
          </cell>
          <cell r="G945">
            <v>0</v>
          </cell>
          <cell r="H945">
            <v>0</v>
          </cell>
          <cell r="I945">
            <v>-15000</v>
          </cell>
        </row>
        <row r="946">
          <cell r="D946">
            <v>202724</v>
          </cell>
          <cell r="E946" t="str">
            <v>Navship Marine Services Pvt. Ltd.,(Deposit)</v>
          </cell>
          <cell r="F946">
            <v>-15000</v>
          </cell>
          <cell r="G946">
            <v>0</v>
          </cell>
          <cell r="H946">
            <v>0</v>
          </cell>
          <cell r="I946">
            <v>-15000</v>
          </cell>
        </row>
        <row r="947">
          <cell r="D947">
            <v>202725</v>
          </cell>
          <cell r="E947" t="str">
            <v>Network Logistics Pvt Ltd., (Deposit)</v>
          </cell>
          <cell r="F947">
            <v>-30000</v>
          </cell>
          <cell r="G947">
            <v>0</v>
          </cell>
          <cell r="H947">
            <v>0</v>
          </cell>
          <cell r="I947">
            <v>-30000</v>
          </cell>
        </row>
        <row r="948">
          <cell r="D948">
            <v>202727</v>
          </cell>
          <cell r="E948" t="str">
            <v>Orissa Stevedores Limited (Deposit)</v>
          </cell>
          <cell r="F948">
            <v>-45000</v>
          </cell>
          <cell r="G948">
            <v>0</v>
          </cell>
          <cell r="H948">
            <v>0</v>
          </cell>
          <cell r="I948">
            <v>-45000</v>
          </cell>
        </row>
        <row r="949">
          <cell r="D949">
            <v>202730</v>
          </cell>
          <cell r="E949" t="str">
            <v>Port Links(Deposit)</v>
          </cell>
          <cell r="F949">
            <v>-15000</v>
          </cell>
          <cell r="G949">
            <v>0</v>
          </cell>
          <cell r="H949">
            <v>0</v>
          </cell>
          <cell r="I949">
            <v>-15000</v>
          </cell>
        </row>
        <row r="950">
          <cell r="D950">
            <v>202731</v>
          </cell>
          <cell r="E950" t="str">
            <v>Prathyusha Associates (Deposit)</v>
          </cell>
          <cell r="F950">
            <v>-45000</v>
          </cell>
          <cell r="G950">
            <v>0</v>
          </cell>
          <cell r="H950">
            <v>0</v>
          </cell>
          <cell r="I950">
            <v>-45000</v>
          </cell>
        </row>
        <row r="951">
          <cell r="D951">
            <v>202733</v>
          </cell>
          <cell r="E951" t="str">
            <v>Puy Vast Maritime India Ltd.,(Deposit)</v>
          </cell>
          <cell r="F951">
            <v>-165349</v>
          </cell>
          <cell r="G951">
            <v>0</v>
          </cell>
          <cell r="H951">
            <v>0</v>
          </cell>
          <cell r="I951">
            <v>-165349</v>
          </cell>
        </row>
        <row r="952">
          <cell r="D952">
            <v>202734</v>
          </cell>
          <cell r="E952" t="str">
            <v>Radhakrishna Enterprises - Deposit</v>
          </cell>
          <cell r="F952">
            <v>-15000</v>
          </cell>
          <cell r="G952">
            <v>0</v>
          </cell>
          <cell r="H952">
            <v>0</v>
          </cell>
          <cell r="I952">
            <v>-15000</v>
          </cell>
        </row>
        <row r="953">
          <cell r="D953">
            <v>202762</v>
          </cell>
          <cell r="E953" t="str">
            <v>Synergy Shipping Pvt. Ltd (Deposit)</v>
          </cell>
          <cell r="F953">
            <v>-35000</v>
          </cell>
          <cell r="G953">
            <v>0</v>
          </cell>
          <cell r="H953">
            <v>0</v>
          </cell>
          <cell r="I953">
            <v>-35000</v>
          </cell>
        </row>
        <row r="954">
          <cell r="D954">
            <v>202764</v>
          </cell>
          <cell r="E954" t="str">
            <v>Unicorn Maritime India Pvt Ltd., (Deposit)</v>
          </cell>
          <cell r="F954">
            <v>-15000</v>
          </cell>
          <cell r="G954">
            <v>0</v>
          </cell>
          <cell r="H954">
            <v>0</v>
          </cell>
          <cell r="I954">
            <v>-15000</v>
          </cell>
        </row>
        <row r="955">
          <cell r="D955">
            <v>202765</v>
          </cell>
          <cell r="E955" t="str">
            <v>Usha Shipping &amp; Logistics (Deposit)</v>
          </cell>
          <cell r="F955">
            <v>-30000</v>
          </cell>
          <cell r="G955">
            <v>0</v>
          </cell>
          <cell r="H955">
            <v>0</v>
          </cell>
          <cell r="I955">
            <v>-30000</v>
          </cell>
        </row>
        <row r="956">
          <cell r="D956">
            <v>202767</v>
          </cell>
          <cell r="E956" t="str">
            <v>Vishwa Shipping Services - Deposite</v>
          </cell>
          <cell r="F956">
            <v>-35000</v>
          </cell>
          <cell r="G956">
            <v>0</v>
          </cell>
          <cell r="H956">
            <v>0</v>
          </cell>
          <cell r="I956">
            <v>-35000</v>
          </cell>
        </row>
        <row r="957">
          <cell r="D957">
            <v>202970</v>
          </cell>
          <cell r="E957" t="str">
            <v>Atlas Offshore Services Pvt Ltd.,(Deposit)</v>
          </cell>
          <cell r="F957">
            <v>-15000</v>
          </cell>
          <cell r="G957">
            <v>0</v>
          </cell>
          <cell r="H957">
            <v>0</v>
          </cell>
          <cell r="I957">
            <v>-15000</v>
          </cell>
        </row>
        <row r="958">
          <cell r="D958">
            <v>202971</v>
          </cell>
          <cell r="E958" t="str">
            <v>Benline Agencies (India) Pvt Ltd.,</v>
          </cell>
          <cell r="F958">
            <v>-15000</v>
          </cell>
          <cell r="G958">
            <v>0</v>
          </cell>
          <cell r="H958">
            <v>0</v>
          </cell>
          <cell r="I958">
            <v>-15000</v>
          </cell>
        </row>
        <row r="959">
          <cell r="D959">
            <v>203687</v>
          </cell>
          <cell r="E959" t="str">
            <v>Prathyusha Associates  Rly Deposit</v>
          </cell>
          <cell r="F959">
            <v>-500000</v>
          </cell>
          <cell r="G959">
            <v>0</v>
          </cell>
          <cell r="H959">
            <v>0</v>
          </cell>
          <cell r="I959">
            <v>-500000</v>
          </cell>
        </row>
        <row r="960">
          <cell r="D960">
            <v>203689</v>
          </cell>
          <cell r="E960" t="str">
            <v>Sarat Chatterjee &amp; Co., (Vsp) Pvt Ltd., Rly Deposit</v>
          </cell>
          <cell r="F960">
            <v>-500000</v>
          </cell>
          <cell r="G960">
            <v>0</v>
          </cell>
          <cell r="H960">
            <v>0</v>
          </cell>
          <cell r="I960">
            <v>-500000</v>
          </cell>
        </row>
        <row r="961">
          <cell r="D961">
            <v>203690</v>
          </cell>
          <cell r="E961" t="str">
            <v>Usha Shipping &amp; Logistics (Rly Deposit)</v>
          </cell>
          <cell r="F961">
            <v>-500000</v>
          </cell>
          <cell r="G961">
            <v>500000</v>
          </cell>
          <cell r="H961">
            <v>0</v>
          </cell>
          <cell r="I961">
            <v>0</v>
          </cell>
        </row>
        <row r="962">
          <cell r="D962">
            <v>203691</v>
          </cell>
          <cell r="E962" t="str">
            <v>South India Corporation Ltd.,(Rly Deposit)</v>
          </cell>
          <cell r="F962">
            <v>0</v>
          </cell>
          <cell r="G962">
            <v>0</v>
          </cell>
          <cell r="H962">
            <v>500000</v>
          </cell>
          <cell r="I962">
            <v>-500000</v>
          </cell>
        </row>
        <row r="963">
          <cell r="D963">
            <v>204782</v>
          </cell>
          <cell r="E963" t="str">
            <v>D B Solutions - Retention</v>
          </cell>
          <cell r="F963">
            <v>-52508</v>
          </cell>
          <cell r="G963">
            <v>0</v>
          </cell>
          <cell r="H963">
            <v>0</v>
          </cell>
          <cell r="I963">
            <v>-52508</v>
          </cell>
        </row>
        <row r="964">
          <cell r="D964">
            <v>204784</v>
          </cell>
          <cell r="E964" t="str">
            <v>Godavari Fertilisers &amp; Chemicals Ltd - Retention</v>
          </cell>
          <cell r="F964">
            <v>-25614</v>
          </cell>
          <cell r="G964">
            <v>0</v>
          </cell>
          <cell r="H964">
            <v>0</v>
          </cell>
          <cell r="I964">
            <v>-25614</v>
          </cell>
        </row>
        <row r="965">
          <cell r="D965">
            <v>204787</v>
          </cell>
          <cell r="E965" t="str">
            <v>K Gangadhar Rao - Retention</v>
          </cell>
          <cell r="F965">
            <v>-850</v>
          </cell>
          <cell r="G965">
            <v>0</v>
          </cell>
          <cell r="H965">
            <v>0</v>
          </cell>
          <cell r="I965">
            <v>-850</v>
          </cell>
        </row>
        <row r="966">
          <cell r="D966">
            <v>204788</v>
          </cell>
          <cell r="E966" t="str">
            <v>K Rama Krishna (Fabrication Works)  - Retention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</row>
        <row r="967">
          <cell r="D967">
            <v>204792</v>
          </cell>
          <cell r="E967" t="str">
            <v>M Neerallu - Retention</v>
          </cell>
          <cell r="F967">
            <v>-25992</v>
          </cell>
          <cell r="G967">
            <v>0</v>
          </cell>
          <cell r="H967">
            <v>0</v>
          </cell>
          <cell r="I967">
            <v>-25992</v>
          </cell>
        </row>
        <row r="968">
          <cell r="D968">
            <v>204796</v>
          </cell>
          <cell r="E968" t="str">
            <v>Navayuga Engineering Company LTD. - Retention</v>
          </cell>
          <cell r="F968">
            <v>-2846507</v>
          </cell>
          <cell r="G968">
            <v>1875289</v>
          </cell>
          <cell r="H968">
            <v>30795045</v>
          </cell>
          <cell r="I968">
            <v>-31766263</v>
          </cell>
        </row>
        <row r="969">
          <cell r="D969">
            <v>204797</v>
          </cell>
          <cell r="E969" t="str">
            <v>P V R Constructions - Retention</v>
          </cell>
          <cell r="F969">
            <v>-1382477</v>
          </cell>
          <cell r="G969">
            <v>1300000</v>
          </cell>
          <cell r="H969">
            <v>0</v>
          </cell>
          <cell r="I969">
            <v>-82477</v>
          </cell>
        </row>
        <row r="970">
          <cell r="D970">
            <v>204798</v>
          </cell>
          <cell r="E970" t="str">
            <v>Shaik Hazara Sulthana - Retention</v>
          </cell>
          <cell r="F970">
            <v>-5751</v>
          </cell>
          <cell r="G970">
            <v>5751</v>
          </cell>
          <cell r="H970">
            <v>0</v>
          </cell>
          <cell r="I970">
            <v>0</v>
          </cell>
        </row>
        <row r="971">
          <cell r="D971">
            <v>204802</v>
          </cell>
          <cell r="E971" t="str">
            <v>Sri Dhanalakshmi Associates - Retention</v>
          </cell>
          <cell r="F971">
            <v>-17917</v>
          </cell>
          <cell r="G971">
            <v>0</v>
          </cell>
          <cell r="H971">
            <v>0</v>
          </cell>
          <cell r="I971">
            <v>-17917</v>
          </cell>
        </row>
        <row r="972">
          <cell r="D972">
            <v>204806</v>
          </cell>
          <cell r="E972" t="str">
            <v>Subhadra Engineering Agencies - Retention</v>
          </cell>
          <cell r="F972">
            <v>-257302</v>
          </cell>
          <cell r="G972">
            <v>0</v>
          </cell>
          <cell r="H972">
            <v>0</v>
          </cell>
          <cell r="I972">
            <v>-257302</v>
          </cell>
        </row>
        <row r="973">
          <cell r="D973">
            <v>204808</v>
          </cell>
          <cell r="E973" t="str">
            <v>Well Worth Wire Ropes Pvt.Ltd. - Retention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</row>
        <row r="974">
          <cell r="D974">
            <v>204810</v>
          </cell>
          <cell r="E974" t="str">
            <v>Alluri Subba Raju  - Retention</v>
          </cell>
          <cell r="F974">
            <v>0</v>
          </cell>
          <cell r="G974">
            <v>753163</v>
          </cell>
          <cell r="H974">
            <v>753163</v>
          </cell>
          <cell r="I974">
            <v>0</v>
          </cell>
        </row>
        <row r="975">
          <cell r="D975">
            <v>204817</v>
          </cell>
          <cell r="E975" t="str">
            <v>Bharat Geosystems Pvt Ltd - Retention</v>
          </cell>
          <cell r="F975">
            <v>0</v>
          </cell>
          <cell r="G975">
            <v>52697</v>
          </cell>
          <cell r="H975">
            <v>906717</v>
          </cell>
          <cell r="I975">
            <v>-854020</v>
          </cell>
        </row>
        <row r="976">
          <cell r="D976">
            <v>204820</v>
          </cell>
          <cell r="E976" t="str">
            <v>Coromandel International Ltd-Retention</v>
          </cell>
          <cell r="F976">
            <v>0</v>
          </cell>
          <cell r="G976">
            <v>5924319</v>
          </cell>
          <cell r="H976">
            <v>6729096</v>
          </cell>
          <cell r="I976">
            <v>-804777</v>
          </cell>
        </row>
        <row r="977">
          <cell r="D977">
            <v>204825</v>
          </cell>
          <cell r="E977" t="str">
            <v>Siri Marines - Retention</v>
          </cell>
          <cell r="F977">
            <v>-62028</v>
          </cell>
          <cell r="G977">
            <v>74037</v>
          </cell>
          <cell r="H977">
            <v>97556</v>
          </cell>
          <cell r="I977">
            <v>-85547</v>
          </cell>
        </row>
        <row r="978">
          <cell r="D978">
            <v>204827</v>
          </cell>
          <cell r="E978" t="str">
            <v>Navaid Enterprise - Retention</v>
          </cell>
          <cell r="F978">
            <v>0</v>
          </cell>
          <cell r="G978">
            <v>0</v>
          </cell>
          <cell r="H978">
            <v>195880</v>
          </cell>
          <cell r="I978">
            <v>-195880</v>
          </cell>
        </row>
        <row r="979">
          <cell r="D979">
            <v>204829</v>
          </cell>
          <cell r="E979" t="str">
            <v>GMMCO Ltd - Retention</v>
          </cell>
          <cell r="F979">
            <v>0</v>
          </cell>
          <cell r="G979">
            <v>0</v>
          </cell>
          <cell r="H979">
            <v>35848</v>
          </cell>
          <cell r="I979">
            <v>-35848</v>
          </cell>
        </row>
        <row r="980">
          <cell r="D980">
            <v>204830</v>
          </cell>
          <cell r="E980" t="str">
            <v>Manoj Constructions - Retention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</row>
        <row r="981">
          <cell r="D981">
            <v>204837</v>
          </cell>
          <cell r="E981" t="str">
            <v>Sri Lakshmi Srinivasa Constructions - retention</v>
          </cell>
          <cell r="F981">
            <v>-128107</v>
          </cell>
          <cell r="G981">
            <v>122101</v>
          </cell>
          <cell r="H981">
            <v>0</v>
          </cell>
          <cell r="I981">
            <v>-6006</v>
          </cell>
        </row>
        <row r="982">
          <cell r="D982">
            <v>204840</v>
          </cell>
          <cell r="E982" t="str">
            <v>Paul Engineering Inc- Retention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</row>
        <row r="983">
          <cell r="D983">
            <v>205782</v>
          </cell>
          <cell r="E983" t="str">
            <v>Bothra Shipping Services (Storage Dep)</v>
          </cell>
          <cell r="F983">
            <v>-1592703</v>
          </cell>
          <cell r="G983">
            <v>0</v>
          </cell>
          <cell r="H983">
            <v>0</v>
          </cell>
          <cell r="I983">
            <v>-1592703</v>
          </cell>
        </row>
        <row r="984">
          <cell r="D984">
            <v>205784</v>
          </cell>
          <cell r="E984" t="str">
            <v>Chandra Shipping &amp; Trading Services (Storage Deposi</v>
          </cell>
          <cell r="F984">
            <v>-360000</v>
          </cell>
          <cell r="G984">
            <v>0</v>
          </cell>
          <cell r="H984">
            <v>0</v>
          </cell>
          <cell r="I984">
            <v>-360000</v>
          </cell>
        </row>
        <row r="985">
          <cell r="D985">
            <v>205787</v>
          </cell>
          <cell r="E985" t="str">
            <v>J M Baxi &amp; Co (Storage Deposit)</v>
          </cell>
          <cell r="F985">
            <v>-370788</v>
          </cell>
          <cell r="G985">
            <v>0</v>
          </cell>
          <cell r="H985">
            <v>1103000</v>
          </cell>
          <cell r="I985">
            <v>-1473788</v>
          </cell>
        </row>
        <row r="986">
          <cell r="D986">
            <v>205788</v>
          </cell>
          <cell r="E986" t="str">
            <v>Lotus Marine Services Pvt Ltd.,(Sto Dep)</v>
          </cell>
          <cell r="F986">
            <v>-44655</v>
          </cell>
          <cell r="G986">
            <v>0</v>
          </cell>
          <cell r="H986">
            <v>0</v>
          </cell>
          <cell r="I986">
            <v>-44655</v>
          </cell>
        </row>
        <row r="987">
          <cell r="D987">
            <v>205792</v>
          </cell>
          <cell r="E987" t="str">
            <v>Radhakrishna Hospitality Services P Ltd(Sto Dep)</v>
          </cell>
          <cell r="F987">
            <v>-25281</v>
          </cell>
          <cell r="G987">
            <v>0</v>
          </cell>
          <cell r="H987">
            <v>0</v>
          </cell>
          <cell r="I987">
            <v>-25281</v>
          </cell>
        </row>
        <row r="988">
          <cell r="D988">
            <v>205796</v>
          </cell>
          <cell r="E988" t="str">
            <v>Aspinwall &amp; Co. Ltd.,(Storage Deposit)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</row>
        <row r="989">
          <cell r="D989">
            <v>205797</v>
          </cell>
          <cell r="E989" t="str">
            <v>Sri Sai Canteen ( Rent Deposit)</v>
          </cell>
          <cell r="F989">
            <v>-49635</v>
          </cell>
          <cell r="G989">
            <v>42299</v>
          </cell>
          <cell r="H989">
            <v>0</v>
          </cell>
          <cell r="I989">
            <v>-7336</v>
          </cell>
        </row>
        <row r="990">
          <cell r="D990">
            <v>205798</v>
          </cell>
          <cell r="E990" t="str">
            <v>Ocean Shipping Agency(Deposit)</v>
          </cell>
          <cell r="F990">
            <v>-30000</v>
          </cell>
          <cell r="G990">
            <v>0</v>
          </cell>
          <cell r="H990">
            <v>0</v>
          </cell>
          <cell r="I990">
            <v>-30000</v>
          </cell>
        </row>
        <row r="991">
          <cell r="D991">
            <v>205802</v>
          </cell>
          <cell r="E991" t="str">
            <v>Usha Shipping &amp; Logistics (Storage Deposit)</v>
          </cell>
          <cell r="F991">
            <v>-124248</v>
          </cell>
          <cell r="G991">
            <v>124248</v>
          </cell>
          <cell r="H991">
            <v>0</v>
          </cell>
          <cell r="I991">
            <v>0</v>
          </cell>
        </row>
        <row r="992">
          <cell r="D992">
            <v>205804</v>
          </cell>
          <cell r="E992" t="str">
            <v>Sai Teja Shipping Services(Storage Deposit)</v>
          </cell>
          <cell r="F992">
            <v>-1786860</v>
          </cell>
          <cell r="G992">
            <v>1786860</v>
          </cell>
          <cell r="H992">
            <v>78800</v>
          </cell>
          <cell r="I992">
            <v>-78800</v>
          </cell>
        </row>
        <row r="993">
          <cell r="D993">
            <v>205810</v>
          </cell>
          <cell r="E993" t="str">
            <v>A.S.Shipping Agencies Pvt. Ltd.,(Storage Deposit)</v>
          </cell>
          <cell r="F993">
            <v>0</v>
          </cell>
          <cell r="G993">
            <v>0</v>
          </cell>
          <cell r="H993">
            <v>1595680</v>
          </cell>
          <cell r="I993">
            <v>-1595680</v>
          </cell>
        </row>
        <row r="994">
          <cell r="D994">
            <v>206795</v>
          </cell>
          <cell r="E994" t="str">
            <v>Advances Received From Customers</v>
          </cell>
          <cell r="F994">
            <v>-14306753</v>
          </cell>
          <cell r="G994">
            <v>0</v>
          </cell>
          <cell r="H994">
            <v>-4756968</v>
          </cell>
          <cell r="I994">
            <v>-9549784</v>
          </cell>
        </row>
        <row r="995">
          <cell r="D995">
            <v>208847</v>
          </cell>
          <cell r="E995" t="str">
            <v>Secondary &amp; Higher Edu Cess Payable</v>
          </cell>
          <cell r="F995">
            <v>-104192</v>
          </cell>
          <cell r="G995">
            <v>2167692</v>
          </cell>
          <cell r="H995">
            <v>2315057</v>
          </cell>
          <cell r="I995">
            <v>-251556</v>
          </cell>
        </row>
        <row r="996">
          <cell r="D996">
            <v>208850</v>
          </cell>
          <cell r="E996" t="str">
            <v>Capital Goods on Hold Account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</row>
        <row r="997">
          <cell r="D997">
            <v>208890</v>
          </cell>
          <cell r="E997" t="str">
            <v>TDS Payable - Professional</v>
          </cell>
          <cell r="F997">
            <v>-797913</v>
          </cell>
          <cell r="G997">
            <v>4089811</v>
          </cell>
          <cell r="H997">
            <v>3877563</v>
          </cell>
          <cell r="I997">
            <v>-585665</v>
          </cell>
        </row>
        <row r="998">
          <cell r="D998">
            <v>208903</v>
          </cell>
          <cell r="E998" t="str">
            <v>VAT Payable(out put) 1%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</row>
        <row r="999">
          <cell r="D999">
            <v>208916</v>
          </cell>
          <cell r="E999" t="str">
            <v>Provision for Gratuity</v>
          </cell>
          <cell r="F999">
            <v>0</v>
          </cell>
          <cell r="G999">
            <v>336478</v>
          </cell>
          <cell r="H999">
            <v>336478</v>
          </cell>
          <cell r="I999">
            <v>0</v>
          </cell>
        </row>
        <row r="1000">
          <cell r="D1000">
            <v>208956</v>
          </cell>
          <cell r="E1000" t="str">
            <v>Kakinada Infrastructure Holdings Pvt Ltd.,</v>
          </cell>
          <cell r="F1000">
            <v>0</v>
          </cell>
          <cell r="G1000">
            <v>0</v>
          </cell>
          <cell r="H1000">
            <v>100000000</v>
          </cell>
          <cell r="I1000">
            <v>-100000000</v>
          </cell>
        </row>
        <row r="1001">
          <cell r="D1001">
            <v>208957</v>
          </cell>
          <cell r="E1001" t="str">
            <v>Party 2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</row>
        <row r="1002">
          <cell r="D1002">
            <v>208977</v>
          </cell>
          <cell r="E1002" t="str">
            <v>Income Accrued But Not Due</v>
          </cell>
          <cell r="F1002">
            <v>-863522</v>
          </cell>
          <cell r="G1002">
            <v>3436108</v>
          </cell>
          <cell r="H1002">
            <v>3436095</v>
          </cell>
          <cell r="I1002">
            <v>-863509</v>
          </cell>
        </row>
        <row r="1003">
          <cell r="D1003">
            <v>209098</v>
          </cell>
          <cell r="E1003" t="str">
            <v>Materials received not invoiced(MRNI)-Accounts WH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</row>
        <row r="1004">
          <cell r="D1004">
            <v>209101</v>
          </cell>
          <cell r="E1004" t="str">
            <v>Materials received not invoiced(MRNI)-Logistic WH</v>
          </cell>
          <cell r="F1004">
            <v>0</v>
          </cell>
          <cell r="G1004">
            <v>74488</v>
          </cell>
          <cell r="H1004">
            <v>74488</v>
          </cell>
          <cell r="I1004">
            <v>0</v>
          </cell>
        </row>
        <row r="1005">
          <cell r="D1005">
            <v>209107</v>
          </cell>
          <cell r="E1005" t="str">
            <v>Materials received not invoiced(MRNI)-HSC WH</v>
          </cell>
          <cell r="F1005">
            <v>0</v>
          </cell>
          <cell r="G1005">
            <v>654321</v>
          </cell>
          <cell r="H1005">
            <v>654321</v>
          </cell>
          <cell r="I1005">
            <v>0</v>
          </cell>
        </row>
        <row r="1006">
          <cell r="D1006">
            <v>201656</v>
          </cell>
          <cell r="E1006" t="str">
            <v>United Port Services (India) Ltd., Formerlery Belair Logistics Ltd.,</v>
          </cell>
          <cell r="F1006">
            <v>-1618560</v>
          </cell>
          <cell r="G1006">
            <v>0</v>
          </cell>
          <cell r="H1006">
            <v>0</v>
          </cell>
          <cell r="I1006">
            <v>-1618560</v>
          </cell>
        </row>
        <row r="1007">
          <cell r="D1007">
            <v>201658</v>
          </cell>
          <cell r="E1007" t="str">
            <v>united port services limited</v>
          </cell>
          <cell r="F1007">
            <v>-710633</v>
          </cell>
          <cell r="G1007">
            <v>0</v>
          </cell>
          <cell r="H1007">
            <v>0</v>
          </cell>
          <cell r="I1007">
            <v>-710633</v>
          </cell>
        </row>
        <row r="1008">
          <cell r="D1008">
            <v>201665</v>
          </cell>
          <cell r="E1008" t="str">
            <v>Reliance Deposit</v>
          </cell>
          <cell r="F1008">
            <v>-3500000</v>
          </cell>
          <cell r="G1008">
            <v>0</v>
          </cell>
          <cell r="H1008">
            <v>0</v>
          </cell>
          <cell r="I1008">
            <v>-3500000</v>
          </cell>
        </row>
        <row r="1009">
          <cell r="D1009">
            <v>201668</v>
          </cell>
          <cell r="E1009" t="str">
            <v>Transocean - Deposit</v>
          </cell>
          <cell r="F1009">
            <v>-2500000</v>
          </cell>
          <cell r="G1009">
            <v>0</v>
          </cell>
          <cell r="H1009">
            <v>0</v>
          </cell>
          <cell r="I1009">
            <v>-2500000</v>
          </cell>
        </row>
        <row r="1010">
          <cell r="D1010">
            <v>201672</v>
          </cell>
          <cell r="E1010" t="str">
            <v>Chaitanya Marine Services (Deposit)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</row>
        <row r="1011">
          <cell r="D1011">
            <v>201676</v>
          </cell>
          <cell r="E1011" t="str">
            <v>Marine Logistics &amp; Shipping Agencies(Deposit)</v>
          </cell>
          <cell r="F1011">
            <v>0</v>
          </cell>
          <cell r="G1011">
            <v>0</v>
          </cell>
          <cell r="H1011">
            <v>15000</v>
          </cell>
          <cell r="I1011">
            <v>-15000</v>
          </cell>
        </row>
        <row r="1012">
          <cell r="D1012">
            <v>201683</v>
          </cell>
          <cell r="E1012" t="str">
            <v>Indian Tourism Development Corporation Ltd.,(Rent Deposit)</v>
          </cell>
          <cell r="F1012">
            <v>0</v>
          </cell>
          <cell r="G1012">
            <v>0</v>
          </cell>
          <cell r="H1012">
            <v>7088</v>
          </cell>
          <cell r="I1012">
            <v>-7088</v>
          </cell>
        </row>
        <row r="1013">
          <cell r="D1013">
            <v>201685</v>
          </cell>
          <cell r="E1013" t="str">
            <v>Sai Shipping Services(Deposit)</v>
          </cell>
          <cell r="F1013">
            <v>0</v>
          </cell>
          <cell r="G1013">
            <v>0</v>
          </cell>
          <cell r="H1013">
            <v>35000</v>
          </cell>
          <cell r="I1013">
            <v>-35000</v>
          </cell>
        </row>
        <row r="1014">
          <cell r="D1014">
            <v>202669</v>
          </cell>
          <cell r="E1014" t="str">
            <v>Anand Transport (Deposit)</v>
          </cell>
          <cell r="F1014">
            <v>-35000</v>
          </cell>
          <cell r="G1014">
            <v>0</v>
          </cell>
          <cell r="H1014">
            <v>0</v>
          </cell>
          <cell r="I1014">
            <v>-35000</v>
          </cell>
        </row>
        <row r="1015">
          <cell r="D1015">
            <v>202670</v>
          </cell>
          <cell r="E1015" t="str">
            <v>Act Forwarders Steamer Agency (Deposit)</v>
          </cell>
          <cell r="F1015">
            <v>-15000</v>
          </cell>
          <cell r="G1015">
            <v>0</v>
          </cell>
          <cell r="H1015">
            <v>0</v>
          </cell>
          <cell r="I1015">
            <v>-15000</v>
          </cell>
        </row>
        <row r="1016">
          <cell r="D1016">
            <v>202671</v>
          </cell>
          <cell r="E1016" t="str">
            <v>Act Marine (Deposit)</v>
          </cell>
          <cell r="F1016">
            <v>-35000</v>
          </cell>
          <cell r="G1016">
            <v>0</v>
          </cell>
          <cell r="H1016">
            <v>0</v>
          </cell>
          <cell r="I1016">
            <v>-35000</v>
          </cell>
        </row>
        <row r="1017">
          <cell r="D1017">
            <v>202673</v>
          </cell>
          <cell r="E1017" t="str">
            <v>Alliance Logistics - Deposit</v>
          </cell>
          <cell r="F1017">
            <v>-15000</v>
          </cell>
          <cell r="G1017">
            <v>0</v>
          </cell>
          <cell r="H1017">
            <v>0</v>
          </cell>
          <cell r="I1017">
            <v>-15000</v>
          </cell>
        </row>
        <row r="1018">
          <cell r="D1018">
            <v>202682</v>
          </cell>
          <cell r="E1018" t="str">
            <v>Canoups Spping &amp; Trd Pvt Ltd ( Deposit)</v>
          </cell>
          <cell r="F1018">
            <v>-15000</v>
          </cell>
          <cell r="G1018">
            <v>0</v>
          </cell>
          <cell r="H1018">
            <v>0</v>
          </cell>
          <cell r="I1018">
            <v>-15000</v>
          </cell>
        </row>
        <row r="1019">
          <cell r="D1019">
            <v>202686</v>
          </cell>
          <cell r="E1019" t="str">
            <v>Chowgule Brothers (Deposit)</v>
          </cell>
          <cell r="F1019">
            <v>-45000</v>
          </cell>
          <cell r="G1019">
            <v>0</v>
          </cell>
          <cell r="H1019">
            <v>0</v>
          </cell>
          <cell r="I1019">
            <v>-45000</v>
          </cell>
        </row>
        <row r="1020">
          <cell r="D1020">
            <v>202690</v>
          </cell>
          <cell r="E1020" t="str">
            <v>D B C Pvt Ltd.,(Deposit)</v>
          </cell>
          <cell r="F1020">
            <v>-15000</v>
          </cell>
          <cell r="G1020">
            <v>0</v>
          </cell>
          <cell r="H1020">
            <v>0</v>
          </cell>
          <cell r="I1020">
            <v>-15000</v>
          </cell>
        </row>
        <row r="1021">
          <cell r="D1021">
            <v>202691</v>
          </cell>
          <cell r="E1021" t="str">
            <v>Debline Private Limited ( Deposit)</v>
          </cell>
          <cell r="F1021">
            <v>-15000</v>
          </cell>
          <cell r="G1021">
            <v>0</v>
          </cell>
          <cell r="H1021">
            <v>0</v>
          </cell>
          <cell r="I1021">
            <v>-15000</v>
          </cell>
        </row>
        <row r="1022">
          <cell r="D1022">
            <v>202699</v>
          </cell>
          <cell r="E1022" t="str">
            <v>Gordon Woodrofee Logistics Ltd (Deposit)</v>
          </cell>
          <cell r="F1022">
            <v>-15000</v>
          </cell>
          <cell r="G1022">
            <v>0</v>
          </cell>
          <cell r="H1022">
            <v>0</v>
          </cell>
          <cell r="I1022">
            <v>-15000</v>
          </cell>
        </row>
        <row r="1023">
          <cell r="D1023">
            <v>202706</v>
          </cell>
          <cell r="E1023" t="str">
            <v>International Shippers &amp; Traders Pvt Ltd.,(Deposit)</v>
          </cell>
          <cell r="F1023">
            <v>-45000</v>
          </cell>
          <cell r="G1023">
            <v>0</v>
          </cell>
          <cell r="H1023">
            <v>0</v>
          </cell>
          <cell r="I1023">
            <v>-45000</v>
          </cell>
        </row>
        <row r="1024">
          <cell r="D1024">
            <v>202708</v>
          </cell>
          <cell r="E1024" t="str">
            <v>James Mackinosh &amp;Co Deposit</v>
          </cell>
          <cell r="F1024">
            <v>-15000</v>
          </cell>
          <cell r="G1024">
            <v>0</v>
          </cell>
          <cell r="H1024">
            <v>0</v>
          </cell>
          <cell r="I1024">
            <v>-15000</v>
          </cell>
        </row>
        <row r="1025">
          <cell r="D1025">
            <v>202720</v>
          </cell>
          <cell r="E1025" t="str">
            <v>Lotus Marine Services Pvt. Ltd (Deposit)</v>
          </cell>
          <cell r="F1025">
            <v>-50000</v>
          </cell>
          <cell r="G1025">
            <v>0</v>
          </cell>
          <cell r="H1025">
            <v>0</v>
          </cell>
          <cell r="I1025">
            <v>-50000</v>
          </cell>
        </row>
        <row r="1026">
          <cell r="D1026">
            <v>202721</v>
          </cell>
          <cell r="E1026" t="str">
            <v>Maruthi Shipping Services(Deposit)</v>
          </cell>
          <cell r="F1026">
            <v>-15000</v>
          </cell>
          <cell r="G1026">
            <v>0</v>
          </cell>
          <cell r="H1026">
            <v>0</v>
          </cell>
          <cell r="I1026">
            <v>-15000</v>
          </cell>
        </row>
        <row r="1027">
          <cell r="D1027">
            <v>202723</v>
          </cell>
          <cell r="E1027" t="str">
            <v>Murthy Cargo Services (Deposit)</v>
          </cell>
          <cell r="F1027">
            <v>-15000</v>
          </cell>
          <cell r="G1027">
            <v>0</v>
          </cell>
          <cell r="H1027">
            <v>0</v>
          </cell>
          <cell r="I1027">
            <v>-15000</v>
          </cell>
        </row>
        <row r="1028">
          <cell r="D1028">
            <v>202729</v>
          </cell>
          <cell r="E1028" t="str">
            <v>Patvolk (Deposit)</v>
          </cell>
          <cell r="F1028">
            <v>-15000</v>
          </cell>
          <cell r="G1028">
            <v>0</v>
          </cell>
          <cell r="H1028">
            <v>0</v>
          </cell>
          <cell r="I1028">
            <v>-15000</v>
          </cell>
        </row>
        <row r="1029">
          <cell r="D1029">
            <v>202736</v>
          </cell>
          <cell r="E1029" t="str">
            <v>R.R.Shipping (Deposit)</v>
          </cell>
          <cell r="F1029">
            <v>-35000</v>
          </cell>
          <cell r="G1029">
            <v>35000</v>
          </cell>
          <cell r="H1029">
            <v>0</v>
          </cell>
          <cell r="I1029">
            <v>0</v>
          </cell>
        </row>
        <row r="1030">
          <cell r="D1030">
            <v>202738</v>
          </cell>
          <cell r="E1030" t="str">
            <v>Sahi Oretrans Pvt Ltd., (Deposit)</v>
          </cell>
          <cell r="F1030">
            <v>-15000</v>
          </cell>
          <cell r="G1030">
            <v>0</v>
          </cell>
          <cell r="H1030">
            <v>0</v>
          </cell>
          <cell r="I1030">
            <v>-15000</v>
          </cell>
        </row>
        <row r="1031">
          <cell r="D1031">
            <v>202739</v>
          </cell>
          <cell r="E1031" t="str">
            <v>Saiteja Shipping Services (Deposit)</v>
          </cell>
          <cell r="F1031">
            <v>-30000</v>
          </cell>
          <cell r="G1031">
            <v>0</v>
          </cell>
          <cell r="H1031">
            <v>0</v>
          </cell>
          <cell r="I1031">
            <v>-30000</v>
          </cell>
        </row>
        <row r="1032">
          <cell r="D1032">
            <v>202742</v>
          </cell>
          <cell r="E1032" t="str">
            <v>Sarma &amp; Co. (Deposits)</v>
          </cell>
          <cell r="F1032">
            <v>-35000</v>
          </cell>
          <cell r="G1032">
            <v>0</v>
          </cell>
          <cell r="H1032">
            <v>0</v>
          </cell>
          <cell r="I1032">
            <v>-35000</v>
          </cell>
        </row>
        <row r="1033">
          <cell r="D1033">
            <v>202744</v>
          </cell>
          <cell r="E1033" t="str">
            <v>Seagulls Marine Services(Deposit)</v>
          </cell>
          <cell r="F1033">
            <v>-15000</v>
          </cell>
          <cell r="G1033">
            <v>0</v>
          </cell>
          <cell r="H1033">
            <v>0</v>
          </cell>
          <cell r="I1033">
            <v>-15000</v>
          </cell>
        </row>
        <row r="1034">
          <cell r="D1034">
            <v>202745</v>
          </cell>
          <cell r="E1034" t="str">
            <v>Sea Lored Shipping Services (Deposit)</v>
          </cell>
          <cell r="F1034">
            <v>-15000</v>
          </cell>
          <cell r="G1034">
            <v>0</v>
          </cell>
          <cell r="H1034">
            <v>0</v>
          </cell>
          <cell r="I1034">
            <v>-15000</v>
          </cell>
        </row>
        <row r="1035">
          <cell r="D1035">
            <v>202747</v>
          </cell>
          <cell r="E1035" t="str">
            <v>Seashell Shipping Services (Deposit)</v>
          </cell>
          <cell r="F1035">
            <v>-15000</v>
          </cell>
          <cell r="G1035">
            <v>0</v>
          </cell>
          <cell r="H1035">
            <v>0</v>
          </cell>
          <cell r="I1035">
            <v>-15000</v>
          </cell>
        </row>
        <row r="1036">
          <cell r="D1036">
            <v>202752</v>
          </cell>
          <cell r="E1036" t="str">
            <v>Shree Gayatri Shipping Service - Deposit</v>
          </cell>
          <cell r="F1036">
            <v>-15000</v>
          </cell>
          <cell r="G1036">
            <v>0</v>
          </cell>
          <cell r="H1036">
            <v>0</v>
          </cell>
          <cell r="I1036">
            <v>-15000</v>
          </cell>
        </row>
        <row r="1037">
          <cell r="D1037">
            <v>202754</v>
          </cell>
          <cell r="E1037" t="str">
            <v>South India Corporation Ltd(Deposit)</v>
          </cell>
          <cell r="F1037">
            <v>-50000</v>
          </cell>
          <cell r="G1037">
            <v>0</v>
          </cell>
          <cell r="H1037">
            <v>0</v>
          </cell>
          <cell r="I1037">
            <v>-50000</v>
          </cell>
        </row>
        <row r="1038">
          <cell r="D1038">
            <v>202755</v>
          </cell>
          <cell r="E1038" t="str">
            <v>Spanoceanic Services Pvt Ltd (Deposit)</v>
          </cell>
          <cell r="F1038">
            <v>-15000</v>
          </cell>
          <cell r="G1038">
            <v>0</v>
          </cell>
          <cell r="H1038">
            <v>0</v>
          </cell>
          <cell r="I1038">
            <v>-15000</v>
          </cell>
        </row>
        <row r="1039">
          <cell r="D1039">
            <v>202757</v>
          </cell>
          <cell r="E1039" t="str">
            <v>Sri Lakhsmi Shipping Agency(Deposit)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</row>
        <row r="1040">
          <cell r="D1040">
            <v>202760</v>
          </cell>
          <cell r="E1040" t="str">
            <v>Sri Valli Shipping &amp; Transport (Deposit)</v>
          </cell>
          <cell r="F1040">
            <v>-40000</v>
          </cell>
          <cell r="G1040">
            <v>0</v>
          </cell>
          <cell r="H1040">
            <v>5000</v>
          </cell>
          <cell r="I1040">
            <v>-45000</v>
          </cell>
        </row>
        <row r="1041">
          <cell r="D1041">
            <v>202761</v>
          </cell>
          <cell r="E1041" t="str">
            <v>St. Jhon Freight Systems Limited - Deposit</v>
          </cell>
          <cell r="F1041">
            <v>-45000</v>
          </cell>
          <cell r="G1041">
            <v>0</v>
          </cell>
          <cell r="H1041">
            <v>0</v>
          </cell>
          <cell r="I1041">
            <v>-45000</v>
          </cell>
        </row>
        <row r="1042">
          <cell r="D1042">
            <v>202763</v>
          </cell>
          <cell r="E1042" t="str">
            <v>Triar Logistics(Deposit)</v>
          </cell>
          <cell r="F1042">
            <v>-15000</v>
          </cell>
          <cell r="G1042">
            <v>0</v>
          </cell>
          <cell r="H1042">
            <v>0</v>
          </cell>
          <cell r="I1042">
            <v>-15000</v>
          </cell>
        </row>
        <row r="1043">
          <cell r="D1043">
            <v>202769</v>
          </cell>
          <cell r="E1043" t="str">
            <v>Wilhelmsen Maritime Services(Deposit)</v>
          </cell>
          <cell r="F1043">
            <v>-15000</v>
          </cell>
          <cell r="G1043">
            <v>0</v>
          </cell>
          <cell r="H1043">
            <v>0</v>
          </cell>
          <cell r="I1043">
            <v>-15000</v>
          </cell>
        </row>
        <row r="1044">
          <cell r="D1044">
            <v>202770</v>
          </cell>
          <cell r="E1044" t="str">
            <v>Kakinada Supply Base Limied (Deposit)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</row>
        <row r="1045">
          <cell r="D1045">
            <v>202771</v>
          </cell>
          <cell r="E1045" t="str">
            <v>Act Forwardes (Deposit)</v>
          </cell>
          <cell r="F1045">
            <v>-35000</v>
          </cell>
          <cell r="G1045">
            <v>0</v>
          </cell>
          <cell r="H1045">
            <v>0</v>
          </cell>
          <cell r="I1045">
            <v>-35000</v>
          </cell>
        </row>
        <row r="1046">
          <cell r="D1046">
            <v>202772</v>
          </cell>
          <cell r="E1046" t="str">
            <v>Continental Warehouseng Corporation Ltd (Deposit)</v>
          </cell>
          <cell r="F1046">
            <v>-15000</v>
          </cell>
          <cell r="G1046">
            <v>0</v>
          </cell>
          <cell r="H1046">
            <v>0</v>
          </cell>
          <cell r="I1046">
            <v>-15000</v>
          </cell>
        </row>
        <row r="1047">
          <cell r="D1047">
            <v>203682</v>
          </cell>
          <cell r="E1047" t="str">
            <v>As Shipping Agencies Pvt Ltd (Rly Deposit)</v>
          </cell>
          <cell r="F1047">
            <v>-500000</v>
          </cell>
          <cell r="G1047">
            <v>0</v>
          </cell>
          <cell r="H1047">
            <v>0</v>
          </cell>
          <cell r="I1047">
            <v>-500000</v>
          </cell>
        </row>
        <row r="1048">
          <cell r="D1048">
            <v>203684</v>
          </cell>
          <cell r="E1048" t="str">
            <v>Esskay Shipping Pvt Ltd  Rly Deposit</v>
          </cell>
          <cell r="F1048">
            <v>-500000</v>
          </cell>
          <cell r="G1048">
            <v>0</v>
          </cell>
          <cell r="H1048">
            <v>0</v>
          </cell>
          <cell r="I1048">
            <v>-500000</v>
          </cell>
        </row>
        <row r="1049">
          <cell r="D1049">
            <v>203692</v>
          </cell>
          <cell r="E1049" t="str">
            <v>International Shippers &amp; Traders Pvt Ltd.,(Rly Deposit)</v>
          </cell>
          <cell r="F1049">
            <v>0</v>
          </cell>
          <cell r="G1049">
            <v>0</v>
          </cell>
          <cell r="H1049">
            <v>500000</v>
          </cell>
          <cell r="I1049">
            <v>-500000</v>
          </cell>
        </row>
        <row r="1050">
          <cell r="D1050">
            <v>203694</v>
          </cell>
          <cell r="E1050" t="str">
            <v>Orissa Stevedores Ltd.,(Rly Deposit)</v>
          </cell>
          <cell r="F1050">
            <v>0</v>
          </cell>
          <cell r="G1050">
            <v>0</v>
          </cell>
          <cell r="H1050">
            <v>500000</v>
          </cell>
          <cell r="I1050">
            <v>-500000</v>
          </cell>
        </row>
        <row r="1051">
          <cell r="D1051">
            <v>204780</v>
          </cell>
          <cell r="E1051" t="str">
            <v>Contractors Retention Money</v>
          </cell>
          <cell r="F1051">
            <v>0</v>
          </cell>
          <cell r="G1051">
            <v>3098087</v>
          </cell>
          <cell r="H1051">
            <v>3098087</v>
          </cell>
          <cell r="I1051">
            <v>0</v>
          </cell>
        </row>
        <row r="1052">
          <cell r="D1052">
            <v>204785</v>
          </cell>
          <cell r="E1052" t="str">
            <v>Green Cross - Retention</v>
          </cell>
          <cell r="F1052">
            <v>-33053</v>
          </cell>
          <cell r="G1052">
            <v>0</v>
          </cell>
          <cell r="H1052">
            <v>0</v>
          </cell>
          <cell r="I1052">
            <v>-33053</v>
          </cell>
        </row>
        <row r="1053">
          <cell r="D1053">
            <v>204789</v>
          </cell>
          <cell r="E1053" t="str">
            <v>Kamal Engineering Enterprises - Retention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</row>
        <row r="1054">
          <cell r="D1054">
            <v>204790</v>
          </cell>
          <cell r="E1054" t="str">
            <v>Kohinoor Digitals -Retention</v>
          </cell>
          <cell r="F1054">
            <v>-350</v>
          </cell>
          <cell r="G1054">
            <v>0</v>
          </cell>
          <cell r="H1054">
            <v>8873</v>
          </cell>
          <cell r="I1054">
            <v>-9223</v>
          </cell>
        </row>
        <row r="1055">
          <cell r="D1055">
            <v>204794</v>
          </cell>
          <cell r="E1055" t="str">
            <v>Mohan Enterprises - Retention</v>
          </cell>
          <cell r="F1055">
            <v>-24660</v>
          </cell>
          <cell r="G1055">
            <v>0</v>
          </cell>
          <cell r="H1055">
            <v>0</v>
          </cell>
          <cell r="I1055">
            <v>-24660</v>
          </cell>
        </row>
        <row r="1056">
          <cell r="D1056">
            <v>204800</v>
          </cell>
          <cell r="E1056" t="str">
            <v>S Sheshavatharam - Retention</v>
          </cell>
          <cell r="F1056">
            <v>-403773</v>
          </cell>
          <cell r="G1056">
            <v>359708</v>
          </cell>
          <cell r="H1056">
            <v>361320</v>
          </cell>
          <cell r="I1056">
            <v>-405385</v>
          </cell>
        </row>
        <row r="1057">
          <cell r="D1057">
            <v>204805</v>
          </cell>
          <cell r="E1057" t="str">
            <v>Srija Constructions and Earth Movers  - Retention</v>
          </cell>
          <cell r="F1057">
            <v>-602768</v>
          </cell>
          <cell r="G1057">
            <v>607286</v>
          </cell>
          <cell r="H1057">
            <v>379544</v>
          </cell>
          <cell r="I1057">
            <v>-375026</v>
          </cell>
        </row>
        <row r="1058">
          <cell r="D1058">
            <v>204809</v>
          </cell>
          <cell r="E1058" t="str">
            <v>Contractors - Retention Money</v>
          </cell>
          <cell r="F1058">
            <v>0</v>
          </cell>
          <cell r="G1058">
            <v>6342236</v>
          </cell>
          <cell r="H1058">
            <v>6342236</v>
          </cell>
          <cell r="I1058">
            <v>0</v>
          </cell>
        </row>
        <row r="1059">
          <cell r="D1059">
            <v>204811</v>
          </cell>
          <cell r="E1059" t="str">
            <v>Vuta Srinivas - Retention</v>
          </cell>
          <cell r="F1059">
            <v>-120871</v>
          </cell>
          <cell r="G1059">
            <v>0</v>
          </cell>
          <cell r="H1059">
            <v>94437</v>
          </cell>
          <cell r="I1059">
            <v>-215308</v>
          </cell>
        </row>
        <row r="1060">
          <cell r="D1060">
            <v>204813</v>
          </cell>
          <cell r="E1060" t="str">
            <v>Sai Sree Projects - Retention</v>
          </cell>
          <cell r="F1060">
            <v>0</v>
          </cell>
          <cell r="G1060">
            <v>187004</v>
          </cell>
          <cell r="H1060">
            <v>377064</v>
          </cell>
          <cell r="I1060">
            <v>-190060</v>
          </cell>
        </row>
        <row r="1061">
          <cell r="D1061">
            <v>204823</v>
          </cell>
          <cell r="E1061" t="str">
            <v>Chinnibilli Builders - Retention</v>
          </cell>
          <cell r="F1061">
            <v>0</v>
          </cell>
          <cell r="G1061">
            <v>0</v>
          </cell>
          <cell r="H1061">
            <v>135407</v>
          </cell>
          <cell r="I1061">
            <v>-135407</v>
          </cell>
        </row>
        <row r="1062">
          <cell r="D1062">
            <v>204831</v>
          </cell>
          <cell r="E1062" t="str">
            <v>A Satyanarayana - Retention</v>
          </cell>
          <cell r="F1062">
            <v>-57952</v>
          </cell>
          <cell r="G1062">
            <v>57959</v>
          </cell>
          <cell r="H1062">
            <v>7</v>
          </cell>
          <cell r="I1062">
            <v>0</v>
          </cell>
        </row>
        <row r="1063">
          <cell r="D1063">
            <v>204833</v>
          </cell>
          <cell r="E1063" t="str">
            <v>M Sarveswara Rao - Retention</v>
          </cell>
          <cell r="F1063">
            <v>-59843</v>
          </cell>
          <cell r="G1063">
            <v>0</v>
          </cell>
          <cell r="H1063">
            <v>0</v>
          </cell>
          <cell r="I1063">
            <v>-59843</v>
          </cell>
        </row>
        <row r="1064">
          <cell r="D1064">
            <v>205780</v>
          </cell>
          <cell r="E1064" t="str">
            <v>A Kasiviswanatham (Storage Deposit)</v>
          </cell>
          <cell r="F1064">
            <v>-516516</v>
          </cell>
          <cell r="G1064">
            <v>143390</v>
          </cell>
          <cell r="H1064">
            <v>143390</v>
          </cell>
          <cell r="I1064">
            <v>-516516</v>
          </cell>
        </row>
        <row r="1065">
          <cell r="D1065">
            <v>205785</v>
          </cell>
          <cell r="E1065" t="str">
            <v>Esskay Shipping Pvt Ltd.,(Storage Deposit)</v>
          </cell>
          <cell r="F1065">
            <v>-300016</v>
          </cell>
          <cell r="G1065">
            <v>300016</v>
          </cell>
          <cell r="H1065">
            <v>0</v>
          </cell>
          <cell r="I1065">
            <v>0</v>
          </cell>
        </row>
        <row r="1066">
          <cell r="D1066">
            <v>205789</v>
          </cell>
          <cell r="E1066" t="str">
            <v>Mohan Enterprises (Storage Deposit)</v>
          </cell>
          <cell r="F1066">
            <v>-62370</v>
          </cell>
          <cell r="G1066">
            <v>62370</v>
          </cell>
          <cell r="H1066">
            <v>0</v>
          </cell>
          <cell r="I1066">
            <v>0</v>
          </cell>
        </row>
        <row r="1067">
          <cell r="D1067">
            <v>205790</v>
          </cell>
          <cell r="E1067" t="str">
            <v>Prathyusha Associates (Storage Deposit)</v>
          </cell>
          <cell r="F1067">
            <v>-168540</v>
          </cell>
          <cell r="G1067">
            <v>0</v>
          </cell>
          <cell r="H1067">
            <v>0</v>
          </cell>
          <cell r="I1067">
            <v>-168540</v>
          </cell>
        </row>
        <row r="1068">
          <cell r="D1068">
            <v>205794</v>
          </cell>
          <cell r="E1068" t="str">
            <v>Sri Sai Oil Field Equipment &amp; Marine Sers (Sto Dep)</v>
          </cell>
          <cell r="F1068">
            <v>-117371</v>
          </cell>
          <cell r="G1068">
            <v>117371</v>
          </cell>
          <cell r="H1068">
            <v>0</v>
          </cell>
          <cell r="I1068">
            <v>0</v>
          </cell>
        </row>
        <row r="1069">
          <cell r="D1069">
            <v>205805</v>
          </cell>
          <cell r="E1069" t="str">
            <v>Raamns Shipping &amp; Logistics Pvt Ltd.,(Deposit)</v>
          </cell>
          <cell r="F1069">
            <v>-15000</v>
          </cell>
          <cell r="G1069">
            <v>0</v>
          </cell>
          <cell r="H1069">
            <v>0</v>
          </cell>
          <cell r="I1069">
            <v>-15000</v>
          </cell>
        </row>
        <row r="1070">
          <cell r="D1070">
            <v>205806</v>
          </cell>
          <cell r="E1070" t="str">
            <v>Sravan Shipping Services Pvt Ltd.,(Storage Deposit)</v>
          </cell>
          <cell r="F1070">
            <v>-79416</v>
          </cell>
          <cell r="G1070">
            <v>0</v>
          </cell>
          <cell r="H1070">
            <v>0</v>
          </cell>
          <cell r="I1070">
            <v>-79416</v>
          </cell>
        </row>
        <row r="1071">
          <cell r="D1071">
            <v>205808</v>
          </cell>
          <cell r="E1071" t="str">
            <v>Naresh Nath Mookerjee(Shipping) Pvt Ltd.(Deposit)</v>
          </cell>
          <cell r="F1071">
            <v>0</v>
          </cell>
          <cell r="G1071">
            <v>0</v>
          </cell>
          <cell r="H1071">
            <v>15000</v>
          </cell>
          <cell r="I1071">
            <v>-15000</v>
          </cell>
        </row>
        <row r="1072">
          <cell r="D1072">
            <v>205809</v>
          </cell>
          <cell r="E1072" t="str">
            <v>South India Corporation Ltd.,(Storage Deposit)</v>
          </cell>
          <cell r="F1072">
            <v>0</v>
          </cell>
          <cell r="G1072">
            <v>0</v>
          </cell>
          <cell r="H1072">
            <v>436788</v>
          </cell>
          <cell r="I1072">
            <v>-436788</v>
          </cell>
        </row>
        <row r="1073">
          <cell r="D1073">
            <v>205811</v>
          </cell>
          <cell r="E1073" t="str">
            <v>Orissa Stevedores Ltd.,(Storage Deposit)</v>
          </cell>
          <cell r="F1073">
            <v>0</v>
          </cell>
          <cell r="G1073">
            <v>0</v>
          </cell>
          <cell r="H1073">
            <v>5073800</v>
          </cell>
          <cell r="I1073">
            <v>-5073800</v>
          </cell>
        </row>
        <row r="1074">
          <cell r="D1074">
            <v>205813</v>
          </cell>
          <cell r="E1074" t="str">
            <v>Act Fowarders(Storage Deposit)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</row>
        <row r="1075">
          <cell r="D1075">
            <v>206796</v>
          </cell>
          <cell r="E1075" t="str">
            <v>Accounts Payable  Downpayment Clearing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</row>
        <row r="1076">
          <cell r="D1076">
            <v>208796</v>
          </cell>
          <cell r="E1076" t="str">
            <v>Expense -2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</row>
        <row r="1077">
          <cell r="D1077">
            <v>208826</v>
          </cell>
          <cell r="E1077" t="str">
            <v>Secondary &amp; Higher Edu Cess Paid</v>
          </cell>
          <cell r="F1077">
            <v>67483</v>
          </cell>
          <cell r="G1077">
            <v>6857</v>
          </cell>
          <cell r="H1077">
            <v>74340</v>
          </cell>
          <cell r="I1077">
            <v>0</v>
          </cell>
        </row>
        <row r="1078">
          <cell r="D1078">
            <v>208846</v>
          </cell>
          <cell r="E1078" t="str">
            <v>Education Cess Payable</v>
          </cell>
          <cell r="F1078">
            <v>-210531</v>
          </cell>
          <cell r="G1078">
            <v>4631655</v>
          </cell>
          <cell r="H1078">
            <v>4926896</v>
          </cell>
          <cell r="I1078">
            <v>-505772</v>
          </cell>
        </row>
        <row r="1079">
          <cell r="D1079">
            <v>208851</v>
          </cell>
          <cell r="E1079" t="str">
            <v>FBT-Paybles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</row>
        <row r="1080">
          <cell r="D1080">
            <v>208853</v>
          </cell>
          <cell r="E1080" t="str">
            <v>Secondary Higher Education Cess Payable - GTA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</row>
        <row r="1081">
          <cell r="D1081">
            <v>208869</v>
          </cell>
          <cell r="E1081" t="str">
            <v>Oil Cess</v>
          </cell>
          <cell r="F1081">
            <v>-33529</v>
          </cell>
          <cell r="G1081">
            <v>549305</v>
          </cell>
          <cell r="H1081">
            <v>515776</v>
          </cell>
          <cell r="I1081">
            <v>0</v>
          </cell>
        </row>
        <row r="1082">
          <cell r="D1082">
            <v>208871</v>
          </cell>
          <cell r="E1082" t="str">
            <v>ESI Employees Contribution Payable</v>
          </cell>
          <cell r="F1082">
            <v>-4919</v>
          </cell>
          <cell r="G1082">
            <v>48059</v>
          </cell>
          <cell r="H1082">
            <v>51283</v>
          </cell>
          <cell r="I1082">
            <v>-8143</v>
          </cell>
        </row>
        <row r="1083">
          <cell r="D1083">
            <v>208896</v>
          </cell>
          <cell r="E1083" t="str">
            <v>TDS Payable u/s 195</v>
          </cell>
          <cell r="F1083">
            <v>0</v>
          </cell>
          <cell r="G1083">
            <v>1733865</v>
          </cell>
          <cell r="H1083">
            <v>1733865</v>
          </cell>
          <cell r="I1083">
            <v>0</v>
          </cell>
        </row>
        <row r="1084">
          <cell r="D1084">
            <v>208904</v>
          </cell>
          <cell r="E1084" t="str">
            <v>VAT Payable(out put) 4%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</row>
        <row r="1085">
          <cell r="D1085">
            <v>208918</v>
          </cell>
          <cell r="E1085" t="str">
            <v>Provision for Bonus, Exgratio</v>
          </cell>
          <cell r="F1085">
            <v>-1612613</v>
          </cell>
          <cell r="G1085">
            <v>1612613</v>
          </cell>
          <cell r="H1085">
            <v>1833250</v>
          </cell>
          <cell r="I1085">
            <v>-1833250</v>
          </cell>
        </row>
        <row r="1086">
          <cell r="D1086">
            <v>208978</v>
          </cell>
          <cell r="E1086" t="str">
            <v>Income Accrued But Not Due - UPSPL 2.75 Acres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</row>
        <row r="1087">
          <cell r="D1087">
            <v>208997</v>
          </cell>
          <cell r="E1087" t="str">
            <v>South India Infrastructure Dev Co Pvt Ltd.,</v>
          </cell>
          <cell r="F1087">
            <v>-11669000</v>
          </cell>
          <cell r="G1087">
            <v>0</v>
          </cell>
          <cell r="H1087">
            <v>0</v>
          </cell>
          <cell r="I1087">
            <v>-11669000</v>
          </cell>
        </row>
        <row r="1088">
          <cell r="D1088">
            <v>209097</v>
          </cell>
          <cell r="E1088" t="str">
            <v>Materials received not invoiced(MRNI)-Material WH</v>
          </cell>
          <cell r="F1088">
            <v>0</v>
          </cell>
          <cell r="G1088">
            <v>165071</v>
          </cell>
          <cell r="H1088">
            <v>165071</v>
          </cell>
          <cell r="I1088">
            <v>0</v>
          </cell>
        </row>
        <row r="1089">
          <cell r="D1089">
            <v>209099</v>
          </cell>
          <cell r="E1089" t="str">
            <v>Materials received not invoiced(MRNI)-Human resorce WH</v>
          </cell>
          <cell r="F1089">
            <v>0</v>
          </cell>
          <cell r="G1089">
            <v>322853</v>
          </cell>
          <cell r="H1089">
            <v>322853</v>
          </cell>
          <cell r="I1089">
            <v>0</v>
          </cell>
        </row>
        <row r="1090">
          <cell r="D1090">
            <v>209104</v>
          </cell>
          <cell r="E1090" t="str">
            <v>Materials received not invoiced(MRNI)-Electrical WH</v>
          </cell>
          <cell r="F1090">
            <v>0</v>
          </cell>
          <cell r="G1090">
            <v>15876784</v>
          </cell>
          <cell r="H1090">
            <v>16199648</v>
          </cell>
          <cell r="I1090">
            <v>-322864</v>
          </cell>
        </row>
        <row r="1091">
          <cell r="D1091">
            <v>201660</v>
          </cell>
          <cell r="E1091" t="str">
            <v>GSPC - Deposit</v>
          </cell>
          <cell r="F1091">
            <v>-32500000</v>
          </cell>
          <cell r="G1091">
            <v>0</v>
          </cell>
          <cell r="H1091">
            <v>0</v>
          </cell>
          <cell r="I1091">
            <v>-32500000</v>
          </cell>
        </row>
        <row r="1092">
          <cell r="D1092">
            <v>201661</v>
          </cell>
          <cell r="E1092" t="str">
            <v>Helix Energy Solutions B.V Secu Deposit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</row>
        <row r="1093">
          <cell r="D1093">
            <v>201663</v>
          </cell>
          <cell r="E1093" t="str">
            <v>Hercules Marketing International Limited Deposit</v>
          </cell>
          <cell r="F1093">
            <v>-2141499</v>
          </cell>
          <cell r="G1093">
            <v>0</v>
          </cell>
          <cell r="H1093">
            <v>0</v>
          </cell>
          <cell r="I1093">
            <v>-2141499</v>
          </cell>
        </row>
        <row r="1094">
          <cell r="D1094">
            <v>201675</v>
          </cell>
          <cell r="E1094" t="str">
            <v>Noor Enterprises(Deposit)</v>
          </cell>
          <cell r="F1094">
            <v>0</v>
          </cell>
          <cell r="G1094">
            <v>0</v>
          </cell>
          <cell r="H1094">
            <v>15000</v>
          </cell>
          <cell r="I1094">
            <v>-15000</v>
          </cell>
        </row>
        <row r="1095">
          <cell r="D1095">
            <v>201678</v>
          </cell>
          <cell r="E1095" t="str">
            <v>Unique Global Logistics Pvt Ltd.,(Deposit)</v>
          </cell>
          <cell r="F1095">
            <v>0</v>
          </cell>
          <cell r="G1095">
            <v>0</v>
          </cell>
          <cell r="H1095">
            <v>15000</v>
          </cell>
          <cell r="I1095">
            <v>-15000</v>
          </cell>
        </row>
        <row r="1096">
          <cell r="D1096">
            <v>201680</v>
          </cell>
          <cell r="E1096" t="str">
            <v>Cairn Energy India Pty Ltd., (Deposit)</v>
          </cell>
          <cell r="F1096">
            <v>0</v>
          </cell>
          <cell r="G1096">
            <v>0</v>
          </cell>
          <cell r="H1096">
            <v>34000000</v>
          </cell>
          <cell r="I1096">
            <v>-34000000</v>
          </cell>
        </row>
        <row r="1097">
          <cell r="D1097">
            <v>201681</v>
          </cell>
          <cell r="E1097" t="str">
            <v>Indev Logistics Pvt Ltd.,(Deposit)</v>
          </cell>
          <cell r="F1097">
            <v>0</v>
          </cell>
          <cell r="G1097">
            <v>0</v>
          </cell>
          <cell r="H1097">
            <v>15000</v>
          </cell>
          <cell r="I1097">
            <v>-15000</v>
          </cell>
        </row>
        <row r="1098">
          <cell r="D1098">
            <v>202677</v>
          </cell>
          <cell r="E1098" t="str">
            <v>AS Shipping Agencies Deposit A/c</v>
          </cell>
          <cell r="F1098">
            <v>-45000</v>
          </cell>
          <cell r="G1098">
            <v>0</v>
          </cell>
          <cell r="H1098">
            <v>0</v>
          </cell>
          <cell r="I1098">
            <v>-45000</v>
          </cell>
        </row>
        <row r="1099">
          <cell r="D1099">
            <v>202679</v>
          </cell>
          <cell r="E1099" t="str">
            <v>Babaji Shivram (LG) Carriers Pvt. Ltd., - Deposit</v>
          </cell>
          <cell r="F1099">
            <v>-39214</v>
          </cell>
          <cell r="G1099">
            <v>0</v>
          </cell>
          <cell r="H1099">
            <v>0</v>
          </cell>
          <cell r="I1099">
            <v>-39214</v>
          </cell>
        </row>
        <row r="1100">
          <cell r="D1100">
            <v>202685</v>
          </cell>
          <cell r="E1100" t="str">
            <v>Chettinad Logistics Pvt Ltd.,(Deposit)</v>
          </cell>
          <cell r="F1100">
            <v>-15000</v>
          </cell>
          <cell r="G1100">
            <v>0</v>
          </cell>
          <cell r="H1100">
            <v>0</v>
          </cell>
          <cell r="I1100">
            <v>-15000</v>
          </cell>
        </row>
        <row r="1101">
          <cell r="D1101">
            <v>202688</v>
          </cell>
          <cell r="E1101" t="str">
            <v>Collins - Deposit</v>
          </cell>
          <cell r="F1101">
            <v>-15000</v>
          </cell>
          <cell r="G1101">
            <v>15000</v>
          </cell>
          <cell r="H1101">
            <v>0</v>
          </cell>
          <cell r="I1101">
            <v>0</v>
          </cell>
        </row>
        <row r="1102">
          <cell r="D1102">
            <v>202692</v>
          </cell>
          <cell r="E1102" t="str">
            <v>D S Narayana &amp; Co.,(Deposit)</v>
          </cell>
          <cell r="F1102">
            <v>-50000</v>
          </cell>
          <cell r="G1102">
            <v>0</v>
          </cell>
          <cell r="H1102">
            <v>0</v>
          </cell>
          <cell r="I1102">
            <v>-50000</v>
          </cell>
        </row>
        <row r="1103">
          <cell r="D1103">
            <v>202694</v>
          </cell>
          <cell r="E1103" t="str">
            <v>Esskay Shipping (Deposit)</v>
          </cell>
          <cell r="F1103">
            <v>-45000</v>
          </cell>
          <cell r="G1103">
            <v>0</v>
          </cell>
          <cell r="H1103">
            <v>0</v>
          </cell>
          <cell r="I1103">
            <v>-45000</v>
          </cell>
        </row>
        <row r="1104">
          <cell r="D1104">
            <v>202697</v>
          </cell>
          <cell r="E1104" t="str">
            <v>Global Coal &amp; Mining Pvt Ltd.,(Deposit)</v>
          </cell>
          <cell r="F1104">
            <v>-15000</v>
          </cell>
          <cell r="G1104">
            <v>0</v>
          </cell>
          <cell r="H1104">
            <v>0</v>
          </cell>
          <cell r="I1104">
            <v>-15000</v>
          </cell>
        </row>
        <row r="1105">
          <cell r="D1105">
            <v>202712</v>
          </cell>
          <cell r="E1105" t="str">
            <v>Karam Chand Thapar &amp; Bros(Coal Sales) Ltd(Deposit)</v>
          </cell>
          <cell r="F1105">
            <v>-15000</v>
          </cell>
          <cell r="G1105">
            <v>0</v>
          </cell>
          <cell r="H1105">
            <v>0</v>
          </cell>
          <cell r="I1105">
            <v>-15000</v>
          </cell>
        </row>
        <row r="1106">
          <cell r="D1106">
            <v>202715</v>
          </cell>
          <cell r="E1106" t="str">
            <v>K R &amp; Sons Pvt Limited(Deposit)</v>
          </cell>
          <cell r="F1106">
            <v>-50000</v>
          </cell>
          <cell r="G1106">
            <v>0</v>
          </cell>
          <cell r="H1106">
            <v>0</v>
          </cell>
          <cell r="I1106">
            <v>-50000</v>
          </cell>
        </row>
        <row r="1107">
          <cell r="D1107">
            <v>202717</v>
          </cell>
          <cell r="E1107" t="str">
            <v>Lee &amp; Murihead Limited(Deposit)</v>
          </cell>
          <cell r="F1107">
            <v>-15000</v>
          </cell>
          <cell r="G1107">
            <v>0</v>
          </cell>
          <cell r="H1107">
            <v>0</v>
          </cell>
          <cell r="I1107">
            <v>-15000</v>
          </cell>
        </row>
        <row r="1108">
          <cell r="D1108">
            <v>202726</v>
          </cell>
          <cell r="E1108" t="str">
            <v>Om Shipping Services(Deposit)</v>
          </cell>
          <cell r="F1108">
            <v>-15000</v>
          </cell>
          <cell r="G1108">
            <v>0</v>
          </cell>
          <cell r="H1108">
            <v>0</v>
          </cell>
          <cell r="I1108">
            <v>-15000</v>
          </cell>
        </row>
        <row r="1109">
          <cell r="D1109">
            <v>202728</v>
          </cell>
          <cell r="E1109" t="str">
            <v>Parekh Marine Agencies Pvt Ltd., (Deoisut)</v>
          </cell>
          <cell r="F1109">
            <v>-15000</v>
          </cell>
          <cell r="G1109">
            <v>0</v>
          </cell>
          <cell r="H1109">
            <v>0</v>
          </cell>
          <cell r="I1109">
            <v>-15000</v>
          </cell>
        </row>
        <row r="1110">
          <cell r="D1110">
            <v>202740</v>
          </cell>
          <cell r="E1110" t="str">
            <v>Samsara Shipping Pvt Ltd(Deposit)</v>
          </cell>
          <cell r="F1110">
            <v>-15000</v>
          </cell>
          <cell r="G1110">
            <v>0</v>
          </cell>
          <cell r="H1110">
            <v>0</v>
          </cell>
          <cell r="I1110">
            <v>-15000</v>
          </cell>
        </row>
        <row r="1111">
          <cell r="D1111">
            <v>202741</v>
          </cell>
          <cell r="E1111" t="str">
            <v>Sarat Chartterjee &amp; Co., (VSP) Pvt. Ltd., - Deposit</v>
          </cell>
          <cell r="F1111">
            <v>-45000</v>
          </cell>
          <cell r="G1111">
            <v>0</v>
          </cell>
          <cell r="H1111">
            <v>0</v>
          </cell>
          <cell r="I1111">
            <v>-45000</v>
          </cell>
        </row>
        <row r="1112">
          <cell r="D1112">
            <v>202743</v>
          </cell>
          <cell r="E1112" t="str">
            <v>Seabird Sea &amp; Air Logistics Pvt. Ltd., - Deposit</v>
          </cell>
          <cell r="F1112">
            <v>-45000</v>
          </cell>
          <cell r="G1112">
            <v>0</v>
          </cell>
          <cell r="H1112">
            <v>0</v>
          </cell>
          <cell r="I1112">
            <v>-45000</v>
          </cell>
        </row>
        <row r="1113">
          <cell r="D1113">
            <v>202749</v>
          </cell>
          <cell r="E1113" t="str">
            <v>Seaways Shipping Limited (Deposit)</v>
          </cell>
          <cell r="F1113">
            <v>-45000</v>
          </cell>
          <cell r="G1113">
            <v>0</v>
          </cell>
          <cell r="H1113">
            <v>0</v>
          </cell>
          <cell r="I1113">
            <v>-45000</v>
          </cell>
        </row>
        <row r="1114">
          <cell r="D1114">
            <v>202750</v>
          </cell>
          <cell r="E1114" t="str">
            <v>Shakthi Clearing Agency (Deposit)</v>
          </cell>
          <cell r="F1114">
            <v>-15000</v>
          </cell>
          <cell r="G1114">
            <v>0</v>
          </cell>
          <cell r="H1114">
            <v>0</v>
          </cell>
          <cell r="I1114">
            <v>-15000</v>
          </cell>
        </row>
        <row r="1115">
          <cell r="D1115">
            <v>202751</v>
          </cell>
          <cell r="E1115" t="str">
            <v>Sherif Travel &amp; Cargo Services P Ltd.,(Deposit)</v>
          </cell>
          <cell r="F1115">
            <v>-45000</v>
          </cell>
          <cell r="G1115">
            <v>0</v>
          </cell>
          <cell r="H1115">
            <v>0</v>
          </cell>
          <cell r="I1115">
            <v>-45000</v>
          </cell>
        </row>
        <row r="1116">
          <cell r="D1116">
            <v>202753</v>
          </cell>
          <cell r="E1116" t="str">
            <v>South India Corporation (A) Ltd., (Deposit</v>
          </cell>
          <cell r="F1116">
            <v>-30000</v>
          </cell>
          <cell r="G1116">
            <v>0</v>
          </cell>
          <cell r="H1116">
            <v>0</v>
          </cell>
          <cell r="I1116">
            <v>-30000</v>
          </cell>
        </row>
        <row r="1117">
          <cell r="D1117">
            <v>202759</v>
          </cell>
          <cell r="E1117" t="str">
            <v>Sri Srinivasa Enterprises (Deposit)</v>
          </cell>
          <cell r="F1117">
            <v>-15000</v>
          </cell>
          <cell r="G1117">
            <v>0</v>
          </cell>
          <cell r="H1117">
            <v>0</v>
          </cell>
          <cell r="I1117">
            <v>-15000</v>
          </cell>
        </row>
        <row r="1118">
          <cell r="D1118">
            <v>202766</v>
          </cell>
          <cell r="E1118" t="str">
            <v>Viking Shipping - Deposits</v>
          </cell>
          <cell r="F1118">
            <v>-35000</v>
          </cell>
          <cell r="G1118">
            <v>0</v>
          </cell>
          <cell r="H1118">
            <v>0</v>
          </cell>
          <cell r="I1118">
            <v>-35000</v>
          </cell>
        </row>
        <row r="1119">
          <cell r="D1119">
            <v>202768</v>
          </cell>
          <cell r="E1119" t="str">
            <v>Vision Projects Technologies Pvt Ltd.,(Deposit)</v>
          </cell>
          <cell r="F1119">
            <v>-15000</v>
          </cell>
          <cell r="G1119">
            <v>0</v>
          </cell>
          <cell r="H1119">
            <v>0</v>
          </cell>
          <cell r="I1119">
            <v>-15000</v>
          </cell>
        </row>
        <row r="1120">
          <cell r="D1120">
            <v>202773</v>
          </cell>
          <cell r="E1120" t="str">
            <v>World Link Shipping Agencies (Deposit)</v>
          </cell>
          <cell r="F1120">
            <v>-15000</v>
          </cell>
          <cell r="G1120">
            <v>0</v>
          </cell>
          <cell r="H1120">
            <v>0</v>
          </cell>
          <cell r="I1120">
            <v>-15000</v>
          </cell>
        </row>
        <row r="1121">
          <cell r="D1121">
            <v>203685</v>
          </cell>
          <cell r="E1121" t="str">
            <v>GNG Exports Rly Deposit</v>
          </cell>
          <cell r="F1121">
            <v>-500000</v>
          </cell>
          <cell r="G1121">
            <v>0</v>
          </cell>
          <cell r="H1121">
            <v>0</v>
          </cell>
          <cell r="I1121">
            <v>-500000</v>
          </cell>
        </row>
        <row r="1122">
          <cell r="D1122">
            <v>203686</v>
          </cell>
          <cell r="E1122" t="str">
            <v>J M Baxi &amp; Co (Rly. Deposit)</v>
          </cell>
          <cell r="F1122">
            <v>-500000</v>
          </cell>
          <cell r="G1122">
            <v>0</v>
          </cell>
          <cell r="H1122">
            <v>0</v>
          </cell>
          <cell r="I1122">
            <v>-500000</v>
          </cell>
        </row>
        <row r="1123">
          <cell r="D1123">
            <v>203688</v>
          </cell>
          <cell r="E1123" t="str">
            <v>Puy Vast Maritime India Ltd., (Rly Deposit)</v>
          </cell>
          <cell r="F1123">
            <v>-500000</v>
          </cell>
          <cell r="G1123">
            <v>0</v>
          </cell>
          <cell r="H1123">
            <v>0</v>
          </cell>
          <cell r="I1123">
            <v>-500000</v>
          </cell>
        </row>
        <row r="1124">
          <cell r="D1124">
            <v>203695</v>
          </cell>
          <cell r="E1124" t="str">
            <v>Viking Shipping Chennai Pvt Ltd.,(Rly Deposit)</v>
          </cell>
          <cell r="F1124">
            <v>0</v>
          </cell>
          <cell r="G1124">
            <v>0</v>
          </cell>
          <cell r="H1124">
            <v>500000</v>
          </cell>
          <cell r="I1124">
            <v>-500000</v>
          </cell>
        </row>
        <row r="1125">
          <cell r="D1125">
            <v>204778</v>
          </cell>
          <cell r="E1125" t="str">
            <v>Opening Balance - Retention</v>
          </cell>
          <cell r="F1125">
            <v>-20000</v>
          </cell>
          <cell r="G1125">
            <v>0</v>
          </cell>
          <cell r="H1125">
            <v>0</v>
          </cell>
          <cell r="I1125">
            <v>-20000</v>
          </cell>
        </row>
        <row r="1126">
          <cell r="D1126">
            <v>204781</v>
          </cell>
          <cell r="E1126" t="str">
            <v>Bhavani Constructions - Retention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</row>
        <row r="1127">
          <cell r="D1127">
            <v>204795</v>
          </cell>
          <cell r="E1127" t="str">
            <v>N Mohana Murali - Retention</v>
          </cell>
          <cell r="F1127">
            <v>-3321</v>
          </cell>
          <cell r="G1127">
            <v>0</v>
          </cell>
          <cell r="H1127">
            <v>0</v>
          </cell>
          <cell r="I1127">
            <v>-3321</v>
          </cell>
        </row>
        <row r="1128">
          <cell r="D1128">
            <v>204799</v>
          </cell>
          <cell r="E1128" t="str">
            <v>Shaik Ibrahim - Retention</v>
          </cell>
          <cell r="F1128">
            <v>-15032</v>
          </cell>
          <cell r="G1128">
            <v>19801</v>
          </cell>
          <cell r="H1128">
            <v>5751</v>
          </cell>
          <cell r="I1128">
            <v>-982</v>
          </cell>
        </row>
        <row r="1129">
          <cell r="D1129">
            <v>204803</v>
          </cell>
          <cell r="E1129" t="str">
            <v>Sri Veerabhadra Railway Siding Works - Retention</v>
          </cell>
          <cell r="F1129">
            <v>-2675</v>
          </cell>
          <cell r="G1129">
            <v>0</v>
          </cell>
          <cell r="H1129">
            <v>8666</v>
          </cell>
          <cell r="I1129">
            <v>-11341</v>
          </cell>
        </row>
        <row r="1130">
          <cell r="D1130">
            <v>204807</v>
          </cell>
          <cell r="E1130" t="str">
            <v>Vaibhav Constructions - Retention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</row>
        <row r="1131">
          <cell r="D1131">
            <v>204812</v>
          </cell>
          <cell r="E1131" t="str">
            <v>K Subrahmanyam - Retention</v>
          </cell>
          <cell r="F1131">
            <v>0</v>
          </cell>
          <cell r="G1131">
            <v>2814054</v>
          </cell>
          <cell r="H1131">
            <v>2870756</v>
          </cell>
          <cell r="I1131">
            <v>-56702</v>
          </cell>
        </row>
        <row r="1132">
          <cell r="D1132">
            <v>204814</v>
          </cell>
          <cell r="E1132" t="str">
            <v>Premco Rail Engineers Ltd - Retention</v>
          </cell>
          <cell r="F1132">
            <v>-1771510</v>
          </cell>
          <cell r="G1132">
            <v>1985619</v>
          </cell>
          <cell r="H1132">
            <v>1290130</v>
          </cell>
          <cell r="I1132">
            <v>-1076021</v>
          </cell>
        </row>
        <row r="1133">
          <cell r="D1133">
            <v>204821</v>
          </cell>
          <cell r="E1133" t="str">
            <v>Solar Systems - retention</v>
          </cell>
          <cell r="F1133">
            <v>0</v>
          </cell>
          <cell r="G1133">
            <v>0</v>
          </cell>
          <cell r="H1133">
            <v>10000</v>
          </cell>
          <cell r="I1133">
            <v>-10000</v>
          </cell>
        </row>
        <row r="1134">
          <cell r="D1134">
            <v>204822</v>
          </cell>
          <cell r="E1134" t="str">
            <v>S R Enterprises - Retntion</v>
          </cell>
          <cell r="F1134">
            <v>0</v>
          </cell>
          <cell r="G1134">
            <v>0</v>
          </cell>
          <cell r="H1134">
            <v>138613</v>
          </cell>
          <cell r="I1134">
            <v>-138613</v>
          </cell>
        </row>
        <row r="1135">
          <cell r="D1135">
            <v>204824</v>
          </cell>
          <cell r="E1135" t="str">
            <v>Sri balaji Marine &amp; civil Engg Works - Retention</v>
          </cell>
          <cell r="F1135">
            <v>0</v>
          </cell>
          <cell r="G1135">
            <v>234731</v>
          </cell>
          <cell r="H1135">
            <v>522511</v>
          </cell>
          <cell r="I1135">
            <v>-287780</v>
          </cell>
        </row>
        <row r="1136">
          <cell r="D1136">
            <v>204832</v>
          </cell>
          <cell r="E1136" t="str">
            <v>B Srinivas Kumar - Retention</v>
          </cell>
          <cell r="F1136">
            <v>-145114</v>
          </cell>
          <cell r="G1136">
            <v>0</v>
          </cell>
          <cell r="H1136">
            <v>0</v>
          </cell>
          <cell r="I1136">
            <v>-145114</v>
          </cell>
        </row>
        <row r="1137">
          <cell r="D1137">
            <v>204834</v>
          </cell>
          <cell r="E1137" t="str">
            <v>N V R Constructions - Retention</v>
          </cell>
          <cell r="F1137">
            <v>-45367</v>
          </cell>
          <cell r="G1137">
            <v>45367</v>
          </cell>
          <cell r="H1137">
            <v>0</v>
          </cell>
          <cell r="I1137">
            <v>0</v>
          </cell>
        </row>
        <row r="1138">
          <cell r="D1138">
            <v>204838</v>
          </cell>
          <cell r="E1138" t="str">
            <v>Sri Vijaya Durga Engg. Constructions - Retention</v>
          </cell>
          <cell r="F1138">
            <v>-167285</v>
          </cell>
          <cell r="G1138">
            <v>167285</v>
          </cell>
          <cell r="H1138">
            <v>0</v>
          </cell>
          <cell r="I1138">
            <v>0</v>
          </cell>
        </row>
        <row r="1139">
          <cell r="D1139">
            <v>205778</v>
          </cell>
          <cell r="E1139" t="str">
            <v>Sea Merdian Shipping Services Pvt Ltd.,(Deposit)</v>
          </cell>
          <cell r="F1139">
            <v>-15000</v>
          </cell>
          <cell r="G1139">
            <v>0</v>
          </cell>
          <cell r="H1139">
            <v>0</v>
          </cell>
          <cell r="I1139">
            <v>-15000</v>
          </cell>
        </row>
        <row r="1140">
          <cell r="D1140">
            <v>205781</v>
          </cell>
          <cell r="E1140" t="str">
            <v>Arya Offshore Services Pvt Ltd(Storage Deposit)</v>
          </cell>
          <cell r="F1140">
            <v>-337080</v>
          </cell>
          <cell r="G1140">
            <v>337080</v>
          </cell>
          <cell r="H1140">
            <v>0</v>
          </cell>
          <cell r="I1140">
            <v>0</v>
          </cell>
        </row>
        <row r="1141">
          <cell r="D1141">
            <v>205795</v>
          </cell>
          <cell r="E1141" t="str">
            <v>Viking Shipping(A/c A S Shipping Storage Dep)</v>
          </cell>
          <cell r="F1141">
            <v>-168360</v>
          </cell>
          <cell r="G1141">
            <v>0</v>
          </cell>
          <cell r="H1141">
            <v>1588321</v>
          </cell>
          <cell r="I1141">
            <v>-1756681</v>
          </cell>
        </row>
        <row r="1142">
          <cell r="D1142">
            <v>205799</v>
          </cell>
          <cell r="E1142" t="str">
            <v>Vishwa Shipping Agencies(Deposit)</v>
          </cell>
          <cell r="F1142">
            <v>-15000</v>
          </cell>
          <cell r="G1142">
            <v>0</v>
          </cell>
          <cell r="H1142">
            <v>0</v>
          </cell>
          <cell r="I1142">
            <v>-15000</v>
          </cell>
        </row>
        <row r="1143">
          <cell r="D1143">
            <v>205800</v>
          </cell>
          <cell r="E1143" t="str">
            <v>Ocean Shipping Agency(Storage Deposit)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</row>
        <row r="1144">
          <cell r="D1144">
            <v>205807</v>
          </cell>
          <cell r="E1144" t="str">
            <v>Continental Warehousing Corp.(Nhava Seva) Ltd.,(Deposit)</v>
          </cell>
          <cell r="F1144">
            <v>-15000</v>
          </cell>
          <cell r="G1144">
            <v>0</v>
          </cell>
          <cell r="H1144">
            <v>0</v>
          </cell>
          <cell r="I1144">
            <v>-15000</v>
          </cell>
        </row>
        <row r="1145">
          <cell r="D1145">
            <v>205812</v>
          </cell>
          <cell r="E1145" t="str">
            <v>Coromandel Shipping Agencies Pvt Ltd.,(Storage Deposit)</v>
          </cell>
          <cell r="F1145">
            <v>0</v>
          </cell>
          <cell r="G1145">
            <v>0</v>
          </cell>
          <cell r="H1145">
            <v>60000</v>
          </cell>
          <cell r="I1145">
            <v>-60000</v>
          </cell>
        </row>
        <row r="1146">
          <cell r="D1146">
            <v>205814</v>
          </cell>
          <cell r="E1146" t="str">
            <v>Allied Port Services Pvt Ltd.,(Storage Deposit)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</row>
        <row r="1147">
          <cell r="D1147">
            <v>208824</v>
          </cell>
          <cell r="E1147" t="str">
            <v>Service tax paid</v>
          </cell>
          <cell r="F1147">
            <v>5762450</v>
          </cell>
          <cell r="G1147">
            <v>684602</v>
          </cell>
          <cell r="H1147">
            <v>6447052</v>
          </cell>
          <cell r="I1147">
            <v>0</v>
          </cell>
        </row>
        <row r="1148">
          <cell r="D1148">
            <v>208825</v>
          </cell>
          <cell r="E1148" t="str">
            <v>Educationcess paid</v>
          </cell>
          <cell r="F1148">
            <v>155189</v>
          </cell>
          <cell r="G1148">
            <v>13692</v>
          </cell>
          <cell r="H1148">
            <v>168881</v>
          </cell>
          <cell r="I1148">
            <v>0</v>
          </cell>
        </row>
        <row r="1149">
          <cell r="D1149">
            <v>208852</v>
          </cell>
          <cell r="E1149" t="str">
            <v>Education Cess Payable  - GTA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</row>
        <row r="1150">
          <cell r="D1150">
            <v>208872</v>
          </cell>
          <cell r="E1150" t="str">
            <v>Profession Tax Payable</v>
          </cell>
          <cell r="F1150">
            <v>-8680</v>
          </cell>
          <cell r="G1150">
            <v>36590</v>
          </cell>
          <cell r="H1150">
            <v>37300</v>
          </cell>
          <cell r="I1150">
            <v>-9390</v>
          </cell>
        </row>
        <row r="1151">
          <cell r="D1151">
            <v>208891</v>
          </cell>
          <cell r="E1151" t="str">
            <v>TDS Payable - Salaries</v>
          </cell>
          <cell r="F1151">
            <v>-419417</v>
          </cell>
          <cell r="G1151">
            <v>886040</v>
          </cell>
          <cell r="H1151">
            <v>948790</v>
          </cell>
          <cell r="I1151">
            <v>-482167</v>
          </cell>
        </row>
        <row r="1152">
          <cell r="D1152">
            <v>208893</v>
          </cell>
          <cell r="E1152" t="str">
            <v>TDS Works Tax @ 2.8 (Vat)</v>
          </cell>
          <cell r="F1152">
            <v>-11938493</v>
          </cell>
          <cell r="G1152">
            <v>37895154</v>
          </cell>
          <cell r="H1152">
            <v>35656917</v>
          </cell>
          <cell r="I1152">
            <v>-9700256</v>
          </cell>
        </row>
        <row r="1153">
          <cell r="D1153">
            <v>208894</v>
          </cell>
          <cell r="E1153" t="str">
            <v>TDS Payable - Rent</v>
          </cell>
          <cell r="F1153">
            <v>-47171</v>
          </cell>
          <cell r="G1153">
            <v>537034</v>
          </cell>
          <cell r="H1153">
            <v>518099</v>
          </cell>
          <cell r="I1153">
            <v>-28236</v>
          </cell>
        </row>
        <row r="1154">
          <cell r="D1154">
            <v>208895</v>
          </cell>
          <cell r="E1154" t="str">
            <v>TDS Works Tax @ 4 (Vat)</v>
          </cell>
          <cell r="F1154">
            <v>0</v>
          </cell>
          <cell r="G1154">
            <v>2117854</v>
          </cell>
          <cell r="H1154">
            <v>2117854</v>
          </cell>
          <cell r="I1154">
            <v>0</v>
          </cell>
        </row>
        <row r="1155">
          <cell r="D1155">
            <v>208909</v>
          </cell>
          <cell r="E1155" t="str">
            <v>CST Payable 12.5 %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</row>
        <row r="1156">
          <cell r="D1156">
            <v>209102</v>
          </cell>
          <cell r="E1156" t="str">
            <v>Materials received not invoiced(MRNI)-Operations WH</v>
          </cell>
          <cell r="F1156">
            <v>0</v>
          </cell>
          <cell r="G1156">
            <v>89162</v>
          </cell>
          <cell r="H1156">
            <v>89162</v>
          </cell>
          <cell r="I1156">
            <v>0</v>
          </cell>
        </row>
        <row r="1157">
          <cell r="D1157">
            <v>209103</v>
          </cell>
          <cell r="E1157" t="str">
            <v>Materials received not invoiced(MRNI)-Machanical WH</v>
          </cell>
          <cell r="F1157">
            <v>0</v>
          </cell>
          <cell r="G1157">
            <v>54997610</v>
          </cell>
          <cell r="H1157">
            <v>55236267</v>
          </cell>
          <cell r="I1157">
            <v>-238657</v>
          </cell>
        </row>
        <row r="1158">
          <cell r="D1158">
            <v>207795</v>
          </cell>
          <cell r="E1158" t="str">
            <v>Accruals for Revenue Share/MGA</v>
          </cell>
          <cell r="F1158">
            <v>-103809981</v>
          </cell>
          <cell r="G1158">
            <v>225401440</v>
          </cell>
          <cell r="H1158">
            <v>121591459</v>
          </cell>
          <cell r="I1158">
            <v>0</v>
          </cell>
        </row>
        <row r="1159">
          <cell r="D1159">
            <v>208797</v>
          </cell>
          <cell r="E1159" t="str">
            <v>Interest Received on Fixed Deposits (Port Dues)</v>
          </cell>
          <cell r="F1159">
            <v>-4038135</v>
          </cell>
          <cell r="G1159">
            <v>455993</v>
          </cell>
          <cell r="H1159">
            <v>1346700</v>
          </cell>
          <cell r="I1159">
            <v>-4928843</v>
          </cell>
        </row>
        <row r="1160">
          <cell r="D1160">
            <v>208800</v>
          </cell>
          <cell r="E1160" t="str">
            <v>Port Dues Collection</v>
          </cell>
          <cell r="F1160">
            <v>-406146372</v>
          </cell>
          <cell r="G1160">
            <v>0</v>
          </cell>
          <cell r="H1160">
            <v>197765673</v>
          </cell>
          <cell r="I1160">
            <v>-603912045</v>
          </cell>
        </row>
        <row r="1161">
          <cell r="D1161">
            <v>208806</v>
          </cell>
          <cell r="E1161" t="str">
            <v>Maintenance Dredging(2009-10)</v>
          </cell>
          <cell r="F1161">
            <v>98435789</v>
          </cell>
          <cell r="G1161">
            <v>0</v>
          </cell>
          <cell r="H1161">
            <v>0</v>
          </cell>
          <cell r="I1161">
            <v>98435789</v>
          </cell>
        </row>
        <row r="1162">
          <cell r="D1162">
            <v>208807</v>
          </cell>
          <cell r="E1162" t="str">
            <v>Maintenance Dredging (2010-11)</v>
          </cell>
          <cell r="F1162">
            <v>0</v>
          </cell>
          <cell r="G1162">
            <v>280817664</v>
          </cell>
          <cell r="H1162">
            <v>5596863</v>
          </cell>
          <cell r="I1162">
            <v>275220801</v>
          </cell>
        </row>
        <row r="1163">
          <cell r="D1163">
            <v>208799</v>
          </cell>
          <cell r="E1163" t="str">
            <v>Maintenance Dredging (2008-09)</v>
          </cell>
          <cell r="F1163">
            <v>245583406</v>
          </cell>
          <cell r="G1163">
            <v>0</v>
          </cell>
          <cell r="H1163">
            <v>0</v>
          </cell>
          <cell r="I1163">
            <v>245583406</v>
          </cell>
        </row>
        <row r="1164">
          <cell r="D1164">
            <v>208801</v>
          </cell>
          <cell r="E1164" t="str">
            <v>Port Dues Collection  - Misc Income</v>
          </cell>
          <cell r="F1164">
            <v>55440264</v>
          </cell>
          <cell r="G1164">
            <v>41613392</v>
          </cell>
          <cell r="H1164">
            <v>0</v>
          </cell>
          <cell r="I1164">
            <v>97053656</v>
          </cell>
        </row>
        <row r="1165">
          <cell r="D1165">
            <v>208803</v>
          </cell>
          <cell r="E1165" t="str">
            <v>Port Dues Collection - STS</v>
          </cell>
          <cell r="F1165">
            <v>-16440286</v>
          </cell>
          <cell r="G1165">
            <v>0</v>
          </cell>
          <cell r="H1165">
            <v>1381615</v>
          </cell>
          <cell r="I1165">
            <v>-17821901</v>
          </cell>
        </row>
        <row r="1166">
          <cell r="D1166">
            <v>208805</v>
          </cell>
          <cell r="E1166" t="str">
            <v>Bathy Metry Survey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</row>
        <row r="1167">
          <cell r="D1167">
            <v>208798</v>
          </cell>
          <cell r="E1167" t="str">
            <v>Maintenance Dredging 2007-08</v>
          </cell>
          <cell r="F1167">
            <v>20000000</v>
          </cell>
          <cell r="G1167">
            <v>0</v>
          </cell>
          <cell r="H1167">
            <v>0</v>
          </cell>
          <cell r="I1167">
            <v>20000000</v>
          </cell>
        </row>
        <row r="1168">
          <cell r="D1168">
            <v>208802</v>
          </cell>
          <cell r="E1168" t="str">
            <v>Port Dues Collection SC</v>
          </cell>
          <cell r="F1168">
            <v>-84622306</v>
          </cell>
          <cell r="G1168">
            <v>0</v>
          </cell>
          <cell r="H1168">
            <v>39853816</v>
          </cell>
          <cell r="I1168">
            <v>-124476122</v>
          </cell>
        </row>
        <row r="1169">
          <cell r="D1169">
            <v>208804</v>
          </cell>
          <cell r="E1169" t="str">
            <v>R&amp;M-Navigational Aids</v>
          </cell>
          <cell r="F1169">
            <v>5582567</v>
          </cell>
          <cell r="G1169">
            <v>4031938</v>
          </cell>
          <cell r="H1169">
            <v>1830125</v>
          </cell>
          <cell r="I1169">
            <v>7784380</v>
          </cell>
        </row>
        <row r="1170">
          <cell r="D1170">
            <v>208808</v>
          </cell>
          <cell r="E1170" t="str">
            <v>Maintenance Dredging(2011-12)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</row>
        <row r="1171">
          <cell r="D1171">
            <v>208914</v>
          </cell>
          <cell r="E1171" t="str">
            <v>Provison for Income Tax</v>
          </cell>
          <cell r="F1171">
            <v>-201194594</v>
          </cell>
          <cell r="G1171">
            <v>17074950</v>
          </cell>
          <cell r="H1171">
            <v>171750451</v>
          </cell>
          <cell r="I1171">
            <v>-355870095</v>
          </cell>
        </row>
        <row r="1172">
          <cell r="D1172">
            <v>208913</v>
          </cell>
          <cell r="E1172" t="str">
            <v>Provision for Fringe Benefit Tax</v>
          </cell>
          <cell r="F1172">
            <v>-1133101</v>
          </cell>
          <cell r="G1172">
            <v>638290</v>
          </cell>
          <cell r="H1172">
            <v>71290</v>
          </cell>
          <cell r="I1172">
            <v>-566101</v>
          </cell>
        </row>
        <row r="1173">
          <cell r="D1173">
            <v>208917</v>
          </cell>
          <cell r="E1173" t="str">
            <v>Provision for LTA</v>
          </cell>
          <cell r="F1173">
            <v>-721349</v>
          </cell>
          <cell r="G1173">
            <v>9000</v>
          </cell>
          <cell r="H1173">
            <v>159620</v>
          </cell>
          <cell r="I1173">
            <v>-871969</v>
          </cell>
        </row>
        <row r="1174">
          <cell r="D1174">
            <v>208915</v>
          </cell>
          <cell r="E1174" t="str">
            <v>Staff Leave Encashment Provision</v>
          </cell>
          <cell r="F1174">
            <v>-1781082</v>
          </cell>
          <cell r="G1174">
            <v>0</v>
          </cell>
          <cell r="H1174">
            <v>228636</v>
          </cell>
          <cell r="I1174">
            <v>-2009718</v>
          </cell>
        </row>
        <row r="1175">
          <cell r="D1175">
            <v>300800</v>
          </cell>
          <cell r="E1175" t="str">
            <v>Equity Share Capital Promoters</v>
          </cell>
          <cell r="F1175">
            <v>-524122390</v>
          </cell>
          <cell r="G1175">
            <v>0</v>
          </cell>
          <cell r="H1175">
            <v>0</v>
          </cell>
          <cell r="I1175">
            <v>-524122390</v>
          </cell>
        </row>
        <row r="1176">
          <cell r="D1176">
            <v>300820</v>
          </cell>
          <cell r="E1176" t="str">
            <v>Preference Share Capital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</row>
        <row r="1177">
          <cell r="D1177">
            <v>300840</v>
          </cell>
          <cell r="E1177" t="str">
            <v>Profit &amp; Loss Account</v>
          </cell>
          <cell r="F1177">
            <v>-1689127550</v>
          </cell>
          <cell r="G1177">
            <v>4745221148</v>
          </cell>
          <cell r="H1177">
            <v>5554782758</v>
          </cell>
          <cell r="I1177">
            <v>-2498689159</v>
          </cell>
        </row>
        <row r="1178">
          <cell r="D1178">
            <v>401194</v>
          </cell>
          <cell r="E1178" t="str">
            <v>Mat Credit Entitlement - P&amp;L</v>
          </cell>
          <cell r="F1178">
            <v>0</v>
          </cell>
          <cell r="G1178">
            <v>334726350</v>
          </cell>
          <cell r="H1178">
            <v>334726350</v>
          </cell>
          <cell r="I1178">
            <v>-167363175</v>
          </cell>
        </row>
        <row r="1179">
          <cell r="D1179">
            <v>104303</v>
          </cell>
          <cell r="E1179" t="str">
            <v>MAT Credit Entitlement</v>
          </cell>
          <cell r="F1179">
            <v>167236868</v>
          </cell>
          <cell r="G1179">
            <v>334726350</v>
          </cell>
          <cell r="H1179">
            <v>167363175</v>
          </cell>
          <cell r="I1179">
            <v>334600043</v>
          </cell>
        </row>
        <row r="1180">
          <cell r="D1180">
            <v>501771</v>
          </cell>
          <cell r="E1180" t="str">
            <v>Concession agreement payment</v>
          </cell>
          <cell r="F1180">
            <v>0</v>
          </cell>
          <cell r="G1180">
            <v>443752644</v>
          </cell>
          <cell r="H1180">
            <v>443752644</v>
          </cell>
          <cell r="I1180">
            <v>443752644</v>
          </cell>
        </row>
        <row r="1181">
          <cell r="D1181">
            <v>501171</v>
          </cell>
          <cell r="E1181" t="str">
            <v>Provision for Income Tax - Current Tax</v>
          </cell>
          <cell r="F1181">
            <v>0</v>
          </cell>
          <cell r="G1181">
            <v>171515501</v>
          </cell>
          <cell r="H1181">
            <v>171515501</v>
          </cell>
          <cell r="I1181">
            <v>171515501</v>
          </cell>
        </row>
        <row r="1182">
          <cell r="D1182">
            <v>501172</v>
          </cell>
          <cell r="E1182" t="str">
            <v>Provision for Deferred Tax</v>
          </cell>
          <cell r="F1182">
            <v>0</v>
          </cell>
          <cell r="G1182">
            <v>44846711</v>
          </cell>
          <cell r="H1182">
            <v>44846711</v>
          </cell>
          <cell r="I1182">
            <v>44792159</v>
          </cell>
        </row>
        <row r="1183">
          <cell r="D1183">
            <v>501173</v>
          </cell>
          <cell r="E1183" t="str">
            <v>Provision for FBT</v>
          </cell>
          <cell r="F1183">
            <v>0</v>
          </cell>
          <cell r="G1183">
            <v>82878</v>
          </cell>
          <cell r="H1183">
            <v>82878</v>
          </cell>
          <cell r="I1183">
            <v>82878</v>
          </cell>
        </row>
        <row r="1184">
          <cell r="D1184">
            <v>501174</v>
          </cell>
          <cell r="E1184" t="str">
            <v>Provision for Income Tax Previous Year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</row>
        <row r="1185">
          <cell r="D1185">
            <v>401203</v>
          </cell>
          <cell r="E1185" t="str">
            <v>Materials Scrape Rev-Material WH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</row>
        <row r="1186">
          <cell r="D1186">
            <v>401205</v>
          </cell>
          <cell r="E1186" t="str">
            <v>Materials Scrape Rev-Human resorce WH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</row>
        <row r="1187">
          <cell r="D1187">
            <v>401208</v>
          </cell>
          <cell r="E1187" t="str">
            <v>Materials Scrape Rev-Operations WH</v>
          </cell>
          <cell r="F1187">
            <v>0</v>
          </cell>
          <cell r="G1187">
            <v>-518578</v>
          </cell>
          <cell r="H1187">
            <v>-518578</v>
          </cell>
          <cell r="I1187">
            <v>0</v>
          </cell>
        </row>
        <row r="1188">
          <cell r="D1188">
            <v>401211</v>
          </cell>
          <cell r="E1188" t="str">
            <v>Materials Scrape Rev-IT WH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</row>
        <row r="1189">
          <cell r="D1189">
            <v>401212</v>
          </cell>
          <cell r="E1189" t="str">
            <v>Materials Scrape Rev-Security WH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</row>
        <row r="1190">
          <cell r="D1190">
            <v>401204</v>
          </cell>
          <cell r="E1190" t="str">
            <v>Materials Scrape Rev-Accounts WH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</row>
        <row r="1191">
          <cell r="D1191">
            <v>401207</v>
          </cell>
          <cell r="E1191" t="str">
            <v>Materials Scrape Rev-logistic WH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</row>
        <row r="1192">
          <cell r="D1192">
            <v>401209</v>
          </cell>
          <cell r="E1192" t="str">
            <v>Materials Scrape Rev-Machanical WH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</row>
        <row r="1193">
          <cell r="D1193">
            <v>401215</v>
          </cell>
          <cell r="E1193" t="str">
            <v>Materials Scrape Rev-Scrap WH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</row>
        <row r="1194">
          <cell r="D1194">
            <v>401206</v>
          </cell>
          <cell r="E1194" t="str">
            <v>Materials Scrape Rev-Projects WH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</row>
        <row r="1195">
          <cell r="D1195">
            <v>401210</v>
          </cell>
          <cell r="E1195" t="str">
            <v>Materials Scrape Rev-Electrical WH</v>
          </cell>
          <cell r="F1195">
            <v>0</v>
          </cell>
          <cell r="G1195">
            <v>-2369</v>
          </cell>
          <cell r="H1195">
            <v>-2369</v>
          </cell>
          <cell r="I1195">
            <v>0</v>
          </cell>
        </row>
        <row r="1196">
          <cell r="D1196">
            <v>401213</v>
          </cell>
          <cell r="E1196" t="str">
            <v>Materials Scrape Rev-HSC WH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</row>
        <row r="1197">
          <cell r="D1197">
            <v>401214</v>
          </cell>
          <cell r="E1197" t="str">
            <v>Materials Scrape Rev-HYD WH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</row>
        <row r="1198">
          <cell r="D1198">
            <v>502291</v>
          </cell>
          <cell r="E1198" t="str">
            <v>Materials Variance Exp-Accounts WH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</row>
        <row r="1199">
          <cell r="D1199">
            <v>502300</v>
          </cell>
          <cell r="E1199" t="str">
            <v>Materials Variance Exp-HSC WH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</row>
        <row r="1200">
          <cell r="D1200">
            <v>502400</v>
          </cell>
          <cell r="E1200" t="str">
            <v>Materials Price difference Exp-Material WH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</row>
        <row r="1201">
          <cell r="D1201">
            <v>502408</v>
          </cell>
          <cell r="E1201" t="str">
            <v>Materials Price difference Exp-IT WH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</row>
        <row r="1202">
          <cell r="D1202">
            <v>502523</v>
          </cell>
          <cell r="E1202" t="str">
            <v>Materials offset account</v>
          </cell>
          <cell r="F1202">
            <v>0</v>
          </cell>
          <cell r="G1202">
            <v>7413</v>
          </cell>
          <cell r="H1202">
            <v>7413</v>
          </cell>
          <cell r="I1202">
            <v>0</v>
          </cell>
        </row>
        <row r="1203">
          <cell r="D1203">
            <v>502624</v>
          </cell>
          <cell r="E1203" t="str">
            <v>Materials Purchase Account-Projects WH</v>
          </cell>
          <cell r="F1203">
            <v>0</v>
          </cell>
          <cell r="G1203">
            <v>39884258</v>
          </cell>
          <cell r="H1203">
            <v>39884258</v>
          </cell>
          <cell r="I1203">
            <v>0</v>
          </cell>
        </row>
        <row r="1204">
          <cell r="D1204">
            <v>502633</v>
          </cell>
          <cell r="E1204" t="str">
            <v>Materials Purchase Account-Scrap WH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</row>
        <row r="1205">
          <cell r="D1205">
            <v>502731</v>
          </cell>
          <cell r="E1205" t="str">
            <v>Materials purchase returns Account-Material WH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</row>
        <row r="1206">
          <cell r="D1206">
            <v>502736</v>
          </cell>
          <cell r="E1206" t="str">
            <v>Materials purchase returns Account-Operations WH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</row>
        <row r="1207">
          <cell r="D1207">
            <v>502740</v>
          </cell>
          <cell r="E1207" t="str">
            <v>Materials purchase returns Account-Security WH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</row>
        <row r="1208">
          <cell r="D1208">
            <v>502742</v>
          </cell>
          <cell r="E1208" t="str">
            <v>Materials purchase returns Account-HYD WH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</row>
        <row r="1209">
          <cell r="D1209">
            <v>502843</v>
          </cell>
          <cell r="E1209" t="str">
            <v>Materials purchase Offset Account-Human resorce WH</v>
          </cell>
          <cell r="F1209">
            <v>0</v>
          </cell>
          <cell r="G1209">
            <v>326490</v>
          </cell>
          <cell r="H1209">
            <v>326490</v>
          </cell>
          <cell r="I1209">
            <v>0</v>
          </cell>
        </row>
        <row r="1210">
          <cell r="D1210">
            <v>502845</v>
          </cell>
          <cell r="E1210" t="str">
            <v>Materials purchase Offset Account-logistic WH</v>
          </cell>
          <cell r="F1210">
            <v>0</v>
          </cell>
          <cell r="G1210">
            <v>74488</v>
          </cell>
          <cell r="H1210">
            <v>74488</v>
          </cell>
          <cell r="I1210">
            <v>0</v>
          </cell>
        </row>
        <row r="1211">
          <cell r="D1211">
            <v>502853</v>
          </cell>
          <cell r="E1211" t="str">
            <v>Materials purchase Offset Account-Scarp WH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</row>
        <row r="1212">
          <cell r="D1212">
            <v>502084</v>
          </cell>
          <cell r="E1212" t="str">
            <v>Materials Scrape Exp-logistic WH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</row>
        <row r="1213">
          <cell r="D1213">
            <v>502087</v>
          </cell>
          <cell r="E1213" t="str">
            <v>Materials Scrape Exp-Electrical WH</v>
          </cell>
          <cell r="F1213">
            <v>0</v>
          </cell>
          <cell r="G1213">
            <v>403652</v>
          </cell>
          <cell r="H1213">
            <v>403652</v>
          </cell>
          <cell r="I1213">
            <v>0</v>
          </cell>
        </row>
        <row r="1214">
          <cell r="D1214">
            <v>502090</v>
          </cell>
          <cell r="E1214" t="str">
            <v>Materials Scrape Exp-HSC WH</v>
          </cell>
          <cell r="F1214">
            <v>0</v>
          </cell>
          <cell r="G1214">
            <v>23547</v>
          </cell>
          <cell r="H1214">
            <v>23547</v>
          </cell>
          <cell r="I1214">
            <v>0</v>
          </cell>
        </row>
        <row r="1215">
          <cell r="D1215">
            <v>502093</v>
          </cell>
          <cell r="E1215" t="str">
            <v>Materials Scrape Exp-scrap WH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</row>
        <row r="1216">
          <cell r="D1216">
            <v>502080</v>
          </cell>
          <cell r="E1216" t="str">
            <v>Materials Scrape Exp-Material WH</v>
          </cell>
          <cell r="F1216">
            <v>0</v>
          </cell>
          <cell r="G1216">
            <v>101958</v>
          </cell>
          <cell r="H1216">
            <v>101958</v>
          </cell>
          <cell r="I1216">
            <v>0</v>
          </cell>
        </row>
        <row r="1217">
          <cell r="D1217">
            <v>502083</v>
          </cell>
          <cell r="E1217" t="str">
            <v>Materials Scrape Exp-Projects WH</v>
          </cell>
          <cell r="F1217">
            <v>0</v>
          </cell>
          <cell r="G1217">
            <v>8513</v>
          </cell>
          <cell r="H1217">
            <v>8513</v>
          </cell>
          <cell r="I1217">
            <v>0</v>
          </cell>
        </row>
        <row r="1218">
          <cell r="D1218">
            <v>502085</v>
          </cell>
          <cell r="E1218" t="str">
            <v>Materials Scrape Exp-Operations WH</v>
          </cell>
          <cell r="F1218">
            <v>0</v>
          </cell>
          <cell r="G1218">
            <v>412</v>
          </cell>
          <cell r="H1218">
            <v>412</v>
          </cell>
          <cell r="I1218">
            <v>0</v>
          </cell>
        </row>
        <row r="1219">
          <cell r="D1219">
            <v>502088</v>
          </cell>
          <cell r="E1219" t="str">
            <v>Materials Scrape Exp-IT WH</v>
          </cell>
          <cell r="F1219">
            <v>0</v>
          </cell>
          <cell r="G1219">
            <v>7800</v>
          </cell>
          <cell r="H1219">
            <v>7800</v>
          </cell>
          <cell r="I1219">
            <v>0</v>
          </cell>
        </row>
        <row r="1220">
          <cell r="D1220">
            <v>502290</v>
          </cell>
          <cell r="E1220" t="str">
            <v>Materials Variance Exp-Material WH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</row>
        <row r="1221">
          <cell r="D1221">
            <v>502302</v>
          </cell>
          <cell r="E1221" t="str">
            <v>Materials Variance Exp-HYD WH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</row>
        <row r="1222">
          <cell r="D1222">
            <v>502402</v>
          </cell>
          <cell r="E1222" t="str">
            <v>Materials Price difference Exp-Human resorce WH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</row>
        <row r="1223">
          <cell r="D1223">
            <v>502404</v>
          </cell>
          <cell r="E1223" t="str">
            <v>Materials Price difference Exp-logistic WH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</row>
        <row r="1224">
          <cell r="D1224">
            <v>502406</v>
          </cell>
          <cell r="E1224" t="str">
            <v>Materials Price difference Exp-Machanical WH</v>
          </cell>
          <cell r="F1224">
            <v>0</v>
          </cell>
          <cell r="G1224">
            <v>121845</v>
          </cell>
          <cell r="H1224">
            <v>121845</v>
          </cell>
          <cell r="I1224">
            <v>0</v>
          </cell>
        </row>
        <row r="1225">
          <cell r="D1225">
            <v>502412</v>
          </cell>
          <cell r="E1225" t="str">
            <v>Materials Price difference Exp-Scrap WH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</row>
        <row r="1226">
          <cell r="D1226">
            <v>502510</v>
          </cell>
          <cell r="E1226" t="str">
            <v>Negative materials Adjustment</v>
          </cell>
          <cell r="F1226">
            <v>0</v>
          </cell>
          <cell r="G1226">
            <v>75876</v>
          </cell>
          <cell r="H1226">
            <v>75876</v>
          </cell>
          <cell r="I1226">
            <v>0</v>
          </cell>
        </row>
        <row r="1227">
          <cell r="D1227">
            <v>502520</v>
          </cell>
          <cell r="E1227" t="str">
            <v>Materials increasing account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</row>
        <row r="1228">
          <cell r="D1228">
            <v>502522</v>
          </cell>
          <cell r="E1228" t="str">
            <v>Materials Clearing account</v>
          </cell>
          <cell r="F1228">
            <v>0</v>
          </cell>
          <cell r="G1228">
            <v>2600</v>
          </cell>
          <cell r="H1228">
            <v>2600</v>
          </cell>
          <cell r="I1228">
            <v>0</v>
          </cell>
        </row>
        <row r="1229">
          <cell r="D1229">
            <v>502622</v>
          </cell>
          <cell r="E1229" t="str">
            <v>Materials Purchase Account-Accounts WH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</row>
        <row r="1230">
          <cell r="D1230">
            <v>502626</v>
          </cell>
          <cell r="E1230" t="str">
            <v>Materials Purchase Account-Operations WH</v>
          </cell>
          <cell r="F1230">
            <v>0</v>
          </cell>
          <cell r="G1230">
            <v>92712</v>
          </cell>
          <cell r="H1230">
            <v>92712</v>
          </cell>
          <cell r="I1230">
            <v>0</v>
          </cell>
        </row>
        <row r="1231">
          <cell r="D1231">
            <v>502628</v>
          </cell>
          <cell r="E1231" t="str">
            <v>Materials Purchase Account-Electrical WH</v>
          </cell>
          <cell r="F1231">
            <v>0</v>
          </cell>
          <cell r="G1231">
            <v>16214338</v>
          </cell>
          <cell r="H1231">
            <v>16214338</v>
          </cell>
          <cell r="I1231">
            <v>0</v>
          </cell>
        </row>
        <row r="1232">
          <cell r="D1232">
            <v>502630</v>
          </cell>
          <cell r="E1232" t="str">
            <v>Materials Purchase Account-Security WH</v>
          </cell>
          <cell r="F1232">
            <v>0</v>
          </cell>
          <cell r="G1232">
            <v>103996</v>
          </cell>
          <cell r="H1232">
            <v>103996</v>
          </cell>
          <cell r="I1232">
            <v>0</v>
          </cell>
        </row>
        <row r="1233">
          <cell r="D1233">
            <v>502848</v>
          </cell>
          <cell r="E1233" t="str">
            <v>Materials purchase Offset Account-Electrical WH</v>
          </cell>
          <cell r="F1233">
            <v>0</v>
          </cell>
          <cell r="G1233">
            <v>16195587</v>
          </cell>
          <cell r="H1233">
            <v>16195587</v>
          </cell>
          <cell r="I1233">
            <v>0</v>
          </cell>
        </row>
        <row r="1234">
          <cell r="D1234">
            <v>502849</v>
          </cell>
          <cell r="E1234" t="str">
            <v>Materials purchase Offset Account-IT WH</v>
          </cell>
          <cell r="F1234">
            <v>0</v>
          </cell>
          <cell r="G1234">
            <v>211896</v>
          </cell>
          <cell r="H1234">
            <v>211896</v>
          </cell>
          <cell r="I1234">
            <v>0</v>
          </cell>
        </row>
        <row r="1235">
          <cell r="D1235">
            <v>502082</v>
          </cell>
          <cell r="E1235" t="str">
            <v>Materials Scrape Exp-Human resorce WH</v>
          </cell>
          <cell r="F1235">
            <v>0</v>
          </cell>
          <cell r="G1235">
            <v>1050</v>
          </cell>
          <cell r="H1235">
            <v>1050</v>
          </cell>
          <cell r="I1235">
            <v>0</v>
          </cell>
        </row>
        <row r="1236">
          <cell r="D1236">
            <v>502086</v>
          </cell>
          <cell r="E1236" t="str">
            <v>Materials Scrape Exp-Operations</v>
          </cell>
          <cell r="F1236">
            <v>0</v>
          </cell>
          <cell r="G1236">
            <v>1694718</v>
          </cell>
          <cell r="H1236">
            <v>1694718</v>
          </cell>
          <cell r="I1236">
            <v>0</v>
          </cell>
        </row>
        <row r="1237">
          <cell r="D1237">
            <v>502842</v>
          </cell>
          <cell r="E1237" t="str">
            <v>Materials purchase Offset Account-Accounts WH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</row>
        <row r="1238">
          <cell r="D1238">
            <v>502846</v>
          </cell>
          <cell r="E1238" t="str">
            <v>Materials purchase Offset Account-Operations WH</v>
          </cell>
          <cell r="F1238">
            <v>0</v>
          </cell>
          <cell r="G1238">
            <v>92712</v>
          </cell>
          <cell r="H1238">
            <v>92712</v>
          </cell>
          <cell r="I1238">
            <v>0</v>
          </cell>
        </row>
        <row r="1239">
          <cell r="D1239">
            <v>502847</v>
          </cell>
          <cell r="E1239" t="str">
            <v>Materials purchase Offset Account-Machanical WH</v>
          </cell>
          <cell r="F1239">
            <v>0</v>
          </cell>
          <cell r="G1239">
            <v>60222156</v>
          </cell>
          <cell r="H1239">
            <v>60222156</v>
          </cell>
          <cell r="I1239">
            <v>0</v>
          </cell>
        </row>
        <row r="1240">
          <cell r="D1240">
            <v>502850</v>
          </cell>
          <cell r="E1240" t="str">
            <v>Materials purchase Offset Account-Security WH</v>
          </cell>
          <cell r="F1240">
            <v>0</v>
          </cell>
          <cell r="G1240">
            <v>104896</v>
          </cell>
          <cell r="H1240">
            <v>104896</v>
          </cell>
          <cell r="I1240">
            <v>0</v>
          </cell>
        </row>
        <row r="1241">
          <cell r="D1241">
            <v>502851</v>
          </cell>
          <cell r="E1241" t="str">
            <v>Materials purchase Offset Account-HSC WH</v>
          </cell>
          <cell r="F1241">
            <v>0</v>
          </cell>
          <cell r="G1241">
            <v>658687</v>
          </cell>
          <cell r="H1241">
            <v>658687</v>
          </cell>
          <cell r="I1241">
            <v>0</v>
          </cell>
        </row>
        <row r="1242">
          <cell r="D1242">
            <v>502852</v>
          </cell>
          <cell r="E1242" t="str">
            <v>Materials purchase Offset Account-HYD WH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</row>
        <row r="1243">
          <cell r="D1243">
            <v>502301</v>
          </cell>
          <cell r="E1243" t="str">
            <v>Materials variance WIP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</row>
        <row r="1244">
          <cell r="D1244">
            <v>502303</v>
          </cell>
          <cell r="E1244" t="str">
            <v>Materials Variance Exp-Scrap WH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</row>
        <row r="1245">
          <cell r="D1245">
            <v>502401</v>
          </cell>
          <cell r="E1245" t="str">
            <v>Materials Price difference Exp-Accounts WH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</row>
        <row r="1246">
          <cell r="D1246">
            <v>502403</v>
          </cell>
          <cell r="E1246" t="str">
            <v>Materials Price difference Exp-Projects WH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</row>
        <row r="1247">
          <cell r="D1247">
            <v>502405</v>
          </cell>
          <cell r="E1247" t="str">
            <v>Materials Price difference Exp-Operations WH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</row>
        <row r="1248">
          <cell r="D1248">
            <v>502409</v>
          </cell>
          <cell r="E1248" t="str">
            <v>Materials Price difference Exp-Security WH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</row>
        <row r="1249">
          <cell r="D1249">
            <v>502410</v>
          </cell>
          <cell r="E1249" t="str">
            <v>Materials Price difference Exp-HSC WH</v>
          </cell>
          <cell r="F1249">
            <v>0</v>
          </cell>
          <cell r="G1249">
            <v>4633</v>
          </cell>
          <cell r="H1249">
            <v>4633</v>
          </cell>
          <cell r="I1249">
            <v>0</v>
          </cell>
        </row>
        <row r="1250">
          <cell r="D1250">
            <v>502521</v>
          </cell>
          <cell r="E1250" t="str">
            <v>Materials decreasing account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</row>
        <row r="1251">
          <cell r="D1251">
            <v>502623</v>
          </cell>
          <cell r="E1251" t="str">
            <v>Materials Purchase Account-Human resorce WH</v>
          </cell>
          <cell r="F1251">
            <v>0</v>
          </cell>
          <cell r="G1251">
            <v>324730</v>
          </cell>
          <cell r="H1251">
            <v>324730</v>
          </cell>
          <cell r="I1251">
            <v>0</v>
          </cell>
        </row>
        <row r="1252">
          <cell r="D1252">
            <v>502625</v>
          </cell>
          <cell r="E1252" t="str">
            <v>Materials Purchase Account-logistic WH</v>
          </cell>
          <cell r="F1252">
            <v>0</v>
          </cell>
          <cell r="G1252">
            <v>74488</v>
          </cell>
          <cell r="H1252">
            <v>74488</v>
          </cell>
          <cell r="I1252">
            <v>0</v>
          </cell>
        </row>
        <row r="1253">
          <cell r="D1253">
            <v>502627</v>
          </cell>
          <cell r="E1253" t="str">
            <v>Materials Purchase Account-Machanical WH</v>
          </cell>
          <cell r="F1253">
            <v>0</v>
          </cell>
          <cell r="G1253">
            <v>60448133</v>
          </cell>
          <cell r="H1253">
            <v>60448133</v>
          </cell>
          <cell r="I1253">
            <v>0</v>
          </cell>
        </row>
        <row r="1254">
          <cell r="D1254">
            <v>502629</v>
          </cell>
          <cell r="E1254" t="str">
            <v>Materials Purchase Account-IT WH</v>
          </cell>
          <cell r="F1254">
            <v>0</v>
          </cell>
          <cell r="G1254">
            <v>211896</v>
          </cell>
          <cell r="H1254">
            <v>211896</v>
          </cell>
          <cell r="I1254">
            <v>0</v>
          </cell>
        </row>
        <row r="1255">
          <cell r="D1255">
            <v>502631</v>
          </cell>
          <cell r="E1255" t="str">
            <v>Materials Purchase Account-HSC WH</v>
          </cell>
          <cell r="F1255">
            <v>0</v>
          </cell>
          <cell r="G1255">
            <v>658687</v>
          </cell>
          <cell r="H1255">
            <v>658687</v>
          </cell>
          <cell r="I1255">
            <v>0</v>
          </cell>
        </row>
        <row r="1256">
          <cell r="D1256">
            <v>502733</v>
          </cell>
          <cell r="E1256" t="str">
            <v>Materials purchase returns Account-Human resorce WH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</row>
        <row r="1257">
          <cell r="D1257">
            <v>502734</v>
          </cell>
          <cell r="E1257" t="str">
            <v>Materials purchase returns Account-Projects WH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</row>
        <row r="1258">
          <cell r="D1258">
            <v>502737</v>
          </cell>
          <cell r="E1258" t="str">
            <v>Materials purchase returns Account-Machanical WH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</row>
        <row r="1259">
          <cell r="D1259">
            <v>502739</v>
          </cell>
          <cell r="E1259" t="str">
            <v>Materials purchase returns Account-IT WH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</row>
        <row r="1260">
          <cell r="D1260">
            <v>502741</v>
          </cell>
          <cell r="E1260" t="str">
            <v>Materials purchase returns Account-HSC WH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</row>
        <row r="1261">
          <cell r="D1261">
            <v>502081</v>
          </cell>
          <cell r="E1261" t="str">
            <v>Materials Scrape Exp-Accounts WH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</row>
        <row r="1262">
          <cell r="D1262">
            <v>502089</v>
          </cell>
          <cell r="E1262" t="str">
            <v>Materials Scrape Exp-Security WH</v>
          </cell>
          <cell r="F1262">
            <v>0</v>
          </cell>
          <cell r="G1262">
            <v>258276</v>
          </cell>
          <cell r="H1262">
            <v>258276</v>
          </cell>
          <cell r="I1262">
            <v>0</v>
          </cell>
        </row>
        <row r="1263">
          <cell r="D1263">
            <v>502092</v>
          </cell>
          <cell r="E1263" t="str">
            <v>Materials Scrape Exp-HYD WH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</row>
        <row r="1264">
          <cell r="D1264">
            <v>502292</v>
          </cell>
          <cell r="E1264" t="str">
            <v>Materials Variance Exp-Human resorce WH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</row>
        <row r="1265">
          <cell r="D1265">
            <v>502293</v>
          </cell>
          <cell r="E1265" t="str">
            <v>Materials Variance Exp-Projects WH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</row>
        <row r="1266">
          <cell r="D1266">
            <v>502294</v>
          </cell>
          <cell r="E1266" t="str">
            <v>Materials Variance Exp-logistic WH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</row>
        <row r="1267">
          <cell r="D1267">
            <v>502295</v>
          </cell>
          <cell r="E1267" t="str">
            <v>Materials Variance Exp-Operations WH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</row>
        <row r="1268">
          <cell r="D1268">
            <v>502296</v>
          </cell>
          <cell r="E1268" t="str">
            <v>Materials Variance Exp-Machanical WH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</row>
        <row r="1269">
          <cell r="D1269">
            <v>502297</v>
          </cell>
          <cell r="E1269" t="str">
            <v>Materials Variance Exp-Electrical WH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</row>
        <row r="1270">
          <cell r="D1270">
            <v>502298</v>
          </cell>
          <cell r="E1270" t="str">
            <v>Materials Variance Exp-IT WH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</row>
        <row r="1271">
          <cell r="D1271">
            <v>502299</v>
          </cell>
          <cell r="E1271" t="str">
            <v>Materials Variance Exp-Security WH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</row>
        <row r="1272">
          <cell r="D1272">
            <v>502407</v>
          </cell>
          <cell r="E1272" t="str">
            <v>Materials Price difference Exp-Electrical WH</v>
          </cell>
          <cell r="F1272">
            <v>0</v>
          </cell>
          <cell r="G1272">
            <v>49120</v>
          </cell>
          <cell r="H1272">
            <v>49120</v>
          </cell>
          <cell r="I1272">
            <v>0</v>
          </cell>
        </row>
        <row r="1273">
          <cell r="D1273">
            <v>502411</v>
          </cell>
          <cell r="E1273" t="str">
            <v>Materials Price difference Exp-HYD WH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</row>
        <row r="1274">
          <cell r="D1274">
            <v>502621</v>
          </cell>
          <cell r="E1274" t="str">
            <v>Materials Purchase Account-Material WH</v>
          </cell>
          <cell r="F1274">
            <v>0</v>
          </cell>
          <cell r="G1274">
            <v>238812</v>
          </cell>
          <cell r="H1274">
            <v>238812</v>
          </cell>
          <cell r="I1274">
            <v>0</v>
          </cell>
        </row>
        <row r="1275">
          <cell r="D1275">
            <v>502632</v>
          </cell>
          <cell r="E1275" t="str">
            <v>Materials Purchase Account-HYD WH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</row>
        <row r="1276">
          <cell r="D1276">
            <v>502732</v>
          </cell>
          <cell r="E1276" t="str">
            <v>Materials purchase returns Account-Accounts WH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</row>
        <row r="1277">
          <cell r="D1277">
            <v>502735</v>
          </cell>
          <cell r="E1277" t="str">
            <v>Materials purchase returns Account-logistic WH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</row>
        <row r="1278">
          <cell r="D1278">
            <v>502738</v>
          </cell>
          <cell r="E1278" t="str">
            <v>Materials purchase returns Account-Electrical WH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</row>
        <row r="1279">
          <cell r="D1279">
            <v>502743</v>
          </cell>
          <cell r="E1279" t="str">
            <v>Materials purchase returns Account-Scrap WH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</row>
        <row r="1280">
          <cell r="D1280">
            <v>502841</v>
          </cell>
          <cell r="E1280" t="str">
            <v>Materials purchase Offset Account-Material WH</v>
          </cell>
          <cell r="F1280">
            <v>0</v>
          </cell>
          <cell r="G1280">
            <v>223237</v>
          </cell>
          <cell r="H1280">
            <v>223237</v>
          </cell>
          <cell r="I1280">
            <v>0</v>
          </cell>
        </row>
        <row r="1281">
          <cell r="D1281">
            <v>502844</v>
          </cell>
          <cell r="E1281" t="str">
            <v>Materials purchase Offset Account-Projects WH</v>
          </cell>
          <cell r="F1281">
            <v>0</v>
          </cell>
          <cell r="G1281">
            <v>35267181</v>
          </cell>
          <cell r="H1281">
            <v>35267181</v>
          </cell>
          <cell r="I1281">
            <v>0</v>
          </cell>
        </row>
        <row r="1282">
          <cell r="D1282">
            <v>501948</v>
          </cell>
          <cell r="E1282" t="str">
            <v>Out of Pocket Expenses</v>
          </cell>
          <cell r="F1282">
            <v>0</v>
          </cell>
          <cell r="G1282">
            <v>80267</v>
          </cell>
          <cell r="H1282">
            <v>80267</v>
          </cell>
          <cell r="I1282">
            <v>80267</v>
          </cell>
        </row>
        <row r="1283">
          <cell r="D1283">
            <v>501949</v>
          </cell>
          <cell r="E1283" t="str">
            <v>Statutory Audit Fees</v>
          </cell>
          <cell r="F1283">
            <v>0</v>
          </cell>
          <cell r="G1283">
            <v>500000</v>
          </cell>
          <cell r="H1283">
            <v>500000</v>
          </cell>
          <cell r="I1283">
            <v>500000</v>
          </cell>
        </row>
        <row r="1284">
          <cell r="D1284">
            <v>501950</v>
          </cell>
          <cell r="E1284" t="str">
            <v>Tax Audit Fees</v>
          </cell>
          <cell r="F1284">
            <v>0</v>
          </cell>
          <cell r="G1284">
            <v>150000</v>
          </cell>
          <cell r="H1284">
            <v>150000</v>
          </cell>
          <cell r="I1284">
            <v>150000</v>
          </cell>
        </row>
        <row r="1285">
          <cell r="D1285">
            <v>502070</v>
          </cell>
          <cell r="E1285" t="str">
            <v>Rent Stores Room GF Adm Office</v>
          </cell>
          <cell r="F1285">
            <v>0</v>
          </cell>
          <cell r="G1285">
            <v>232452</v>
          </cell>
          <cell r="H1285">
            <v>232452</v>
          </cell>
          <cell r="I1285">
            <v>232452</v>
          </cell>
        </row>
        <row r="1286">
          <cell r="D1286">
            <v>502104</v>
          </cell>
          <cell r="E1286" t="str">
            <v>Rent Corporate Office</v>
          </cell>
          <cell r="F1286">
            <v>0</v>
          </cell>
          <cell r="G1286">
            <v>1717200</v>
          </cell>
          <cell r="H1286">
            <v>1717200</v>
          </cell>
          <cell r="I1286">
            <v>1717200</v>
          </cell>
        </row>
        <row r="1287">
          <cell r="D1287">
            <v>502072</v>
          </cell>
          <cell r="E1287" t="str">
            <v>Donations</v>
          </cell>
          <cell r="F1287">
            <v>0</v>
          </cell>
          <cell r="G1287">
            <v>2555550</v>
          </cell>
          <cell r="H1287">
            <v>2555550</v>
          </cell>
          <cell r="I1287">
            <v>2555550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uster Mapping"/>
      <sheetName val="Rate sheet"/>
      <sheetName val="Sales Wipro HCIT"/>
      <sheetName val="COS Wipro HCIT"/>
      <sheetName val="Support cost Wipro HCIT"/>
      <sheetName val="Manpower No. Wipro HCIT"/>
      <sheetName val="Support cost BPO-CPO"/>
      <sheetName val="COS  BPO-CPO"/>
      <sheetName val="Sales  BPO-CPO"/>
      <sheetName val="Support cost DD"/>
      <sheetName val="COS  DD"/>
      <sheetName val="Sales  DD"/>
      <sheetName val="Support cost LS"/>
      <sheetName val="COS LS"/>
      <sheetName val="Sales LS"/>
      <sheetName val="P&amp;L"/>
      <sheetName val="Sales HC"/>
      <sheetName val="COS HC"/>
      <sheetName val="Support cost HC"/>
      <sheetName val="BALANCE SHEET"/>
      <sheetName val="FUNDFLOW"/>
      <sheetName val="PPT"/>
      <sheetName val="Capex"/>
      <sheetName val="Assumptions"/>
      <sheetName val="Sheet1"/>
      <sheetName val="Corp Format"/>
      <sheetName val="P&amp;L Consol"/>
      <sheetName val="P&amp;L HC"/>
      <sheetName val="P&amp;L LS"/>
      <sheetName val="P&amp;L DD"/>
      <sheetName val="P&amp;L BPO-CPO"/>
      <sheetName val="P&amp;L Biomed"/>
      <sheetName val="P&amp;L Cen Sup"/>
      <sheetName val="P&amp;L Wipro HCIT"/>
      <sheetName val="Joydeep"/>
      <sheetName val="Cen Supp Costs"/>
      <sheetName val="Manpower Consol"/>
      <sheetName val="Manpower No. HC"/>
      <sheetName val="Manpower No. LS"/>
      <sheetName val="Manpower No. DD"/>
      <sheetName val="Manpower c Support"/>
      <sheetName val="Manpower No. BPO-CPO"/>
      <sheetName val="HRZ"/>
      <sheetName val="Manpower Cost"/>
      <sheetName val="Comm"/>
      <sheetName val="Geo-Sal inv"/>
      <sheetName val="Rev,MM&amp;Rat sum"/>
      <sheetName val="Cont analy"/>
      <sheetName val="Ver-Geowise mm"/>
      <sheetName val="Ver-Geowise mm sum"/>
      <sheetName val="Business Visa"/>
      <sheetName val="Work Permit"/>
      <sheetName val="Intl cost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 months"/>
      <sheetName val="Sheet2"/>
      <sheetName val="12 months"/>
      <sheetName val="HR"/>
      <sheetName val="Sheet4"/>
      <sheetName val="P&amp;L"/>
      <sheetName val="CAsh flow"/>
      <sheetName val="Aged Receivables"/>
      <sheetName val="Service Function"/>
      <sheetName val="Sheet3 (2)"/>
      <sheetName val="P1 Variables"/>
      <sheetName val="Personnel Expense"/>
      <sheetName val="CSCCincSKR"/>
      <sheetName val="Qtr 1"/>
      <sheetName val="P_L"/>
      <sheetName val="Feb Analysts"/>
      <sheetName val="cashflow"/>
      <sheetName val="Sheet1"/>
      <sheetName val="Sheet3"/>
      <sheetName val="FDY_CS"/>
      <sheetName val="FDY_PWR"/>
      <sheetName val="Simulator Detail"/>
      <sheetName val="9_months"/>
      <sheetName val="12_months"/>
      <sheetName val="CAsh_flow"/>
      <sheetName val="Aged_Receivables"/>
      <sheetName val="Fin Split_Ret"/>
      <sheetName val="India Summary Split_Ret"/>
      <sheetName val="Sum_Banking Div_Ret"/>
      <sheetName val="Sum_BDS_Ret"/>
      <sheetName val="Sum_CAD_Ret"/>
      <sheetName val="Sum_Core India Fin_Ret"/>
      <sheetName val="Sum_Corp Real Est_Ret"/>
      <sheetName val="Sum_Equity_Ret"/>
      <sheetName val="Sum_Ex Admin_Ret"/>
      <sheetName val="Sum_FID_Ret"/>
      <sheetName val="Sum_Fin_Ret"/>
      <sheetName val="Sum_FO_Ret"/>
      <sheetName val="Sum_GCS_Ret"/>
      <sheetName val="Sum_HR_Ret"/>
      <sheetName val="Sum_ITD Ops_Retrieve"/>
      <sheetName val="Sum_MCD_Ret"/>
      <sheetName val="Sum_Non-Core_Ret"/>
      <sheetName val="Sum_Ops_Ret"/>
      <sheetName val="Summary_Retrieve"/>
      <sheetName val="Sum_RiskMgmt_Ret"/>
      <sheetName val="Sum_Total Corp_Ret"/>
      <sheetName val="Input sheet"/>
      <sheetName val="Assumptions"/>
      <sheetName val="EDLI Adm. Chg."/>
      <sheetName val="DATA"/>
      <sheetName val="유통망계획"/>
      <sheetName val="Fixed Categories"/>
      <sheetName val="Sch 2,3,4"/>
      <sheetName val="EXPENSES"/>
      <sheetName val="P&amp;L Ac-Standalone"/>
      <sheetName val="Cons"/>
      <sheetName val="Pur"/>
      <sheetName val="Actual Data (MAP)"/>
      <sheetName val="Actual Data (STX)"/>
      <sheetName val="Gains_Losses"/>
      <sheetName val="People"/>
      <sheetName val="D"/>
      <sheetName val="FA - Tower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J1">
            <v>100000</v>
          </cell>
          <cell r="L1">
            <v>48.475000000000001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W Final Accounts - 99"/>
      <sheetName val="P&amp;L"/>
      <sheetName val="RM-Summary"/>
      <sheetName val="Customize Your Purchase Order"/>
      <sheetName val="Forecast Sales Model"/>
      <sheetName val="BS-203"/>
      <sheetName val="calcul"/>
      <sheetName val="cashflow"/>
      <sheetName val="Sch BS"/>
      <sheetName val="Groupings BS"/>
      <sheetName val="Meas.-Hotel Part"/>
      <sheetName val="dealer list"/>
      <sheetName val="Payroll_Statement"/>
      <sheetName val="Schedules"/>
      <sheetName val="grp "/>
      <sheetName val="BL Staff"/>
      <sheetName val="SUMMARY"/>
      <sheetName val="Break up Sheet"/>
      <sheetName val="STPI"/>
      <sheetName val="EXPENSES"/>
      <sheetName val="CBM-proj"/>
      <sheetName val="lbo-sum"/>
      <sheetName val="Reference Table"/>
      <sheetName val="Bs_dft"/>
      <sheetName val="P&amp;l_dft"/>
      <sheetName val="Sch_dft"/>
      <sheetName val="Seats Planning"/>
      <sheetName val="EAW_Final_Accounts_-_99"/>
      <sheetName val="Customize_Your_Purchase_Order"/>
      <sheetName val="Forecast_Sales_Model"/>
      <sheetName val="BL_Staff"/>
      <sheetName val="Break_up_Sheet"/>
      <sheetName val="dealer_list"/>
      <sheetName val="Sch_BS"/>
      <sheetName val="Groupings_BS"/>
      <sheetName val="Seats_Planning"/>
      <sheetName val="Plant &amp; Mach"/>
      <sheetName val="Sheet1"/>
      <sheetName val="Sheet3 (2)"/>
      <sheetName val="accounts"/>
      <sheetName val="grp_"/>
      <sheetName val="Meas_-Hotel_Part"/>
      <sheetName val="Reference_Table"/>
      <sheetName val="Collection"/>
      <sheetName val="exp-m"/>
      <sheetName val="EAWFINAL"/>
      <sheetName val="MOB-MAN1"/>
      <sheetName val="Introduction"/>
      <sheetName val="Profit and Loss"/>
      <sheetName val="FRINGE_BENEFIT_INFO"/>
      <sheetName val="Deduction Details"/>
      <sheetName val="DATA-INPUT"/>
      <sheetName val="General Parameters"/>
      <sheetName val="Lookup Table Fixed Costs"/>
      <sheetName val="R.1.5_GL Dump"/>
      <sheetName val="Firmabil"/>
      <sheetName val="Pensionsoversigt"/>
      <sheetName val="Personale stamdata"/>
      <sheetName val="Balance Sheet"/>
      <sheetName val="Earnings model"/>
      <sheetName val="Alloc CORP Summary"/>
      <sheetName val="Factor_sheet"/>
      <sheetName val="Cons"/>
      <sheetName val="Severity"/>
      <sheetName val="Form"/>
      <sheetName val="Challan"/>
      <sheetName val="유통망계획"/>
      <sheetName val="TAX INCOME"/>
      <sheetName val="Tables"/>
      <sheetName val="Currency"/>
      <sheetName val="Branch"/>
      <sheetName val="concrete"/>
      <sheetName val="Cntmrs-Recruit"/>
      <sheetName val="SPI"/>
      <sheetName val="Cover"/>
      <sheetName val="Data Sheet"/>
      <sheetName val="start"/>
      <sheetName val="Adj Memo - SHB lease"/>
      <sheetName val="Main"/>
      <sheetName val="2C"/>
      <sheetName val="LSR"/>
      <sheetName val="all client IDs"/>
      <sheetName val="P1 Variables"/>
      <sheetName val="Top_Sheet"/>
      <sheetName val="trial"/>
      <sheetName val="SALE&amp;COST"/>
      <sheetName val="SOCIPC"/>
      <sheetName val="SOO"/>
      <sheetName val="3BPA00132-5-3 W plan HVPNL"/>
      <sheetName val="VAR STORE_CONS"/>
      <sheetName val="EXCH"/>
      <sheetName val="Flexi"/>
      <sheetName val="NN"/>
      <sheetName val="15"/>
      <sheetName val="B12"/>
      <sheetName val="B13"/>
      <sheetName val="B4"/>
      <sheetName val="Assumptions"/>
      <sheetName val="Sales &amp; Material Cost 00-01"/>
      <sheetName val="Base"/>
      <sheetName val="Directors"/>
      <sheetName val="Comp"/>
      <sheetName val="All Components Report"/>
      <sheetName val="Call Stratgy-RMC"/>
      <sheetName val="EAW_Final_Accounts_-_991"/>
      <sheetName val="Customize_Your_Purchase_Order1"/>
      <sheetName val="Forecast_Sales_Model1"/>
      <sheetName val="BL_Staff1"/>
      <sheetName val="Break_up_Sheet1"/>
      <sheetName val="dealer_list1"/>
      <sheetName val="Plant_&amp;_Mach"/>
      <sheetName val="Sch_BS1"/>
      <sheetName val="Groupings_BS1"/>
      <sheetName val="Sheet3_(2)"/>
      <sheetName val="Seats_Planning1"/>
      <sheetName val="IPO"/>
      <sheetName val="grp_1"/>
      <sheetName val="Reference_Table1"/>
      <sheetName val="Meas_-Hotel_Part1"/>
      <sheetName val="Profit_and_Loss"/>
      <sheetName val="General_Parameters"/>
      <sheetName val="Lookup_Table_Fixed_Costs"/>
      <sheetName val="R_1_5_GL_Dump"/>
      <sheetName val="Personale_stamdata"/>
      <sheetName val="3BPA00132-5-3_W_plan_HVPNL"/>
      <sheetName val="Deduction_Details"/>
      <sheetName val="Data_Sheet"/>
      <sheetName val="Orig SG&amp;A Corp"/>
      <sheetName val="Proforma"/>
      <sheetName val="Stammdaten"/>
      <sheetName val="SALARIES"/>
      <sheetName val="Bal_Gr"/>
      <sheetName val="Fleet Numbers"/>
      <sheetName val="Apr04"/>
      <sheetName val="Aug04"/>
      <sheetName val="Jan04"/>
      <sheetName val="Feb04"/>
      <sheetName val="Jul04"/>
      <sheetName val="Jun04"/>
      <sheetName val="Mar04"/>
      <sheetName val="May04"/>
      <sheetName val="Oct04"/>
      <sheetName val="Detailed"/>
      <sheetName val="Funds Requirement"/>
      <sheetName val="GROUPING"/>
      <sheetName val="S&amp;M(3)"/>
      <sheetName val="B Sheetbajaj"/>
      <sheetName val="Tariff"/>
      <sheetName val="O&amp;M Exp"/>
      <sheetName val="Set"/>
      <sheetName val="EXIS-COMBINED"/>
      <sheetName val="revenues - geographies"/>
      <sheetName val="capex"/>
      <sheetName val="Rentals Real 1"/>
      <sheetName val="Lead"/>
      <sheetName val="drop"/>
      <sheetName val="beam-reinft-IIInd floor"/>
      <sheetName val="Price List - Raw"/>
      <sheetName val="SCH4"/>
      <sheetName val="2005 Q4"/>
      <sheetName val="Hoja2"/>
      <sheetName val="Roll-up"/>
      <sheetName val="XL4Poppy"/>
      <sheetName val="JA-FC"/>
      <sheetName val="JA-GC"/>
      <sheetName val="JA-ROCE"/>
      <sheetName val="monthly-var"/>
      <sheetName val="EXPL.AGUA"/>
      <sheetName val="Service Function"/>
      <sheetName val="BOQ"/>
      <sheetName val="LIST OF MAKES"/>
      <sheetName val="BGTCODES"/>
      <sheetName val="ReworkLabour"/>
      <sheetName val="Validation"/>
      <sheetName val="Gross Salary Forecast"/>
      <sheetName val="DSM checkbook"/>
      <sheetName val="Data"/>
      <sheetName val="NAVREC"/>
      <sheetName val="inv (2)"/>
      <sheetName val="Unmatched"/>
      <sheetName val="Matched"/>
      <sheetName val="Parametre"/>
      <sheetName val="WGE P&amp;E"/>
      <sheetName val="entitlements"/>
      <sheetName val="FORM-16"/>
      <sheetName val="Imports-dataload"/>
      <sheetName val="Name"/>
      <sheetName val="BS and P&amp;L"/>
      <sheetName val="Links"/>
      <sheetName val="easitax"/>
      <sheetName val="Compensation Summary"/>
      <sheetName val="Dep"/>
      <sheetName val="Monthly Report"/>
      <sheetName val="Revenue-Annexure (UL)"/>
      <sheetName val="CONTROL "/>
      <sheetName val="BellFlowerprem"/>
      <sheetName val="Basic Details"/>
      <sheetName val="DF"/>
      <sheetName val=" Back up Enc 3A"/>
      <sheetName val="WORKINGS"/>
      <sheetName val="Excise on RM"/>
      <sheetName val="Charts"/>
      <sheetName val="Calendar year Summary Plan"/>
      <sheetName val="TB MAR2004"/>
      <sheetName val="Forecast"/>
      <sheetName val="CREH SUD "/>
      <sheetName val="Entities"/>
      <sheetName val="A"/>
      <sheetName val="PIM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S-100"/>
      <sheetName val="IS-101 "/>
      <sheetName val="IS-102"/>
      <sheetName val="IS-103"/>
      <sheetName val="IS-104"/>
      <sheetName val="IS-105"/>
      <sheetName val="IS-106"/>
      <sheetName val="IS-107"/>
      <sheetName val="IS -108"/>
      <sheetName val="IS-109"/>
      <sheetName val="IS-110"/>
      <sheetName val="IS-111"/>
      <sheetName val="IS-112"/>
      <sheetName val="IS-113"/>
      <sheetName val="IS-114"/>
      <sheetName val="IS-115"/>
      <sheetName val="IS-116"/>
      <sheetName val="IS-117"/>
      <sheetName val="IS -118"/>
      <sheetName val="IS -119"/>
      <sheetName val="IS -120"/>
      <sheetName val="IS -121"/>
      <sheetName val="IS -122 "/>
      <sheetName val="IS -123"/>
      <sheetName val="IS -124"/>
      <sheetName val="IS-125"/>
      <sheetName val="BS -200"/>
      <sheetName val="BS-201"/>
      <sheetName val="BS-202"/>
      <sheetName val="BS-203"/>
      <sheetName val="BS-204"/>
      <sheetName val="BS-205"/>
      <sheetName val="BS-206"/>
      <sheetName val="BS-207"/>
      <sheetName val="BS-208"/>
      <sheetName val="BS-209"/>
      <sheetName val="BS-210"/>
      <sheetName val="BS-211"/>
      <sheetName val="BS-212"/>
      <sheetName val="MI-300"/>
      <sheetName val="MI-301"/>
      <sheetName val="MI-302"/>
      <sheetName val="MI-303"/>
      <sheetName val="MI-304"/>
      <sheetName val="MI-305 "/>
      <sheetName val="MI-306"/>
      <sheetName val="MI-307"/>
      <sheetName val="MI-308"/>
      <sheetName val="MI-309"/>
      <sheetName val="MI-310"/>
      <sheetName val="MI-311"/>
      <sheetName val="MI-312"/>
      <sheetName val="MI-313"/>
      <sheetName val="MI-314 "/>
      <sheetName val="MI-315"/>
      <sheetName val="MI-316"/>
      <sheetName val="MI-317"/>
      <sheetName val="BS_203"/>
      <sheetName val="EAW Final Accounts - 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form 3CD A"/>
      <sheetName val="Revised Ann I"/>
      <sheetName val="Annex II FBT(To be printed)"/>
      <sheetName val="Comp"/>
      <sheetName val="A 145A"/>
      <sheetName val="Sch1"/>
      <sheetName val="Sch2"/>
      <sheetName val="Sch3"/>
      <sheetName val="Sch4"/>
      <sheetName val="Sch5"/>
      <sheetName val="Sch6"/>
      <sheetName val="Sch7"/>
      <sheetName val="Sch8"/>
      <sheetName val="FBT workings- JTPL"/>
      <sheetName val="MAT"/>
      <sheetName val="Stock Summary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W"/>
      <sheetName val="OPS_asia"/>
      <sheetName val="Production"/>
      <sheetName val="PRICE"/>
      <sheetName val="Data"/>
      <sheetName val="OPS_SIMPLIFIE"/>
      <sheetName val="CESSION"/>
      <sheetName val="ORDER"/>
      <sheetName val="income"/>
      <sheetName val="AP RA99-06"/>
      <sheetName val="HV RA99-06"/>
      <sheetName val="IN RA99-06"/>
      <sheetName val="CH RA99-06"/>
      <sheetName val="TH RA99-06"/>
      <sheetName val="HZ RA99-06"/>
      <sheetName val="Total MG "/>
      <sheetName val="Rates"/>
      <sheetName val="TB"/>
      <sheetName val="Schedule"/>
      <sheetName val="consolidated Budget"/>
      <sheetName val="MAPPINGS"/>
      <sheetName val="Input schedule"/>
      <sheetName val="IOPlan"/>
      <sheetName val="Op Plan Sales"/>
      <sheetName val="Consol"/>
      <sheetName val="Lists"/>
      <sheetName val="IT Only"/>
      <sheetName val="Sheet1"/>
      <sheetName val="Sales &amp; Marketing Dashboard"/>
      <sheetName val="LIC"/>
      <sheetName val="PropertyList"/>
      <sheetName val="IT-accruals"/>
      <sheetName val="TPM Tot"/>
      <sheetName val="StdMarginRegQtr"/>
      <sheetName val="Sept '99"/>
      <sheetName val=".2 Reserve"/>
      <sheetName val="Maint Def Rev 03-04"/>
      <sheetName val="New-Growth Def Rev 03-04"/>
      <sheetName val="Perpetual Def Rev 03-04"/>
      <sheetName val="Renewal Def Rev 03-04"/>
      <sheetName val="New form 3CD A"/>
      <sheetName val="Risco-Accts"/>
      <sheetName val="Comp"/>
      <sheetName val="Payroll_Statement"/>
      <sheetName val="Annexure"/>
      <sheetName val="Trial Balance"/>
      <sheetName val="Travel Expense Report(1week)"/>
      <sheetName val="ENCL6"/>
      <sheetName val="Control"/>
      <sheetName val="List"/>
      <sheetName val="AP_RA99-06"/>
      <sheetName val="HV_RA99-06"/>
      <sheetName val="IN_RA99-06"/>
      <sheetName val="CH_RA99-06"/>
      <sheetName val="TH_RA99-06"/>
      <sheetName val="HZ_RA99-06"/>
      <sheetName val="Total_MG_"/>
      <sheetName val="Op_Plan_Sales"/>
      <sheetName val="IT_Only"/>
      <sheetName val="Trial_Balance"/>
      <sheetName val="Sales_&amp;_Marketing_Dashboard"/>
      <sheetName val="Input_schedule"/>
      <sheetName val="TPM_Tot"/>
      <sheetName val="Sept_'99"/>
      <sheetName val="COA-IPCL"/>
      <sheetName val="RES"/>
      <sheetName val="Chart of Accounts"/>
      <sheetName val="M B-QtyRecn"/>
      <sheetName val="Params"/>
      <sheetName val="Masters"/>
      <sheetName val="Other notes"/>
      <sheetName val="M_B-QtyRecn"/>
      <sheetName val="FBT Full"/>
      <sheetName val="POFG"/>
      <sheetName val="Rollup_Summary"/>
      <sheetName val="AP_RA99-061"/>
      <sheetName val="HV_RA99-061"/>
      <sheetName val="IN_RA99-061"/>
      <sheetName val="CH_RA99-061"/>
      <sheetName val="TH_RA99-061"/>
      <sheetName val="HZ_RA99-061"/>
      <sheetName val="Op_Plan_Sales1"/>
      <sheetName val="未着品BALANCE"/>
      <sheetName val="データシート"/>
      <sheetName val="Cash Flow.7"/>
      <sheetName val="MAIN"/>
      <sheetName val="3 Yr Revenue Analysis(old)"/>
      <sheetName val="Opening Balance"/>
      <sheetName val="Jodalli-P&amp;L"/>
      <sheetName val="Graphdata"/>
      <sheetName val="Macro1"/>
      <sheetName val="Other"/>
      <sheetName val="Summary"/>
      <sheetName val="Categ"/>
      <sheetName val="Amortization Table"/>
      <sheetName val="riola don't know 9-26-99"/>
      <sheetName val="Spiltrates-Latest"/>
      <sheetName val="All Data"/>
      <sheetName val="Rev"/>
      <sheetName val="EXPENSES"/>
      <sheetName val="AP_RA99-062"/>
      <sheetName val="HV_RA99-062"/>
      <sheetName val="IN_RA99-062"/>
      <sheetName val="CH_RA99-062"/>
      <sheetName val="TH_RA99-062"/>
      <sheetName val="HZ_RA99-062"/>
      <sheetName val="Total_MG_1"/>
      <sheetName val="Op_Plan_Sales2"/>
      <sheetName val="IT_Only1"/>
      <sheetName val="Push Diag on Premise"/>
      <sheetName val="CChannel Attract Input"/>
      <sheetName val="FStratPlan"/>
      <sheetName val="Rate_dec02"/>
      <sheetName val="BAL96-97"/>
      <sheetName val="Price Testing - Used - 1"/>
      <sheetName val="Price_Testing_-_Used_-_11"/>
      <sheetName val="Price_Testing_-_Used_-_1"/>
      <sheetName val=""/>
      <sheetName val="BS"/>
      <sheetName val="d"/>
      <sheetName val="5Y_v2.14"/>
      <sheetName val="CRITERIA1"/>
      <sheetName val="Main-Material"/>
      <sheetName val="IS"/>
      <sheetName val="May 09"/>
      <sheetName val="India"/>
      <sheetName val="Other_notes"/>
      <sheetName val="M_B-QtyRecn1"/>
      <sheetName val="FBT_Full"/>
      <sheetName val="Chart_of_Accounts"/>
      <sheetName val="consolidated_Budget"/>
      <sheetName val="Other_notes1"/>
      <sheetName val="M_B-QtyRecn2"/>
      <sheetName val="Sales_&amp;_Marketing_Dashboard1"/>
      <sheetName val="Trial_Balance1"/>
      <sheetName val="Input_schedule1"/>
      <sheetName val="TPM_Tot1"/>
      <sheetName val="Sept_'991"/>
      <sheetName val="FBT_Full1"/>
      <sheetName val="Chart_of_Accounts1"/>
      <sheetName val="consolidated_Budget1"/>
      <sheetName val="AP_RA99-063"/>
      <sheetName val="HV_RA99-063"/>
      <sheetName val="IN_RA99-063"/>
      <sheetName val="CH_RA99-063"/>
      <sheetName val="TH_RA99-063"/>
      <sheetName val="HZ_RA99-063"/>
      <sheetName val="Op_Plan_Sales3"/>
      <sheetName val="Other_notes2"/>
      <sheetName val="M_B-QtyRecn3"/>
      <sheetName val="IT_Only2"/>
      <sheetName val="Sales_&amp;_Marketing_Dashboard2"/>
      <sheetName val="Total_MG_2"/>
      <sheetName val="Trial_Balance2"/>
      <sheetName val="Input_schedule2"/>
      <sheetName val="TPM_Tot2"/>
      <sheetName val="Sept_'992"/>
      <sheetName val="FBT_Full2"/>
      <sheetName val="Chart_of_Accounts2"/>
      <sheetName val="consolidated_Budget2"/>
      <sheetName val="AP_RA99-064"/>
      <sheetName val="HV_RA99-064"/>
      <sheetName val="IN_RA99-064"/>
      <sheetName val="CH_RA99-064"/>
      <sheetName val="TH_RA99-064"/>
      <sheetName val="HZ_RA99-064"/>
      <sheetName val="Op_Plan_Sales4"/>
      <sheetName val="Other_notes3"/>
      <sheetName val="M_B-QtyRecn4"/>
      <sheetName val="IT_Only3"/>
      <sheetName val="Sales_&amp;_Marketing_Dashboard3"/>
      <sheetName val="Total_MG_3"/>
      <sheetName val="Trial_Balance3"/>
      <sheetName val="Input_schedule3"/>
      <sheetName val="TPM_Tot3"/>
      <sheetName val="Sept_'993"/>
      <sheetName val="FBT_Full3"/>
      <sheetName val="Chart_of_Accounts3"/>
      <sheetName val="consolidated_Budget3"/>
      <sheetName val="5Y_v2_14"/>
      <sheetName val="Price_Testing_-_Used_-_12"/>
      <sheetName val="Push_Diag_on_Premise"/>
      <sheetName val="CChannel_Attract_Input"/>
      <sheetName val="Cash_Flow_7"/>
      <sheetName val="Opening_Balance"/>
      <sheetName val="AP_RA99-065"/>
      <sheetName val="HV_RA99-065"/>
      <sheetName val="IN_RA99-065"/>
      <sheetName val="CH_RA99-065"/>
      <sheetName val="TH_RA99-065"/>
      <sheetName val="HZ_RA99-065"/>
      <sheetName val="Op_Plan_Sales5"/>
      <sheetName val="Other_notes4"/>
      <sheetName val="M_B-QtyRecn5"/>
      <sheetName val="IT_Only4"/>
      <sheetName val="Sales_&amp;_Marketing_Dashboard4"/>
      <sheetName val="Total_MG_4"/>
      <sheetName val="Trial_Balance4"/>
      <sheetName val="Input_schedule4"/>
      <sheetName val="TPM_Tot4"/>
      <sheetName val="Sept_'994"/>
      <sheetName val="FBT_Full4"/>
      <sheetName val="Chart_of_Accounts4"/>
      <sheetName val="consolidated_Budget4"/>
      <sheetName val="5Y_v2_141"/>
      <sheetName val="Price_Testing_-_Used_-_13"/>
      <sheetName val="Push_Diag_on_Premise1"/>
      <sheetName val="CChannel_Attract_Input1"/>
      <sheetName val="Cash_Flow_71"/>
      <sheetName val="Opening_Balance1"/>
      <sheetName val="AP_RA99-067"/>
      <sheetName val="HV_RA99-067"/>
      <sheetName val="IN_RA99-067"/>
      <sheetName val="CH_RA99-067"/>
      <sheetName val="TH_RA99-067"/>
      <sheetName val="HZ_RA99-067"/>
      <sheetName val="Op_Plan_Sales7"/>
      <sheetName val="Other_notes6"/>
      <sheetName val="M_B-QtyRecn7"/>
      <sheetName val="IT_Only6"/>
      <sheetName val="Sales_&amp;_Marketing_Dashboard6"/>
      <sheetName val="Total_MG_6"/>
      <sheetName val="Trial_Balance6"/>
      <sheetName val="Input_schedule6"/>
      <sheetName val="TPM_Tot6"/>
      <sheetName val="Sept_'996"/>
      <sheetName val="FBT_Full6"/>
      <sheetName val="Chart_of_Accounts6"/>
      <sheetName val="consolidated_Budget6"/>
      <sheetName val="5Y_v2_143"/>
      <sheetName val="Price_Testing_-_Used_-_15"/>
      <sheetName val="Push_Diag_on_Premise3"/>
      <sheetName val="CChannel_Attract_Input3"/>
      <sheetName val="Cash_Flow_73"/>
      <sheetName val="Opening_Balance3"/>
      <sheetName val="AP_RA99-066"/>
      <sheetName val="HV_RA99-066"/>
      <sheetName val="IN_RA99-066"/>
      <sheetName val="CH_RA99-066"/>
      <sheetName val="TH_RA99-066"/>
      <sheetName val="HZ_RA99-066"/>
      <sheetName val="Op_Plan_Sales6"/>
      <sheetName val="Other_notes5"/>
      <sheetName val="M_B-QtyRecn6"/>
      <sheetName val="IT_Only5"/>
      <sheetName val="Sales_&amp;_Marketing_Dashboard5"/>
      <sheetName val="Total_MG_5"/>
      <sheetName val="Trial_Balance5"/>
      <sheetName val="Input_schedule5"/>
      <sheetName val="TPM_Tot5"/>
      <sheetName val="Sept_'995"/>
      <sheetName val="FBT_Full5"/>
      <sheetName val="Chart_of_Accounts5"/>
      <sheetName val="consolidated_Budget5"/>
      <sheetName val="5Y_v2_142"/>
      <sheetName val="Price_Testing_-_Used_-_14"/>
      <sheetName val="Push_Diag_on_Premise2"/>
      <sheetName val="CChannel_Attract_Input2"/>
      <sheetName val="Cash_Flow_72"/>
      <sheetName val="Opening_Balance2"/>
      <sheetName val="AP_RA99-068"/>
      <sheetName val="HV_RA99-068"/>
      <sheetName val="IN_RA99-068"/>
      <sheetName val="CH_RA99-068"/>
      <sheetName val="TH_RA99-068"/>
      <sheetName val="HZ_RA99-068"/>
      <sheetName val="Op_Plan_Sales8"/>
      <sheetName val="Other_notes7"/>
      <sheetName val="M_B-QtyRecn8"/>
      <sheetName val="IT_Only7"/>
      <sheetName val="Sales_&amp;_Marketing_Dashboard7"/>
      <sheetName val="Total_MG_7"/>
      <sheetName val="Trial_Balance7"/>
      <sheetName val="Input_schedule7"/>
      <sheetName val="TPM_Tot7"/>
      <sheetName val="Sept_'997"/>
      <sheetName val="FBT_Full7"/>
      <sheetName val="Chart_of_Accounts7"/>
      <sheetName val="consolidated_Budget7"/>
      <sheetName val="5Y_v2_144"/>
      <sheetName val="Price_Testing_-_Used_-_16"/>
      <sheetName val="Push_Diag_on_Premise4"/>
      <sheetName val="CChannel_Attract_Input4"/>
      <sheetName val="Cash_Flow_74"/>
      <sheetName val="Opening_Balance4"/>
      <sheetName val="AP_RA99-069"/>
      <sheetName val="HV_RA99-069"/>
      <sheetName val="IN_RA99-069"/>
      <sheetName val="CH_RA99-069"/>
      <sheetName val="TH_RA99-069"/>
      <sheetName val="HZ_RA99-069"/>
      <sheetName val="Op_Plan_Sales9"/>
      <sheetName val="Other_notes8"/>
      <sheetName val="M_B-QtyRecn9"/>
      <sheetName val="IT_Only8"/>
      <sheetName val="Sales_&amp;_Marketing_Dashboard8"/>
      <sheetName val="Total_MG_8"/>
      <sheetName val="Trial_Balance8"/>
      <sheetName val="Input_schedule8"/>
      <sheetName val="TPM_Tot8"/>
      <sheetName val="Sept_'998"/>
      <sheetName val="FBT_Full8"/>
      <sheetName val="Chart_of_Accounts8"/>
      <sheetName val="consolidated_Budget8"/>
      <sheetName val="5Y_v2_145"/>
      <sheetName val="Price_Testing_-_Used_-_17"/>
      <sheetName val="Push_Diag_on_Premise5"/>
      <sheetName val="CChannel_Attract_Input5"/>
      <sheetName val="Cash_Flow_75"/>
      <sheetName val="Opening_Balance5"/>
      <sheetName val="AP_RA99-0610"/>
      <sheetName val="HV_RA99-0610"/>
      <sheetName val="IN_RA99-0610"/>
      <sheetName val="CH_RA99-0610"/>
      <sheetName val="TH_RA99-0610"/>
      <sheetName val="HZ_RA99-0610"/>
      <sheetName val="Op_Plan_Sales10"/>
      <sheetName val="Other_notes9"/>
      <sheetName val="M_B-QtyRecn10"/>
      <sheetName val="IT_Only9"/>
      <sheetName val="Sales_&amp;_Marketing_Dashboard9"/>
      <sheetName val="Total_MG_9"/>
      <sheetName val="Trial_Balance9"/>
      <sheetName val="Input_schedule9"/>
      <sheetName val="TPM_Tot9"/>
      <sheetName val="Sept_'999"/>
      <sheetName val="FBT_Full9"/>
      <sheetName val="Chart_of_Accounts9"/>
      <sheetName val="consolidated_Budget9"/>
      <sheetName val="5Y_v2_146"/>
      <sheetName val="Price_Testing_-_Used_-_18"/>
      <sheetName val="Push_Diag_on_Premise6"/>
      <sheetName val="CChannel_Attract_Input6"/>
      <sheetName val="Cash_Flow_76"/>
      <sheetName val="Opening_Balance6"/>
      <sheetName val="Notes"/>
      <sheetName val="Cash Flows"/>
      <sheetName val="Val &amp; Multp"/>
      <sheetName val="Options"/>
      <sheetName val="Heating Div"/>
      <sheetName val="All other Div's"/>
      <sheetName val="CoCapital"/>
      <sheetName val="EPS"/>
      <sheetName val="Mult"/>
      <sheetName val="Synergies"/>
      <sheetName val="Mkt Mult"/>
      <sheetName val="Trans Mult"/>
      <sheetName val="Module1"/>
      <sheetName val="Challan"/>
      <sheetName val="Cover"/>
      <sheetName val="Consolidated"/>
      <sheetName val="FINAL SHEET"/>
      <sheetName val="AP_RA99-0611"/>
      <sheetName val="HV_RA99-0611"/>
      <sheetName val="IN_RA99-0611"/>
      <sheetName val="CH_RA99-0611"/>
      <sheetName val="TH_RA99-0611"/>
      <sheetName val="HZ_RA99-0611"/>
      <sheetName val="Op_Plan_Sales11"/>
      <sheetName val="Other_notes10"/>
      <sheetName val="M_B-QtyRecn11"/>
      <sheetName val="IT_Only10"/>
      <sheetName val="Sales_&amp;_Marketing_Dashboard10"/>
      <sheetName val="Total_MG_10"/>
      <sheetName val="Trial_Balance10"/>
      <sheetName val="Input_schedule10"/>
      <sheetName val="TPM_Tot10"/>
      <sheetName val="Sept_'9910"/>
      <sheetName val="FBT_Full10"/>
      <sheetName val="Chart_of_Accounts10"/>
      <sheetName val="consolidated_Budget10"/>
      <sheetName val="5Y_v2_147"/>
      <sheetName val="Price_Testing_-_Used_-_19"/>
      <sheetName val="Push_Diag_on_Premise7"/>
      <sheetName val="CChannel_Attract_Input7"/>
      <sheetName val="Cash_Flow_77"/>
      <sheetName val="Opening_Balance7"/>
      <sheetName val="BAL0301"/>
      <sheetName val="Results"/>
      <sheetName val="Page1"/>
      <sheetName val="exp-m"/>
      <sheetName val="2003"/>
      <sheetName val="Listings 96-02"/>
      <sheetName val="MPCP9899"/>
      <sheetName val="B0_111350"/>
      <sheetName val="A"/>
      <sheetName val="Rec"/>
      <sheetName val="PAP"/>
      <sheetName val="Keyratios"/>
      <sheetName val="Facility"/>
      <sheetName val="P L"/>
      <sheetName val="mdd &amp; co Fdr jan.02 "/>
      <sheetName val="List_ratios"/>
      <sheetName val="Project Resource Details"/>
      <sheetName val="Assets"/>
      <sheetName val="Balance Sheet "/>
      <sheetName val="P&amp;L Summary Page"/>
      <sheetName val="Axis Bank Cheques"/>
      <sheetName val="Payslip"/>
      <sheetName val="RESULTS-BLR-BB"/>
      <sheetName val="TARGET"/>
      <sheetName val="12-19-00"/>
      <sheetName val="Master Sheet"/>
      <sheetName val="12.04.09"/>
      <sheetName val="Debtors Ageing"/>
      <sheetName val="Excess Calc"/>
      <sheetName val="PLAN-BLR-BB"/>
      <sheetName val="RESULTS-REALTY"/>
      <sheetName val="SME"/>
      <sheetName val="M.G.P-2010"/>
      <sheetName val="SAP - Rightpak"/>
      <sheetName val="SCH-A"/>
      <sheetName val="1 - A (Narrative)"/>
      <sheetName val="98ordbkg"/>
      <sheetName val="Assum"/>
      <sheetName val="VARFCST"/>
      <sheetName val="P&amp;L February"/>
      <sheetName val="P&amp;L Feb 2001 cumulative"/>
      <sheetName val="May_09"/>
      <sheetName val="3_Yr_Revenue_Analysis(old)"/>
      <sheetName val="Amortization_Table"/>
      <sheetName val="New_form_3CD_A"/>
      <sheetName val="riola_don't_know_9-26-99"/>
      <sheetName val="_2_Reserve"/>
      <sheetName val="Listings_96-02"/>
      <sheetName val="All_Data"/>
      <sheetName val="P_L"/>
      <sheetName val="mdd_&amp;_co_Fdr_jan_02_"/>
      <sheetName val="Project_Resource_Details"/>
      <sheetName val="Balance_Sheet_"/>
      <sheetName val="P&amp;L_Summary_Page"/>
      <sheetName val="Axis_Bank_Cheques"/>
      <sheetName val="Master_Sheet"/>
      <sheetName val="12_04_09"/>
      <sheetName val="Debtors_Ageing"/>
      <sheetName val="Excess_Calc"/>
      <sheetName val="M_G_P-2010"/>
      <sheetName val="SAP_-_Rightpak"/>
      <sheetName val="Cash_Flows"/>
      <sheetName val="Val_&amp;_Multp"/>
      <sheetName val="Heating_Div"/>
      <sheetName val="All_other_Div's"/>
      <sheetName val="Mkt_Mult"/>
      <sheetName val="Trans_Mult"/>
      <sheetName val="Maint_Def_Rev_03-04"/>
      <sheetName val="New-Growth_Def_Rev_03-04"/>
      <sheetName val="Perpetual_Def_Rev_03-04"/>
      <sheetName val="Renewal_Def_Rev_03-04"/>
      <sheetName val="1_-_A_(Narrative)"/>
      <sheetName val="AR JAN'02"/>
      <sheetName val="NLD - Assum"/>
      <sheetName val="Locked cell"/>
      <sheetName val="Resources"/>
      <sheetName val="COLUMN"/>
      <sheetName val="Base Data"/>
      <sheetName val="Aseet1998"/>
      <sheetName val="IT_FBT_DDTP"/>
      <sheetName val="AP_RA99-0612"/>
      <sheetName val="HV_RA99-0612"/>
      <sheetName val="IN_RA99-0612"/>
      <sheetName val="CH_RA99-0612"/>
      <sheetName val="TH_RA99-0612"/>
      <sheetName val="HZ_RA99-0612"/>
      <sheetName val="Trial_Balance11"/>
      <sheetName val="Total_MG_11"/>
      <sheetName val="Op_Plan_Sales12"/>
      <sheetName val="IT_Only11"/>
      <sheetName val="May_091"/>
      <sheetName val="Price_Testing_-_Used_-_110"/>
      <sheetName val="M_B-QtyRecn12"/>
      <sheetName val="Input_schedule11"/>
      <sheetName val="Sales_&amp;_Marketing_Dashboard11"/>
      <sheetName val="TPM_Tot11"/>
      <sheetName val="Sept_'9911"/>
      <sheetName val="Chart_of_Accounts11"/>
      <sheetName val="Opening_Balance8"/>
      <sheetName val="3_Yr_Revenue_Analysis(old)1"/>
      <sheetName val="Cash_Flow_78"/>
      <sheetName val="FBT_Full11"/>
      <sheetName val="Other_notes11"/>
      <sheetName val="consolidated_Budget11"/>
      <sheetName val="Push_Diag_on_Premise8"/>
      <sheetName val="CChannel_Attract_Input8"/>
      <sheetName val="Amortization_Table1"/>
      <sheetName val="New_form_3CD_A1"/>
      <sheetName val="riola_don't_know_9-26-991"/>
      <sheetName val="_2_Reserve1"/>
      <sheetName val="Listings_96-021"/>
      <sheetName val="5Y_v2_148"/>
      <sheetName val="All_Data1"/>
      <sheetName val="P_L1"/>
      <sheetName val="mdd_&amp;_co_Fdr_jan_02_1"/>
      <sheetName val="Project_Resource_Details1"/>
      <sheetName val="Balance_Sheet_1"/>
      <sheetName val="P&amp;L_Summary_Page1"/>
      <sheetName val="Axis_Bank_Cheques1"/>
      <sheetName val="Master_Sheet1"/>
      <sheetName val="12_04_091"/>
      <sheetName val="Debtors_Ageing1"/>
      <sheetName val="Excess_Calc1"/>
      <sheetName val="M_G_P-20101"/>
      <sheetName val="SAP_-_Rightpak1"/>
      <sheetName val="Cash_Flows1"/>
      <sheetName val="Val_&amp;_Multp1"/>
      <sheetName val="Heating_Div1"/>
      <sheetName val="All_other_Div's1"/>
      <sheetName val="Mkt_Mult1"/>
      <sheetName val="Trans_Mult1"/>
      <sheetName val="Maint_Def_Rev_03-041"/>
      <sheetName val="New-Growth_Def_Rev_03-041"/>
      <sheetName val="Perpetual_Def_Rev_03-041"/>
      <sheetName val="Renewal_Def_Rev_03-041"/>
      <sheetName val="1_-_A_(Narrative)1"/>
      <sheetName val="PARTY DETAILS"/>
      <sheetName val="Sales &amp;Sale Cost"/>
      <sheetName val="mar rep rev"/>
      <sheetName val="MR08' Cost Manag"/>
      <sheetName val="11400&amp;11405-done"/>
      <sheetName val="Cash Flow-WSL Base Fcst"/>
      <sheetName val="Fx Rates"/>
      <sheetName val="#REF"/>
      <sheetName val="Model"/>
      <sheetName val="U1.6"/>
      <sheetName val="E"/>
      <sheetName val="RF2004_vs_OB2004"/>
      <sheetName val="Consolidate Trial Dec 06"/>
      <sheetName val="Transaction Inputs"/>
      <sheetName val="Res_Area"/>
      <sheetName val="Wavg RM"/>
      <sheetName val="COV"/>
      <sheetName val="Input Screen"/>
      <sheetName val="TB Round"/>
      <sheetName val="экспорт"/>
      <sheetName val="working"/>
      <sheetName val="Grouping TB"/>
      <sheetName val="Mktg"/>
      <sheetName val="FinMajestic"/>
      <sheetName val="PT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8.3000000000000007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 refreshError="1"/>
      <sheetData sheetId="375"/>
      <sheetData sheetId="376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Tbal"/>
      <sheetName val="BS"/>
      <sheetName val="PL"/>
      <sheetName val="Sch BS"/>
      <sheetName val="FA "/>
      <sheetName val="Sch Pl"/>
      <sheetName val="Groupings"/>
      <sheetName val="Depn"/>
      <sheetName val="Cash flow Rs"/>
      <sheetName val="US format BS"/>
      <sheetName val="Income Statement"/>
      <sheetName val="US Grp BS"/>
      <sheetName val="FA US"/>
      <sheetName val="US grp PL"/>
      <sheetName val="USD Cash flow "/>
      <sheetName val="Depreciation (2)"/>
      <sheetName val="Final Depn"/>
      <sheetName val="Tax Computation"/>
      <sheetName val="Abstract"/>
      <sheetName val="List of assets"/>
      <sheetName val="US format"/>
      <sheetName val="FA  USD"/>
      <sheetName val="Grp  US"/>
      <sheetName val="US Grp BS "/>
      <sheetName val="Cash Flow $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S-100"/>
      <sheetName val="IS-101 "/>
      <sheetName val="IS-102"/>
      <sheetName val="IS-103"/>
      <sheetName val="IS-104"/>
      <sheetName val="IS-105"/>
      <sheetName val="IS-106"/>
      <sheetName val="IS-107"/>
      <sheetName val="IS-108"/>
      <sheetName val="IS-109"/>
      <sheetName val="IS-110"/>
      <sheetName val="IS-111"/>
      <sheetName val="IS-112"/>
      <sheetName val="IS-113"/>
      <sheetName val="IS-114"/>
      <sheetName val="IS-115"/>
      <sheetName val="IS-116"/>
      <sheetName val="IS-117"/>
      <sheetName val="IS -118"/>
      <sheetName val="IS -119"/>
      <sheetName val="IS -120"/>
      <sheetName val="IS -121"/>
      <sheetName val="IS -122"/>
      <sheetName val="IS -123"/>
      <sheetName val="IS -124"/>
      <sheetName val="IS-125"/>
      <sheetName val="BS -200"/>
      <sheetName val="BS-201"/>
      <sheetName val="BS -202"/>
      <sheetName val="BS-203"/>
      <sheetName val="BS-204"/>
      <sheetName val="BS-205"/>
      <sheetName val="BS-206"/>
      <sheetName val="BS-207"/>
      <sheetName val="BS-208"/>
      <sheetName val="BS-209"/>
      <sheetName val="BS-210"/>
      <sheetName val="BS-211"/>
      <sheetName val="BS-212"/>
      <sheetName val="MI-300"/>
      <sheetName val="MI-301"/>
      <sheetName val="MI-302"/>
      <sheetName val="MI-303"/>
      <sheetName val="MI-304"/>
      <sheetName val="MI-305"/>
      <sheetName val="MI-306"/>
      <sheetName val="MI-307"/>
      <sheetName val="MI-308"/>
      <sheetName val="MI-309"/>
      <sheetName val="MI-310"/>
      <sheetName val="MI-311"/>
      <sheetName val="MI-312"/>
      <sheetName val="MI-313"/>
      <sheetName val="MI-314"/>
      <sheetName val="MI-315"/>
      <sheetName val="MI-316"/>
      <sheetName val="MI-317"/>
      <sheetName val="MI-318"/>
      <sheetName val="BS_203"/>
      <sheetName val="list of direc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A General"/>
      <sheetName val="Subsidiary Co Details"/>
      <sheetName val="MD, Dir, Co. secy"/>
      <sheetName val="Beneficial_owners"/>
      <sheetName val="Balance Sheet"/>
      <sheetName val="Profit and Loss"/>
      <sheetName val="Other Info"/>
      <sheetName val="Stock details"/>
      <sheetName val="Part B"/>
      <sheetName val="Part C"/>
      <sheetName val="Sch 1 Bus"/>
      <sheetName val="Sch 2 CG"/>
      <sheetName val="Sch 3 Depr"/>
      <sheetName val="Sch 4 HP"/>
      <sheetName val="Sch 5 OS"/>
      <sheetName val="Sch 6 Setoff"/>
      <sheetName val="Sch 7 Bf Setoff"/>
      <sheetName val="Sch 8 Cf Losses"/>
      <sheetName val="Sch 9 Dedns"/>
      <sheetName val="Sch 10 VIA-Sch 11"/>
      <sheetName val="Sch 12-Sch 13"/>
      <sheetName val="Sch 14 88E-Sch 15 115B"/>
      <sheetName val="Sch 16 Div"/>
      <sheetName val="Sch 17 FB"/>
      <sheetName val="Sch 18 Bank"/>
      <sheetName val="Sch 19, 20 Taxes"/>
      <sheetName val="Sch 21 Div Tax"/>
      <sheetName val="Sch 22, 23 FBT"/>
      <sheetName val="Sch 24 TDS"/>
      <sheetName val="Sch 25 TCS"/>
      <sheetName val="Trial Bal"/>
    </sheetNames>
    <sheetDataSet>
      <sheetData sheetId="0">
        <row r="3">
          <cell r="F3" t="str">
            <v xml:space="preserve">01 - ANDAMAN AND NICOBAR ISLANDS </v>
          </cell>
        </row>
        <row r="4">
          <cell r="F4" t="str">
            <v xml:space="preserve">02 - ANDHRA PRADESH </v>
          </cell>
        </row>
        <row r="5">
          <cell r="F5" t="str">
            <v xml:space="preserve">03 - ARUNACHAL PRADESH </v>
          </cell>
        </row>
        <row r="6">
          <cell r="F6" t="str">
            <v xml:space="preserve">04 - ASSAM </v>
          </cell>
        </row>
        <row r="7">
          <cell r="F7" t="str">
            <v xml:space="preserve">05 - BIHAR </v>
          </cell>
        </row>
        <row r="8">
          <cell r="F8" t="str">
            <v xml:space="preserve">06 - CHANDIGARH </v>
          </cell>
        </row>
        <row r="9">
          <cell r="F9" t="str">
            <v xml:space="preserve">07 - DADRA &amp; NAGAR HAVELI </v>
          </cell>
        </row>
        <row r="10">
          <cell r="F10" t="str">
            <v xml:space="preserve">08 - DAMAN &amp; DIU </v>
          </cell>
        </row>
        <row r="11">
          <cell r="F11" t="str">
            <v xml:space="preserve">09 - DELHI </v>
          </cell>
        </row>
        <row r="12">
          <cell r="F12" t="str">
            <v xml:space="preserve">10 - GOA </v>
          </cell>
        </row>
        <row r="13">
          <cell r="F13" t="str">
            <v xml:space="preserve">11 - GUJARAT </v>
          </cell>
        </row>
        <row r="14">
          <cell r="F14" t="str">
            <v xml:space="preserve">12 - HARYANA </v>
          </cell>
        </row>
        <row r="15">
          <cell r="F15" t="str">
            <v xml:space="preserve">13 - HIMACHAL PRADESH </v>
          </cell>
        </row>
        <row r="16">
          <cell r="F16" t="str">
            <v xml:space="preserve">14 - JAMMU &amp; KASHMIR </v>
          </cell>
        </row>
        <row r="17">
          <cell r="F17" t="str">
            <v xml:space="preserve">15 - KARNATAKA </v>
          </cell>
        </row>
        <row r="18">
          <cell r="F18" t="str">
            <v xml:space="preserve">16 - KERALA </v>
          </cell>
        </row>
        <row r="19">
          <cell r="F19" t="str">
            <v xml:space="preserve">17 - LAKHSWADEEP </v>
          </cell>
        </row>
        <row r="20">
          <cell r="F20" t="str">
            <v xml:space="preserve">18 - MADHYA PRADESH </v>
          </cell>
        </row>
        <row r="21">
          <cell r="F21" t="str">
            <v xml:space="preserve">19 - MAHARASHTRA </v>
          </cell>
        </row>
        <row r="22">
          <cell r="F22" t="str">
            <v xml:space="preserve">20 - MANIPUR </v>
          </cell>
        </row>
        <row r="23">
          <cell r="F23" t="str">
            <v xml:space="preserve">21 - MEGHALAYA </v>
          </cell>
        </row>
        <row r="24">
          <cell r="F24" t="str">
            <v xml:space="preserve">22 - MIZORAM </v>
          </cell>
        </row>
        <row r="25">
          <cell r="F25" t="str">
            <v xml:space="preserve">23 - NAGALAND </v>
          </cell>
        </row>
        <row r="26">
          <cell r="F26" t="str">
            <v xml:space="preserve">24 - ORISSA </v>
          </cell>
        </row>
        <row r="27">
          <cell r="F27" t="str">
            <v xml:space="preserve">25 - PONDICHERRY </v>
          </cell>
        </row>
        <row r="28">
          <cell r="F28" t="str">
            <v xml:space="preserve">26 - PUNJAB </v>
          </cell>
        </row>
        <row r="29">
          <cell r="F29" t="str">
            <v xml:space="preserve">27 - RAJASTHAN </v>
          </cell>
        </row>
        <row r="30">
          <cell r="F30" t="str">
            <v xml:space="preserve">28 - SIKKIM </v>
          </cell>
        </row>
        <row r="31">
          <cell r="F31" t="str">
            <v xml:space="preserve">29 - TAMILNADU </v>
          </cell>
        </row>
        <row r="32">
          <cell r="F32" t="str">
            <v xml:space="preserve">30 - TRIPURA </v>
          </cell>
        </row>
        <row r="33">
          <cell r="F33" t="str">
            <v xml:space="preserve">31 - UTTAR PRADESH </v>
          </cell>
        </row>
        <row r="34">
          <cell r="F34" t="str">
            <v xml:space="preserve">32 - WEST BENGAL </v>
          </cell>
        </row>
        <row r="35">
          <cell r="F35" t="str">
            <v xml:space="preserve">33 - CHHATISHGARH </v>
          </cell>
        </row>
        <row r="36">
          <cell r="F36" t="str">
            <v xml:space="preserve">34 - UTTARANCHAL </v>
          </cell>
        </row>
        <row r="37">
          <cell r="F37" t="str">
            <v>35 - JHARKHAND</v>
          </cell>
        </row>
        <row r="38">
          <cell r="F38" t="str">
            <v>99 –State outside India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S-100"/>
      <sheetName val="IS-101 "/>
      <sheetName val="IS-102"/>
      <sheetName val="IS-103"/>
      <sheetName val="IS-104"/>
      <sheetName val="IS-105"/>
      <sheetName val="IS-106"/>
      <sheetName val="IS-107"/>
      <sheetName val="IS-108"/>
      <sheetName val="IS-109"/>
      <sheetName val="IS-110"/>
      <sheetName val="IS-111"/>
      <sheetName val="IS-112"/>
      <sheetName val="IS-113"/>
      <sheetName val="IS-114"/>
      <sheetName val="IS-115"/>
      <sheetName val="IS-116"/>
      <sheetName val="IS-117"/>
      <sheetName val="IS -118"/>
      <sheetName val="IS -119"/>
      <sheetName val="IS -120"/>
      <sheetName val="IS -121"/>
      <sheetName val="IS -122"/>
      <sheetName val="IS -123"/>
      <sheetName val="IS -124"/>
      <sheetName val="IS-125"/>
      <sheetName val="BS -200"/>
      <sheetName val="BS-201"/>
      <sheetName val="BS -202"/>
      <sheetName val="BS-203"/>
      <sheetName val="BS-204"/>
      <sheetName val="BS-205"/>
      <sheetName val="BS-206"/>
      <sheetName val="BS-207"/>
      <sheetName val="BS-208"/>
      <sheetName val="BS-209"/>
      <sheetName val="BS-210"/>
      <sheetName val="BS-211"/>
      <sheetName val="BS-212"/>
      <sheetName val="MI-300"/>
      <sheetName val="MI-301"/>
      <sheetName val="MI-302"/>
      <sheetName val="MI-303"/>
      <sheetName val="MI-304"/>
      <sheetName val="MI-305"/>
      <sheetName val="MI-306"/>
      <sheetName val="MI-307"/>
      <sheetName val="MI-308"/>
      <sheetName val="MI-309"/>
      <sheetName val="MI-310"/>
      <sheetName val="MI-311"/>
      <sheetName val="MI-312"/>
      <sheetName val="MI-313"/>
      <sheetName val="MI-314"/>
      <sheetName val="MI-315"/>
      <sheetName val="MI-316"/>
      <sheetName val="BS_2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ed Parties"/>
      <sheetName val="Pl-EXCL"/>
      <sheetName val="pL-iNCL"/>
      <sheetName val="Sheet3"/>
      <sheetName val="P&amp;L"/>
      <sheetName val="BS"/>
      <sheetName val="VARIANCE ANALYSIS "/>
      <sheetName val="cash flow"/>
      <sheetName val="Sch 1-4"/>
      <sheetName val="Sch-5"/>
      <sheetName val="Sch-6-11"/>
      <sheetName val="Sch 12 &amp;13"/>
      <sheetName val="P&amp;L Sch 14-16"/>
      <sheetName val="P&amp;L Sch 17-19"/>
      <sheetName val="Data Entry"/>
      <sheetName val="TRIAL BALANCE (2)"/>
      <sheetName val="TRIAL BALANCE"/>
      <sheetName val="TB Download"/>
      <sheetName val="TBdownload-2002"/>
      <sheetName val="CC wise Download"/>
      <sheetName val="SIFGROUPINGS"/>
      <sheetName val="SIF P&amp;L BS"/>
      <sheetName val="SIF P&amp;L"/>
      <sheetName val="SIF Workings"/>
      <sheetName val="SIF Results Back up"/>
      <sheetName val="PROVISIONS"/>
      <sheetName val="P &amp; L Approach(OB)"/>
      <sheetName val="P &amp; L Approach(CB) "/>
      <sheetName val="AS-22"/>
      <sheetName val="Nagar provisions"/>
      <sheetName val="CL PROVISION"/>
      <sheetName val="SIF R20&amp;R30 "/>
      <sheetName val="SIF-Sent to France"/>
      <sheetName val="sch-IV"/>
      <sheetName val="TBM ANALYSI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JEs"/>
      <sheetName val="BS"/>
      <sheetName val="P&amp;L"/>
      <sheetName val="Sch-BS"/>
      <sheetName val="Sch-P&amp;L"/>
      <sheetName val="Grp"/>
      <sheetName val="Dep-Co"/>
      <sheetName val="Dep-Tax"/>
      <sheetName val="MAT"/>
      <sheetName val="Comp"/>
      <sheetName val="abs"/>
      <sheetName val="S2_0 S2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bs"/>
      <sheetName val="sch 5"/>
      <sheetName val=" BS-sch 1-4"/>
      <sheetName val="BS-sch 6 &amp; 7"/>
      <sheetName val="BS-sch 8 &amp; 9"/>
      <sheetName val="PL-sch 10, 11 &amp; 12"/>
      <sheetName val="PL-sch 13, 14 &amp; 15"/>
      <sheetName val="GP Margin"/>
      <sheetName val="TRIAL BALANCE"/>
      <sheetName val="Clause 12 (b)"/>
      <sheetName val="pl-excl"/>
      <sheetName val="pl-incl"/>
      <sheetName val="down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Customize Your Purchase Order"/>
      <sheetName val="Bangalore"/>
      <sheetName val="Coimbatore"/>
      <sheetName val="Macros"/>
      <sheetName val="ATW"/>
      <sheetName val="Lock"/>
      <sheetName val="Intl Data Table"/>
      <sheetName val="TemplateInformation"/>
      <sheetName val="Purchase Order"/>
      <sheetName val="LIAB"/>
      <sheetName val="Raw spens"/>
      <sheetName val="TRIAL BALANCE"/>
      <sheetName val="EXPENSES"/>
      <sheetName val="CF"/>
      <sheetName val="BS Sch"/>
      <sheetName val="RMMHOB"/>
      <sheetName val="RMNMHOB"/>
      <sheetName val="RMMKH"/>
      <sheetName val="RMNMKH"/>
      <sheetName val="RMMD"/>
      <sheetName val="RMNMD"/>
      <sheetName val="RM CRG"/>
      <sheetName val="CRITERIA1"/>
      <sheetName val="table"/>
      <sheetName val="Sheet2"/>
      <sheetName val="Jul 96 Worksheet"/>
      <sheetName val="Balance Sheet "/>
      <sheetName val="TB MAR2004"/>
      <sheetName val="pack pnl-99"/>
      <sheetName val="masters"/>
      <sheetName val="tb based schedule"/>
      <sheetName val="Computation"/>
      <sheetName val="School I _ E "/>
      <sheetName val="Actual Input"/>
      <sheetName val="PECVD"/>
      <sheetName val="Bus Mgmt"/>
      <sheetName val="commit"/>
      <sheetName val="Disruptive "/>
      <sheetName val="ELK"/>
      <sheetName val="ECURE"/>
      <sheetName val="HDP"/>
      <sheetName val="HQ"/>
      <sheetName val="LowK"/>
      <sheetName val="Module"/>
      <sheetName val="Ops"/>
      <sheetName val="Support"/>
      <sheetName val="TPS"/>
      <sheetName val="Cover"/>
      <sheetName val="BRP&amp;L"/>
      <sheetName val="Pivots"/>
      <sheetName val="Ref Category"/>
      <sheetName val="Ref Employee"/>
      <sheetName val="Ref Entity Code"/>
      <sheetName val="Tools Rev"/>
      <sheetName val="Loan Amortization Schedule"/>
      <sheetName val="AutoOpen_Stub_Data"/>
      <sheetName val="Customize_Your_Purchase_Order"/>
      <sheetName val="Intl_Data_Table"/>
      <sheetName val="TB_MAR2004"/>
      <sheetName val="Balance_Sheet_"/>
      <sheetName val="lov-COAct"/>
      <sheetName val="lov-cspl"/>
      <sheetName val="Schedules"/>
      <sheetName val="URVE Trend"/>
      <sheetName val="MTS Trend"/>
      <sheetName val="pukhraj (HUF)"/>
      <sheetName val="Sheet5"/>
      <sheetName val="April'00"/>
      <sheetName val="CCA"/>
      <sheetName val="Consolidated TB"/>
      <sheetName val="Purchase%20Order.XLS"/>
      <sheetName val="Sheet1"/>
      <sheetName val="Rates"/>
      <sheetName val="Groupings 2004"/>
      <sheetName val="Inputs"/>
      <sheetName val="ExtCur"/>
      <sheetName val="Master"/>
      <sheetName val="TB"/>
      <sheetName val="97-98"/>
      <sheetName val="Purchase_Order"/>
      <sheetName val="AutoOpen_Stub_Data1"/>
      <sheetName val="Customize_Your_Purchase_Order1"/>
      <sheetName val="Intl_Data_Table1"/>
      <sheetName val="Purchase_Order1"/>
      <sheetName val="AutoOpen_Stub_Data2"/>
      <sheetName val="Customize_Your_Purchase_Order2"/>
      <sheetName val="Intl_Data_Table2"/>
      <sheetName val="Purchase_Order2"/>
      <sheetName val="BS_Sch"/>
      <sheetName val="Tools_Rev"/>
      <sheetName val="Jul_96_Worksheet"/>
      <sheetName val="pack_pnl-99"/>
      <sheetName val="tb_based_schedule"/>
      <sheetName val="Groupings_2004"/>
      <sheetName val="School_I___E_"/>
      <sheetName val="Actual_Input"/>
      <sheetName val="Bus_Mgmt"/>
      <sheetName val="Disruptive_"/>
      <sheetName val="Model (Telecorp)"/>
      <sheetName val="BS Schedules"/>
      <sheetName val="Master Data (2)"/>
      <sheetName val="trial (2)"/>
      <sheetName val="Model_(Telecorp)"/>
      <sheetName val="BS_Schedules"/>
      <sheetName val="Master_Data_(2)"/>
      <sheetName val="trial_(2)"/>
      <sheetName val="Balance_Sheet_1"/>
      <sheetName val="TB_MAR20041"/>
      <sheetName val="Tools_Rev1"/>
      <sheetName val="Jul_96_Worksheet1"/>
      <sheetName val="pack_pnl-991"/>
      <sheetName val="tb_based_schedule1"/>
      <sheetName val="Groupings_20041"/>
      <sheetName val="Model_(Telecorp)1"/>
      <sheetName val="BS_Sch1"/>
      <sheetName val="School_I___E_1"/>
      <sheetName val="Actual_Input1"/>
      <sheetName val="Bus_Mgmt1"/>
      <sheetName val="Disruptive_1"/>
      <sheetName val="BS_Schedules1"/>
      <sheetName val="Master_Data_(2)1"/>
      <sheetName val="trial_(2)1"/>
      <sheetName val="Balance_Sheet_2"/>
      <sheetName val="TB_MAR20042"/>
      <sheetName val="Tools_Rev2"/>
      <sheetName val="Jul_96_Worksheet2"/>
      <sheetName val="pack_pnl-992"/>
      <sheetName val="tb_based_schedule2"/>
      <sheetName val="Groupings_20042"/>
      <sheetName val="Model_(Telecorp)2"/>
      <sheetName val="BS_Sch2"/>
      <sheetName val="School_I___E_2"/>
      <sheetName val="Actual_Input2"/>
      <sheetName val="Bus_Mgmt2"/>
      <sheetName val="Disruptive_2"/>
      <sheetName val="BS_Schedules2"/>
      <sheetName val="Master_Data_(2)2"/>
      <sheetName val="trial_(2)2"/>
      <sheetName val="AutoOpen_Stub_Data3"/>
      <sheetName val="Customize_Your_Purchase_Order3"/>
      <sheetName val="Intl_Data_Table3"/>
      <sheetName val="Balance_Sheet_3"/>
      <sheetName val="TB_MAR20043"/>
      <sheetName val="Tools_Rev3"/>
      <sheetName val="Jul_96_Worksheet3"/>
      <sheetName val="pack_pnl-993"/>
      <sheetName val="tb_based_schedule3"/>
      <sheetName val="Purchase_Order3"/>
      <sheetName val="Groupings_20043"/>
      <sheetName val="Model_(Telecorp)3"/>
      <sheetName val="BS_Sch3"/>
      <sheetName val="School_I___E_3"/>
      <sheetName val="Actual_Input3"/>
      <sheetName val="Bus_Mgmt3"/>
      <sheetName val="Disruptive_3"/>
      <sheetName val="BS_Schedules3"/>
      <sheetName val="Master_Data_(2)3"/>
      <sheetName val="trial_(2)3"/>
      <sheetName val="Raw_spens"/>
      <sheetName val="CB Dump"/>
      <sheetName val="NOTES"/>
      <sheetName val="pukhraj_(HUF)"/>
      <sheetName val="Breadown-Tham khao"/>
      <sheetName val="Dates"/>
      <sheetName val="Income Statement"/>
      <sheetName val="BS-203"/>
      <sheetName val="DRI RELAY J"/>
      <sheetName val="Loan_Amortization_Schedule"/>
      <sheetName val="RM_CRG"/>
      <sheetName val="Consolidated_TB"/>
      <sheetName val="Purchase%20Order_XLS"/>
      <sheetName val="URVE_Trend"/>
      <sheetName val="MTS_Trend"/>
      <sheetName val="Ref_Category"/>
      <sheetName val="Ref_Employee"/>
      <sheetName val="Ref_Entity_Code"/>
      <sheetName val="BSMasters"/>
      <sheetName val="1560 Details"/>
      <sheetName val="New Fixed Asset Status"/>
      <sheetName val="Paticia's DayNine Workday Calc"/>
      <sheetName val="Summary_Fixed _Assets_230699"/>
      <sheetName val="PickList"/>
      <sheetName val="CB_Dump"/>
      <sheetName val="WORKING"/>
      <sheetName val="AG00060"/>
      <sheetName val="Data"/>
      <sheetName val="Capx Summary in Yen"/>
      <sheetName val="AutoOpen_Stub_Data4"/>
      <sheetName val="Customize_Your_Purchase_Order4"/>
      <sheetName val="Intl_Data_Table4"/>
      <sheetName val="Balance_Sheet_4"/>
      <sheetName val="Tools_Rev4"/>
      <sheetName val="TB_MAR20044"/>
      <sheetName val="pack_pnl-994"/>
      <sheetName val="tb_based_schedule4"/>
      <sheetName val="Jul_96_Worksheet4"/>
      <sheetName val="Purchase_Order4"/>
      <sheetName val="Groupings_20044"/>
      <sheetName val="Model_(Telecorp)4"/>
      <sheetName val="BS_Sch4"/>
      <sheetName val="School_I___E_4"/>
      <sheetName val="Actual_Input4"/>
      <sheetName val="Bus_Mgmt4"/>
      <sheetName val="Disruptive_4"/>
      <sheetName val="BS_Schedules4"/>
      <sheetName val="Master_Data_(2)4"/>
      <sheetName val="trial_(2)4"/>
      <sheetName val="Raw_spens1"/>
      <sheetName val="Summary_Fixed__Assets_230699"/>
      <sheetName val="Capx_Summary_in_Yen"/>
      <sheetName val="Payroll"/>
      <sheetName val="Fed Sch M-1 summary"/>
      <sheetName val="URVE_Trend1"/>
      <sheetName val="MTS_Trend1"/>
      <sheetName val="CB_Dump1"/>
      <sheetName val="RM_CRG1"/>
      <sheetName val=""/>
      <sheetName val="Cost Centre"/>
      <sheetName val="Dep as per Tax"/>
      <sheetName val="CAP RATE 3.31"/>
      <sheetName val="groupingLookup"/>
      <sheetName val="pukhraj_(HUF)1"/>
      <sheetName val="AutoOpen_Stub_Data5"/>
      <sheetName val="Customize_Your_Purchase_Order5"/>
      <sheetName val="Intl_Data_Table5"/>
      <sheetName val="Purchase_Order5"/>
      <sheetName val="Raw_spens2"/>
      <sheetName val="pukhraj_(HUF)2"/>
      <sheetName val="AutoOpen_Stub_Data6"/>
      <sheetName val="Customize_Your_Purchase_Order6"/>
      <sheetName val="Intl_Data_Table6"/>
      <sheetName val="Purchase_Order6"/>
      <sheetName val="Raw_spens3"/>
      <sheetName val="pukhraj_(HUF)3"/>
      <sheetName val="RM_CRG2"/>
      <sheetName val="Balance_Sheet_5"/>
      <sheetName val="Tools_Rev5"/>
      <sheetName val="TB_MAR20045"/>
      <sheetName val="Jul_96_Worksheet5"/>
      <sheetName val="pack_pnl-995"/>
      <sheetName val="tb_based_schedule5"/>
      <sheetName val="Groupings_20045"/>
      <sheetName val="Model_(Telecorp)5"/>
      <sheetName val="BS_Sch5"/>
      <sheetName val="School_I___E_5"/>
      <sheetName val="Actual_Input5"/>
      <sheetName val="Bus_Mgmt5"/>
      <sheetName val="Disruptive_5"/>
      <sheetName val="BS_Schedules5"/>
      <sheetName val="Master_Data_(2)5"/>
      <sheetName val="trial_(2)5"/>
      <sheetName val="URVE_Trend2"/>
      <sheetName val="MTS_Trend2"/>
      <sheetName val="CB_Dump2"/>
      <sheetName val="Balance_Sheet_6"/>
      <sheetName val="Tools_Rev6"/>
      <sheetName val="TB_MAR20046"/>
      <sheetName val="Jul_96_Worksheet6"/>
      <sheetName val="pack_pnl-996"/>
      <sheetName val="tb_based_schedule6"/>
      <sheetName val="Groupings_20046"/>
      <sheetName val="Model_(Telecorp)6"/>
      <sheetName val="BS_Sch6"/>
      <sheetName val="School_I___E_6"/>
      <sheetName val="Actual_Input6"/>
      <sheetName val="Bus_Mgmt6"/>
      <sheetName val="Disruptive_6"/>
      <sheetName val="BS_Schedules6"/>
      <sheetName val="Master_Data_(2)6"/>
      <sheetName val="trial_(2)6"/>
      <sheetName val="URVE_Trend3"/>
      <sheetName val="MTS_Trend3"/>
      <sheetName val="CB_Dump3"/>
      <sheetName val="RM_CRG3"/>
      <sheetName val="Capital Expenses Summary"/>
      <sheetName val="Service Function"/>
      <sheetName val="FUNDFLOW"/>
      <sheetName val="vb 9&amp;10"/>
      <sheetName val="June 2000"/>
      <sheetName val="Consolidated_TB1"/>
      <sheetName val="Purchase%20Order_XLS1"/>
      <sheetName val="Summary_Fixed__Assets_2306991"/>
      <sheetName val="Capx_Summary_in_Yen1"/>
      <sheetName val="Fed_Sch_M-1_summary"/>
      <sheetName val="Cost_Centre"/>
      <sheetName val="1999 &amp; 2000 by month"/>
      <sheetName val="BS"/>
      <sheetName val="BS before PMO"/>
      <sheetName val="????(?????)"/>
      <sheetName val="drop"/>
      <sheetName val="Month -Product sales comparison"/>
      <sheetName val="Mgmt,Fin,HR,MIS, Mktg"/>
      <sheetName val="cashflow"/>
      <sheetName val="NC"/>
      <sheetName val="Loan_Amortization_Schedule1"/>
      <sheetName val="DLC lookups"/>
      <sheetName val="CapEx"/>
      <sheetName val="C O A"/>
      <sheetName val="Summary"/>
      <sheetName val="CC"/>
      <sheetName val="AutoOpen_Stub_Data7"/>
      <sheetName val="Customize_Your_Purchase_Order7"/>
      <sheetName val="Intl_Data_Table7"/>
      <sheetName val="Purchase_Order7"/>
      <sheetName val="BS_Sch7"/>
      <sheetName val="RM_CRG4"/>
      <sheetName val="Raw_spens4"/>
      <sheetName val="Jul_96_Worksheet7"/>
      <sheetName val="Balance_Sheet_7"/>
      <sheetName val="TB_MAR20047"/>
      <sheetName val="pack_pnl-997"/>
      <sheetName val="tb_based_schedule7"/>
      <sheetName val="School_I___E_7"/>
      <sheetName val="Actual_Input7"/>
      <sheetName val="Bus_Mgmt7"/>
      <sheetName val="Disruptive_7"/>
      <sheetName val="pukhraj_(HUF)4"/>
      <sheetName val="Tools_Rev7"/>
      <sheetName val="URVE_Trend4"/>
      <sheetName val="MTS_Trend4"/>
      <sheetName val="Consolidated_TB2"/>
      <sheetName val="Purchase%20Order_XLS2"/>
      <sheetName val="TRIAL_BALANCE"/>
      <sheetName val="Groupings_20047"/>
      <sheetName val="BS_Schedules7"/>
      <sheetName val="Master_Data_(2)7"/>
      <sheetName val="trial_(2)7"/>
      <sheetName val="Ref_Category1"/>
      <sheetName val="Ref_Employee1"/>
      <sheetName val="Ref_Entity_Code1"/>
      <sheetName val="Income_Statement"/>
      <sheetName val="DRI_RELAY_J"/>
      <sheetName val="Model_(Telecorp)7"/>
      <sheetName val="CB_Dump4"/>
      <sheetName val="1560_Details"/>
      <sheetName val="New_Fixed_Asset_Status"/>
      <sheetName val="Paticia's_DayNine_Workday_Calc"/>
      <sheetName val="Capital_Expenses_Summary"/>
      <sheetName val="Dep_as_per_Tax"/>
      <sheetName val="CAP_RATE_3_31"/>
      <sheetName val="Summary_Fixed__Assets_2306992"/>
      <sheetName val="Capx_Summary_in_Yen2"/>
      <sheetName val="Fed_Sch_M-1_summary1"/>
      <sheetName val="Cost_Centre1"/>
      <sheetName val="Service_Function"/>
      <sheetName val="vb_9&amp;10"/>
      <sheetName val="June_2000"/>
      <sheetName val="1999_&amp;_2000_by_month"/>
      <sheetName val="BS_before_PMO"/>
      <sheetName val="Name List"/>
      <sheetName val="FPS"/>
      <sheetName val="AssumptionFin"/>
      <sheetName val="Storage"/>
      <sheetName val="Reference"/>
      <sheetName val="PL"/>
      <sheetName val="Divnwise Bs"/>
      <sheetName val="Divnwise PL"/>
      <sheetName val="corporate exp breakup"/>
      <sheetName val="BIPP"/>
      <sheetName val="Corp details"/>
      <sheetName val="LKP"/>
      <sheetName val="CHN 1"/>
      <sheetName val="VGH"/>
      <sheetName val="BGS"/>
      <sheetName val="LBN"/>
      <sheetName val="DGH"/>
      <sheetName val="RGH"/>
      <sheetName val="Loan"/>
      <sheetName val="Cash Flow "/>
      <sheetName val="Cashflow Workings"/>
      <sheetName val="Cash Flow workings"/>
      <sheetName val="Capital"/>
      <sheetName val="secured loans"/>
      <sheetName val="Fixed Assets"/>
      <sheetName val="Investment, Inventory, debtors"/>
      <sheetName val="Bank, Loans and advances"/>
      <sheetName val="Liabilities &amp; Provisions"/>
      <sheetName val="Revenue"/>
      <sheetName val="Administrative"/>
      <sheetName val="Sheet4"/>
      <sheetName val="Cash Flow"/>
      <sheetName val="Corp"/>
      <sheetName val="reserves"/>
      <sheetName val="PGH"/>
      <sheetName val="Entirees "/>
      <sheetName val="Pl entries"/>
      <sheetName val="IT Depn."/>
      <sheetName val="Loan Details"/>
      <sheetName val="Provisions"/>
      <sheetName val="MIS Vs Books"/>
      <sheetName val="Provision for Tax"/>
      <sheetName val="FA - Income Tax"/>
      <sheetName val="EPS"/>
      <sheetName val="Prior period items"/>
      <sheetName val="Stocks"/>
      <sheetName val="Ho reco"/>
      <sheetName val="feb28th"/>
      <sheetName val="Report"/>
      <sheetName val="sdrs_mar"/>
      <sheetName val="SALES"/>
      <sheetName val="Income-tax"/>
      <sheetName val="Investment0804"/>
      <sheetName val="Old"/>
      <sheetName val="Schedules PL"/>
      <sheetName val="Schedules BS"/>
      <sheetName val="SCH4"/>
      <sheetName val="Lookup-Validation"/>
      <sheetName val="Validation"/>
      <sheetName val="Other notes"/>
      <sheetName val="#REF"/>
      <sheetName val="ACK-NEW"/>
      <sheetName val="B"/>
    </sheetNames>
    <sheetDataSet>
      <sheetData sheetId="0">
        <row r="23">
          <cell r="H23" t="str">
            <v>Credit Card #1</v>
          </cell>
        </row>
      </sheetData>
      <sheetData sheetId="1" refreshError="1">
        <row r="23">
          <cell r="H23" t="str">
            <v>Credit Card #1</v>
          </cell>
        </row>
        <row r="24">
          <cell r="H24" t="str">
            <v>Credit Card #2</v>
          </cell>
        </row>
        <row r="25">
          <cell r="H25" t="str">
            <v>Credit Card #3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>
        <row r="23">
          <cell r="H23" t="str">
            <v>Credit Card #1</v>
          </cell>
        </row>
      </sheetData>
      <sheetData sheetId="100">
        <row r="23">
          <cell r="H23" t="str">
            <v>Credit Card #1</v>
          </cell>
        </row>
      </sheetData>
      <sheetData sheetId="101">
        <row r="23">
          <cell r="H23" t="str">
            <v>Credit Card #1</v>
          </cell>
        </row>
      </sheetData>
      <sheetData sheetId="102"/>
      <sheetData sheetId="103"/>
      <sheetData sheetId="104"/>
      <sheetData sheetId="105"/>
      <sheetData sheetId="106">
        <row r="23">
          <cell r="H23" t="str">
            <v>Credit Card #1</v>
          </cell>
        </row>
      </sheetData>
      <sheetData sheetId="107">
        <row r="23">
          <cell r="H23" t="str">
            <v>Credit Card #1</v>
          </cell>
        </row>
      </sheetData>
      <sheetData sheetId="108"/>
      <sheetData sheetId="109"/>
      <sheetData sheetId="110">
        <row r="23">
          <cell r="H23" t="str">
            <v>Credit Card #1</v>
          </cell>
        </row>
      </sheetData>
      <sheetData sheetId="111">
        <row r="23">
          <cell r="H23" t="str">
            <v>Credit Card #1</v>
          </cell>
        </row>
      </sheetData>
      <sheetData sheetId="112">
        <row r="23">
          <cell r="H23" t="str">
            <v>Credit Card #1</v>
          </cell>
        </row>
      </sheetData>
      <sheetData sheetId="113">
        <row r="23">
          <cell r="H23" t="str">
            <v>Credit Card #1</v>
          </cell>
        </row>
      </sheetData>
      <sheetData sheetId="114">
        <row r="23">
          <cell r="H23" t="str">
            <v>Credit Card #1</v>
          </cell>
        </row>
      </sheetData>
      <sheetData sheetId="115">
        <row r="23">
          <cell r="H23" t="str">
            <v>Credit Card #1</v>
          </cell>
        </row>
      </sheetData>
      <sheetData sheetId="116">
        <row r="23">
          <cell r="H23" t="str">
            <v>Credit Card #1</v>
          </cell>
        </row>
      </sheetData>
      <sheetData sheetId="117">
        <row r="23">
          <cell r="H23" t="str">
            <v>Credit Card #1</v>
          </cell>
        </row>
      </sheetData>
      <sheetData sheetId="118">
        <row r="23">
          <cell r="H23" t="str">
            <v>Credit Card #1</v>
          </cell>
        </row>
      </sheetData>
      <sheetData sheetId="119">
        <row r="23">
          <cell r="H23" t="str">
            <v>Credit Card #1</v>
          </cell>
        </row>
      </sheetData>
      <sheetData sheetId="120">
        <row r="23">
          <cell r="H23" t="str">
            <v>Credit Card #1</v>
          </cell>
        </row>
      </sheetData>
      <sheetData sheetId="121">
        <row r="23">
          <cell r="H23" t="str">
            <v>Credit Card #1</v>
          </cell>
        </row>
      </sheetData>
      <sheetData sheetId="122">
        <row r="23">
          <cell r="H23" t="str">
            <v>Credit Card #1</v>
          </cell>
        </row>
      </sheetData>
      <sheetData sheetId="123">
        <row r="23">
          <cell r="H23" t="str">
            <v>Credit Card #1</v>
          </cell>
        </row>
      </sheetData>
      <sheetData sheetId="124">
        <row r="23">
          <cell r="H23" t="str">
            <v>Credit Card #1</v>
          </cell>
        </row>
      </sheetData>
      <sheetData sheetId="125">
        <row r="23">
          <cell r="H23" t="str">
            <v>Credit Card #1</v>
          </cell>
        </row>
      </sheetData>
      <sheetData sheetId="126">
        <row r="23">
          <cell r="H23" t="str">
            <v>Credit Card #1</v>
          </cell>
        </row>
      </sheetData>
      <sheetData sheetId="127">
        <row r="23">
          <cell r="H23" t="str">
            <v>Credit Card #1</v>
          </cell>
        </row>
      </sheetData>
      <sheetData sheetId="128">
        <row r="23">
          <cell r="H23" t="str">
            <v>Credit Card #1</v>
          </cell>
        </row>
      </sheetData>
      <sheetData sheetId="129">
        <row r="23">
          <cell r="H23" t="str">
            <v>Credit Card #1</v>
          </cell>
        </row>
      </sheetData>
      <sheetData sheetId="130">
        <row r="23">
          <cell r="H23" t="str">
            <v>Credit Card #1</v>
          </cell>
        </row>
      </sheetData>
      <sheetData sheetId="131">
        <row r="23">
          <cell r="H23" t="str">
            <v>Credit Card #1</v>
          </cell>
        </row>
      </sheetData>
      <sheetData sheetId="132">
        <row r="23">
          <cell r="H23" t="str">
            <v>Credit Card #1</v>
          </cell>
        </row>
      </sheetData>
      <sheetData sheetId="133" refreshError="1"/>
      <sheetData sheetId="134" refreshError="1"/>
      <sheetData sheetId="135" refreshError="1"/>
      <sheetData sheetId="136">
        <row r="23">
          <cell r="H23" t="str">
            <v>Credit Card #1</v>
          </cell>
        </row>
      </sheetData>
      <sheetData sheetId="137">
        <row r="23">
          <cell r="H23" t="str">
            <v>Credit Card #1</v>
          </cell>
        </row>
      </sheetData>
      <sheetData sheetId="138">
        <row r="23">
          <cell r="H23" t="str">
            <v>Credit Card #1</v>
          </cell>
        </row>
      </sheetData>
      <sheetData sheetId="139">
        <row r="23">
          <cell r="H23" t="str">
            <v>Credit Card #1</v>
          </cell>
        </row>
      </sheetData>
      <sheetData sheetId="140">
        <row r="23">
          <cell r="H23" t="str">
            <v>Credit Card #1</v>
          </cell>
        </row>
      </sheetData>
      <sheetData sheetId="141">
        <row r="23">
          <cell r="H23" t="str">
            <v>Credit Card #1</v>
          </cell>
        </row>
      </sheetData>
      <sheetData sheetId="142">
        <row r="23">
          <cell r="H23" t="str">
            <v>Credit Card #1</v>
          </cell>
        </row>
      </sheetData>
      <sheetData sheetId="143">
        <row r="23">
          <cell r="H23" t="str">
            <v>Credit Card #1</v>
          </cell>
        </row>
      </sheetData>
      <sheetData sheetId="144">
        <row r="23">
          <cell r="H23" t="str">
            <v>Credit Card #1</v>
          </cell>
        </row>
      </sheetData>
      <sheetData sheetId="145">
        <row r="23">
          <cell r="H23" t="str">
            <v>Credit Card #1</v>
          </cell>
        </row>
      </sheetData>
      <sheetData sheetId="146">
        <row r="23">
          <cell r="H23" t="str">
            <v>Credit Card #1</v>
          </cell>
        </row>
      </sheetData>
      <sheetData sheetId="147">
        <row r="23">
          <cell r="H23" t="str">
            <v>Credit Card #1</v>
          </cell>
        </row>
      </sheetData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>
        <row r="23">
          <cell r="H23" t="str">
            <v>Credit Card #1</v>
          </cell>
        </row>
      </sheetData>
      <sheetData sheetId="184">
        <row r="23">
          <cell r="H23" t="str">
            <v>Credit Card #1</v>
          </cell>
        </row>
      </sheetData>
      <sheetData sheetId="185"/>
      <sheetData sheetId="186" refreshError="1"/>
      <sheetData sheetId="187" refreshError="1"/>
      <sheetData sheetId="188">
        <row r="23">
          <cell r="H23" t="str">
            <v>Credit Card #1</v>
          </cell>
        </row>
      </sheetData>
      <sheetData sheetId="189">
        <row r="23">
          <cell r="H23" t="str">
            <v>Credit Card #1</v>
          </cell>
        </row>
      </sheetData>
      <sheetData sheetId="190">
        <row r="23">
          <cell r="H23" t="str">
            <v>Credit Card #1</v>
          </cell>
        </row>
      </sheetData>
      <sheetData sheetId="191">
        <row r="23">
          <cell r="H23" t="str">
            <v>Credit Card #1</v>
          </cell>
        </row>
      </sheetData>
      <sheetData sheetId="192">
        <row r="23">
          <cell r="H23" t="str">
            <v>Credit Card #1</v>
          </cell>
        </row>
      </sheetData>
      <sheetData sheetId="193">
        <row r="23">
          <cell r="H23" t="str">
            <v>Credit Card #1</v>
          </cell>
        </row>
      </sheetData>
      <sheetData sheetId="194">
        <row r="23">
          <cell r="H23" t="str">
            <v>Credit Card #1</v>
          </cell>
        </row>
      </sheetData>
      <sheetData sheetId="195">
        <row r="23">
          <cell r="H23" t="str">
            <v>Credit Card #1</v>
          </cell>
        </row>
      </sheetData>
      <sheetData sheetId="196">
        <row r="23">
          <cell r="H23" t="str">
            <v>Credit Card #1</v>
          </cell>
        </row>
      </sheetData>
      <sheetData sheetId="197">
        <row r="23">
          <cell r="H23" t="str">
            <v>Credit Card #1</v>
          </cell>
        </row>
      </sheetData>
      <sheetData sheetId="198">
        <row r="23">
          <cell r="H23" t="str">
            <v>Credit Card #1</v>
          </cell>
        </row>
      </sheetData>
      <sheetData sheetId="199">
        <row r="23">
          <cell r="H23" t="str">
            <v>Credit Card #1</v>
          </cell>
        </row>
      </sheetData>
      <sheetData sheetId="200">
        <row r="23">
          <cell r="H23" t="str">
            <v>Credit Card #1</v>
          </cell>
        </row>
      </sheetData>
      <sheetData sheetId="201">
        <row r="23">
          <cell r="H23" t="str">
            <v>Credit Card #1</v>
          </cell>
        </row>
      </sheetData>
      <sheetData sheetId="202">
        <row r="23">
          <cell r="H23" t="str">
            <v>Credit Card #1</v>
          </cell>
        </row>
      </sheetData>
      <sheetData sheetId="203">
        <row r="23">
          <cell r="H23" t="str">
            <v>Credit Card #1</v>
          </cell>
        </row>
      </sheetData>
      <sheetData sheetId="204">
        <row r="23">
          <cell r="H23" t="str">
            <v>Credit Card #1</v>
          </cell>
        </row>
      </sheetData>
      <sheetData sheetId="205">
        <row r="23">
          <cell r="H23" t="str">
            <v>Credit Card #1</v>
          </cell>
        </row>
      </sheetData>
      <sheetData sheetId="206">
        <row r="23">
          <cell r="H23" t="str">
            <v>Credit Card #1</v>
          </cell>
        </row>
      </sheetData>
      <sheetData sheetId="207">
        <row r="23">
          <cell r="H23" t="str">
            <v>Credit Card #1</v>
          </cell>
        </row>
      </sheetData>
      <sheetData sheetId="208">
        <row r="23">
          <cell r="H23" t="str">
            <v>Credit Card #1</v>
          </cell>
        </row>
      </sheetData>
      <sheetData sheetId="209">
        <row r="23">
          <cell r="H23" t="str">
            <v>Credit Card #1</v>
          </cell>
        </row>
      </sheetData>
      <sheetData sheetId="210"/>
      <sheetData sheetId="211" refreshError="1"/>
      <sheetData sheetId="212" refreshError="1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>
        <row r="23">
          <cell r="H23" t="str">
            <v>Credit Card #1</v>
          </cell>
        </row>
      </sheetData>
      <sheetData sheetId="220">
        <row r="23">
          <cell r="H23" t="str">
            <v>Credit Card #1</v>
          </cell>
        </row>
      </sheetData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>
        <row r="23">
          <cell r="H23" t="str">
            <v>Credit Card #1</v>
          </cell>
        </row>
      </sheetData>
      <sheetData sheetId="237">
        <row r="23">
          <cell r="H23" t="str">
            <v>Credit Card #1</v>
          </cell>
        </row>
      </sheetData>
      <sheetData sheetId="238">
        <row r="23">
          <cell r="H23" t="str">
            <v>Credit Card #1</v>
          </cell>
        </row>
      </sheetData>
      <sheetData sheetId="239">
        <row r="23">
          <cell r="H23" t="str">
            <v>Credit Card #1</v>
          </cell>
        </row>
      </sheetData>
      <sheetData sheetId="240">
        <row r="23">
          <cell r="H23" t="str">
            <v>Credit Card #1</v>
          </cell>
        </row>
      </sheetData>
      <sheetData sheetId="241">
        <row r="23">
          <cell r="H23" t="str">
            <v>Credit Card #1</v>
          </cell>
        </row>
      </sheetData>
      <sheetData sheetId="242">
        <row r="23">
          <cell r="H23" t="str">
            <v>Credit Card #1</v>
          </cell>
        </row>
      </sheetData>
      <sheetData sheetId="243">
        <row r="23">
          <cell r="H23" t="str">
            <v>Credit Card #1</v>
          </cell>
        </row>
      </sheetData>
      <sheetData sheetId="244">
        <row r="23">
          <cell r="H23" t="str">
            <v>Credit Card #1</v>
          </cell>
        </row>
      </sheetData>
      <sheetData sheetId="245"/>
      <sheetData sheetId="246" refreshError="1"/>
      <sheetData sheetId="247" refreshError="1"/>
      <sheetData sheetId="248" refreshError="1"/>
      <sheetData sheetId="249">
        <row r="23">
          <cell r="H23" t="str">
            <v>Credit Card #1</v>
          </cell>
        </row>
      </sheetData>
      <sheetData sheetId="250">
        <row r="23">
          <cell r="H23" t="str">
            <v>Credit Card #1</v>
          </cell>
        </row>
      </sheetData>
      <sheetData sheetId="251">
        <row r="23">
          <cell r="H23" t="str">
            <v>Credit Card #1</v>
          </cell>
        </row>
      </sheetData>
      <sheetData sheetId="252">
        <row r="23">
          <cell r="H23" t="str">
            <v>Credit Card #1</v>
          </cell>
        </row>
      </sheetData>
      <sheetData sheetId="253">
        <row r="23">
          <cell r="H23" t="str">
            <v>Credit Card #1</v>
          </cell>
        </row>
      </sheetData>
      <sheetData sheetId="254">
        <row r="23">
          <cell r="H23" t="str">
            <v>Credit Card #1</v>
          </cell>
        </row>
      </sheetData>
      <sheetData sheetId="255">
        <row r="23">
          <cell r="H23" t="str">
            <v>Credit Card #1</v>
          </cell>
        </row>
      </sheetData>
      <sheetData sheetId="256">
        <row r="23">
          <cell r="H23" t="str">
            <v>Credit Card #1</v>
          </cell>
        </row>
      </sheetData>
      <sheetData sheetId="257">
        <row r="23">
          <cell r="H23" t="str">
            <v>Credit Card #1</v>
          </cell>
        </row>
      </sheetData>
      <sheetData sheetId="258">
        <row r="23">
          <cell r="H23" t="str">
            <v>Credit Card #1</v>
          </cell>
        </row>
      </sheetData>
      <sheetData sheetId="259">
        <row r="23">
          <cell r="H23" t="str">
            <v>Credit Card #1</v>
          </cell>
        </row>
      </sheetData>
      <sheetData sheetId="260">
        <row r="23">
          <cell r="H23" t="str">
            <v>Credit Card #1</v>
          </cell>
        </row>
      </sheetData>
      <sheetData sheetId="261">
        <row r="23">
          <cell r="H23" t="str">
            <v>Credit Card #1</v>
          </cell>
        </row>
      </sheetData>
      <sheetData sheetId="262">
        <row r="23">
          <cell r="H23" t="str">
            <v>Credit Card #1</v>
          </cell>
        </row>
      </sheetData>
      <sheetData sheetId="263">
        <row r="23">
          <cell r="H23" t="str">
            <v>Credit Card #1</v>
          </cell>
        </row>
      </sheetData>
      <sheetData sheetId="264">
        <row r="23">
          <cell r="H23" t="str">
            <v>Credit Card #1</v>
          </cell>
        </row>
      </sheetData>
      <sheetData sheetId="265">
        <row r="23">
          <cell r="H23" t="str">
            <v>Credit Card #1</v>
          </cell>
        </row>
      </sheetData>
      <sheetData sheetId="266">
        <row r="23">
          <cell r="H23" t="str">
            <v>Credit Card #1</v>
          </cell>
        </row>
      </sheetData>
      <sheetData sheetId="267">
        <row r="23">
          <cell r="H23" t="str">
            <v>Credit Card #1</v>
          </cell>
        </row>
      </sheetData>
      <sheetData sheetId="268">
        <row r="23">
          <cell r="H23" t="str">
            <v>Credit Card #1</v>
          </cell>
        </row>
      </sheetData>
      <sheetData sheetId="269">
        <row r="23">
          <cell r="H23" t="str">
            <v>Credit Card #1</v>
          </cell>
        </row>
      </sheetData>
      <sheetData sheetId="270">
        <row r="23">
          <cell r="H23" t="str">
            <v>Credit Card #1</v>
          </cell>
        </row>
      </sheetData>
      <sheetData sheetId="271">
        <row r="23">
          <cell r="H23" t="str">
            <v>Credit Card #1</v>
          </cell>
        </row>
      </sheetData>
      <sheetData sheetId="272">
        <row r="23">
          <cell r="H23" t="str">
            <v>Credit Card #1</v>
          </cell>
        </row>
      </sheetData>
      <sheetData sheetId="273">
        <row r="23">
          <cell r="H23" t="str">
            <v>Credit Card #1</v>
          </cell>
        </row>
      </sheetData>
      <sheetData sheetId="274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>
        <row r="23">
          <cell r="H23" t="str">
            <v>Credit Card #1</v>
          </cell>
        </row>
      </sheetData>
      <sheetData sheetId="281">
        <row r="23">
          <cell r="H23" t="str">
            <v>Credit Card #1</v>
          </cell>
        </row>
      </sheetData>
      <sheetData sheetId="282">
        <row r="23">
          <cell r="H23" t="str">
            <v>Credit Card #1</v>
          </cell>
        </row>
      </sheetData>
      <sheetData sheetId="283">
        <row r="23">
          <cell r="H23" t="str">
            <v>Credit Card #1</v>
          </cell>
        </row>
      </sheetData>
      <sheetData sheetId="284">
        <row r="23">
          <cell r="H23" t="str">
            <v>Credit Card #1</v>
          </cell>
        </row>
      </sheetData>
      <sheetData sheetId="285" refreshError="1"/>
      <sheetData sheetId="286">
        <row r="23">
          <cell r="H23" t="str">
            <v>Credit Card #1</v>
          </cell>
        </row>
      </sheetData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>
        <row r="23">
          <cell r="H23" t="str">
            <v>Credit Card #1</v>
          </cell>
        </row>
      </sheetData>
      <sheetData sheetId="302">
        <row r="23">
          <cell r="H23" t="str">
            <v>Credit Card #1</v>
          </cell>
        </row>
      </sheetData>
      <sheetData sheetId="303">
        <row r="23">
          <cell r="H23" t="str">
            <v>Credit Card #1</v>
          </cell>
        </row>
      </sheetData>
      <sheetData sheetId="304">
        <row r="23">
          <cell r="H23" t="str">
            <v>Credit Card #1</v>
          </cell>
        </row>
      </sheetData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>
        <row r="23">
          <cell r="H23" t="str">
            <v>Credit Card #1</v>
          </cell>
        </row>
      </sheetData>
      <sheetData sheetId="329">
        <row r="23">
          <cell r="H23" t="str">
            <v>Credit Card #1</v>
          </cell>
        </row>
      </sheetData>
      <sheetData sheetId="330">
        <row r="23">
          <cell r="H23" t="str">
            <v>Credit Card #1</v>
          </cell>
        </row>
      </sheetData>
      <sheetData sheetId="331">
        <row r="23">
          <cell r="H23" t="str">
            <v>Credit Card #1</v>
          </cell>
        </row>
      </sheetData>
      <sheetData sheetId="332">
        <row r="23">
          <cell r="H23" t="str">
            <v>Credit Card #1</v>
          </cell>
        </row>
      </sheetData>
      <sheetData sheetId="333">
        <row r="23">
          <cell r="H23" t="str">
            <v>Credit Card #1</v>
          </cell>
        </row>
      </sheetData>
      <sheetData sheetId="334">
        <row r="23">
          <cell r="H23" t="str">
            <v>Credit Card #1</v>
          </cell>
        </row>
      </sheetData>
      <sheetData sheetId="335">
        <row r="23">
          <cell r="H23" t="str">
            <v>Credit Card #1</v>
          </cell>
        </row>
      </sheetData>
      <sheetData sheetId="336">
        <row r="23">
          <cell r="H23" t="str">
            <v>Credit Card #1</v>
          </cell>
        </row>
      </sheetData>
      <sheetData sheetId="337">
        <row r="23">
          <cell r="H23" t="str">
            <v>Credit Card #1</v>
          </cell>
        </row>
      </sheetData>
      <sheetData sheetId="338">
        <row r="23">
          <cell r="H23" t="str">
            <v>Credit Card #1</v>
          </cell>
        </row>
      </sheetData>
      <sheetData sheetId="339">
        <row r="23">
          <cell r="H23" t="str">
            <v>Credit Card #1</v>
          </cell>
        </row>
      </sheetData>
      <sheetData sheetId="340">
        <row r="23">
          <cell r="H23" t="str">
            <v>Credit Card #1</v>
          </cell>
        </row>
      </sheetData>
      <sheetData sheetId="341">
        <row r="23">
          <cell r="H23" t="str">
            <v>Credit Card #1</v>
          </cell>
        </row>
      </sheetData>
      <sheetData sheetId="342">
        <row r="23">
          <cell r="H23" t="str">
            <v>Credit Card #1</v>
          </cell>
        </row>
      </sheetData>
      <sheetData sheetId="343">
        <row r="23">
          <cell r="H23" t="str">
            <v>Credit Card #1</v>
          </cell>
        </row>
      </sheetData>
      <sheetData sheetId="344">
        <row r="23">
          <cell r="H23" t="str">
            <v>Credit Card #1</v>
          </cell>
        </row>
      </sheetData>
      <sheetData sheetId="345">
        <row r="23">
          <cell r="H23" t="str">
            <v>Credit Card #1</v>
          </cell>
        </row>
      </sheetData>
      <sheetData sheetId="346">
        <row r="23">
          <cell r="H23" t="str">
            <v>Credit Card #1</v>
          </cell>
        </row>
      </sheetData>
      <sheetData sheetId="347"/>
      <sheetData sheetId="348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ed Parties"/>
      <sheetName val="P&amp;L"/>
      <sheetName val="BS"/>
      <sheetName val="VARIANCE ANALYSIS "/>
      <sheetName val="Sch 1-4"/>
      <sheetName val="Sch-5"/>
      <sheetName val="Sch-6-11"/>
      <sheetName val="Sch 12 &amp;13"/>
      <sheetName val="P&amp;L Sch 14-16"/>
      <sheetName val="P&amp;L Sch 17-19"/>
      <sheetName val="Data Entry"/>
      <sheetName val="TRIAL BALANCE (2)"/>
      <sheetName val="TRIAL BALANCE"/>
      <sheetName val="TB Download"/>
      <sheetName val="TBdownload-2002"/>
      <sheetName val="CC wise Download"/>
      <sheetName val="SIF P&amp;L BS"/>
      <sheetName val="SIF P&amp;L"/>
      <sheetName val="SIF Workings"/>
      <sheetName val="SIF Results Back up"/>
      <sheetName val="PROVISIONS"/>
      <sheetName val="Pl-Incl"/>
      <sheetName val="pl-Excl"/>
      <sheetName val="sch-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Schedules BS"/>
      <sheetName val="Sch-7"/>
      <sheetName val="Schedules PL"/>
      <sheetName val="Cash Flow"/>
      <sheetName val="PartIV"/>
      <sheetName val="TB06"/>
      <sheetName val="TB05"/>
      <sheetName val="TB04"/>
      <sheetName val="TB03"/>
      <sheetName val="Sec 212"/>
      <sheetName val="Computation"/>
      <sheetName val="ITDprn"/>
      <sheetName val="Segment"/>
      <sheetName val="E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-KALM"/>
      <sheetName val="vertical"/>
      <sheetName val="Service Function"/>
      <sheetName val="DC"/>
      <sheetName val="Marketing"/>
      <sheetName val="891&amp;salesadj"/>
      <sheetName val="CONTNREPT"/>
      <sheetName val="Contrib-rawdata"/>
      <sheetName val="sales file"/>
      <sheetName val="Sales file $"/>
      <sheetName val="Sales file Rs."/>
      <sheetName val="loading"/>
      <sheetName val="Loading Details"/>
      <sheetName val="Loading Rawdata"/>
      <sheetName val="PDD Nov'01"/>
      <sheetName val="capital charge"/>
      <sheetName val="ME List"/>
      <sheetName val="PBT Reco"/>
      <sheetName val="FUNDFLOW"/>
      <sheetName val="BULook"/>
      <sheetName val="合成単価作成__BLDG"/>
      <sheetName val="chitimc"/>
      <sheetName val="Sheet1"/>
      <sheetName val="Projections (2)"/>
      <sheetName val="Cost Centre Xref"/>
      <sheetName val="#REF"/>
      <sheetName val="ML DRS"/>
      <sheetName val="YTD Revenue"/>
      <sheetName val="diffbetphy&amp;stock"/>
      <sheetName val="Cost element Maping-Nov'01"/>
    </sheetNames>
    <sheetDataSet>
      <sheetData sheetId="0">
        <row r="7">
          <cell r="C7">
            <v>812204</v>
          </cell>
        </row>
      </sheetData>
      <sheetData sheetId="1"/>
      <sheetData sheetId="2" refreshError="1">
        <row r="7">
          <cell r="C7">
            <v>812204</v>
          </cell>
          <cell r="D7" t="str">
            <v>Import Expenses</v>
          </cell>
          <cell r="E7" t="str">
            <v>COIN812204</v>
          </cell>
          <cell r="G7" t="str">
            <v>Packing And Forwarding</v>
          </cell>
        </row>
        <row r="8">
          <cell r="C8">
            <v>812301</v>
          </cell>
          <cell r="D8" t="str">
            <v>Freight</v>
          </cell>
          <cell r="E8" t="str">
            <v>COIN812301</v>
          </cell>
          <cell r="G8" t="str">
            <v>Packing And Forwarding</v>
          </cell>
        </row>
        <row r="9">
          <cell r="C9">
            <v>821101</v>
          </cell>
          <cell r="D9" t="str">
            <v>Stores Spares</v>
          </cell>
          <cell r="E9" t="str">
            <v>COIN821101</v>
          </cell>
          <cell r="G9" t="str">
            <v>Media Consumed</v>
          </cell>
        </row>
        <row r="10">
          <cell r="C10">
            <v>821201</v>
          </cell>
          <cell r="D10" t="str">
            <v>Electricity</v>
          </cell>
          <cell r="E10" t="str">
            <v>COIN821201</v>
          </cell>
          <cell r="G10" t="str">
            <v>Electricity - COS</v>
          </cell>
          <cell r="H10">
            <v>0</v>
          </cell>
          <cell r="J10">
            <v>3636</v>
          </cell>
        </row>
        <row r="11">
          <cell r="C11">
            <v>831101</v>
          </cell>
          <cell r="D11" t="str">
            <v>Salaries</v>
          </cell>
          <cell r="E11" t="str">
            <v>COIN831101</v>
          </cell>
          <cell r="G11" t="str">
            <v>Manpower - Support Services</v>
          </cell>
          <cell r="H11">
            <v>632811.15</v>
          </cell>
          <cell r="J11">
            <v>3223958</v>
          </cell>
        </row>
        <row r="12">
          <cell r="C12">
            <v>831102</v>
          </cell>
          <cell r="D12" t="str">
            <v>Other Allowances</v>
          </cell>
          <cell r="E12" t="str">
            <v>COIN831102</v>
          </cell>
          <cell r="G12" t="str">
            <v>Manpower - Support Services</v>
          </cell>
          <cell r="H12">
            <v>-11001.11</v>
          </cell>
          <cell r="J12">
            <v>692326.88</v>
          </cell>
        </row>
        <row r="13">
          <cell r="C13">
            <v>831103</v>
          </cell>
          <cell r="D13" t="str">
            <v>Special Allowances</v>
          </cell>
          <cell r="E13" t="str">
            <v>COIN831103</v>
          </cell>
          <cell r="G13" t="str">
            <v>Manpower - Support Services</v>
          </cell>
          <cell r="H13">
            <v>33916.65</v>
          </cell>
          <cell r="J13">
            <v>251698.05</v>
          </cell>
        </row>
        <row r="14">
          <cell r="C14">
            <v>831104</v>
          </cell>
          <cell r="D14" t="str">
            <v>OGA / FEP</v>
          </cell>
          <cell r="E14" t="str">
            <v>COIN831104</v>
          </cell>
          <cell r="G14" t="str">
            <v>Manpower - Support Services</v>
          </cell>
          <cell r="H14">
            <v>454562.49</v>
          </cell>
          <cell r="J14">
            <v>3176523.5599999996</v>
          </cell>
        </row>
        <row r="15">
          <cell r="C15">
            <v>831106</v>
          </cell>
          <cell r="D15" t="str">
            <v>HRA</v>
          </cell>
          <cell r="E15" t="str">
            <v>COIN831106</v>
          </cell>
          <cell r="G15" t="str">
            <v>Manpower - Support Services</v>
          </cell>
          <cell r="H15">
            <v>233838.46</v>
          </cell>
          <cell r="J15">
            <v>1356163.88</v>
          </cell>
        </row>
        <row r="16">
          <cell r="C16">
            <v>831107</v>
          </cell>
          <cell r="D16" t="str">
            <v>Ind Allowance</v>
          </cell>
          <cell r="E16" t="str">
            <v>COIN831107</v>
          </cell>
          <cell r="G16" t="str">
            <v>Manpower - Support Services</v>
          </cell>
          <cell r="H16">
            <v>37620</v>
          </cell>
          <cell r="J16">
            <v>42620</v>
          </cell>
        </row>
        <row r="17">
          <cell r="C17">
            <v>831108</v>
          </cell>
          <cell r="D17" t="str">
            <v>Variable Pay</v>
          </cell>
          <cell r="E17" t="str">
            <v>COIN831108</v>
          </cell>
          <cell r="G17" t="str">
            <v>Manpower - Support Services</v>
          </cell>
          <cell r="H17">
            <v>478870.99</v>
          </cell>
          <cell r="J17">
            <v>3235035.3600000003</v>
          </cell>
        </row>
        <row r="18">
          <cell r="C18">
            <v>831109</v>
          </cell>
          <cell r="D18" t="str">
            <v>Grade Allowance</v>
          </cell>
          <cell r="E18" t="str">
            <v>COIN831109</v>
          </cell>
          <cell r="G18" t="str">
            <v>Manpower - Support Services</v>
          </cell>
          <cell r="J18">
            <v>0</v>
          </cell>
        </row>
        <row r="19">
          <cell r="C19">
            <v>831110</v>
          </cell>
          <cell r="D19" t="str">
            <v>LTA</v>
          </cell>
          <cell r="E19" t="str">
            <v>COIN831110</v>
          </cell>
          <cell r="G19" t="str">
            <v>Manpower - Support Services</v>
          </cell>
          <cell r="H19">
            <v>78191.62</v>
          </cell>
          <cell r="J19">
            <v>404881.94</v>
          </cell>
        </row>
        <row r="20">
          <cell r="C20">
            <v>831111</v>
          </cell>
          <cell r="D20" t="str">
            <v>QPLC</v>
          </cell>
          <cell r="E20" t="str">
            <v>COIN831111</v>
          </cell>
          <cell r="G20" t="str">
            <v>Manpower - Support Services</v>
          </cell>
          <cell r="H20">
            <v>523417.08</v>
          </cell>
          <cell r="J20">
            <v>4202952.99</v>
          </cell>
        </row>
        <row r="21">
          <cell r="C21">
            <v>831121</v>
          </cell>
          <cell r="D21" t="str">
            <v>Stipend - WASE</v>
          </cell>
          <cell r="E21" t="str">
            <v>COIN831121</v>
          </cell>
          <cell r="G21" t="str">
            <v>Manpower - Support Services</v>
          </cell>
          <cell r="H21">
            <v>105750</v>
          </cell>
          <cell r="J21">
            <v>252561.05</v>
          </cell>
        </row>
        <row r="22">
          <cell r="C22">
            <v>831151</v>
          </cell>
          <cell r="D22" t="str">
            <v>Awards</v>
          </cell>
          <cell r="E22" t="str">
            <v>COIN831151</v>
          </cell>
          <cell r="G22" t="str">
            <v>Manpower - Support Services</v>
          </cell>
          <cell r="J22">
            <v>0</v>
          </cell>
        </row>
        <row r="23">
          <cell r="J23">
            <v>563964.98</v>
          </cell>
        </row>
        <row r="28">
          <cell r="C28">
            <v>831301</v>
          </cell>
          <cell r="D28" t="str">
            <v>Training &amp; Devpt</v>
          </cell>
          <cell r="E28" t="str">
            <v>COIN831301</v>
          </cell>
          <cell r="G28" t="str">
            <v>Training Expenses</v>
          </cell>
        </row>
        <row r="29">
          <cell r="C29">
            <v>831401</v>
          </cell>
          <cell r="D29" t="str">
            <v>Medical Reimb</v>
          </cell>
          <cell r="E29" t="str">
            <v>COIN831401</v>
          </cell>
          <cell r="G29" t="str">
            <v>Manpower - Support Services</v>
          </cell>
        </row>
        <row r="30">
          <cell r="C30">
            <v>831402</v>
          </cell>
          <cell r="D30" t="str">
            <v>Staff welfare</v>
          </cell>
          <cell r="E30" t="str">
            <v>COIN831402</v>
          </cell>
          <cell r="G30" t="str">
            <v>Staff Welfare</v>
          </cell>
        </row>
        <row r="31">
          <cell r="C31">
            <v>831404</v>
          </cell>
          <cell r="D31" t="str">
            <v>Early late</v>
          </cell>
          <cell r="E31" t="str">
            <v>COIN831404</v>
          </cell>
          <cell r="G31" t="str">
            <v>Early/Late Working Expenses-Services</v>
          </cell>
        </row>
        <row r="41">
          <cell r="C41">
            <v>832401</v>
          </cell>
          <cell r="D41" t="str">
            <v>Rates &amp; Taxes</v>
          </cell>
          <cell r="E41" t="str">
            <v>COIN832401</v>
          </cell>
          <cell r="G41" t="str">
            <v>Rates And Taxes</v>
          </cell>
          <cell r="H41">
            <v>500</v>
          </cell>
          <cell r="J41">
            <v>8905</v>
          </cell>
        </row>
        <row r="42">
          <cell r="C42">
            <v>833101</v>
          </cell>
          <cell r="D42" t="str">
            <v>Tkts-BP-company</v>
          </cell>
          <cell r="E42" t="str">
            <v>COIN833101</v>
          </cell>
          <cell r="G42" t="str">
            <v>Travel &amp; Conv -Support Services</v>
          </cell>
          <cell r="H42">
            <v>0</v>
          </cell>
          <cell r="J42">
            <v>1974248</v>
          </cell>
        </row>
        <row r="43">
          <cell r="C43">
            <v>833102</v>
          </cell>
          <cell r="D43" t="str">
            <v>Allowance-BP-company</v>
          </cell>
          <cell r="E43" t="str">
            <v>COIN833102</v>
          </cell>
          <cell r="G43" t="str">
            <v>Travel &amp; Conv -Support Services</v>
          </cell>
          <cell r="H43">
            <v>0</v>
          </cell>
          <cell r="J43">
            <v>788509.61</v>
          </cell>
        </row>
        <row r="44">
          <cell r="C44">
            <v>833106</v>
          </cell>
          <cell r="D44" t="str">
            <v>Allowance-BP-company</v>
          </cell>
          <cell r="E44" t="str">
            <v>COIN833106</v>
          </cell>
          <cell r="G44" t="str">
            <v>Travel &amp; Conv -Support Services</v>
          </cell>
          <cell r="J44">
            <v>0</v>
          </cell>
        </row>
        <row r="45">
          <cell r="C45">
            <v>833201</v>
          </cell>
          <cell r="D45" t="str">
            <v>Tkts-Domest-company</v>
          </cell>
          <cell r="E45" t="str">
            <v>COIN833201</v>
          </cell>
          <cell r="G45" t="str">
            <v>Travel &amp; Conv -Support Services</v>
          </cell>
          <cell r="H45">
            <v>17188</v>
          </cell>
          <cell r="J45">
            <v>88335</v>
          </cell>
        </row>
        <row r="46">
          <cell r="C46">
            <v>833202</v>
          </cell>
          <cell r="D46" t="str">
            <v>Boarrding - Employee</v>
          </cell>
          <cell r="E46" t="str">
            <v>COIN833202</v>
          </cell>
          <cell r="G46" t="str">
            <v>Travel &amp; Conv -Support Services</v>
          </cell>
          <cell r="H46">
            <v>35420</v>
          </cell>
          <cell r="J46">
            <v>347445</v>
          </cell>
        </row>
        <row r="47">
          <cell r="C47">
            <v>833203</v>
          </cell>
          <cell r="D47" t="str">
            <v>Conveyance -company</v>
          </cell>
          <cell r="E47" t="str">
            <v>COIN833203</v>
          </cell>
          <cell r="G47" t="str">
            <v>Travel &amp; Conv -Support Services</v>
          </cell>
          <cell r="H47">
            <v>1205</v>
          </cell>
          <cell r="J47">
            <v>4086</v>
          </cell>
        </row>
        <row r="48">
          <cell r="C48">
            <v>833204</v>
          </cell>
          <cell r="D48" t="str">
            <v>Tkts-Domesti-company</v>
          </cell>
          <cell r="E48" t="str">
            <v>COIN833204</v>
          </cell>
          <cell r="G48" t="str">
            <v>Travel &amp; Conv -Support Services</v>
          </cell>
          <cell r="H48">
            <v>5053</v>
          </cell>
          <cell r="J48">
            <v>31786</v>
          </cell>
        </row>
        <row r="49">
          <cell r="C49">
            <v>833206</v>
          </cell>
          <cell r="D49" t="str">
            <v>Domestic-Con./othr</v>
          </cell>
          <cell r="E49" t="str">
            <v>COIN833206</v>
          </cell>
          <cell r="G49" t="str">
            <v>Travel &amp; Conv -Support Services</v>
          </cell>
          <cell r="H49">
            <v>6510</v>
          </cell>
          <cell r="J49">
            <v>31021</v>
          </cell>
        </row>
        <row r="50">
          <cell r="C50">
            <v>833301</v>
          </cell>
          <cell r="D50" t="str">
            <v>Tkts-intnl Projects</v>
          </cell>
          <cell r="E50" t="str">
            <v>COIN833301</v>
          </cell>
          <cell r="G50" t="str">
            <v>Travel Expenses</v>
          </cell>
          <cell r="H50">
            <v>0</v>
          </cell>
          <cell r="J50">
            <v>81639.039999999994</v>
          </cell>
        </row>
        <row r="51">
          <cell r="C51">
            <v>833302</v>
          </cell>
          <cell r="D51" t="str">
            <v>Project Intl exp</v>
          </cell>
          <cell r="E51" t="str">
            <v>COIN833302</v>
          </cell>
          <cell r="G51" t="str">
            <v>Onsite Allowances</v>
          </cell>
          <cell r="H51">
            <v>0</v>
          </cell>
          <cell r="J51">
            <v>780877.6</v>
          </cell>
        </row>
        <row r="52">
          <cell r="C52">
            <v>833303</v>
          </cell>
          <cell r="D52" t="str">
            <v>Visa-intnl-comapany</v>
          </cell>
          <cell r="E52" t="str">
            <v>COIN833303</v>
          </cell>
          <cell r="G52" t="str">
            <v>Visa Fees</v>
          </cell>
          <cell r="H52">
            <v>0</v>
          </cell>
          <cell r="J52">
            <v>2978598.33</v>
          </cell>
        </row>
        <row r="53">
          <cell r="C53">
            <v>833304</v>
          </cell>
          <cell r="D53" t="str">
            <v>Insurance-Intl-Co</v>
          </cell>
          <cell r="E53" t="str">
            <v>COIN833304</v>
          </cell>
          <cell r="G53" t="str">
            <v>Medical Insurance</v>
          </cell>
          <cell r="H53">
            <v>0</v>
          </cell>
          <cell r="J53">
            <v>-98629.47</v>
          </cell>
        </row>
        <row r="61">
          <cell r="C61">
            <v>833603</v>
          </cell>
          <cell r="D61" t="str">
            <v>Communication Proj</v>
          </cell>
          <cell r="E61" t="str">
            <v>COIN833603</v>
          </cell>
          <cell r="G61" t="str">
            <v>Communication Links</v>
          </cell>
          <cell r="J61">
            <v>0</v>
          </cell>
        </row>
        <row r="62">
          <cell r="C62">
            <v>833701</v>
          </cell>
          <cell r="D62" t="str">
            <v>Postage &amp; Telegram</v>
          </cell>
          <cell r="E62" t="str">
            <v>COIN833701</v>
          </cell>
          <cell r="G62" t="str">
            <v>Communication Expenses - G&amp;A</v>
          </cell>
          <cell r="H62">
            <v>240</v>
          </cell>
          <cell r="J62">
            <v>283</v>
          </cell>
        </row>
        <row r="63">
          <cell r="C63">
            <v>833702</v>
          </cell>
          <cell r="D63" t="str">
            <v>Courier</v>
          </cell>
          <cell r="E63" t="str">
            <v>COIN833702</v>
          </cell>
          <cell r="G63" t="str">
            <v>Communication Expenses - G&amp;A</v>
          </cell>
          <cell r="H63">
            <v>0</v>
          </cell>
          <cell r="J63">
            <v>125465</v>
          </cell>
        </row>
        <row r="64">
          <cell r="C64">
            <v>833801</v>
          </cell>
          <cell r="D64" t="str">
            <v>OGA - Conveyance</v>
          </cell>
          <cell r="E64" t="str">
            <v>COIN833801</v>
          </cell>
          <cell r="G64" t="str">
            <v>Manpower - Support Services</v>
          </cell>
          <cell r="H64">
            <v>0</v>
          </cell>
          <cell r="J64">
            <v>-3588</v>
          </cell>
        </row>
        <row r="65">
          <cell r="C65">
            <v>833802</v>
          </cell>
          <cell r="D65" t="str">
            <v>OGA - Car Expenses</v>
          </cell>
          <cell r="E65" t="str">
            <v>COIN833802</v>
          </cell>
          <cell r="G65" t="str">
            <v>Manpower - Support Services</v>
          </cell>
          <cell r="H65">
            <v>65803</v>
          </cell>
          <cell r="J65">
            <v>319083.07</v>
          </cell>
        </row>
        <row r="66">
          <cell r="C66">
            <v>833803</v>
          </cell>
          <cell r="D66" t="str">
            <v>OGA - Telephone</v>
          </cell>
          <cell r="E66" t="str">
            <v>COIN833803</v>
          </cell>
          <cell r="G66" t="str">
            <v>Manpower - Support Services</v>
          </cell>
          <cell r="H66">
            <v>0</v>
          </cell>
          <cell r="J66">
            <v>500</v>
          </cell>
        </row>
        <row r="67">
          <cell r="C67">
            <v>838101</v>
          </cell>
          <cell r="D67" t="str">
            <v>Prov-Doubtful Debts</v>
          </cell>
          <cell r="E67" t="str">
            <v>COIN838101</v>
          </cell>
          <cell r="G67" t="str">
            <v>Bad Debts Written Off , Doubtful Debts / Advances</v>
          </cell>
          <cell r="J67">
            <v>0</v>
          </cell>
        </row>
        <row r="68">
          <cell r="C68">
            <v>839101</v>
          </cell>
          <cell r="D68" t="str">
            <v>Housekeeping &amp; Maint</v>
          </cell>
          <cell r="E68" t="str">
            <v>COIN839101</v>
          </cell>
          <cell r="G68" t="str">
            <v>Manpower O/S Services</v>
          </cell>
          <cell r="H68">
            <v>45000</v>
          </cell>
          <cell r="J68">
            <v>180881.8</v>
          </cell>
        </row>
        <row r="69">
          <cell r="C69">
            <v>839102</v>
          </cell>
          <cell r="D69" t="str">
            <v>Prtg &amp; Stationery</v>
          </cell>
          <cell r="E69" t="str">
            <v>COIN839102</v>
          </cell>
          <cell r="G69" t="str">
            <v>Printing And Stationery</v>
          </cell>
          <cell r="H69">
            <v>9256</v>
          </cell>
          <cell r="J69">
            <v>52478</v>
          </cell>
        </row>
        <row r="70">
          <cell r="C70">
            <v>839103</v>
          </cell>
          <cell r="D70" t="str">
            <v>Photo Copying</v>
          </cell>
          <cell r="E70" t="str">
            <v>COIN839103</v>
          </cell>
          <cell r="G70" t="str">
            <v>Photocopying Charges</v>
          </cell>
          <cell r="H70">
            <v>87190.15</v>
          </cell>
          <cell r="J70">
            <v>87206.15</v>
          </cell>
        </row>
        <row r="71">
          <cell r="C71">
            <v>839104</v>
          </cell>
          <cell r="D71" t="str">
            <v>Books</v>
          </cell>
          <cell r="E71" t="str">
            <v>COIN839104</v>
          </cell>
          <cell r="G71" t="str">
            <v>Conference &amp; Subscription</v>
          </cell>
          <cell r="H71">
            <v>331242.78000000003</v>
          </cell>
          <cell r="J71">
            <v>364560.28</v>
          </cell>
        </row>
        <row r="72">
          <cell r="C72">
            <v>839105</v>
          </cell>
          <cell r="D72" t="str">
            <v>Miscellaneous Exp</v>
          </cell>
          <cell r="E72" t="str">
            <v>COIN839105</v>
          </cell>
          <cell r="G72" t="str">
            <v>Miscellaneous Expenses</v>
          </cell>
          <cell r="H72">
            <v>-1480</v>
          </cell>
          <cell r="J72">
            <v>-1830</v>
          </cell>
        </row>
        <row r="73">
          <cell r="C73">
            <v>839107</v>
          </cell>
          <cell r="D73" t="str">
            <v>Office Maintenance</v>
          </cell>
          <cell r="E73" t="str">
            <v>COIN839107</v>
          </cell>
          <cell r="G73" t="str">
            <v>Manpower O/S Services</v>
          </cell>
          <cell r="H73">
            <v>0</v>
          </cell>
          <cell r="J73">
            <v>48267</v>
          </cell>
        </row>
        <row r="74">
          <cell r="C74">
            <v>839201</v>
          </cell>
          <cell r="D74" t="str">
            <v>Leagal</v>
          </cell>
          <cell r="E74" t="str">
            <v>COIN839201</v>
          </cell>
          <cell r="G74" t="str">
            <v>Licence,Legal &amp; Profsnl Fees</v>
          </cell>
          <cell r="H74">
            <v>11562</v>
          </cell>
          <cell r="J74">
            <v>3322351.97</v>
          </cell>
        </row>
        <row r="75">
          <cell r="C75">
            <v>839202</v>
          </cell>
          <cell r="D75" t="str">
            <v>Brokerag</v>
          </cell>
          <cell r="E75" t="str">
            <v>COIN839202</v>
          </cell>
          <cell r="G75" t="str">
            <v>Commission on Sales</v>
          </cell>
          <cell r="H75">
            <v>0</v>
          </cell>
          <cell r="J75">
            <v>0</v>
          </cell>
        </row>
        <row r="76">
          <cell r="C76">
            <v>839205</v>
          </cell>
          <cell r="D76" t="str">
            <v>Admn Chrgs-Emp Fund</v>
          </cell>
          <cell r="E76" t="str">
            <v>COIN839205</v>
          </cell>
          <cell r="G76" t="str">
            <v>Manpower - Support Services</v>
          </cell>
          <cell r="J76">
            <v>0</v>
          </cell>
        </row>
        <row r="81">
          <cell r="C81">
            <v>839801</v>
          </cell>
          <cell r="D81" t="str">
            <v>OGA - Books &amp; Subs`</v>
          </cell>
          <cell r="E81" t="str">
            <v>COIN839801</v>
          </cell>
          <cell r="G81" t="str">
            <v>Manpower - Support Services</v>
          </cell>
          <cell r="H81">
            <v>0</v>
          </cell>
        </row>
        <row r="82">
          <cell r="C82">
            <v>839902</v>
          </cell>
          <cell r="D82" t="str">
            <v>Transfer Expenses</v>
          </cell>
          <cell r="E82" t="str">
            <v>COIN839902</v>
          </cell>
          <cell r="G82" t="str">
            <v>Travel &amp; Conv -Support Services</v>
          </cell>
          <cell r="H82">
            <v>0</v>
          </cell>
        </row>
        <row r="83">
          <cell r="C83">
            <v>839903</v>
          </cell>
          <cell r="D83" t="str">
            <v>Guest House</v>
          </cell>
          <cell r="E83" t="str">
            <v>COIN839903</v>
          </cell>
          <cell r="G83" t="str">
            <v>Travel &amp; Conv -Support Services</v>
          </cell>
          <cell r="H83">
            <v>0</v>
          </cell>
        </row>
        <row r="84">
          <cell r="C84">
            <v>839904</v>
          </cell>
          <cell r="D84" t="str">
            <v>Hire &amp; Service Chrgs</v>
          </cell>
          <cell r="E84" t="str">
            <v>COIN839904</v>
          </cell>
          <cell r="G84" t="str">
            <v>Hire Charges</v>
          </cell>
          <cell r="H84">
            <v>21400</v>
          </cell>
        </row>
        <row r="85">
          <cell r="C85">
            <v>839905</v>
          </cell>
          <cell r="D85" t="str">
            <v>Transportation Exps</v>
          </cell>
          <cell r="E85" t="str">
            <v>COIN839905</v>
          </cell>
          <cell r="G85" t="str">
            <v>Travel &amp; Conv -Support Services</v>
          </cell>
          <cell r="H85">
            <v>0</v>
          </cell>
          <cell r="J85">
            <v>20713</v>
          </cell>
        </row>
        <row r="86">
          <cell r="C86">
            <v>841102</v>
          </cell>
          <cell r="D86" t="str">
            <v>C&amp;F Agency Chrgs</v>
          </cell>
          <cell r="E86" t="str">
            <v>COIN841102</v>
          </cell>
          <cell r="G86" t="str">
            <v>Clearing Charges</v>
          </cell>
          <cell r="H86">
            <v>0</v>
          </cell>
          <cell r="J86">
            <v>15750</v>
          </cell>
        </row>
        <row r="87">
          <cell r="C87">
            <v>841303</v>
          </cell>
          <cell r="D87" t="str">
            <v>Gifts</v>
          </cell>
          <cell r="E87" t="str">
            <v>COIN841303</v>
          </cell>
          <cell r="G87" t="str">
            <v>APSP</v>
          </cell>
          <cell r="H87">
            <v>3000</v>
          </cell>
          <cell r="J87">
            <v>3000</v>
          </cell>
        </row>
        <row r="88">
          <cell r="C88">
            <v>841401</v>
          </cell>
          <cell r="D88" t="str">
            <v>Foreign Office Exps</v>
          </cell>
          <cell r="E88" t="str">
            <v>COIN841401</v>
          </cell>
          <cell r="G88" t="str">
            <v xml:space="preserve">  -  Loading for Foreign Office Expenses</v>
          </cell>
          <cell r="H88">
            <v>0</v>
          </cell>
          <cell r="J88">
            <v>5356023.55</v>
          </cell>
        </row>
        <row r="89">
          <cell r="C89">
            <v>841802</v>
          </cell>
          <cell r="D89" t="str">
            <v>Conference Expenses</v>
          </cell>
          <cell r="E89" t="str">
            <v>COIN841802</v>
          </cell>
          <cell r="G89" t="str">
            <v>Conference &amp; Subscription</v>
          </cell>
          <cell r="H89">
            <v>0</v>
          </cell>
          <cell r="J89">
            <v>1812</v>
          </cell>
        </row>
        <row r="90">
          <cell r="C90">
            <v>841901</v>
          </cell>
          <cell r="D90" t="str">
            <v>Sales Discount</v>
          </cell>
          <cell r="E90" t="str">
            <v>COIN841901</v>
          </cell>
          <cell r="G90" t="str">
            <v>Technical Services Overseas</v>
          </cell>
          <cell r="H90">
            <v>0</v>
          </cell>
          <cell r="J90">
            <v>0</v>
          </cell>
        </row>
        <row r="91">
          <cell r="C91">
            <v>871102</v>
          </cell>
          <cell r="D91" t="str">
            <v>Depreciation-Bldgs</v>
          </cell>
          <cell r="E91" t="str">
            <v>COIN871102</v>
          </cell>
          <cell r="G91" t="str">
            <v>Depreciation - COS</v>
          </cell>
          <cell r="H91">
            <v>0</v>
          </cell>
          <cell r="J91">
            <v>505815.38</v>
          </cell>
        </row>
        <row r="92">
          <cell r="C92">
            <v>871103</v>
          </cell>
          <cell r="D92" t="str">
            <v>Depreciation-Pl&amp;Mach</v>
          </cell>
          <cell r="E92" t="str">
            <v>COIN871103</v>
          </cell>
          <cell r="G92" t="str">
            <v>Depreciation - COS</v>
          </cell>
          <cell r="H92">
            <v>0</v>
          </cell>
          <cell r="J92">
            <v>4916372.62</v>
          </cell>
        </row>
        <row r="93">
          <cell r="C93">
            <v>871104</v>
          </cell>
          <cell r="D93" t="str">
            <v>Depreciation-Compter</v>
          </cell>
          <cell r="E93" t="str">
            <v>COIN871104</v>
          </cell>
          <cell r="G93" t="str">
            <v>Depreciation - COS</v>
          </cell>
          <cell r="H93">
            <v>1100984.1000000001</v>
          </cell>
          <cell r="J93">
            <v>20225485.560000002</v>
          </cell>
        </row>
        <row r="102">
          <cell r="C102">
            <v>881414</v>
          </cell>
          <cell r="D102" t="str">
            <v>Inter BU-Serv-CSD</v>
          </cell>
          <cell r="E102" t="str">
            <v>COIN881414</v>
          </cell>
          <cell r="G102" t="str">
            <v>Repairs For Others</v>
          </cell>
          <cell r="H102">
            <v>0</v>
          </cell>
        </row>
        <row r="103">
          <cell r="C103">
            <v>881431</v>
          </cell>
          <cell r="D103" t="str">
            <v>Inter BU-Serv-CC &amp; L</v>
          </cell>
          <cell r="E103" t="str">
            <v>COIN881431</v>
          </cell>
          <cell r="G103" t="str">
            <v>Repairs For Others</v>
          </cell>
          <cell r="H103">
            <v>0</v>
          </cell>
        </row>
        <row r="104">
          <cell r="C104">
            <v>881501</v>
          </cell>
          <cell r="D104" t="str">
            <v>Inter BU-CapCont-Crp</v>
          </cell>
          <cell r="E104" t="str">
            <v>COIN881501</v>
          </cell>
          <cell r="G104" t="str">
            <v>Cost of Materials Trfd - Inter Division</v>
          </cell>
        </row>
        <row r="105">
          <cell r="C105">
            <v>881514</v>
          </cell>
          <cell r="D105" t="str">
            <v>Inter BU-CapCont-CSD</v>
          </cell>
          <cell r="E105" t="str">
            <v>COIN881514</v>
          </cell>
          <cell r="G105" t="str">
            <v>Interdivision Charges</v>
          </cell>
        </row>
        <row r="106">
          <cell r="C106">
            <v>881602</v>
          </cell>
          <cell r="D106" t="str">
            <v>Corporate Overheads</v>
          </cell>
          <cell r="E106" t="str">
            <v>COIN881602</v>
          </cell>
          <cell r="G106" t="str">
            <v>Corporate Overheads</v>
          </cell>
          <cell r="H106">
            <v>0</v>
          </cell>
        </row>
        <row r="107">
          <cell r="C107">
            <v>831101</v>
          </cell>
          <cell r="D107" t="str">
            <v>Salaries</v>
          </cell>
          <cell r="E107" t="str">
            <v>KOAO831101</v>
          </cell>
          <cell r="G107" t="str">
            <v>Manpower - Support Services</v>
          </cell>
          <cell r="H107">
            <v>163933.45000000001</v>
          </cell>
        </row>
        <row r="108">
          <cell r="C108">
            <v>831102</v>
          </cell>
          <cell r="D108" t="str">
            <v>Other Allowances</v>
          </cell>
          <cell r="E108" t="str">
            <v>KOAO831102</v>
          </cell>
          <cell r="G108" t="str">
            <v>Manpower - Support Services</v>
          </cell>
          <cell r="H108">
            <v>9929.56</v>
          </cell>
        </row>
        <row r="109">
          <cell r="C109">
            <v>831103</v>
          </cell>
          <cell r="D109" t="str">
            <v>Special Allowances</v>
          </cell>
          <cell r="E109" t="str">
            <v>KOAO831103</v>
          </cell>
          <cell r="G109" t="str">
            <v>Manpower - Support Services</v>
          </cell>
          <cell r="H109">
            <v>9650</v>
          </cell>
        </row>
        <row r="110">
          <cell r="C110">
            <v>831104</v>
          </cell>
          <cell r="D110" t="str">
            <v>OGA / FEP</v>
          </cell>
          <cell r="E110" t="str">
            <v>KOAO831104</v>
          </cell>
          <cell r="G110" t="str">
            <v>Manpower - Support Services</v>
          </cell>
          <cell r="H110">
            <v>51031.41</v>
          </cell>
        </row>
        <row r="114">
          <cell r="C114">
            <v>831111</v>
          </cell>
          <cell r="D114" t="str">
            <v>QPLC</v>
          </cell>
          <cell r="E114" t="str">
            <v>KOAO831111</v>
          </cell>
          <cell r="G114" t="str">
            <v>Manpower - Support Services</v>
          </cell>
          <cell r="H114">
            <v>71483.98</v>
          </cell>
          <cell r="J114">
            <v>237356.13</v>
          </cell>
        </row>
        <row r="115">
          <cell r="C115">
            <v>831201</v>
          </cell>
          <cell r="D115" t="str">
            <v>PF</v>
          </cell>
          <cell r="E115" t="str">
            <v>KOAO831201</v>
          </cell>
          <cell r="G115" t="str">
            <v>Manpower - Support Services</v>
          </cell>
          <cell r="H115">
            <v>19672.009999999998</v>
          </cell>
          <cell r="J115">
            <v>47741.86</v>
          </cell>
        </row>
        <row r="116">
          <cell r="C116">
            <v>831204</v>
          </cell>
          <cell r="D116" t="str">
            <v>Pension</v>
          </cell>
          <cell r="E116" t="str">
            <v>KOAO831204</v>
          </cell>
          <cell r="G116" t="str">
            <v>Manpower - Support Services</v>
          </cell>
          <cell r="H116">
            <v>19384.18</v>
          </cell>
          <cell r="J116">
            <v>43789.09</v>
          </cell>
        </row>
        <row r="117">
          <cell r="C117">
            <v>831206</v>
          </cell>
          <cell r="D117" t="str">
            <v>Leave Encashment</v>
          </cell>
          <cell r="E117" t="str">
            <v>KOAO831206</v>
          </cell>
          <cell r="G117" t="str">
            <v>Manpower - Support Services</v>
          </cell>
          <cell r="J117">
            <v>0</v>
          </cell>
        </row>
        <row r="118">
          <cell r="C118">
            <v>833301</v>
          </cell>
          <cell r="D118" t="str">
            <v>Tkts-intnl Projects</v>
          </cell>
          <cell r="E118" t="str">
            <v>KOAO833301</v>
          </cell>
          <cell r="G118" t="str">
            <v>Travel Expenses</v>
          </cell>
          <cell r="H118">
            <v>0</v>
          </cell>
          <cell r="J118">
            <v>64715</v>
          </cell>
        </row>
        <row r="119">
          <cell r="C119">
            <v>833501</v>
          </cell>
          <cell r="D119" t="str">
            <v>Conveyance</v>
          </cell>
          <cell r="E119" t="str">
            <v>KOAO833501</v>
          </cell>
          <cell r="G119" t="str">
            <v>Travel &amp; Conv -Support Services</v>
          </cell>
          <cell r="H119">
            <v>16880</v>
          </cell>
          <cell r="J119">
            <v>41306.559999999998</v>
          </cell>
        </row>
        <row r="120">
          <cell r="C120">
            <v>833503</v>
          </cell>
          <cell r="D120" t="str">
            <v>Bus Transport</v>
          </cell>
          <cell r="E120" t="str">
            <v>KOAO833503</v>
          </cell>
          <cell r="G120" t="str">
            <v>Travel &amp; Conv -Support Services</v>
          </cell>
          <cell r="H120">
            <v>0</v>
          </cell>
          <cell r="J120">
            <v>0</v>
          </cell>
        </row>
        <row r="121">
          <cell r="C121">
            <v>833601</v>
          </cell>
          <cell r="D121" t="str">
            <v>Communication Exp</v>
          </cell>
          <cell r="E121" t="str">
            <v>KOAO833601</v>
          </cell>
          <cell r="G121" t="str">
            <v>Communication Expenses - G&amp;A</v>
          </cell>
          <cell r="H121">
            <v>33564.67</v>
          </cell>
          <cell r="J121">
            <v>738516.44000000006</v>
          </cell>
        </row>
        <row r="122">
          <cell r="C122">
            <v>833602</v>
          </cell>
          <cell r="D122" t="str">
            <v>Communication Link</v>
          </cell>
          <cell r="E122" t="str">
            <v>KOAO833602</v>
          </cell>
          <cell r="G122" t="str">
            <v>Communication Expenses - G&amp;A</v>
          </cell>
          <cell r="H122">
            <v>0</v>
          </cell>
          <cell r="J122">
            <v>4731750</v>
          </cell>
        </row>
        <row r="130">
          <cell r="C130">
            <v>831107</v>
          </cell>
          <cell r="D130" t="str">
            <v>Ind Allowance</v>
          </cell>
          <cell r="E130" t="str">
            <v>KOAO831107</v>
          </cell>
          <cell r="G130" t="str">
            <v>Manpower - Support Services</v>
          </cell>
          <cell r="H130">
            <v>0</v>
          </cell>
          <cell r="J130">
            <v>9100</v>
          </cell>
        </row>
        <row r="131">
          <cell r="C131">
            <v>831112</v>
          </cell>
          <cell r="D131" t="str">
            <v>Bonus</v>
          </cell>
          <cell r="E131" t="str">
            <v>KOAO831112</v>
          </cell>
          <cell r="G131" t="str">
            <v>Manpower - Support Services</v>
          </cell>
          <cell r="J131">
            <v>0</v>
          </cell>
        </row>
        <row r="132">
          <cell r="C132">
            <v>833405</v>
          </cell>
          <cell r="D132" t="str">
            <v>Intnl Tkt Onsite</v>
          </cell>
          <cell r="E132" t="str">
            <v>KOAO833405</v>
          </cell>
          <cell r="G132" t="str">
            <v>Travel Expenses</v>
          </cell>
          <cell r="H132">
            <v>0</v>
          </cell>
          <cell r="J132">
            <v>0</v>
          </cell>
        </row>
        <row r="133">
          <cell r="G133" t="str">
            <v>Communication Links</v>
          </cell>
          <cell r="J133">
            <v>0</v>
          </cell>
        </row>
        <row r="134">
          <cell r="J134">
            <v>0</v>
          </cell>
        </row>
        <row r="135">
          <cell r="C135">
            <v>841301</v>
          </cell>
          <cell r="D135" t="str">
            <v>APSP</v>
          </cell>
          <cell r="E135" t="str">
            <v>COIN841301</v>
          </cell>
          <cell r="G135" t="str">
            <v>APSP</v>
          </cell>
          <cell r="J135">
            <v>67309</v>
          </cell>
        </row>
        <row r="136">
          <cell r="C136">
            <v>833202</v>
          </cell>
          <cell r="D136" t="str">
            <v>Boarrding - Employee</v>
          </cell>
          <cell r="E136" t="str">
            <v>KOAO833202</v>
          </cell>
          <cell r="G136" t="str">
            <v>Travel &amp; Conv -Support Services</v>
          </cell>
          <cell r="J136">
            <v>2100</v>
          </cell>
        </row>
        <row r="137">
          <cell r="C137">
            <v>832102</v>
          </cell>
          <cell r="D137" t="str">
            <v>Rent</v>
          </cell>
          <cell r="E137" t="str">
            <v>RKU1832102</v>
          </cell>
          <cell r="G137" t="str">
            <v>Offshore Salary</v>
          </cell>
          <cell r="J137">
            <v>-39808.53</v>
          </cell>
        </row>
        <row r="138">
          <cell r="C138">
            <v>833101</v>
          </cell>
          <cell r="D138" t="str">
            <v>Tkts-BP-company</v>
          </cell>
          <cell r="E138" t="str">
            <v>RKU1833101</v>
          </cell>
          <cell r="G138" t="str">
            <v>Travel &amp; Conv -Support Services</v>
          </cell>
          <cell r="J138">
            <v>-894054.43</v>
          </cell>
        </row>
        <row r="139">
          <cell r="C139">
            <v>833102</v>
          </cell>
          <cell r="D139" t="str">
            <v>Allowance-BP-company</v>
          </cell>
          <cell r="E139" t="str">
            <v>RKU1833102</v>
          </cell>
          <cell r="G139" t="str">
            <v>Travel &amp; Conv -Support Services</v>
          </cell>
          <cell r="J139">
            <v>-522909.5</v>
          </cell>
        </row>
        <row r="153">
          <cell r="C153">
            <v>838101</v>
          </cell>
          <cell r="D153" t="str">
            <v>Prov-Doubtful Debts</v>
          </cell>
          <cell r="G153" t="str">
            <v>Bad Debts Written Off , Doubtful Debts / Advances</v>
          </cell>
        </row>
        <row r="154">
          <cell r="C154">
            <v>838101</v>
          </cell>
          <cell r="D154" t="str">
            <v>Prov-Doubtful Debts</v>
          </cell>
          <cell r="G154" t="str">
            <v>Bad Debts Written Off , Doubtful Debts / Advances</v>
          </cell>
          <cell r="J154">
            <v>0</v>
          </cell>
        </row>
        <row r="155">
          <cell r="C155">
            <v>831101</v>
          </cell>
          <cell r="D155" t="str">
            <v>Salaries</v>
          </cell>
          <cell r="G155" t="str">
            <v>Offshore Salary</v>
          </cell>
          <cell r="J155">
            <v>0</v>
          </cell>
        </row>
        <row r="156">
          <cell r="C156">
            <v>831101</v>
          </cell>
          <cell r="D156" t="str">
            <v>Salaries</v>
          </cell>
          <cell r="G156" t="str">
            <v>Offshore Salary</v>
          </cell>
          <cell r="J156">
            <v>0</v>
          </cell>
        </row>
        <row r="164">
          <cell r="H164">
            <v>6579644.1200000001</v>
          </cell>
          <cell r="J164">
            <v>89150277.319999978</v>
          </cell>
        </row>
        <row r="165">
          <cell r="H165">
            <v>111234277.79000001</v>
          </cell>
          <cell r="J165">
            <v>117941758.23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DR"/>
      <sheetName val="DR-Anx"/>
      <sheetName val="AR"/>
      <sheetName val="CARO"/>
      <sheetName val="CAROApp"/>
      <sheetName val="BS"/>
      <sheetName val="PL"/>
      <sheetName val="FundFlow"/>
      <sheetName val="Instructions"/>
      <sheetName val="BSSch"/>
      <sheetName val="FASch"/>
      <sheetName val="PLSch"/>
      <sheetName val="Notes"/>
      <sheetName val="PartIV"/>
      <sheetName val="GR-BS"/>
      <sheetName val="GR-PL"/>
      <sheetName val="AS22"/>
      <sheetName val="115JB"/>
      <sheetName val="115JB-Anx"/>
      <sheetName val="3CA"/>
      <sheetName val="3CA-Anx"/>
      <sheetName val="3CD"/>
      <sheetName val="145A-Exclusive"/>
      <sheetName val="145-Incusive"/>
      <sheetName val="3CD-145A-Anx"/>
      <sheetName val="3CD-Dep-Anx"/>
      <sheetName val="3CD-40A(3)-Anx"/>
      <sheetName val="3CD-40A(2)(b)-Anx"/>
      <sheetName val="3CD-269SS-T-Anx"/>
      <sheetName val="3CD-CFLoss-Anx"/>
      <sheetName val="3CD-Ratios-Anx "/>
      <sheetName val="Names"/>
      <sheetName val="IT"/>
      <sheetName val="Ma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">
          <cell r="C3" t="str">
            <v>Portalplayer (India) Private Limited</v>
          </cell>
        </row>
        <row r="4">
          <cell r="C4" t="str">
            <v>Plot No:249, Prashasan Nagar,
Road No:72, Jubilee Hills,
Hyderabad-500 034.</v>
          </cell>
        </row>
        <row r="7">
          <cell r="C7" t="str">
            <v>Private Limited Company</v>
          </cell>
        </row>
        <row r="16">
          <cell r="C16" t="str">
            <v>Partner</v>
          </cell>
        </row>
        <row r="19">
          <cell r="C19" t="str">
            <v>Deloitte Haskins &amp; Sells</v>
          </cell>
        </row>
        <row r="20">
          <cell r="C20" t="str">
            <v>P.R. Ramesh</v>
          </cell>
        </row>
        <row r="23">
          <cell r="C23" t="str">
            <v>M.No: 70928</v>
          </cell>
        </row>
        <row r="24">
          <cell r="C24" t="str">
            <v>Chartered Accountants,
7th Floor, Amrutha Estates,
Lingapur House,
Himayathnagar,
Hyderabad-500 029.</v>
          </cell>
        </row>
        <row r="28">
          <cell r="C28" t="str">
            <v>31-03-2006</v>
          </cell>
        </row>
        <row r="34">
          <cell r="C34" t="str">
            <v>2006-07</v>
          </cell>
        </row>
        <row r="40">
          <cell r="C40" t="str">
            <v>August 5, 2006</v>
          </cell>
        </row>
        <row r="43">
          <cell r="C43" t="str">
            <v>Hyderabad</v>
          </cell>
        </row>
        <row r="45">
          <cell r="C45" t="str">
            <v>Software Development</v>
          </cell>
        </row>
        <row r="46">
          <cell r="C46" t="str">
            <v>Mercantile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7:H14"/>
  <sheetViews>
    <sheetView showGridLines="0" view="pageBreakPreview" topLeftCell="A2" zoomScale="60" zoomScaleNormal="100" workbookViewId="0">
      <selection activeCell="C25" sqref="C25"/>
    </sheetView>
  </sheetViews>
  <sheetFormatPr defaultColWidth="9.15625" defaultRowHeight="23.1" x14ac:dyDescent="0.85"/>
  <cols>
    <col min="1" max="1" width="9.15625" style="1"/>
    <col min="2" max="2" width="45.15625" style="1" customWidth="1"/>
    <col min="3" max="4" width="9.15625" style="1"/>
    <col min="5" max="5" width="10.68359375" style="1" customWidth="1"/>
    <col min="6" max="6" width="9.15625" style="1"/>
    <col min="7" max="8" width="11.26171875" style="1" customWidth="1"/>
    <col min="9" max="16384" width="9.15625" style="1"/>
  </cols>
  <sheetData>
    <row r="7" spans="2:8" ht="23.4" thickBot="1" x14ac:dyDescent="0.9"/>
    <row r="8" spans="2:8" x14ac:dyDescent="0.85">
      <c r="B8" s="2"/>
      <c r="C8" s="3"/>
      <c r="D8" s="3"/>
      <c r="E8" s="3"/>
      <c r="F8" s="3"/>
      <c r="G8" s="3"/>
      <c r="H8" s="4"/>
    </row>
    <row r="9" spans="2:8" ht="23.4" x14ac:dyDescent="0.85">
      <c r="B9" s="5" t="s">
        <v>0</v>
      </c>
      <c r="C9" s="6"/>
      <c r="D9" s="6"/>
      <c r="E9" s="6"/>
      <c r="F9" s="6"/>
      <c r="G9" s="6"/>
      <c r="H9" s="7"/>
    </row>
    <row r="10" spans="2:8" ht="23.4" x14ac:dyDescent="0.85">
      <c r="B10" s="5" t="s">
        <v>1</v>
      </c>
      <c r="C10" s="6"/>
      <c r="D10" s="6"/>
      <c r="E10" s="6"/>
      <c r="F10" s="6"/>
      <c r="G10" s="6"/>
      <c r="H10" s="7"/>
    </row>
    <row r="11" spans="2:8" ht="23.4" x14ac:dyDescent="0.85">
      <c r="B11" s="5" t="s">
        <v>2</v>
      </c>
      <c r="C11" s="6"/>
      <c r="D11" s="6"/>
      <c r="E11" s="6"/>
      <c r="F11" s="6"/>
      <c r="G11" s="6"/>
      <c r="H11" s="7"/>
    </row>
    <row r="12" spans="2:8" ht="23.4" x14ac:dyDescent="0.85">
      <c r="B12" s="5" t="s">
        <v>3</v>
      </c>
      <c r="C12" s="6"/>
      <c r="D12" s="6"/>
      <c r="E12" s="6"/>
      <c r="F12" s="6"/>
      <c r="G12" s="6"/>
      <c r="H12" s="7"/>
    </row>
    <row r="13" spans="2:8" ht="23.4" x14ac:dyDescent="0.85">
      <c r="B13" s="5" t="s">
        <v>4</v>
      </c>
      <c r="C13" s="6"/>
      <c r="D13" s="6"/>
      <c r="E13" s="6"/>
      <c r="F13" s="6"/>
      <c r="G13" s="6"/>
      <c r="H13" s="7"/>
    </row>
    <row r="14" spans="2:8" ht="23.7" thickBot="1" x14ac:dyDescent="0.9">
      <c r="B14" s="8"/>
      <c r="C14" s="9"/>
      <c r="D14" s="9"/>
      <c r="E14" s="9"/>
      <c r="F14" s="9"/>
      <c r="G14" s="9"/>
      <c r="H14" s="10"/>
    </row>
  </sheetData>
  <mergeCells count="5">
    <mergeCell ref="B9:H9"/>
    <mergeCell ref="B10:H10"/>
    <mergeCell ref="B11:H11"/>
    <mergeCell ref="B12:H12"/>
    <mergeCell ref="B13:H13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I31"/>
  <sheetViews>
    <sheetView workbookViewId="0">
      <selection activeCell="H23" sqref="H23"/>
    </sheetView>
  </sheetViews>
  <sheetFormatPr defaultRowHeight="14.4" x14ac:dyDescent="0.55000000000000004"/>
  <cols>
    <col min="5" max="5" width="40.68359375" customWidth="1"/>
    <col min="6" max="6" width="18.578125" customWidth="1"/>
    <col min="7" max="7" width="16.83984375" style="340" customWidth="1"/>
    <col min="8" max="8" width="17.26171875" style="341" customWidth="1"/>
  </cols>
  <sheetData>
    <row r="3" spans="5:9" ht="18.3" x14ac:dyDescent="0.7">
      <c r="E3" s="322" t="s">
        <v>345</v>
      </c>
      <c r="F3" s="322" t="s">
        <v>346</v>
      </c>
      <c r="G3" s="322" t="s">
        <v>347</v>
      </c>
      <c r="H3" s="323" t="s">
        <v>348</v>
      </c>
    </row>
    <row r="4" spans="5:9" x14ac:dyDescent="0.55000000000000004">
      <c r="E4" s="324" t="s">
        <v>349</v>
      </c>
      <c r="F4" s="325" t="s">
        <v>350</v>
      </c>
      <c r="G4" s="325" t="s">
        <v>351</v>
      </c>
      <c r="H4" s="326">
        <f>2500*78</f>
        <v>195000</v>
      </c>
    </row>
    <row r="5" spans="5:9" x14ac:dyDescent="0.55000000000000004">
      <c r="E5" s="324" t="s">
        <v>352</v>
      </c>
      <c r="F5" s="325" t="s">
        <v>353</v>
      </c>
      <c r="G5" s="325" t="s">
        <v>354</v>
      </c>
      <c r="H5" s="326">
        <f>12000*8</f>
        <v>96000</v>
      </c>
    </row>
    <row r="6" spans="5:9" x14ac:dyDescent="0.55000000000000004">
      <c r="E6" s="324"/>
      <c r="F6" s="327" t="s">
        <v>355</v>
      </c>
      <c r="G6" s="327"/>
      <c r="H6" s="328">
        <f>SUM(H4:H5)</f>
        <v>291000</v>
      </c>
      <c r="I6" s="329"/>
    </row>
    <row r="7" spans="5:9" x14ac:dyDescent="0.55000000000000004">
      <c r="E7" s="324"/>
      <c r="F7" s="330"/>
      <c r="G7" s="330"/>
      <c r="H7" s="331"/>
      <c r="I7" s="329"/>
    </row>
    <row r="8" spans="5:9" x14ac:dyDescent="0.55000000000000004">
      <c r="E8" s="324" t="s">
        <v>356</v>
      </c>
      <c r="F8" s="330" t="s">
        <v>350</v>
      </c>
      <c r="G8" s="330" t="s">
        <v>357</v>
      </c>
      <c r="H8" s="331">
        <f>H4*25</f>
        <v>4875000</v>
      </c>
      <c r="I8" s="329"/>
    </row>
    <row r="9" spans="5:9" x14ac:dyDescent="0.55000000000000004">
      <c r="E9" s="324" t="s">
        <v>358</v>
      </c>
      <c r="F9" s="330" t="s">
        <v>353</v>
      </c>
      <c r="G9" s="330" t="s">
        <v>359</v>
      </c>
      <c r="H9" s="331">
        <f>H5*25</f>
        <v>2400000</v>
      </c>
      <c r="I9" s="329"/>
    </row>
    <row r="10" spans="5:9" x14ac:dyDescent="0.55000000000000004">
      <c r="E10" s="324"/>
      <c r="F10" s="327" t="s">
        <v>360</v>
      </c>
      <c r="G10" s="327"/>
      <c r="H10" s="328">
        <f>SUM(H8:H9)</f>
        <v>7275000</v>
      </c>
      <c r="I10" s="329"/>
    </row>
    <row r="11" spans="5:9" x14ac:dyDescent="0.55000000000000004">
      <c r="E11" s="324"/>
      <c r="F11" s="332"/>
      <c r="G11" s="330"/>
      <c r="H11" s="331"/>
      <c r="I11" s="329"/>
    </row>
    <row r="12" spans="5:9" x14ac:dyDescent="0.55000000000000004">
      <c r="E12" s="324" t="s">
        <v>361</v>
      </c>
      <c r="F12" s="330" t="s">
        <v>362</v>
      </c>
      <c r="G12" s="330" t="s">
        <v>363</v>
      </c>
      <c r="H12" s="331">
        <f>H8*12</f>
        <v>58500000</v>
      </c>
      <c r="I12" s="329"/>
    </row>
    <row r="13" spans="5:9" x14ac:dyDescent="0.55000000000000004">
      <c r="E13" s="324" t="s">
        <v>364</v>
      </c>
      <c r="F13" s="330" t="s">
        <v>365</v>
      </c>
      <c r="G13" s="330" t="s">
        <v>366</v>
      </c>
      <c r="H13" s="331">
        <f>H9*12</f>
        <v>28800000</v>
      </c>
      <c r="I13" s="329"/>
    </row>
    <row r="14" spans="5:9" x14ac:dyDescent="0.55000000000000004">
      <c r="E14" s="324"/>
      <c r="F14" s="327" t="s">
        <v>367</v>
      </c>
      <c r="G14" s="327"/>
      <c r="H14" s="328">
        <f>SUM(H12:H13)</f>
        <v>87300000</v>
      </c>
      <c r="I14" s="329"/>
    </row>
    <row r="15" spans="5:9" x14ac:dyDescent="0.55000000000000004">
      <c r="F15" s="329"/>
      <c r="G15" s="333"/>
      <c r="H15" s="334"/>
      <c r="I15" s="329"/>
    </row>
    <row r="16" spans="5:9" x14ac:dyDescent="0.55000000000000004">
      <c r="F16" s="329"/>
      <c r="G16" s="333"/>
      <c r="H16" s="334"/>
      <c r="I16" s="329"/>
    </row>
    <row r="17" spans="5:9" ht="15.6" x14ac:dyDescent="0.6">
      <c r="E17" s="335" t="s">
        <v>368</v>
      </c>
      <c r="F17" s="336">
        <f>F18/25</f>
        <v>67063.199999999997</v>
      </c>
      <c r="G17" s="333"/>
      <c r="H17" s="334"/>
      <c r="I17" s="329"/>
    </row>
    <row r="18" spans="5:9" ht="15.6" x14ac:dyDescent="0.6">
      <c r="E18" s="335" t="s">
        <v>369</v>
      </c>
      <c r="F18" s="337">
        <f>1106900+72250+212980+100450+184000</f>
        <v>1676580</v>
      </c>
      <c r="G18" s="333"/>
      <c r="H18" s="334"/>
      <c r="I18" s="329"/>
    </row>
    <row r="19" spans="5:9" ht="15.6" x14ac:dyDescent="0.6">
      <c r="E19" s="335" t="s">
        <v>370</v>
      </c>
      <c r="F19" s="336">
        <f>F18*12</f>
        <v>20118960</v>
      </c>
      <c r="G19" s="333"/>
      <c r="H19" s="334"/>
      <c r="I19" s="329"/>
    </row>
    <row r="20" spans="5:9" x14ac:dyDescent="0.55000000000000004">
      <c r="F20" s="329"/>
      <c r="G20" s="333"/>
      <c r="H20" s="334"/>
      <c r="I20" s="329"/>
    </row>
    <row r="21" spans="5:9" x14ac:dyDescent="0.55000000000000004">
      <c r="F21" s="329"/>
      <c r="G21" s="333"/>
      <c r="H21" s="334"/>
      <c r="I21" s="329"/>
    </row>
    <row r="22" spans="5:9" ht="15.6" x14ac:dyDescent="0.6">
      <c r="E22" s="335" t="s">
        <v>371</v>
      </c>
      <c r="F22" s="336">
        <f>F23/25</f>
        <v>223936.8</v>
      </c>
      <c r="G22" s="333"/>
      <c r="H22" s="334"/>
      <c r="I22" s="329"/>
    </row>
    <row r="23" spans="5:9" ht="15.6" x14ac:dyDescent="0.6">
      <c r="E23" s="335" t="s">
        <v>372</v>
      </c>
      <c r="F23" s="336">
        <f>H10-F18</f>
        <v>5598420</v>
      </c>
      <c r="G23" s="338"/>
      <c r="H23" s="334"/>
      <c r="I23" s="329"/>
    </row>
    <row r="24" spans="5:9" ht="15.6" x14ac:dyDescent="0.6">
      <c r="E24" s="335" t="s">
        <v>373</v>
      </c>
      <c r="F24" s="336">
        <f>H14-F19</f>
        <v>67181040</v>
      </c>
      <c r="G24" s="333"/>
      <c r="H24" s="334"/>
      <c r="I24" s="329"/>
    </row>
    <row r="25" spans="5:9" x14ac:dyDescent="0.55000000000000004">
      <c r="E25" s="339" t="s">
        <v>374</v>
      </c>
      <c r="F25" s="339"/>
    </row>
    <row r="26" spans="5:9" x14ac:dyDescent="0.55000000000000004">
      <c r="E26" s="342"/>
      <c r="F26" s="342"/>
    </row>
    <row r="29" spans="5:9" x14ac:dyDescent="0.55000000000000004">
      <c r="E29" t="s">
        <v>375</v>
      </c>
      <c r="F29" s="341">
        <v>67910000</v>
      </c>
    </row>
    <row r="30" spans="5:9" x14ac:dyDescent="0.55000000000000004">
      <c r="E30" t="s">
        <v>376</v>
      </c>
      <c r="F30" s="341">
        <v>300000</v>
      </c>
      <c r="G30" s="340" t="s">
        <v>377</v>
      </c>
    </row>
    <row r="31" spans="5:9" x14ac:dyDescent="0.55000000000000004">
      <c r="E31" t="s">
        <v>378</v>
      </c>
      <c r="F31" s="341">
        <v>300000</v>
      </c>
    </row>
  </sheetData>
  <mergeCells count="4">
    <mergeCell ref="F6:G6"/>
    <mergeCell ref="F10:G10"/>
    <mergeCell ref="F14:G14"/>
    <mergeCell ref="E25:F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53"/>
  <sheetViews>
    <sheetView topLeftCell="A30" workbookViewId="0">
      <selection activeCell="E17" sqref="E17"/>
    </sheetView>
  </sheetViews>
  <sheetFormatPr defaultRowHeight="14.4" x14ac:dyDescent="0.55000000000000004"/>
  <cols>
    <col min="4" max="4" width="27.26171875" customWidth="1"/>
    <col min="5" max="5" width="25.15625" customWidth="1"/>
    <col min="6" max="6" width="13.26171875" bestFit="1" customWidth="1"/>
    <col min="7" max="7" width="16.41796875" bestFit="1" customWidth="1"/>
    <col min="8" max="8" width="11.578125" bestFit="1" customWidth="1"/>
    <col min="9" max="9" width="13.26171875" bestFit="1" customWidth="1"/>
  </cols>
  <sheetData>
    <row r="3" spans="3:5" ht="20.399999999999999" x14ac:dyDescent="0.75">
      <c r="C3" s="343" t="s">
        <v>379</v>
      </c>
      <c r="D3" s="343" t="s">
        <v>380</v>
      </c>
      <c r="E3" s="344" t="s">
        <v>381</v>
      </c>
    </row>
    <row r="4" spans="3:5" x14ac:dyDescent="0.55000000000000004">
      <c r="C4" s="345">
        <v>1</v>
      </c>
      <c r="D4" s="330" t="s">
        <v>382</v>
      </c>
      <c r="E4" s="346">
        <v>5400000</v>
      </c>
    </row>
    <row r="5" spans="3:5" x14ac:dyDescent="0.55000000000000004">
      <c r="C5" s="345">
        <v>2</v>
      </c>
      <c r="D5" s="325" t="s">
        <v>383</v>
      </c>
      <c r="E5" s="346">
        <v>800000</v>
      </c>
    </row>
    <row r="6" spans="3:5" x14ac:dyDescent="0.55000000000000004">
      <c r="C6" s="345">
        <v>3</v>
      </c>
      <c r="D6" s="325" t="s">
        <v>384</v>
      </c>
      <c r="E6" s="346">
        <v>1233000</v>
      </c>
    </row>
    <row r="7" spans="3:5" x14ac:dyDescent="0.55000000000000004">
      <c r="C7" s="345">
        <v>4</v>
      </c>
      <c r="D7" s="347" t="s">
        <v>385</v>
      </c>
      <c r="E7" s="348">
        <v>150000</v>
      </c>
    </row>
    <row r="8" spans="3:5" x14ac:dyDescent="0.55000000000000004">
      <c r="C8" s="345">
        <v>5</v>
      </c>
      <c r="D8" s="325" t="s">
        <v>386</v>
      </c>
      <c r="E8" s="346">
        <v>500000</v>
      </c>
    </row>
    <row r="9" spans="3:5" x14ac:dyDescent="0.55000000000000004">
      <c r="C9" s="345">
        <v>6</v>
      </c>
      <c r="D9" s="325" t="s">
        <v>387</v>
      </c>
      <c r="E9" s="346">
        <v>500000</v>
      </c>
    </row>
    <row r="10" spans="3:5" x14ac:dyDescent="0.55000000000000004">
      <c r="C10" s="345">
        <v>7</v>
      </c>
      <c r="D10" s="325" t="s">
        <v>388</v>
      </c>
      <c r="E10" s="346">
        <v>600000</v>
      </c>
    </row>
    <row r="11" spans="3:5" x14ac:dyDescent="0.55000000000000004">
      <c r="C11" s="345">
        <v>8</v>
      </c>
      <c r="D11" s="325" t="s">
        <v>389</v>
      </c>
      <c r="E11" s="346">
        <v>500000</v>
      </c>
    </row>
    <row r="12" spans="3:5" x14ac:dyDescent="0.55000000000000004">
      <c r="C12" s="345">
        <v>9</v>
      </c>
      <c r="D12" s="325" t="s">
        <v>390</v>
      </c>
      <c r="E12" s="346">
        <v>500000</v>
      </c>
    </row>
    <row r="13" spans="3:5" x14ac:dyDescent="0.55000000000000004">
      <c r="C13" s="345">
        <v>10</v>
      </c>
      <c r="D13" s="325" t="s">
        <v>391</v>
      </c>
      <c r="E13" s="346">
        <v>700000</v>
      </c>
    </row>
    <row r="14" spans="3:5" x14ac:dyDescent="0.55000000000000004">
      <c r="C14" s="345">
        <v>11</v>
      </c>
      <c r="D14" s="325" t="s">
        <v>392</v>
      </c>
      <c r="E14" s="346">
        <v>360000</v>
      </c>
    </row>
    <row r="15" spans="3:5" x14ac:dyDescent="0.55000000000000004">
      <c r="C15" s="345">
        <v>12</v>
      </c>
      <c r="D15" s="325" t="s">
        <v>393</v>
      </c>
      <c r="E15" s="346">
        <v>2000000</v>
      </c>
    </row>
    <row r="16" spans="3:5" x14ac:dyDescent="0.55000000000000004">
      <c r="C16" s="345">
        <v>13</v>
      </c>
      <c r="D16" s="325" t="s">
        <v>394</v>
      </c>
      <c r="E16" s="346">
        <v>12000000</v>
      </c>
    </row>
    <row r="17" spans="3:5" x14ac:dyDescent="0.55000000000000004">
      <c r="C17" s="345">
        <v>14</v>
      </c>
      <c r="D17" s="325" t="s">
        <v>395</v>
      </c>
      <c r="E17" s="346">
        <v>11601443</v>
      </c>
    </row>
    <row r="18" spans="3:5" x14ac:dyDescent="0.55000000000000004">
      <c r="C18" s="345">
        <v>15</v>
      </c>
      <c r="D18" s="325" t="s">
        <v>396</v>
      </c>
      <c r="E18" s="346">
        <v>500000</v>
      </c>
    </row>
    <row r="19" spans="3:5" x14ac:dyDescent="0.55000000000000004">
      <c r="C19" s="345">
        <v>16</v>
      </c>
      <c r="D19" s="325" t="s">
        <v>397</v>
      </c>
      <c r="E19" s="346">
        <v>360000</v>
      </c>
    </row>
    <row r="20" spans="3:5" x14ac:dyDescent="0.55000000000000004">
      <c r="C20" s="345">
        <v>17</v>
      </c>
      <c r="D20" s="325" t="s">
        <v>398</v>
      </c>
      <c r="E20" s="346">
        <v>200000</v>
      </c>
    </row>
    <row r="21" spans="3:5" x14ac:dyDescent="0.55000000000000004">
      <c r="C21" s="345">
        <v>18</v>
      </c>
      <c r="D21" s="325" t="s">
        <v>399</v>
      </c>
      <c r="E21" s="346">
        <v>750000</v>
      </c>
    </row>
    <row r="22" spans="3:5" x14ac:dyDescent="0.55000000000000004">
      <c r="C22" s="345">
        <v>19</v>
      </c>
      <c r="D22" s="325" t="s">
        <v>400</v>
      </c>
      <c r="E22" s="346">
        <v>200000</v>
      </c>
    </row>
    <row r="23" spans="3:5" x14ac:dyDescent="0.55000000000000004">
      <c r="C23" s="345">
        <v>20</v>
      </c>
      <c r="D23" s="325" t="s">
        <v>401</v>
      </c>
      <c r="E23" s="346">
        <v>175000</v>
      </c>
    </row>
    <row r="24" spans="3:5" x14ac:dyDescent="0.55000000000000004">
      <c r="C24" s="345">
        <v>21</v>
      </c>
      <c r="D24" s="325" t="s">
        <v>402</v>
      </c>
      <c r="E24" s="346">
        <v>645000</v>
      </c>
    </row>
    <row r="25" spans="3:5" x14ac:dyDescent="0.55000000000000004">
      <c r="C25" s="345">
        <v>22</v>
      </c>
      <c r="D25" s="325" t="s">
        <v>403</v>
      </c>
      <c r="E25" s="346">
        <v>3600000</v>
      </c>
    </row>
    <row r="26" spans="3:5" x14ac:dyDescent="0.55000000000000004">
      <c r="C26" s="345">
        <v>23</v>
      </c>
      <c r="D26" s="349" t="s">
        <v>404</v>
      </c>
      <c r="E26" s="350">
        <v>3200000</v>
      </c>
    </row>
    <row r="27" spans="3:5" x14ac:dyDescent="0.55000000000000004">
      <c r="C27" s="345">
        <v>24</v>
      </c>
      <c r="D27" s="325" t="s">
        <v>405</v>
      </c>
      <c r="E27" s="346">
        <v>700000</v>
      </c>
    </row>
    <row r="28" spans="3:5" x14ac:dyDescent="0.55000000000000004">
      <c r="C28" s="345">
        <v>25</v>
      </c>
      <c r="D28" s="325" t="s">
        <v>406</v>
      </c>
      <c r="E28" s="346">
        <v>800000</v>
      </c>
    </row>
    <row r="29" spans="3:5" x14ac:dyDescent="0.55000000000000004">
      <c r="C29" s="345">
        <v>26</v>
      </c>
      <c r="D29" s="325" t="s">
        <v>407</v>
      </c>
      <c r="E29" s="346">
        <v>500000</v>
      </c>
    </row>
    <row r="30" spans="3:5" x14ac:dyDescent="0.55000000000000004">
      <c r="C30" s="345">
        <v>27</v>
      </c>
      <c r="D30" s="325" t="s">
        <v>389</v>
      </c>
      <c r="E30" s="346">
        <v>1000000</v>
      </c>
    </row>
    <row r="31" spans="3:5" x14ac:dyDescent="0.55000000000000004">
      <c r="C31" s="345">
        <v>28</v>
      </c>
      <c r="D31" s="325" t="s">
        <v>390</v>
      </c>
      <c r="E31" s="326">
        <v>1000000</v>
      </c>
    </row>
    <row r="32" spans="3:5" x14ac:dyDescent="0.55000000000000004">
      <c r="C32" s="345">
        <v>29</v>
      </c>
      <c r="D32" s="325" t="s">
        <v>408</v>
      </c>
      <c r="E32" s="326">
        <v>1200000</v>
      </c>
    </row>
    <row r="33" spans="3:11" x14ac:dyDescent="0.55000000000000004">
      <c r="C33" s="345">
        <v>30</v>
      </c>
      <c r="D33" s="325" t="s">
        <v>409</v>
      </c>
      <c r="E33" s="346">
        <v>120000</v>
      </c>
    </row>
    <row r="34" spans="3:11" x14ac:dyDescent="0.55000000000000004">
      <c r="C34" s="345">
        <v>31</v>
      </c>
      <c r="D34" s="325" t="s">
        <v>410</v>
      </c>
      <c r="E34" s="346">
        <v>7400000</v>
      </c>
    </row>
    <row r="35" spans="3:11" x14ac:dyDescent="0.55000000000000004">
      <c r="C35" s="345">
        <v>32</v>
      </c>
      <c r="D35" s="325" t="s">
        <v>411</v>
      </c>
      <c r="E35" s="346">
        <v>3600000</v>
      </c>
    </row>
    <row r="36" spans="3:11" x14ac:dyDescent="0.55000000000000004">
      <c r="C36" s="345">
        <v>33</v>
      </c>
      <c r="D36" s="325" t="s">
        <v>390</v>
      </c>
      <c r="E36" s="346">
        <v>1000000</v>
      </c>
    </row>
    <row r="37" spans="3:11" x14ac:dyDescent="0.55000000000000004">
      <c r="C37" s="345">
        <v>34</v>
      </c>
      <c r="D37" s="325" t="s">
        <v>412</v>
      </c>
      <c r="E37" s="346">
        <v>550000</v>
      </c>
    </row>
    <row r="38" spans="3:11" x14ac:dyDescent="0.55000000000000004">
      <c r="C38" s="345">
        <v>35</v>
      </c>
      <c r="D38" s="325" t="s">
        <v>413</v>
      </c>
      <c r="E38" s="346">
        <v>200000</v>
      </c>
    </row>
    <row r="39" spans="3:11" x14ac:dyDescent="0.55000000000000004">
      <c r="C39" s="345">
        <v>36</v>
      </c>
      <c r="D39" s="325" t="s">
        <v>414</v>
      </c>
      <c r="E39" s="346">
        <v>300000</v>
      </c>
    </row>
    <row r="40" spans="3:11" x14ac:dyDescent="0.55000000000000004">
      <c r="C40" s="345">
        <v>37</v>
      </c>
      <c r="D40" s="325" t="s">
        <v>415</v>
      </c>
      <c r="E40" s="346">
        <v>2800000</v>
      </c>
    </row>
    <row r="41" spans="3:11" x14ac:dyDescent="0.55000000000000004">
      <c r="C41" s="345">
        <v>38</v>
      </c>
      <c r="D41" s="325" t="s">
        <v>416</v>
      </c>
      <c r="E41" s="346">
        <v>300000</v>
      </c>
    </row>
    <row r="42" spans="3:11" ht="14.7" thickBot="1" x14ac:dyDescent="0.6">
      <c r="C42" s="351">
        <v>39</v>
      </c>
      <c r="D42" s="352" t="s">
        <v>389</v>
      </c>
      <c r="E42" s="353">
        <v>300000</v>
      </c>
    </row>
    <row r="43" spans="3:11" ht="18.600000000000001" thickBot="1" x14ac:dyDescent="0.75">
      <c r="C43" s="354"/>
      <c r="D43" s="355"/>
      <c r="E43" s="356">
        <f>SUM(E4:E42)</f>
        <v>68244443</v>
      </c>
    </row>
    <row r="45" spans="3:11" x14ac:dyDescent="0.55000000000000004">
      <c r="D45" s="315" t="s">
        <v>417</v>
      </c>
    </row>
    <row r="46" spans="3:11" x14ac:dyDescent="0.55000000000000004">
      <c r="D46" s="315" t="s">
        <v>418</v>
      </c>
    </row>
    <row r="47" spans="3:11" x14ac:dyDescent="0.55000000000000004">
      <c r="D47" s="357" t="s">
        <v>38</v>
      </c>
      <c r="E47" s="358" t="s">
        <v>425</v>
      </c>
      <c r="F47" s="358" t="s">
        <v>426</v>
      </c>
      <c r="G47" s="358" t="s">
        <v>427</v>
      </c>
      <c r="H47" s="358" t="s">
        <v>390</v>
      </c>
      <c r="I47" s="358" t="s">
        <v>52</v>
      </c>
      <c r="J47" s="318"/>
      <c r="K47" s="318"/>
    </row>
    <row r="48" spans="3:11" x14ac:dyDescent="0.55000000000000004">
      <c r="D48" s="357" t="s">
        <v>419</v>
      </c>
      <c r="E48" s="359">
        <v>7675000</v>
      </c>
      <c r="F48" s="359">
        <v>1604000</v>
      </c>
      <c r="G48" s="359">
        <v>954000</v>
      </c>
      <c r="H48" s="359">
        <v>650000</v>
      </c>
      <c r="I48" s="360">
        <f>SUM(E48:H48)</f>
        <v>10883000</v>
      </c>
    </row>
    <row r="49" spans="4:9" x14ac:dyDescent="0.55000000000000004">
      <c r="D49" s="357" t="s">
        <v>420</v>
      </c>
      <c r="E49" s="359">
        <v>6650000</v>
      </c>
      <c r="F49" s="359">
        <v>15220000</v>
      </c>
      <c r="G49" s="359">
        <v>6000000</v>
      </c>
      <c r="H49" s="359">
        <v>100000</v>
      </c>
      <c r="I49" s="360">
        <f t="shared" ref="I49:I52" si="0">SUM(E49:H49)</f>
        <v>27970000</v>
      </c>
    </row>
    <row r="50" spans="4:9" x14ac:dyDescent="0.55000000000000004">
      <c r="D50" s="357" t="s">
        <v>421</v>
      </c>
      <c r="E50" s="359">
        <v>3750000</v>
      </c>
      <c r="F50" s="359">
        <v>1000000</v>
      </c>
      <c r="G50" s="359">
        <v>6175000</v>
      </c>
      <c r="H50" s="359">
        <v>1895000</v>
      </c>
      <c r="I50" s="360">
        <f t="shared" si="0"/>
        <v>12820000</v>
      </c>
    </row>
    <row r="51" spans="4:9" x14ac:dyDescent="0.55000000000000004">
      <c r="D51" s="357" t="s">
        <v>422</v>
      </c>
      <c r="E51" s="359">
        <v>10160000</v>
      </c>
      <c r="F51" s="359">
        <v>0</v>
      </c>
      <c r="G51" s="359">
        <v>960000</v>
      </c>
      <c r="H51" s="359">
        <v>1000000</v>
      </c>
      <c r="I51" s="360">
        <f t="shared" si="0"/>
        <v>12120000</v>
      </c>
    </row>
    <row r="52" spans="4:9" x14ac:dyDescent="0.55000000000000004">
      <c r="D52" s="357" t="s">
        <v>423</v>
      </c>
      <c r="E52" s="359">
        <v>2863000</v>
      </c>
      <c r="F52" s="359">
        <v>1100000</v>
      </c>
      <c r="G52" s="359">
        <v>0</v>
      </c>
      <c r="H52" s="359">
        <v>487000</v>
      </c>
      <c r="I52" s="360">
        <f t="shared" si="0"/>
        <v>4450000</v>
      </c>
    </row>
    <row r="53" spans="4:9" x14ac:dyDescent="0.55000000000000004">
      <c r="D53" s="357" t="s">
        <v>424</v>
      </c>
      <c r="E53" s="360">
        <f>SUM(E48:E52)</f>
        <v>31098000</v>
      </c>
      <c r="F53" s="360">
        <f t="shared" ref="F53:I53" si="1">SUM(F48:F52)</f>
        <v>18924000</v>
      </c>
      <c r="G53" s="360">
        <f t="shared" si="1"/>
        <v>14089000</v>
      </c>
      <c r="H53" s="360">
        <f t="shared" si="1"/>
        <v>4132000</v>
      </c>
      <c r="I53" s="360">
        <f t="shared" si="1"/>
        <v>68243000</v>
      </c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4:J37"/>
  <sheetViews>
    <sheetView showGridLines="0" tabSelected="1" view="pageBreakPreview" topLeftCell="A17" zoomScaleNormal="100" zoomScaleSheetLayoutView="100" workbookViewId="0">
      <selection activeCell="B13" sqref="B13:H13"/>
    </sheetView>
  </sheetViews>
  <sheetFormatPr defaultColWidth="8.83984375" defaultRowHeight="15.3" x14ac:dyDescent="0.55000000000000004"/>
  <cols>
    <col min="1" max="1" width="3.83984375" style="14" customWidth="1"/>
    <col min="2" max="2" width="4.41796875" style="14" customWidth="1"/>
    <col min="3" max="3" width="44.15625" style="14" customWidth="1"/>
    <col min="4" max="4" width="1.26171875" style="14" customWidth="1"/>
    <col min="5" max="5" width="20.41796875" style="14" bestFit="1" customWidth="1"/>
    <col min="6" max="6" width="10.83984375" style="14" bestFit="1" customWidth="1"/>
    <col min="7" max="10" width="8.83984375" style="14"/>
    <col min="11" max="11" width="5" style="14" customWidth="1"/>
    <col min="12" max="16384" width="8.83984375" style="14"/>
  </cols>
  <sheetData>
    <row r="4" spans="2:10" x14ac:dyDescent="0.55000000000000004">
      <c r="B4" s="11" t="s">
        <v>5</v>
      </c>
      <c r="C4" s="12"/>
      <c r="D4" s="12"/>
      <c r="E4" s="12"/>
      <c r="F4" s="12"/>
      <c r="G4" s="12"/>
      <c r="H4" s="12"/>
      <c r="I4" s="12"/>
      <c r="J4" s="13"/>
    </row>
    <row r="5" spans="2:10" s="16" customFormat="1" ht="15" x14ac:dyDescent="0.5">
      <c r="B5" s="15"/>
      <c r="J5" s="17"/>
    </row>
    <row r="6" spans="2:10" x14ac:dyDescent="0.55000000000000004">
      <c r="B6" s="18">
        <v>1</v>
      </c>
      <c r="C6" s="14" t="s">
        <v>6</v>
      </c>
      <c r="D6" s="14" t="s">
        <v>7</v>
      </c>
      <c r="E6" s="14" t="str">
        <f>+'BS PL CF'!C6</f>
        <v>BLUELEO ENERGY PRIVATE LIMITED</v>
      </c>
      <c r="J6" s="19"/>
    </row>
    <row r="7" spans="2:10" x14ac:dyDescent="0.55000000000000004">
      <c r="B7" s="18"/>
      <c r="J7" s="19"/>
    </row>
    <row r="8" spans="2:10" x14ac:dyDescent="0.55000000000000004">
      <c r="B8" s="18">
        <v>2</v>
      </c>
      <c r="C8" s="14" t="s">
        <v>8</v>
      </c>
      <c r="D8" s="14" t="s">
        <v>7</v>
      </c>
      <c r="E8" s="14" t="s">
        <v>9</v>
      </c>
      <c r="J8" s="19"/>
    </row>
    <row r="9" spans="2:10" x14ac:dyDescent="0.55000000000000004">
      <c r="B9" s="18"/>
      <c r="E9" s="14" t="s">
        <v>10</v>
      </c>
      <c r="J9" s="19"/>
    </row>
    <row r="10" spans="2:10" x14ac:dyDescent="0.55000000000000004">
      <c r="B10" s="18"/>
      <c r="E10" s="14" t="s">
        <v>11</v>
      </c>
      <c r="J10" s="19"/>
    </row>
    <row r="11" spans="2:10" x14ac:dyDescent="0.55000000000000004">
      <c r="B11" s="18"/>
      <c r="J11" s="19"/>
    </row>
    <row r="12" spans="2:10" x14ac:dyDescent="0.55000000000000004">
      <c r="B12" s="18">
        <v>3</v>
      </c>
      <c r="C12" s="14" t="s">
        <v>12</v>
      </c>
      <c r="D12" s="14" t="s">
        <v>7</v>
      </c>
      <c r="E12" s="14" t="s">
        <v>13</v>
      </c>
      <c r="J12" s="19"/>
    </row>
    <row r="13" spans="2:10" x14ac:dyDescent="0.55000000000000004">
      <c r="B13" s="18"/>
      <c r="J13" s="19"/>
    </row>
    <row r="14" spans="2:10" x14ac:dyDescent="0.55000000000000004">
      <c r="B14" s="18">
        <v>4</v>
      </c>
      <c r="C14" s="14" t="s">
        <v>14</v>
      </c>
      <c r="D14" s="14" t="s">
        <v>7</v>
      </c>
      <c r="E14" s="14" t="s">
        <v>15</v>
      </c>
      <c r="J14" s="19"/>
    </row>
    <row r="15" spans="2:10" x14ac:dyDescent="0.55000000000000004">
      <c r="B15" s="18"/>
      <c r="E15" s="14" t="s">
        <v>16</v>
      </c>
      <c r="J15" s="19"/>
    </row>
    <row r="16" spans="2:10" x14ac:dyDescent="0.55000000000000004">
      <c r="B16" s="18"/>
      <c r="E16" s="14" t="s">
        <v>17</v>
      </c>
      <c r="J16" s="19"/>
    </row>
    <row r="17" spans="2:10" x14ac:dyDescent="0.55000000000000004">
      <c r="B17" s="18"/>
      <c r="E17" s="14" t="s">
        <v>18</v>
      </c>
      <c r="J17" s="19"/>
    </row>
    <row r="18" spans="2:10" x14ac:dyDescent="0.55000000000000004">
      <c r="B18" s="18"/>
      <c r="J18" s="19"/>
    </row>
    <row r="19" spans="2:10" x14ac:dyDescent="0.55000000000000004">
      <c r="B19" s="18">
        <v>5</v>
      </c>
      <c r="C19" s="14" t="s">
        <v>19</v>
      </c>
      <c r="E19" s="20">
        <v>2.5</v>
      </c>
      <c r="F19" s="14" t="s">
        <v>20</v>
      </c>
      <c r="G19" s="21" t="s">
        <v>21</v>
      </c>
      <c r="J19" s="19"/>
    </row>
    <row r="20" spans="2:10" x14ac:dyDescent="0.55000000000000004">
      <c r="B20" s="18"/>
      <c r="J20" s="19"/>
    </row>
    <row r="21" spans="2:10" x14ac:dyDescent="0.55000000000000004">
      <c r="B21" s="18">
        <v>6</v>
      </c>
      <c r="C21" s="14" t="s">
        <v>22</v>
      </c>
      <c r="D21" s="14" t="s">
        <v>7</v>
      </c>
      <c r="E21" s="22">
        <v>2.5</v>
      </c>
      <c r="F21" s="14" t="s">
        <v>20</v>
      </c>
      <c r="G21" s="21" t="s">
        <v>21</v>
      </c>
      <c r="J21" s="19"/>
    </row>
    <row r="22" spans="2:10" x14ac:dyDescent="0.55000000000000004">
      <c r="B22" s="18"/>
      <c r="J22" s="19"/>
    </row>
    <row r="23" spans="2:10" x14ac:dyDescent="0.55000000000000004">
      <c r="B23" s="18">
        <v>7</v>
      </c>
      <c r="C23" s="14" t="s">
        <v>23</v>
      </c>
      <c r="E23" s="23">
        <f>+'Cap Assumptions'!E9</f>
        <v>71243000</v>
      </c>
      <c r="J23" s="19"/>
    </row>
    <row r="24" spans="2:10" x14ac:dyDescent="0.55000000000000004">
      <c r="B24" s="18"/>
      <c r="J24" s="19"/>
    </row>
    <row r="25" spans="2:10" x14ac:dyDescent="0.55000000000000004">
      <c r="B25" s="18">
        <v>8</v>
      </c>
      <c r="C25" s="14" t="s">
        <v>24</v>
      </c>
      <c r="D25" s="14" t="s">
        <v>7</v>
      </c>
      <c r="E25" s="24" t="s">
        <v>25</v>
      </c>
      <c r="F25" s="24" t="s">
        <v>26</v>
      </c>
      <c r="J25" s="19"/>
    </row>
    <row r="26" spans="2:10" x14ac:dyDescent="0.55000000000000004">
      <c r="B26" s="18"/>
      <c r="C26" s="14" t="s">
        <v>27</v>
      </c>
      <c r="E26" s="23">
        <f>+'Cap Assumptions'!F9</f>
        <v>21372900</v>
      </c>
      <c r="F26" s="25">
        <v>0.3</v>
      </c>
      <c r="J26" s="19"/>
    </row>
    <row r="27" spans="2:10" x14ac:dyDescent="0.55000000000000004">
      <c r="B27" s="18"/>
      <c r="C27" s="14" t="s">
        <v>28</v>
      </c>
      <c r="E27" s="23">
        <f>+'Cap Assumptions'!H9</f>
        <v>49870100</v>
      </c>
      <c r="F27" s="25">
        <v>0.7</v>
      </c>
      <c r="G27" s="26"/>
      <c r="J27" s="19"/>
    </row>
    <row r="28" spans="2:10" x14ac:dyDescent="0.55000000000000004">
      <c r="B28" s="18"/>
      <c r="E28" s="27">
        <f>SUM(E26:E27)</f>
        <v>71243000</v>
      </c>
      <c r="J28" s="19"/>
    </row>
    <row r="29" spans="2:10" x14ac:dyDescent="0.55000000000000004">
      <c r="B29" s="18"/>
      <c r="E29" s="27"/>
      <c r="J29" s="19"/>
    </row>
    <row r="30" spans="2:10" x14ac:dyDescent="0.55000000000000004">
      <c r="B30" s="18">
        <v>9</v>
      </c>
      <c r="C30" s="14" t="s">
        <v>29</v>
      </c>
      <c r="D30" s="14" t="s">
        <v>7</v>
      </c>
      <c r="E30" s="23" t="s">
        <v>30</v>
      </c>
      <c r="J30" s="19"/>
    </row>
    <row r="31" spans="2:10" x14ac:dyDescent="0.55000000000000004">
      <c r="B31" s="18"/>
      <c r="J31" s="19"/>
    </row>
    <row r="32" spans="2:10" x14ac:dyDescent="0.55000000000000004">
      <c r="B32" s="18">
        <v>10</v>
      </c>
      <c r="C32" s="14" t="s">
        <v>31</v>
      </c>
      <c r="D32" s="14" t="s">
        <v>7</v>
      </c>
      <c r="E32" s="14" t="s">
        <v>32</v>
      </c>
      <c r="J32" s="19"/>
    </row>
    <row r="33" spans="2:10" x14ac:dyDescent="0.55000000000000004">
      <c r="B33" s="18"/>
      <c r="J33" s="19"/>
    </row>
    <row r="34" spans="2:10" x14ac:dyDescent="0.55000000000000004">
      <c r="B34" s="18">
        <v>14</v>
      </c>
      <c r="C34" s="14" t="s">
        <v>33</v>
      </c>
      <c r="D34" s="14" t="s">
        <v>7</v>
      </c>
      <c r="E34" s="14" t="s">
        <v>34</v>
      </c>
      <c r="J34" s="19"/>
    </row>
    <row r="35" spans="2:10" x14ac:dyDescent="0.55000000000000004">
      <c r="B35" s="18"/>
      <c r="J35" s="19"/>
    </row>
    <row r="36" spans="2:10" x14ac:dyDescent="0.55000000000000004">
      <c r="B36" s="18"/>
      <c r="C36" s="14" t="s">
        <v>35</v>
      </c>
      <c r="J36" s="19"/>
    </row>
    <row r="37" spans="2:10" x14ac:dyDescent="0.55000000000000004">
      <c r="B37" s="28"/>
      <c r="C37" s="29"/>
      <c r="D37" s="29"/>
      <c r="E37" s="29"/>
      <c r="F37" s="29"/>
      <c r="G37" s="29"/>
      <c r="H37" s="29"/>
      <c r="I37" s="29"/>
      <c r="J37" s="30"/>
    </row>
  </sheetData>
  <mergeCells count="1">
    <mergeCell ref="B4:J4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C2:K22"/>
  <sheetViews>
    <sheetView showGridLines="0" view="pageBreakPreview" zoomScale="90" zoomScaleNormal="100" zoomScaleSheetLayoutView="90" workbookViewId="0">
      <selection activeCell="B13" sqref="B13:I13"/>
    </sheetView>
  </sheetViews>
  <sheetFormatPr defaultRowHeight="14.1" x14ac:dyDescent="0.5"/>
  <cols>
    <col min="1" max="2" width="8.83984375" style="31"/>
    <col min="3" max="3" width="2.15625" style="31" customWidth="1"/>
    <col min="4" max="4" width="33.578125" style="31" bestFit="1" customWidth="1"/>
    <col min="5" max="5" width="17" style="31" customWidth="1"/>
    <col min="6" max="6" width="15.15625" style="31" customWidth="1"/>
    <col min="7" max="7" width="16.26171875" style="31" customWidth="1"/>
    <col min="8" max="8" width="14.26171875" style="31" bestFit="1" customWidth="1"/>
    <col min="9" max="9" width="14" style="31" customWidth="1"/>
    <col min="10" max="10" width="2.83984375" style="31" customWidth="1"/>
    <col min="11" max="249" width="8.83984375" style="31"/>
    <col min="250" max="250" width="4.15625" style="31" customWidth="1"/>
    <col min="251" max="251" width="35.578125" style="31" customWidth="1"/>
    <col min="252" max="252" width="23.68359375" style="31" customWidth="1"/>
    <col min="253" max="253" width="14.68359375" style="31" customWidth="1"/>
    <col min="254" max="254" width="10.26171875" style="31" customWidth="1"/>
    <col min="255" max="255" width="15.41796875" style="31" customWidth="1"/>
    <col min="256" max="256" width="14.68359375" style="31" customWidth="1"/>
    <col min="257" max="257" width="13.26171875" style="31" customWidth="1"/>
    <col min="258" max="505" width="8.83984375" style="31"/>
    <col min="506" max="506" width="4.15625" style="31" customWidth="1"/>
    <col min="507" max="507" width="35.578125" style="31" customWidth="1"/>
    <col min="508" max="508" width="23.68359375" style="31" customWidth="1"/>
    <col min="509" max="509" width="14.68359375" style="31" customWidth="1"/>
    <col min="510" max="510" width="10.26171875" style="31" customWidth="1"/>
    <col min="511" max="511" width="15.41796875" style="31" customWidth="1"/>
    <col min="512" max="512" width="14.68359375" style="31" customWidth="1"/>
    <col min="513" max="513" width="13.26171875" style="31" customWidth="1"/>
    <col min="514" max="761" width="8.83984375" style="31"/>
    <col min="762" max="762" width="4.15625" style="31" customWidth="1"/>
    <col min="763" max="763" width="35.578125" style="31" customWidth="1"/>
    <col min="764" max="764" width="23.68359375" style="31" customWidth="1"/>
    <col min="765" max="765" width="14.68359375" style="31" customWidth="1"/>
    <col min="766" max="766" width="10.26171875" style="31" customWidth="1"/>
    <col min="767" max="767" width="15.41796875" style="31" customWidth="1"/>
    <col min="768" max="768" width="14.68359375" style="31" customWidth="1"/>
    <col min="769" max="769" width="13.26171875" style="31" customWidth="1"/>
    <col min="770" max="1017" width="8.83984375" style="31"/>
    <col min="1018" max="1018" width="4.15625" style="31" customWidth="1"/>
    <col min="1019" max="1019" width="35.578125" style="31" customWidth="1"/>
    <col min="1020" max="1020" width="23.68359375" style="31" customWidth="1"/>
    <col min="1021" max="1021" width="14.68359375" style="31" customWidth="1"/>
    <col min="1022" max="1022" width="10.26171875" style="31" customWidth="1"/>
    <col min="1023" max="1023" width="15.41796875" style="31" customWidth="1"/>
    <col min="1024" max="1024" width="14.68359375" style="31" customWidth="1"/>
    <col min="1025" max="1025" width="13.26171875" style="31" customWidth="1"/>
    <col min="1026" max="1273" width="8.83984375" style="31"/>
    <col min="1274" max="1274" width="4.15625" style="31" customWidth="1"/>
    <col min="1275" max="1275" width="35.578125" style="31" customWidth="1"/>
    <col min="1276" max="1276" width="23.68359375" style="31" customWidth="1"/>
    <col min="1277" max="1277" width="14.68359375" style="31" customWidth="1"/>
    <col min="1278" max="1278" width="10.26171875" style="31" customWidth="1"/>
    <col min="1279" max="1279" width="15.41796875" style="31" customWidth="1"/>
    <col min="1280" max="1280" width="14.68359375" style="31" customWidth="1"/>
    <col min="1281" max="1281" width="13.26171875" style="31" customWidth="1"/>
    <col min="1282" max="1529" width="8.83984375" style="31"/>
    <col min="1530" max="1530" width="4.15625" style="31" customWidth="1"/>
    <col min="1531" max="1531" width="35.578125" style="31" customWidth="1"/>
    <col min="1532" max="1532" width="23.68359375" style="31" customWidth="1"/>
    <col min="1533" max="1533" width="14.68359375" style="31" customWidth="1"/>
    <col min="1534" max="1534" width="10.26171875" style="31" customWidth="1"/>
    <col min="1535" max="1535" width="15.41796875" style="31" customWidth="1"/>
    <col min="1536" max="1536" width="14.68359375" style="31" customWidth="1"/>
    <col min="1537" max="1537" width="13.26171875" style="31" customWidth="1"/>
    <col min="1538" max="1785" width="8.83984375" style="31"/>
    <col min="1786" max="1786" width="4.15625" style="31" customWidth="1"/>
    <col min="1787" max="1787" width="35.578125" style="31" customWidth="1"/>
    <col min="1788" max="1788" width="23.68359375" style="31" customWidth="1"/>
    <col min="1789" max="1789" width="14.68359375" style="31" customWidth="1"/>
    <col min="1790" max="1790" width="10.26171875" style="31" customWidth="1"/>
    <col min="1791" max="1791" width="15.41796875" style="31" customWidth="1"/>
    <col min="1792" max="1792" width="14.68359375" style="31" customWidth="1"/>
    <col min="1793" max="1793" width="13.26171875" style="31" customWidth="1"/>
    <col min="1794" max="2041" width="8.83984375" style="31"/>
    <col min="2042" max="2042" width="4.15625" style="31" customWidth="1"/>
    <col min="2043" max="2043" width="35.578125" style="31" customWidth="1"/>
    <col min="2044" max="2044" width="23.68359375" style="31" customWidth="1"/>
    <col min="2045" max="2045" width="14.68359375" style="31" customWidth="1"/>
    <col min="2046" max="2046" width="10.26171875" style="31" customWidth="1"/>
    <col min="2047" max="2047" width="15.41796875" style="31" customWidth="1"/>
    <col min="2048" max="2048" width="14.68359375" style="31" customWidth="1"/>
    <col min="2049" max="2049" width="13.26171875" style="31" customWidth="1"/>
    <col min="2050" max="2297" width="8.83984375" style="31"/>
    <col min="2298" max="2298" width="4.15625" style="31" customWidth="1"/>
    <col min="2299" max="2299" width="35.578125" style="31" customWidth="1"/>
    <col min="2300" max="2300" width="23.68359375" style="31" customWidth="1"/>
    <col min="2301" max="2301" width="14.68359375" style="31" customWidth="1"/>
    <col min="2302" max="2302" width="10.26171875" style="31" customWidth="1"/>
    <col min="2303" max="2303" width="15.41796875" style="31" customWidth="1"/>
    <col min="2304" max="2304" width="14.68359375" style="31" customWidth="1"/>
    <col min="2305" max="2305" width="13.26171875" style="31" customWidth="1"/>
    <col min="2306" max="2553" width="8.83984375" style="31"/>
    <col min="2554" max="2554" width="4.15625" style="31" customWidth="1"/>
    <col min="2555" max="2555" width="35.578125" style="31" customWidth="1"/>
    <col min="2556" max="2556" width="23.68359375" style="31" customWidth="1"/>
    <col min="2557" max="2557" width="14.68359375" style="31" customWidth="1"/>
    <col min="2558" max="2558" width="10.26171875" style="31" customWidth="1"/>
    <col min="2559" max="2559" width="15.41796875" style="31" customWidth="1"/>
    <col min="2560" max="2560" width="14.68359375" style="31" customWidth="1"/>
    <col min="2561" max="2561" width="13.26171875" style="31" customWidth="1"/>
    <col min="2562" max="2809" width="8.83984375" style="31"/>
    <col min="2810" max="2810" width="4.15625" style="31" customWidth="1"/>
    <col min="2811" max="2811" width="35.578125" style="31" customWidth="1"/>
    <col min="2812" max="2812" width="23.68359375" style="31" customWidth="1"/>
    <col min="2813" max="2813" width="14.68359375" style="31" customWidth="1"/>
    <col min="2814" max="2814" width="10.26171875" style="31" customWidth="1"/>
    <col min="2815" max="2815" width="15.41796875" style="31" customWidth="1"/>
    <col min="2816" max="2816" width="14.68359375" style="31" customWidth="1"/>
    <col min="2817" max="2817" width="13.26171875" style="31" customWidth="1"/>
    <col min="2818" max="3065" width="8.83984375" style="31"/>
    <col min="3066" max="3066" width="4.15625" style="31" customWidth="1"/>
    <col min="3067" max="3067" width="35.578125" style="31" customWidth="1"/>
    <col min="3068" max="3068" width="23.68359375" style="31" customWidth="1"/>
    <col min="3069" max="3069" width="14.68359375" style="31" customWidth="1"/>
    <col min="3070" max="3070" width="10.26171875" style="31" customWidth="1"/>
    <col min="3071" max="3071" width="15.41796875" style="31" customWidth="1"/>
    <col min="3072" max="3072" width="14.68359375" style="31" customWidth="1"/>
    <col min="3073" max="3073" width="13.26171875" style="31" customWidth="1"/>
    <col min="3074" max="3321" width="8.83984375" style="31"/>
    <col min="3322" max="3322" width="4.15625" style="31" customWidth="1"/>
    <col min="3323" max="3323" width="35.578125" style="31" customWidth="1"/>
    <col min="3324" max="3324" width="23.68359375" style="31" customWidth="1"/>
    <col min="3325" max="3325" width="14.68359375" style="31" customWidth="1"/>
    <col min="3326" max="3326" width="10.26171875" style="31" customWidth="1"/>
    <col min="3327" max="3327" width="15.41796875" style="31" customWidth="1"/>
    <col min="3328" max="3328" width="14.68359375" style="31" customWidth="1"/>
    <col min="3329" max="3329" width="13.26171875" style="31" customWidth="1"/>
    <col min="3330" max="3577" width="8.83984375" style="31"/>
    <col min="3578" max="3578" width="4.15625" style="31" customWidth="1"/>
    <col min="3579" max="3579" width="35.578125" style="31" customWidth="1"/>
    <col min="3580" max="3580" width="23.68359375" style="31" customWidth="1"/>
    <col min="3581" max="3581" width="14.68359375" style="31" customWidth="1"/>
    <col min="3582" max="3582" width="10.26171875" style="31" customWidth="1"/>
    <col min="3583" max="3583" width="15.41796875" style="31" customWidth="1"/>
    <col min="3584" max="3584" width="14.68359375" style="31" customWidth="1"/>
    <col min="3585" max="3585" width="13.26171875" style="31" customWidth="1"/>
    <col min="3586" max="3833" width="8.83984375" style="31"/>
    <col min="3834" max="3834" width="4.15625" style="31" customWidth="1"/>
    <col min="3835" max="3835" width="35.578125" style="31" customWidth="1"/>
    <col min="3836" max="3836" width="23.68359375" style="31" customWidth="1"/>
    <col min="3837" max="3837" width="14.68359375" style="31" customWidth="1"/>
    <col min="3838" max="3838" width="10.26171875" style="31" customWidth="1"/>
    <col min="3839" max="3839" width="15.41796875" style="31" customWidth="1"/>
    <col min="3840" max="3840" width="14.68359375" style="31" customWidth="1"/>
    <col min="3841" max="3841" width="13.26171875" style="31" customWidth="1"/>
    <col min="3842" max="4089" width="8.83984375" style="31"/>
    <col min="4090" max="4090" width="4.15625" style="31" customWidth="1"/>
    <col min="4091" max="4091" width="35.578125" style="31" customWidth="1"/>
    <col min="4092" max="4092" width="23.68359375" style="31" customWidth="1"/>
    <col min="4093" max="4093" width="14.68359375" style="31" customWidth="1"/>
    <col min="4094" max="4094" width="10.26171875" style="31" customWidth="1"/>
    <col min="4095" max="4095" width="15.41796875" style="31" customWidth="1"/>
    <col min="4096" max="4096" width="14.68359375" style="31" customWidth="1"/>
    <col min="4097" max="4097" width="13.26171875" style="31" customWidth="1"/>
    <col min="4098" max="4345" width="8.83984375" style="31"/>
    <col min="4346" max="4346" width="4.15625" style="31" customWidth="1"/>
    <col min="4347" max="4347" width="35.578125" style="31" customWidth="1"/>
    <col min="4348" max="4348" width="23.68359375" style="31" customWidth="1"/>
    <col min="4349" max="4349" width="14.68359375" style="31" customWidth="1"/>
    <col min="4350" max="4350" width="10.26171875" style="31" customWidth="1"/>
    <col min="4351" max="4351" width="15.41796875" style="31" customWidth="1"/>
    <col min="4352" max="4352" width="14.68359375" style="31" customWidth="1"/>
    <col min="4353" max="4353" width="13.26171875" style="31" customWidth="1"/>
    <col min="4354" max="4601" width="8.83984375" style="31"/>
    <col min="4602" max="4602" width="4.15625" style="31" customWidth="1"/>
    <col min="4603" max="4603" width="35.578125" style="31" customWidth="1"/>
    <col min="4604" max="4604" width="23.68359375" style="31" customWidth="1"/>
    <col min="4605" max="4605" width="14.68359375" style="31" customWidth="1"/>
    <col min="4606" max="4606" width="10.26171875" style="31" customWidth="1"/>
    <col min="4607" max="4607" width="15.41796875" style="31" customWidth="1"/>
    <col min="4608" max="4608" width="14.68359375" style="31" customWidth="1"/>
    <col min="4609" max="4609" width="13.26171875" style="31" customWidth="1"/>
    <col min="4610" max="4857" width="8.83984375" style="31"/>
    <col min="4858" max="4858" width="4.15625" style="31" customWidth="1"/>
    <col min="4859" max="4859" width="35.578125" style="31" customWidth="1"/>
    <col min="4860" max="4860" width="23.68359375" style="31" customWidth="1"/>
    <col min="4861" max="4861" width="14.68359375" style="31" customWidth="1"/>
    <col min="4862" max="4862" width="10.26171875" style="31" customWidth="1"/>
    <col min="4863" max="4863" width="15.41796875" style="31" customWidth="1"/>
    <col min="4864" max="4864" width="14.68359375" style="31" customWidth="1"/>
    <col min="4865" max="4865" width="13.26171875" style="31" customWidth="1"/>
    <col min="4866" max="5113" width="8.83984375" style="31"/>
    <col min="5114" max="5114" width="4.15625" style="31" customWidth="1"/>
    <col min="5115" max="5115" width="35.578125" style="31" customWidth="1"/>
    <col min="5116" max="5116" width="23.68359375" style="31" customWidth="1"/>
    <col min="5117" max="5117" width="14.68359375" style="31" customWidth="1"/>
    <col min="5118" max="5118" width="10.26171875" style="31" customWidth="1"/>
    <col min="5119" max="5119" width="15.41796875" style="31" customWidth="1"/>
    <col min="5120" max="5120" width="14.68359375" style="31" customWidth="1"/>
    <col min="5121" max="5121" width="13.26171875" style="31" customWidth="1"/>
    <col min="5122" max="5369" width="8.83984375" style="31"/>
    <col min="5370" max="5370" width="4.15625" style="31" customWidth="1"/>
    <col min="5371" max="5371" width="35.578125" style="31" customWidth="1"/>
    <col min="5372" max="5372" width="23.68359375" style="31" customWidth="1"/>
    <col min="5373" max="5373" width="14.68359375" style="31" customWidth="1"/>
    <col min="5374" max="5374" width="10.26171875" style="31" customWidth="1"/>
    <col min="5375" max="5375" width="15.41796875" style="31" customWidth="1"/>
    <col min="5376" max="5376" width="14.68359375" style="31" customWidth="1"/>
    <col min="5377" max="5377" width="13.26171875" style="31" customWidth="1"/>
    <col min="5378" max="5625" width="8.83984375" style="31"/>
    <col min="5626" max="5626" width="4.15625" style="31" customWidth="1"/>
    <col min="5627" max="5627" width="35.578125" style="31" customWidth="1"/>
    <col min="5628" max="5628" width="23.68359375" style="31" customWidth="1"/>
    <col min="5629" max="5629" width="14.68359375" style="31" customWidth="1"/>
    <col min="5630" max="5630" width="10.26171875" style="31" customWidth="1"/>
    <col min="5631" max="5631" width="15.41796875" style="31" customWidth="1"/>
    <col min="5632" max="5632" width="14.68359375" style="31" customWidth="1"/>
    <col min="5633" max="5633" width="13.26171875" style="31" customWidth="1"/>
    <col min="5634" max="5881" width="8.83984375" style="31"/>
    <col min="5882" max="5882" width="4.15625" style="31" customWidth="1"/>
    <col min="5883" max="5883" width="35.578125" style="31" customWidth="1"/>
    <col min="5884" max="5884" width="23.68359375" style="31" customWidth="1"/>
    <col min="5885" max="5885" width="14.68359375" style="31" customWidth="1"/>
    <col min="5886" max="5886" width="10.26171875" style="31" customWidth="1"/>
    <col min="5887" max="5887" width="15.41796875" style="31" customWidth="1"/>
    <col min="5888" max="5888" width="14.68359375" style="31" customWidth="1"/>
    <col min="5889" max="5889" width="13.26171875" style="31" customWidth="1"/>
    <col min="5890" max="6137" width="8.83984375" style="31"/>
    <col min="6138" max="6138" width="4.15625" style="31" customWidth="1"/>
    <col min="6139" max="6139" width="35.578125" style="31" customWidth="1"/>
    <col min="6140" max="6140" width="23.68359375" style="31" customWidth="1"/>
    <col min="6141" max="6141" width="14.68359375" style="31" customWidth="1"/>
    <col min="6142" max="6142" width="10.26171875" style="31" customWidth="1"/>
    <col min="6143" max="6143" width="15.41796875" style="31" customWidth="1"/>
    <col min="6144" max="6144" width="14.68359375" style="31" customWidth="1"/>
    <col min="6145" max="6145" width="13.26171875" style="31" customWidth="1"/>
    <col min="6146" max="6393" width="8.83984375" style="31"/>
    <col min="6394" max="6394" width="4.15625" style="31" customWidth="1"/>
    <col min="6395" max="6395" width="35.578125" style="31" customWidth="1"/>
    <col min="6396" max="6396" width="23.68359375" style="31" customWidth="1"/>
    <col min="6397" max="6397" width="14.68359375" style="31" customWidth="1"/>
    <col min="6398" max="6398" width="10.26171875" style="31" customWidth="1"/>
    <col min="6399" max="6399" width="15.41796875" style="31" customWidth="1"/>
    <col min="6400" max="6400" width="14.68359375" style="31" customWidth="1"/>
    <col min="6401" max="6401" width="13.26171875" style="31" customWidth="1"/>
    <col min="6402" max="6649" width="8.83984375" style="31"/>
    <col min="6650" max="6650" width="4.15625" style="31" customWidth="1"/>
    <col min="6651" max="6651" width="35.578125" style="31" customWidth="1"/>
    <col min="6652" max="6652" width="23.68359375" style="31" customWidth="1"/>
    <col min="6653" max="6653" width="14.68359375" style="31" customWidth="1"/>
    <col min="6654" max="6654" width="10.26171875" style="31" customWidth="1"/>
    <col min="6655" max="6655" width="15.41796875" style="31" customWidth="1"/>
    <col min="6656" max="6656" width="14.68359375" style="31" customWidth="1"/>
    <col min="6657" max="6657" width="13.26171875" style="31" customWidth="1"/>
    <col min="6658" max="6905" width="8.83984375" style="31"/>
    <col min="6906" max="6906" width="4.15625" style="31" customWidth="1"/>
    <col min="6907" max="6907" width="35.578125" style="31" customWidth="1"/>
    <col min="6908" max="6908" width="23.68359375" style="31" customWidth="1"/>
    <col min="6909" max="6909" width="14.68359375" style="31" customWidth="1"/>
    <col min="6910" max="6910" width="10.26171875" style="31" customWidth="1"/>
    <col min="6911" max="6911" width="15.41796875" style="31" customWidth="1"/>
    <col min="6912" max="6912" width="14.68359375" style="31" customWidth="1"/>
    <col min="6913" max="6913" width="13.26171875" style="31" customWidth="1"/>
    <col min="6914" max="7161" width="8.83984375" style="31"/>
    <col min="7162" max="7162" width="4.15625" style="31" customWidth="1"/>
    <col min="7163" max="7163" width="35.578125" style="31" customWidth="1"/>
    <col min="7164" max="7164" width="23.68359375" style="31" customWidth="1"/>
    <col min="7165" max="7165" width="14.68359375" style="31" customWidth="1"/>
    <col min="7166" max="7166" width="10.26171875" style="31" customWidth="1"/>
    <col min="7167" max="7167" width="15.41796875" style="31" customWidth="1"/>
    <col min="7168" max="7168" width="14.68359375" style="31" customWidth="1"/>
    <col min="7169" max="7169" width="13.26171875" style="31" customWidth="1"/>
    <col min="7170" max="7417" width="8.83984375" style="31"/>
    <col min="7418" max="7418" width="4.15625" style="31" customWidth="1"/>
    <col min="7419" max="7419" width="35.578125" style="31" customWidth="1"/>
    <col min="7420" max="7420" width="23.68359375" style="31" customWidth="1"/>
    <col min="7421" max="7421" width="14.68359375" style="31" customWidth="1"/>
    <col min="7422" max="7422" width="10.26171875" style="31" customWidth="1"/>
    <col min="7423" max="7423" width="15.41796875" style="31" customWidth="1"/>
    <col min="7424" max="7424" width="14.68359375" style="31" customWidth="1"/>
    <col min="7425" max="7425" width="13.26171875" style="31" customWidth="1"/>
    <col min="7426" max="7673" width="8.83984375" style="31"/>
    <col min="7674" max="7674" width="4.15625" style="31" customWidth="1"/>
    <col min="7675" max="7675" width="35.578125" style="31" customWidth="1"/>
    <col min="7676" max="7676" width="23.68359375" style="31" customWidth="1"/>
    <col min="7677" max="7677" width="14.68359375" style="31" customWidth="1"/>
    <col min="7678" max="7678" width="10.26171875" style="31" customWidth="1"/>
    <col min="7679" max="7679" width="15.41796875" style="31" customWidth="1"/>
    <col min="7680" max="7680" width="14.68359375" style="31" customWidth="1"/>
    <col min="7681" max="7681" width="13.26171875" style="31" customWidth="1"/>
    <col min="7682" max="7929" width="8.83984375" style="31"/>
    <col min="7930" max="7930" width="4.15625" style="31" customWidth="1"/>
    <col min="7931" max="7931" width="35.578125" style="31" customWidth="1"/>
    <col min="7932" max="7932" width="23.68359375" style="31" customWidth="1"/>
    <col min="7933" max="7933" width="14.68359375" style="31" customWidth="1"/>
    <col min="7934" max="7934" width="10.26171875" style="31" customWidth="1"/>
    <col min="7935" max="7935" width="15.41796875" style="31" customWidth="1"/>
    <col min="7936" max="7936" width="14.68359375" style="31" customWidth="1"/>
    <col min="7937" max="7937" width="13.26171875" style="31" customWidth="1"/>
    <col min="7938" max="8185" width="8.83984375" style="31"/>
    <col min="8186" max="8186" width="4.15625" style="31" customWidth="1"/>
    <col min="8187" max="8187" width="35.578125" style="31" customWidth="1"/>
    <col min="8188" max="8188" width="23.68359375" style="31" customWidth="1"/>
    <col min="8189" max="8189" width="14.68359375" style="31" customWidth="1"/>
    <col min="8190" max="8190" width="10.26171875" style="31" customWidth="1"/>
    <col min="8191" max="8191" width="15.41796875" style="31" customWidth="1"/>
    <col min="8192" max="8192" width="14.68359375" style="31" customWidth="1"/>
    <col min="8193" max="8193" width="13.26171875" style="31" customWidth="1"/>
    <col min="8194" max="8441" width="8.83984375" style="31"/>
    <col min="8442" max="8442" width="4.15625" style="31" customWidth="1"/>
    <col min="8443" max="8443" width="35.578125" style="31" customWidth="1"/>
    <col min="8444" max="8444" width="23.68359375" style="31" customWidth="1"/>
    <col min="8445" max="8445" width="14.68359375" style="31" customWidth="1"/>
    <col min="8446" max="8446" width="10.26171875" style="31" customWidth="1"/>
    <col min="8447" max="8447" width="15.41796875" style="31" customWidth="1"/>
    <col min="8448" max="8448" width="14.68359375" style="31" customWidth="1"/>
    <col min="8449" max="8449" width="13.26171875" style="31" customWidth="1"/>
    <col min="8450" max="8697" width="8.83984375" style="31"/>
    <col min="8698" max="8698" width="4.15625" style="31" customWidth="1"/>
    <col min="8699" max="8699" width="35.578125" style="31" customWidth="1"/>
    <col min="8700" max="8700" width="23.68359375" style="31" customWidth="1"/>
    <col min="8701" max="8701" width="14.68359375" style="31" customWidth="1"/>
    <col min="8702" max="8702" width="10.26171875" style="31" customWidth="1"/>
    <col min="8703" max="8703" width="15.41796875" style="31" customWidth="1"/>
    <col min="8704" max="8704" width="14.68359375" style="31" customWidth="1"/>
    <col min="8705" max="8705" width="13.26171875" style="31" customWidth="1"/>
    <col min="8706" max="8953" width="8.83984375" style="31"/>
    <col min="8954" max="8954" width="4.15625" style="31" customWidth="1"/>
    <col min="8955" max="8955" width="35.578125" style="31" customWidth="1"/>
    <col min="8956" max="8956" width="23.68359375" style="31" customWidth="1"/>
    <col min="8957" max="8957" width="14.68359375" style="31" customWidth="1"/>
    <col min="8958" max="8958" width="10.26171875" style="31" customWidth="1"/>
    <col min="8959" max="8959" width="15.41796875" style="31" customWidth="1"/>
    <col min="8960" max="8960" width="14.68359375" style="31" customWidth="1"/>
    <col min="8961" max="8961" width="13.26171875" style="31" customWidth="1"/>
    <col min="8962" max="9209" width="8.83984375" style="31"/>
    <col min="9210" max="9210" width="4.15625" style="31" customWidth="1"/>
    <col min="9211" max="9211" width="35.578125" style="31" customWidth="1"/>
    <col min="9212" max="9212" width="23.68359375" style="31" customWidth="1"/>
    <col min="9213" max="9213" width="14.68359375" style="31" customWidth="1"/>
    <col min="9214" max="9214" width="10.26171875" style="31" customWidth="1"/>
    <col min="9215" max="9215" width="15.41796875" style="31" customWidth="1"/>
    <col min="9216" max="9216" width="14.68359375" style="31" customWidth="1"/>
    <col min="9217" max="9217" width="13.26171875" style="31" customWidth="1"/>
    <col min="9218" max="9465" width="8.83984375" style="31"/>
    <col min="9466" max="9466" width="4.15625" style="31" customWidth="1"/>
    <col min="9467" max="9467" width="35.578125" style="31" customWidth="1"/>
    <col min="9468" max="9468" width="23.68359375" style="31" customWidth="1"/>
    <col min="9469" max="9469" width="14.68359375" style="31" customWidth="1"/>
    <col min="9470" max="9470" width="10.26171875" style="31" customWidth="1"/>
    <col min="9471" max="9471" width="15.41796875" style="31" customWidth="1"/>
    <col min="9472" max="9472" width="14.68359375" style="31" customWidth="1"/>
    <col min="9473" max="9473" width="13.26171875" style="31" customWidth="1"/>
    <col min="9474" max="9721" width="8.83984375" style="31"/>
    <col min="9722" max="9722" width="4.15625" style="31" customWidth="1"/>
    <col min="9723" max="9723" width="35.578125" style="31" customWidth="1"/>
    <col min="9724" max="9724" width="23.68359375" style="31" customWidth="1"/>
    <col min="9725" max="9725" width="14.68359375" style="31" customWidth="1"/>
    <col min="9726" max="9726" width="10.26171875" style="31" customWidth="1"/>
    <col min="9727" max="9727" width="15.41796875" style="31" customWidth="1"/>
    <col min="9728" max="9728" width="14.68359375" style="31" customWidth="1"/>
    <col min="9729" max="9729" width="13.26171875" style="31" customWidth="1"/>
    <col min="9730" max="9977" width="8.83984375" style="31"/>
    <col min="9978" max="9978" width="4.15625" style="31" customWidth="1"/>
    <col min="9979" max="9979" width="35.578125" style="31" customWidth="1"/>
    <col min="9980" max="9980" width="23.68359375" style="31" customWidth="1"/>
    <col min="9981" max="9981" width="14.68359375" style="31" customWidth="1"/>
    <col min="9982" max="9982" width="10.26171875" style="31" customWidth="1"/>
    <col min="9983" max="9983" width="15.41796875" style="31" customWidth="1"/>
    <col min="9984" max="9984" width="14.68359375" style="31" customWidth="1"/>
    <col min="9985" max="9985" width="13.26171875" style="31" customWidth="1"/>
    <col min="9986" max="10233" width="8.83984375" style="31"/>
    <col min="10234" max="10234" width="4.15625" style="31" customWidth="1"/>
    <col min="10235" max="10235" width="35.578125" style="31" customWidth="1"/>
    <col min="10236" max="10236" width="23.68359375" style="31" customWidth="1"/>
    <col min="10237" max="10237" width="14.68359375" style="31" customWidth="1"/>
    <col min="10238" max="10238" width="10.26171875" style="31" customWidth="1"/>
    <col min="10239" max="10239" width="15.41796875" style="31" customWidth="1"/>
    <col min="10240" max="10240" width="14.68359375" style="31" customWidth="1"/>
    <col min="10241" max="10241" width="13.26171875" style="31" customWidth="1"/>
    <col min="10242" max="10489" width="8.83984375" style="31"/>
    <col min="10490" max="10490" width="4.15625" style="31" customWidth="1"/>
    <col min="10491" max="10491" width="35.578125" style="31" customWidth="1"/>
    <col min="10492" max="10492" width="23.68359375" style="31" customWidth="1"/>
    <col min="10493" max="10493" width="14.68359375" style="31" customWidth="1"/>
    <col min="10494" max="10494" width="10.26171875" style="31" customWidth="1"/>
    <col min="10495" max="10495" width="15.41796875" style="31" customWidth="1"/>
    <col min="10496" max="10496" width="14.68359375" style="31" customWidth="1"/>
    <col min="10497" max="10497" width="13.26171875" style="31" customWidth="1"/>
    <col min="10498" max="10745" width="8.83984375" style="31"/>
    <col min="10746" max="10746" width="4.15625" style="31" customWidth="1"/>
    <col min="10747" max="10747" width="35.578125" style="31" customWidth="1"/>
    <col min="10748" max="10748" width="23.68359375" style="31" customWidth="1"/>
    <col min="10749" max="10749" width="14.68359375" style="31" customWidth="1"/>
    <col min="10750" max="10750" width="10.26171875" style="31" customWidth="1"/>
    <col min="10751" max="10751" width="15.41796875" style="31" customWidth="1"/>
    <col min="10752" max="10752" width="14.68359375" style="31" customWidth="1"/>
    <col min="10753" max="10753" width="13.26171875" style="31" customWidth="1"/>
    <col min="10754" max="11001" width="8.83984375" style="31"/>
    <col min="11002" max="11002" width="4.15625" style="31" customWidth="1"/>
    <col min="11003" max="11003" width="35.578125" style="31" customWidth="1"/>
    <col min="11004" max="11004" width="23.68359375" style="31" customWidth="1"/>
    <col min="11005" max="11005" width="14.68359375" style="31" customWidth="1"/>
    <col min="11006" max="11006" width="10.26171875" style="31" customWidth="1"/>
    <col min="11007" max="11007" width="15.41796875" style="31" customWidth="1"/>
    <col min="11008" max="11008" width="14.68359375" style="31" customWidth="1"/>
    <col min="11009" max="11009" width="13.26171875" style="31" customWidth="1"/>
    <col min="11010" max="11257" width="8.83984375" style="31"/>
    <col min="11258" max="11258" width="4.15625" style="31" customWidth="1"/>
    <col min="11259" max="11259" width="35.578125" style="31" customWidth="1"/>
    <col min="11260" max="11260" width="23.68359375" style="31" customWidth="1"/>
    <col min="11261" max="11261" width="14.68359375" style="31" customWidth="1"/>
    <col min="11262" max="11262" width="10.26171875" style="31" customWidth="1"/>
    <col min="11263" max="11263" width="15.41796875" style="31" customWidth="1"/>
    <col min="11264" max="11264" width="14.68359375" style="31" customWidth="1"/>
    <col min="11265" max="11265" width="13.26171875" style="31" customWidth="1"/>
    <col min="11266" max="11513" width="8.83984375" style="31"/>
    <col min="11514" max="11514" width="4.15625" style="31" customWidth="1"/>
    <col min="11515" max="11515" width="35.578125" style="31" customWidth="1"/>
    <col min="11516" max="11516" width="23.68359375" style="31" customWidth="1"/>
    <col min="11517" max="11517" width="14.68359375" style="31" customWidth="1"/>
    <col min="11518" max="11518" width="10.26171875" style="31" customWidth="1"/>
    <col min="11519" max="11519" width="15.41796875" style="31" customWidth="1"/>
    <col min="11520" max="11520" width="14.68359375" style="31" customWidth="1"/>
    <col min="11521" max="11521" width="13.26171875" style="31" customWidth="1"/>
    <col min="11522" max="11769" width="8.83984375" style="31"/>
    <col min="11770" max="11770" width="4.15625" style="31" customWidth="1"/>
    <col min="11771" max="11771" width="35.578125" style="31" customWidth="1"/>
    <col min="11772" max="11772" width="23.68359375" style="31" customWidth="1"/>
    <col min="11773" max="11773" width="14.68359375" style="31" customWidth="1"/>
    <col min="11774" max="11774" width="10.26171875" style="31" customWidth="1"/>
    <col min="11775" max="11775" width="15.41796875" style="31" customWidth="1"/>
    <col min="11776" max="11776" width="14.68359375" style="31" customWidth="1"/>
    <col min="11777" max="11777" width="13.26171875" style="31" customWidth="1"/>
    <col min="11778" max="12025" width="8.83984375" style="31"/>
    <col min="12026" max="12026" width="4.15625" style="31" customWidth="1"/>
    <col min="12027" max="12027" width="35.578125" style="31" customWidth="1"/>
    <col min="12028" max="12028" width="23.68359375" style="31" customWidth="1"/>
    <col min="12029" max="12029" width="14.68359375" style="31" customWidth="1"/>
    <col min="12030" max="12030" width="10.26171875" style="31" customWidth="1"/>
    <col min="12031" max="12031" width="15.41796875" style="31" customWidth="1"/>
    <col min="12032" max="12032" width="14.68359375" style="31" customWidth="1"/>
    <col min="12033" max="12033" width="13.26171875" style="31" customWidth="1"/>
    <col min="12034" max="12281" width="8.83984375" style="31"/>
    <col min="12282" max="12282" width="4.15625" style="31" customWidth="1"/>
    <col min="12283" max="12283" width="35.578125" style="31" customWidth="1"/>
    <col min="12284" max="12284" width="23.68359375" style="31" customWidth="1"/>
    <col min="12285" max="12285" width="14.68359375" style="31" customWidth="1"/>
    <col min="12286" max="12286" width="10.26171875" style="31" customWidth="1"/>
    <col min="12287" max="12287" width="15.41796875" style="31" customWidth="1"/>
    <col min="12288" max="12288" width="14.68359375" style="31" customWidth="1"/>
    <col min="12289" max="12289" width="13.26171875" style="31" customWidth="1"/>
    <col min="12290" max="12537" width="8.83984375" style="31"/>
    <col min="12538" max="12538" width="4.15625" style="31" customWidth="1"/>
    <col min="12539" max="12539" width="35.578125" style="31" customWidth="1"/>
    <col min="12540" max="12540" width="23.68359375" style="31" customWidth="1"/>
    <col min="12541" max="12541" width="14.68359375" style="31" customWidth="1"/>
    <col min="12542" max="12542" width="10.26171875" style="31" customWidth="1"/>
    <col min="12543" max="12543" width="15.41796875" style="31" customWidth="1"/>
    <col min="12544" max="12544" width="14.68359375" style="31" customWidth="1"/>
    <col min="12545" max="12545" width="13.26171875" style="31" customWidth="1"/>
    <col min="12546" max="12793" width="8.83984375" style="31"/>
    <col min="12794" max="12794" width="4.15625" style="31" customWidth="1"/>
    <col min="12795" max="12795" width="35.578125" style="31" customWidth="1"/>
    <col min="12796" max="12796" width="23.68359375" style="31" customWidth="1"/>
    <col min="12797" max="12797" width="14.68359375" style="31" customWidth="1"/>
    <col min="12798" max="12798" width="10.26171875" style="31" customWidth="1"/>
    <col min="12799" max="12799" width="15.41796875" style="31" customWidth="1"/>
    <col min="12800" max="12800" width="14.68359375" style="31" customWidth="1"/>
    <col min="12801" max="12801" width="13.26171875" style="31" customWidth="1"/>
    <col min="12802" max="13049" width="8.83984375" style="31"/>
    <col min="13050" max="13050" width="4.15625" style="31" customWidth="1"/>
    <col min="13051" max="13051" width="35.578125" style="31" customWidth="1"/>
    <col min="13052" max="13052" width="23.68359375" style="31" customWidth="1"/>
    <col min="13053" max="13053" width="14.68359375" style="31" customWidth="1"/>
    <col min="13054" max="13054" width="10.26171875" style="31" customWidth="1"/>
    <col min="13055" max="13055" width="15.41796875" style="31" customWidth="1"/>
    <col min="13056" max="13056" width="14.68359375" style="31" customWidth="1"/>
    <col min="13057" max="13057" width="13.26171875" style="31" customWidth="1"/>
    <col min="13058" max="13305" width="8.83984375" style="31"/>
    <col min="13306" max="13306" width="4.15625" style="31" customWidth="1"/>
    <col min="13307" max="13307" width="35.578125" style="31" customWidth="1"/>
    <col min="13308" max="13308" width="23.68359375" style="31" customWidth="1"/>
    <col min="13309" max="13309" width="14.68359375" style="31" customWidth="1"/>
    <col min="13310" max="13310" width="10.26171875" style="31" customWidth="1"/>
    <col min="13311" max="13311" width="15.41796875" style="31" customWidth="1"/>
    <col min="13312" max="13312" width="14.68359375" style="31" customWidth="1"/>
    <col min="13313" max="13313" width="13.26171875" style="31" customWidth="1"/>
    <col min="13314" max="13561" width="8.83984375" style="31"/>
    <col min="13562" max="13562" width="4.15625" style="31" customWidth="1"/>
    <col min="13563" max="13563" width="35.578125" style="31" customWidth="1"/>
    <col min="13564" max="13564" width="23.68359375" style="31" customWidth="1"/>
    <col min="13565" max="13565" width="14.68359375" style="31" customWidth="1"/>
    <col min="13566" max="13566" width="10.26171875" style="31" customWidth="1"/>
    <col min="13567" max="13567" width="15.41796875" style="31" customWidth="1"/>
    <col min="13568" max="13568" width="14.68359375" style="31" customWidth="1"/>
    <col min="13569" max="13569" width="13.26171875" style="31" customWidth="1"/>
    <col min="13570" max="13817" width="8.83984375" style="31"/>
    <col min="13818" max="13818" width="4.15625" style="31" customWidth="1"/>
    <col min="13819" max="13819" width="35.578125" style="31" customWidth="1"/>
    <col min="13820" max="13820" width="23.68359375" style="31" customWidth="1"/>
    <col min="13821" max="13821" width="14.68359375" style="31" customWidth="1"/>
    <col min="13822" max="13822" width="10.26171875" style="31" customWidth="1"/>
    <col min="13823" max="13823" width="15.41796875" style="31" customWidth="1"/>
    <col min="13824" max="13824" width="14.68359375" style="31" customWidth="1"/>
    <col min="13825" max="13825" width="13.26171875" style="31" customWidth="1"/>
    <col min="13826" max="14073" width="8.83984375" style="31"/>
    <col min="14074" max="14074" width="4.15625" style="31" customWidth="1"/>
    <col min="14075" max="14075" width="35.578125" style="31" customWidth="1"/>
    <col min="14076" max="14076" width="23.68359375" style="31" customWidth="1"/>
    <col min="14077" max="14077" width="14.68359375" style="31" customWidth="1"/>
    <col min="14078" max="14078" width="10.26171875" style="31" customWidth="1"/>
    <col min="14079" max="14079" width="15.41796875" style="31" customWidth="1"/>
    <col min="14080" max="14080" width="14.68359375" style="31" customWidth="1"/>
    <col min="14081" max="14081" width="13.26171875" style="31" customWidth="1"/>
    <col min="14082" max="14329" width="8.83984375" style="31"/>
    <col min="14330" max="14330" width="4.15625" style="31" customWidth="1"/>
    <col min="14331" max="14331" width="35.578125" style="31" customWidth="1"/>
    <col min="14332" max="14332" width="23.68359375" style="31" customWidth="1"/>
    <col min="14333" max="14333" width="14.68359375" style="31" customWidth="1"/>
    <col min="14334" max="14334" width="10.26171875" style="31" customWidth="1"/>
    <col min="14335" max="14335" width="15.41796875" style="31" customWidth="1"/>
    <col min="14336" max="14336" width="14.68359375" style="31" customWidth="1"/>
    <col min="14337" max="14337" width="13.26171875" style="31" customWidth="1"/>
    <col min="14338" max="14585" width="8.83984375" style="31"/>
    <col min="14586" max="14586" width="4.15625" style="31" customWidth="1"/>
    <col min="14587" max="14587" width="35.578125" style="31" customWidth="1"/>
    <col min="14588" max="14588" width="23.68359375" style="31" customWidth="1"/>
    <col min="14589" max="14589" width="14.68359375" style="31" customWidth="1"/>
    <col min="14590" max="14590" width="10.26171875" style="31" customWidth="1"/>
    <col min="14591" max="14591" width="15.41796875" style="31" customWidth="1"/>
    <col min="14592" max="14592" width="14.68359375" style="31" customWidth="1"/>
    <col min="14593" max="14593" width="13.26171875" style="31" customWidth="1"/>
    <col min="14594" max="14841" width="8.83984375" style="31"/>
    <col min="14842" max="14842" width="4.15625" style="31" customWidth="1"/>
    <col min="14843" max="14843" width="35.578125" style="31" customWidth="1"/>
    <col min="14844" max="14844" width="23.68359375" style="31" customWidth="1"/>
    <col min="14845" max="14845" width="14.68359375" style="31" customWidth="1"/>
    <col min="14846" max="14846" width="10.26171875" style="31" customWidth="1"/>
    <col min="14847" max="14847" width="15.41796875" style="31" customWidth="1"/>
    <col min="14848" max="14848" width="14.68359375" style="31" customWidth="1"/>
    <col min="14849" max="14849" width="13.26171875" style="31" customWidth="1"/>
    <col min="14850" max="15097" width="8.83984375" style="31"/>
    <col min="15098" max="15098" width="4.15625" style="31" customWidth="1"/>
    <col min="15099" max="15099" width="35.578125" style="31" customWidth="1"/>
    <col min="15100" max="15100" width="23.68359375" style="31" customWidth="1"/>
    <col min="15101" max="15101" width="14.68359375" style="31" customWidth="1"/>
    <col min="15102" max="15102" width="10.26171875" style="31" customWidth="1"/>
    <col min="15103" max="15103" width="15.41796875" style="31" customWidth="1"/>
    <col min="15104" max="15104" width="14.68359375" style="31" customWidth="1"/>
    <col min="15105" max="15105" width="13.26171875" style="31" customWidth="1"/>
    <col min="15106" max="15353" width="8.83984375" style="31"/>
    <col min="15354" max="15354" width="4.15625" style="31" customWidth="1"/>
    <col min="15355" max="15355" width="35.578125" style="31" customWidth="1"/>
    <col min="15356" max="15356" width="23.68359375" style="31" customWidth="1"/>
    <col min="15357" max="15357" width="14.68359375" style="31" customWidth="1"/>
    <col min="15358" max="15358" width="10.26171875" style="31" customWidth="1"/>
    <col min="15359" max="15359" width="15.41796875" style="31" customWidth="1"/>
    <col min="15360" max="15360" width="14.68359375" style="31" customWidth="1"/>
    <col min="15361" max="15361" width="13.26171875" style="31" customWidth="1"/>
    <col min="15362" max="15609" width="8.83984375" style="31"/>
    <col min="15610" max="15610" width="4.15625" style="31" customWidth="1"/>
    <col min="15611" max="15611" width="35.578125" style="31" customWidth="1"/>
    <col min="15612" max="15612" width="23.68359375" style="31" customWidth="1"/>
    <col min="15613" max="15613" width="14.68359375" style="31" customWidth="1"/>
    <col min="15614" max="15614" width="10.26171875" style="31" customWidth="1"/>
    <col min="15615" max="15615" width="15.41796875" style="31" customWidth="1"/>
    <col min="15616" max="15616" width="14.68359375" style="31" customWidth="1"/>
    <col min="15617" max="15617" width="13.26171875" style="31" customWidth="1"/>
    <col min="15618" max="15865" width="8.83984375" style="31"/>
    <col min="15866" max="15866" width="4.15625" style="31" customWidth="1"/>
    <col min="15867" max="15867" width="35.578125" style="31" customWidth="1"/>
    <col min="15868" max="15868" width="23.68359375" style="31" customWidth="1"/>
    <col min="15869" max="15869" width="14.68359375" style="31" customWidth="1"/>
    <col min="15870" max="15870" width="10.26171875" style="31" customWidth="1"/>
    <col min="15871" max="15871" width="15.41796875" style="31" customWidth="1"/>
    <col min="15872" max="15872" width="14.68359375" style="31" customWidth="1"/>
    <col min="15873" max="15873" width="13.26171875" style="31" customWidth="1"/>
    <col min="15874" max="16121" width="8.83984375" style="31"/>
    <col min="16122" max="16122" width="4.15625" style="31" customWidth="1"/>
    <col min="16123" max="16123" width="35.578125" style="31" customWidth="1"/>
    <col min="16124" max="16124" width="23.68359375" style="31" customWidth="1"/>
    <col min="16125" max="16125" width="14.68359375" style="31" customWidth="1"/>
    <col min="16126" max="16126" width="10.26171875" style="31" customWidth="1"/>
    <col min="16127" max="16127" width="15.41796875" style="31" customWidth="1"/>
    <col min="16128" max="16128" width="14.68359375" style="31" customWidth="1"/>
    <col min="16129" max="16129" width="13.26171875" style="31" customWidth="1"/>
    <col min="16130" max="16375" width="8.83984375" style="31"/>
    <col min="16376" max="16384" width="8.83984375" style="31" customWidth="1"/>
  </cols>
  <sheetData>
    <row r="2" spans="3:11" ht="23.1" x14ac:dyDescent="0.8">
      <c r="E2" s="32"/>
      <c r="F2" s="32"/>
      <c r="G2" s="32"/>
    </row>
    <row r="3" spans="3:11" ht="18.899999999999999" x14ac:dyDescent="0.65">
      <c r="E3" s="33"/>
      <c r="F3" s="33"/>
      <c r="G3" s="33"/>
    </row>
    <row r="5" spans="3:11" ht="18.600000000000001" x14ac:dyDescent="0.6">
      <c r="D5" s="34" t="str">
        <f>+'Project Heighlights'!E6</f>
        <v>BLUELEO ENERGY PRIVATE LIMITED</v>
      </c>
      <c r="E5" s="35"/>
      <c r="F5" s="35"/>
      <c r="G5" s="35"/>
      <c r="H5" s="35"/>
      <c r="I5" s="35"/>
    </row>
    <row r="6" spans="3:11" ht="18.600000000000001" x14ac:dyDescent="0.6">
      <c r="D6" s="36" t="s">
        <v>36</v>
      </c>
      <c r="E6" s="37"/>
      <c r="F6" s="37"/>
      <c r="G6" s="37"/>
      <c r="H6" s="37"/>
      <c r="I6" s="37"/>
    </row>
    <row r="7" spans="3:11" s="38" customFormat="1" ht="18.600000000000001" x14ac:dyDescent="0.6">
      <c r="D7" s="39"/>
      <c r="E7" s="40"/>
      <c r="F7" s="40"/>
      <c r="H7" s="41"/>
      <c r="I7" s="42" t="s">
        <v>37</v>
      </c>
    </row>
    <row r="8" spans="3:11" ht="56.25" customHeight="1" x14ac:dyDescent="0.5">
      <c r="D8" s="43" t="s">
        <v>38</v>
      </c>
      <c r="E8" s="44" t="s">
        <v>39</v>
      </c>
      <c r="F8" s="44" t="s">
        <v>40</v>
      </c>
      <c r="G8" s="44" t="s">
        <v>41</v>
      </c>
      <c r="H8" s="44" t="s">
        <v>42</v>
      </c>
      <c r="I8" s="44" t="s">
        <v>43</v>
      </c>
    </row>
    <row r="9" spans="3:11" x14ac:dyDescent="0.5">
      <c r="D9" s="45" t="s">
        <v>44</v>
      </c>
      <c r="E9" s="46">
        <f>+I20</f>
        <v>71243000</v>
      </c>
      <c r="F9" s="46">
        <f>+E9*30%</f>
        <v>21372900</v>
      </c>
      <c r="G9" s="47">
        <f>+F9/E9</f>
        <v>0.3</v>
      </c>
      <c r="H9" s="46">
        <f>+E9-F9</f>
        <v>49870100</v>
      </c>
      <c r="I9" s="47">
        <f>+H9/E9</f>
        <v>0.7</v>
      </c>
      <c r="J9" s="48"/>
    </row>
    <row r="10" spans="3:11" ht="15" customHeight="1" x14ac:dyDescent="0.5">
      <c r="D10" s="49" t="s">
        <v>45</v>
      </c>
      <c r="E10" s="46">
        <v>0</v>
      </c>
      <c r="F10" s="46">
        <v>0</v>
      </c>
      <c r="G10" s="47">
        <v>0</v>
      </c>
      <c r="H10" s="46">
        <f>+E10-F10</f>
        <v>0</v>
      </c>
      <c r="I10" s="47">
        <v>0</v>
      </c>
      <c r="K10" s="50"/>
    </row>
    <row r="11" spans="3:11" x14ac:dyDescent="0.5">
      <c r="D11" s="51" t="s">
        <v>46</v>
      </c>
      <c r="E11" s="52">
        <f>SUM(E9:E10)</f>
        <v>71243000</v>
      </c>
      <c r="F11" s="52">
        <f>SUM(F9:F10)</f>
        <v>21372900</v>
      </c>
      <c r="G11" s="52"/>
      <c r="H11" s="52">
        <f>SUM(H9:H10)</f>
        <v>49870100</v>
      </c>
      <c r="I11" s="52"/>
    </row>
    <row r="12" spans="3:11" x14ac:dyDescent="0.5">
      <c r="G12" s="48"/>
    </row>
    <row r="13" spans="3:11" ht="18.600000000000001" x14ac:dyDescent="0.6">
      <c r="C13" s="53"/>
      <c r="D13" s="54" t="s">
        <v>47</v>
      </c>
      <c r="E13" s="54"/>
      <c r="F13" s="54"/>
      <c r="G13" s="54"/>
      <c r="H13" s="54"/>
      <c r="I13" s="54"/>
    </row>
    <row r="14" spans="3:11" ht="15.9" x14ac:dyDescent="0.5">
      <c r="D14" s="55" t="s">
        <v>38</v>
      </c>
      <c r="E14" s="56" t="s">
        <v>48</v>
      </c>
      <c r="F14" s="56" t="s">
        <v>49</v>
      </c>
      <c r="G14" s="56" t="s">
        <v>50</v>
      </c>
      <c r="H14" s="56" t="s">
        <v>51</v>
      </c>
      <c r="I14" s="56" t="s">
        <v>52</v>
      </c>
    </row>
    <row r="15" spans="3:11" x14ac:dyDescent="0.5">
      <c r="D15" s="45" t="s">
        <v>53</v>
      </c>
      <c r="E15" s="57">
        <f>+SUMMARY!E48</f>
        <v>7675000</v>
      </c>
      <c r="F15" s="57">
        <f>+SUMMARY!F48</f>
        <v>1604000</v>
      </c>
      <c r="G15" s="57">
        <f>+SUMMARY!G48+1000000</f>
        <v>1954000</v>
      </c>
      <c r="H15" s="57">
        <f>+SUMMARY!H48</f>
        <v>650000</v>
      </c>
      <c r="I15" s="57">
        <f>+SUM(E15:H15)</f>
        <v>11883000</v>
      </c>
    </row>
    <row r="16" spans="3:11" x14ac:dyDescent="0.5">
      <c r="D16" s="45" t="s">
        <v>54</v>
      </c>
      <c r="E16" s="57">
        <f>+SUMMARY!E49</f>
        <v>6650000</v>
      </c>
      <c r="F16" s="57">
        <f>+SUMMARY!F49+1000000</f>
        <v>16220000</v>
      </c>
      <c r="G16" s="57">
        <f>+SUMMARY!G49</f>
        <v>6000000</v>
      </c>
      <c r="H16" s="57">
        <f>+SUMMARY!H49</f>
        <v>100000</v>
      </c>
      <c r="I16" s="57">
        <f>+SUM(E16:H16)</f>
        <v>28970000</v>
      </c>
    </row>
    <row r="17" spans="4:9" x14ac:dyDescent="0.5">
      <c r="D17" s="58" t="s">
        <v>55</v>
      </c>
      <c r="E17" s="57">
        <f>+SUMMARY!E50</f>
        <v>3750000</v>
      </c>
      <c r="F17" s="57">
        <f>+SUMMARY!F50</f>
        <v>1000000</v>
      </c>
      <c r="G17" s="57">
        <f>+SUMMARY!G50+1000000</f>
        <v>7175000</v>
      </c>
      <c r="H17" s="57">
        <f>+SUMMARY!H50</f>
        <v>1895000</v>
      </c>
      <c r="I17" s="57">
        <f>+SUM(E17:H17)</f>
        <v>13820000</v>
      </c>
    </row>
    <row r="18" spans="4:9" x14ac:dyDescent="0.5">
      <c r="D18" s="58" t="s">
        <v>56</v>
      </c>
      <c r="E18" s="57">
        <f>+SUMMARY!E51</f>
        <v>10160000</v>
      </c>
      <c r="F18" s="57">
        <f>+SUMMARY!F51</f>
        <v>0</v>
      </c>
      <c r="G18" s="57">
        <f>+SUMMARY!G51</f>
        <v>960000</v>
      </c>
      <c r="H18" s="57">
        <f>+SUMMARY!H51</f>
        <v>1000000</v>
      </c>
      <c r="I18" s="57">
        <f>+SUM(E18:H18)</f>
        <v>12120000</v>
      </c>
    </row>
    <row r="19" spans="4:9" x14ac:dyDescent="0.5">
      <c r="D19" s="58" t="s">
        <v>57</v>
      </c>
      <c r="E19" s="57">
        <f>+SUMMARY!E52</f>
        <v>2863000</v>
      </c>
      <c r="F19" s="57">
        <f>+SUMMARY!F52</f>
        <v>1100000</v>
      </c>
      <c r="G19" s="57">
        <f>+SUMMARY!G52</f>
        <v>0</v>
      </c>
      <c r="H19" s="57">
        <f>+SUMMARY!H52</f>
        <v>487000</v>
      </c>
      <c r="I19" s="57">
        <f>+SUM(E19:H19)</f>
        <v>4450000</v>
      </c>
    </row>
    <row r="20" spans="4:9" x14ac:dyDescent="0.5">
      <c r="D20" s="51" t="s">
        <v>58</v>
      </c>
      <c r="E20" s="59">
        <f>SUM(E15:E19)</f>
        <v>31098000</v>
      </c>
      <c r="F20" s="59">
        <f>SUM(F15:F19)</f>
        <v>19924000</v>
      </c>
      <c r="G20" s="59">
        <f>SUM(G15:G19)</f>
        <v>16089000</v>
      </c>
      <c r="H20" s="59">
        <f>SUM(H15:H19)</f>
        <v>4132000</v>
      </c>
      <c r="I20" s="60">
        <f>SUM(I15:I19)</f>
        <v>71243000</v>
      </c>
    </row>
    <row r="22" spans="4:9" ht="30" customHeight="1" x14ac:dyDescent="0.5">
      <c r="D22" s="61" t="s">
        <v>59</v>
      </c>
      <c r="E22" s="61"/>
      <c r="F22" s="61"/>
      <c r="G22" s="61"/>
      <c r="H22" s="61"/>
      <c r="I22" s="61"/>
    </row>
  </sheetData>
  <sheetProtection selectLockedCells="1" selectUnlockedCells="1"/>
  <mergeCells count="6">
    <mergeCell ref="E2:G2"/>
    <mergeCell ref="E3:G3"/>
    <mergeCell ref="D5:I5"/>
    <mergeCell ref="D6:I6"/>
    <mergeCell ref="D13:I13"/>
    <mergeCell ref="D22:I22"/>
  </mergeCells>
  <printOptions horizontalCentered="1"/>
  <pageMargins left="0.19685039370078741" right="0.19685039370078741" top="0.35433070866141736" bottom="0.15748031496062992" header="0.31496062992125984" footer="0.31496062992125984"/>
  <pageSetup scale="8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M195"/>
  <sheetViews>
    <sheetView showGridLines="0" view="pageBreakPreview" topLeftCell="A175" zoomScaleNormal="100" zoomScaleSheetLayoutView="100" workbookViewId="0">
      <selection activeCell="B13" sqref="B13:H13"/>
    </sheetView>
  </sheetViews>
  <sheetFormatPr defaultRowHeight="15.3" x14ac:dyDescent="0.55000000000000004"/>
  <cols>
    <col min="1" max="1" width="8.83984375" style="62"/>
    <col min="2" max="2" width="3.578125" style="62" customWidth="1"/>
    <col min="3" max="3" width="50" style="62" bestFit="1" customWidth="1"/>
    <col min="4" max="4" width="11.41796875" style="63" bestFit="1" customWidth="1"/>
    <col min="5" max="5" width="16.20703125" style="63" bestFit="1" customWidth="1"/>
    <col min="6" max="6" width="14.41796875" style="63" bestFit="1" customWidth="1"/>
    <col min="7" max="7" width="14.41796875" style="62" bestFit="1" customWidth="1"/>
    <col min="8" max="9" width="14.62890625" style="62" bestFit="1" customWidth="1"/>
    <col min="10" max="10" width="14.578125" style="62" bestFit="1" customWidth="1"/>
    <col min="11" max="11" width="4.41796875" style="62" customWidth="1"/>
    <col min="12" max="12" width="8.83984375" style="62"/>
    <col min="13" max="13" width="13.41796875" style="62" bestFit="1" customWidth="1"/>
    <col min="14" max="229" width="8.83984375" style="62"/>
    <col min="230" max="230" width="34.26171875" style="62" customWidth="1"/>
    <col min="231" max="231" width="12" style="62" customWidth="1"/>
    <col min="232" max="232" width="11.578125" style="62" customWidth="1"/>
    <col min="233" max="233" width="12" style="62" customWidth="1"/>
    <col min="234" max="234" width="11.578125" style="62" customWidth="1"/>
    <col min="235" max="240" width="12" style="62" customWidth="1"/>
    <col min="241" max="241" width="11.578125" style="62" customWidth="1"/>
    <col min="242" max="242" width="8.83984375" style="62"/>
    <col min="243" max="246" width="14.83984375" style="62" customWidth="1"/>
    <col min="247" max="252" width="15.83984375" style="62" customWidth="1"/>
    <col min="253" max="253" width="17.578125" style="62" customWidth="1"/>
    <col min="254" max="485" width="8.83984375" style="62"/>
    <col min="486" max="486" width="34.26171875" style="62" customWidth="1"/>
    <col min="487" max="487" width="12" style="62" customWidth="1"/>
    <col min="488" max="488" width="11.578125" style="62" customWidth="1"/>
    <col min="489" max="489" width="12" style="62" customWidth="1"/>
    <col min="490" max="490" width="11.578125" style="62" customWidth="1"/>
    <col min="491" max="496" width="12" style="62" customWidth="1"/>
    <col min="497" max="497" width="11.578125" style="62" customWidth="1"/>
    <col min="498" max="498" width="8.83984375" style="62"/>
    <col min="499" max="502" width="14.83984375" style="62" customWidth="1"/>
    <col min="503" max="508" width="15.83984375" style="62" customWidth="1"/>
    <col min="509" max="509" width="17.578125" style="62" customWidth="1"/>
    <col min="510" max="741" width="8.83984375" style="62"/>
    <col min="742" max="742" width="34.26171875" style="62" customWidth="1"/>
    <col min="743" max="743" width="12" style="62" customWidth="1"/>
    <col min="744" max="744" width="11.578125" style="62" customWidth="1"/>
    <col min="745" max="745" width="12" style="62" customWidth="1"/>
    <col min="746" max="746" width="11.578125" style="62" customWidth="1"/>
    <col min="747" max="752" width="12" style="62" customWidth="1"/>
    <col min="753" max="753" width="11.578125" style="62" customWidth="1"/>
    <col min="754" max="754" width="8.83984375" style="62"/>
    <col min="755" max="758" width="14.83984375" style="62" customWidth="1"/>
    <col min="759" max="764" width="15.83984375" style="62" customWidth="1"/>
    <col min="765" max="765" width="17.578125" style="62" customWidth="1"/>
    <col min="766" max="997" width="8.83984375" style="62"/>
    <col min="998" max="998" width="34.26171875" style="62" customWidth="1"/>
    <col min="999" max="999" width="12" style="62" customWidth="1"/>
    <col min="1000" max="1000" width="11.578125" style="62" customWidth="1"/>
    <col min="1001" max="1001" width="12" style="62" customWidth="1"/>
    <col min="1002" max="1002" width="11.578125" style="62" customWidth="1"/>
    <col min="1003" max="1008" width="12" style="62" customWidth="1"/>
    <col min="1009" max="1009" width="11.578125" style="62" customWidth="1"/>
    <col min="1010" max="1010" width="8.83984375" style="62"/>
    <col min="1011" max="1014" width="14.83984375" style="62" customWidth="1"/>
    <col min="1015" max="1020" width="15.83984375" style="62" customWidth="1"/>
    <col min="1021" max="1021" width="17.578125" style="62" customWidth="1"/>
    <col min="1022" max="1253" width="8.83984375" style="62"/>
    <col min="1254" max="1254" width="34.26171875" style="62" customWidth="1"/>
    <col min="1255" max="1255" width="12" style="62" customWidth="1"/>
    <col min="1256" max="1256" width="11.578125" style="62" customWidth="1"/>
    <col min="1257" max="1257" width="12" style="62" customWidth="1"/>
    <col min="1258" max="1258" width="11.578125" style="62" customWidth="1"/>
    <col min="1259" max="1264" width="12" style="62" customWidth="1"/>
    <col min="1265" max="1265" width="11.578125" style="62" customWidth="1"/>
    <col min="1266" max="1266" width="8.83984375" style="62"/>
    <col min="1267" max="1270" width="14.83984375" style="62" customWidth="1"/>
    <col min="1271" max="1276" width="15.83984375" style="62" customWidth="1"/>
    <col min="1277" max="1277" width="17.578125" style="62" customWidth="1"/>
    <col min="1278" max="1509" width="8.83984375" style="62"/>
    <col min="1510" max="1510" width="34.26171875" style="62" customWidth="1"/>
    <col min="1511" max="1511" width="12" style="62" customWidth="1"/>
    <col min="1512" max="1512" width="11.578125" style="62" customWidth="1"/>
    <col min="1513" max="1513" width="12" style="62" customWidth="1"/>
    <col min="1514" max="1514" width="11.578125" style="62" customWidth="1"/>
    <col min="1515" max="1520" width="12" style="62" customWidth="1"/>
    <col min="1521" max="1521" width="11.578125" style="62" customWidth="1"/>
    <col min="1522" max="1522" width="8.83984375" style="62"/>
    <col min="1523" max="1526" width="14.83984375" style="62" customWidth="1"/>
    <col min="1527" max="1532" width="15.83984375" style="62" customWidth="1"/>
    <col min="1533" max="1533" width="17.578125" style="62" customWidth="1"/>
    <col min="1534" max="1765" width="8.83984375" style="62"/>
    <col min="1766" max="1766" width="34.26171875" style="62" customWidth="1"/>
    <col min="1767" max="1767" width="12" style="62" customWidth="1"/>
    <col min="1768" max="1768" width="11.578125" style="62" customWidth="1"/>
    <col min="1769" max="1769" width="12" style="62" customWidth="1"/>
    <col min="1770" max="1770" width="11.578125" style="62" customWidth="1"/>
    <col min="1771" max="1776" width="12" style="62" customWidth="1"/>
    <col min="1777" max="1777" width="11.578125" style="62" customWidth="1"/>
    <col min="1778" max="1778" width="8.83984375" style="62"/>
    <col min="1779" max="1782" width="14.83984375" style="62" customWidth="1"/>
    <col min="1783" max="1788" width="15.83984375" style="62" customWidth="1"/>
    <col min="1789" max="1789" width="17.578125" style="62" customWidth="1"/>
    <col min="1790" max="2021" width="8.83984375" style="62"/>
    <col min="2022" max="2022" width="34.26171875" style="62" customWidth="1"/>
    <col min="2023" max="2023" width="12" style="62" customWidth="1"/>
    <col min="2024" max="2024" width="11.578125" style="62" customWidth="1"/>
    <col min="2025" max="2025" width="12" style="62" customWidth="1"/>
    <col min="2026" max="2026" width="11.578125" style="62" customWidth="1"/>
    <col min="2027" max="2032" width="12" style="62" customWidth="1"/>
    <col min="2033" max="2033" width="11.578125" style="62" customWidth="1"/>
    <col min="2034" max="2034" width="8.83984375" style="62"/>
    <col min="2035" max="2038" width="14.83984375" style="62" customWidth="1"/>
    <col min="2039" max="2044" width="15.83984375" style="62" customWidth="1"/>
    <col min="2045" max="2045" width="17.578125" style="62" customWidth="1"/>
    <col min="2046" max="2277" width="8.83984375" style="62"/>
    <col min="2278" max="2278" width="34.26171875" style="62" customWidth="1"/>
    <col min="2279" max="2279" width="12" style="62" customWidth="1"/>
    <col min="2280" max="2280" width="11.578125" style="62" customWidth="1"/>
    <col min="2281" max="2281" width="12" style="62" customWidth="1"/>
    <col min="2282" max="2282" width="11.578125" style="62" customWidth="1"/>
    <col min="2283" max="2288" width="12" style="62" customWidth="1"/>
    <col min="2289" max="2289" width="11.578125" style="62" customWidth="1"/>
    <col min="2290" max="2290" width="8.83984375" style="62"/>
    <col min="2291" max="2294" width="14.83984375" style="62" customWidth="1"/>
    <col min="2295" max="2300" width="15.83984375" style="62" customWidth="1"/>
    <col min="2301" max="2301" width="17.578125" style="62" customWidth="1"/>
    <col min="2302" max="2533" width="8.83984375" style="62"/>
    <col min="2534" max="2534" width="34.26171875" style="62" customWidth="1"/>
    <col min="2535" max="2535" width="12" style="62" customWidth="1"/>
    <col min="2536" max="2536" width="11.578125" style="62" customWidth="1"/>
    <col min="2537" max="2537" width="12" style="62" customWidth="1"/>
    <col min="2538" max="2538" width="11.578125" style="62" customWidth="1"/>
    <col min="2539" max="2544" width="12" style="62" customWidth="1"/>
    <col min="2545" max="2545" width="11.578125" style="62" customWidth="1"/>
    <col min="2546" max="2546" width="8.83984375" style="62"/>
    <col min="2547" max="2550" width="14.83984375" style="62" customWidth="1"/>
    <col min="2551" max="2556" width="15.83984375" style="62" customWidth="1"/>
    <col min="2557" max="2557" width="17.578125" style="62" customWidth="1"/>
    <col min="2558" max="2789" width="8.83984375" style="62"/>
    <col min="2790" max="2790" width="34.26171875" style="62" customWidth="1"/>
    <col min="2791" max="2791" width="12" style="62" customWidth="1"/>
    <col min="2792" max="2792" width="11.578125" style="62" customWidth="1"/>
    <col min="2793" max="2793" width="12" style="62" customWidth="1"/>
    <col min="2794" max="2794" width="11.578125" style="62" customWidth="1"/>
    <col min="2795" max="2800" width="12" style="62" customWidth="1"/>
    <col min="2801" max="2801" width="11.578125" style="62" customWidth="1"/>
    <col min="2802" max="2802" width="8.83984375" style="62"/>
    <col min="2803" max="2806" width="14.83984375" style="62" customWidth="1"/>
    <col min="2807" max="2812" width="15.83984375" style="62" customWidth="1"/>
    <col min="2813" max="2813" width="17.578125" style="62" customWidth="1"/>
    <col min="2814" max="3045" width="8.83984375" style="62"/>
    <col min="3046" max="3046" width="34.26171875" style="62" customWidth="1"/>
    <col min="3047" max="3047" width="12" style="62" customWidth="1"/>
    <col min="3048" max="3048" width="11.578125" style="62" customWidth="1"/>
    <col min="3049" max="3049" width="12" style="62" customWidth="1"/>
    <col min="3050" max="3050" width="11.578125" style="62" customWidth="1"/>
    <col min="3051" max="3056" width="12" style="62" customWidth="1"/>
    <col min="3057" max="3057" width="11.578125" style="62" customWidth="1"/>
    <col min="3058" max="3058" width="8.83984375" style="62"/>
    <col min="3059" max="3062" width="14.83984375" style="62" customWidth="1"/>
    <col min="3063" max="3068" width="15.83984375" style="62" customWidth="1"/>
    <col min="3069" max="3069" width="17.578125" style="62" customWidth="1"/>
    <col min="3070" max="3301" width="8.83984375" style="62"/>
    <col min="3302" max="3302" width="34.26171875" style="62" customWidth="1"/>
    <col min="3303" max="3303" width="12" style="62" customWidth="1"/>
    <col min="3304" max="3304" width="11.578125" style="62" customWidth="1"/>
    <col min="3305" max="3305" width="12" style="62" customWidth="1"/>
    <col min="3306" max="3306" width="11.578125" style="62" customWidth="1"/>
    <col min="3307" max="3312" width="12" style="62" customWidth="1"/>
    <col min="3313" max="3313" width="11.578125" style="62" customWidth="1"/>
    <col min="3314" max="3314" width="8.83984375" style="62"/>
    <col min="3315" max="3318" width="14.83984375" style="62" customWidth="1"/>
    <col min="3319" max="3324" width="15.83984375" style="62" customWidth="1"/>
    <col min="3325" max="3325" width="17.578125" style="62" customWidth="1"/>
    <col min="3326" max="3557" width="8.83984375" style="62"/>
    <col min="3558" max="3558" width="34.26171875" style="62" customWidth="1"/>
    <col min="3559" max="3559" width="12" style="62" customWidth="1"/>
    <col min="3560" max="3560" width="11.578125" style="62" customWidth="1"/>
    <col min="3561" max="3561" width="12" style="62" customWidth="1"/>
    <col min="3562" max="3562" width="11.578125" style="62" customWidth="1"/>
    <col min="3563" max="3568" width="12" style="62" customWidth="1"/>
    <col min="3569" max="3569" width="11.578125" style="62" customWidth="1"/>
    <col min="3570" max="3570" width="8.83984375" style="62"/>
    <col min="3571" max="3574" width="14.83984375" style="62" customWidth="1"/>
    <col min="3575" max="3580" width="15.83984375" style="62" customWidth="1"/>
    <col min="3581" max="3581" width="17.578125" style="62" customWidth="1"/>
    <col min="3582" max="3813" width="8.83984375" style="62"/>
    <col min="3814" max="3814" width="34.26171875" style="62" customWidth="1"/>
    <col min="3815" max="3815" width="12" style="62" customWidth="1"/>
    <col min="3816" max="3816" width="11.578125" style="62" customWidth="1"/>
    <col min="3817" max="3817" width="12" style="62" customWidth="1"/>
    <col min="3818" max="3818" width="11.578125" style="62" customWidth="1"/>
    <col min="3819" max="3824" width="12" style="62" customWidth="1"/>
    <col min="3825" max="3825" width="11.578125" style="62" customWidth="1"/>
    <col min="3826" max="3826" width="8.83984375" style="62"/>
    <col min="3827" max="3830" width="14.83984375" style="62" customWidth="1"/>
    <col min="3831" max="3836" width="15.83984375" style="62" customWidth="1"/>
    <col min="3837" max="3837" width="17.578125" style="62" customWidth="1"/>
    <col min="3838" max="4069" width="8.83984375" style="62"/>
    <col min="4070" max="4070" width="34.26171875" style="62" customWidth="1"/>
    <col min="4071" max="4071" width="12" style="62" customWidth="1"/>
    <col min="4072" max="4072" width="11.578125" style="62" customWidth="1"/>
    <col min="4073" max="4073" width="12" style="62" customWidth="1"/>
    <col min="4074" max="4074" width="11.578125" style="62" customWidth="1"/>
    <col min="4075" max="4080" width="12" style="62" customWidth="1"/>
    <col min="4081" max="4081" width="11.578125" style="62" customWidth="1"/>
    <col min="4082" max="4082" width="8.83984375" style="62"/>
    <col min="4083" max="4086" width="14.83984375" style="62" customWidth="1"/>
    <col min="4087" max="4092" width="15.83984375" style="62" customWidth="1"/>
    <col min="4093" max="4093" width="17.578125" style="62" customWidth="1"/>
    <col min="4094" max="4325" width="8.83984375" style="62"/>
    <col min="4326" max="4326" width="34.26171875" style="62" customWidth="1"/>
    <col min="4327" max="4327" width="12" style="62" customWidth="1"/>
    <col min="4328" max="4328" width="11.578125" style="62" customWidth="1"/>
    <col min="4329" max="4329" width="12" style="62" customWidth="1"/>
    <col min="4330" max="4330" width="11.578125" style="62" customWidth="1"/>
    <col min="4331" max="4336" width="12" style="62" customWidth="1"/>
    <col min="4337" max="4337" width="11.578125" style="62" customWidth="1"/>
    <col min="4338" max="4338" width="8.83984375" style="62"/>
    <col min="4339" max="4342" width="14.83984375" style="62" customWidth="1"/>
    <col min="4343" max="4348" width="15.83984375" style="62" customWidth="1"/>
    <col min="4349" max="4349" width="17.578125" style="62" customWidth="1"/>
    <col min="4350" max="4581" width="8.83984375" style="62"/>
    <col min="4582" max="4582" width="34.26171875" style="62" customWidth="1"/>
    <col min="4583" max="4583" width="12" style="62" customWidth="1"/>
    <col min="4584" max="4584" width="11.578125" style="62" customWidth="1"/>
    <col min="4585" max="4585" width="12" style="62" customWidth="1"/>
    <col min="4586" max="4586" width="11.578125" style="62" customWidth="1"/>
    <col min="4587" max="4592" width="12" style="62" customWidth="1"/>
    <col min="4593" max="4593" width="11.578125" style="62" customWidth="1"/>
    <col min="4594" max="4594" width="8.83984375" style="62"/>
    <col min="4595" max="4598" width="14.83984375" style="62" customWidth="1"/>
    <col min="4599" max="4604" width="15.83984375" style="62" customWidth="1"/>
    <col min="4605" max="4605" width="17.578125" style="62" customWidth="1"/>
    <col min="4606" max="4837" width="8.83984375" style="62"/>
    <col min="4838" max="4838" width="34.26171875" style="62" customWidth="1"/>
    <col min="4839" max="4839" width="12" style="62" customWidth="1"/>
    <col min="4840" max="4840" width="11.578125" style="62" customWidth="1"/>
    <col min="4841" max="4841" width="12" style="62" customWidth="1"/>
    <col min="4842" max="4842" width="11.578125" style="62" customWidth="1"/>
    <col min="4843" max="4848" width="12" style="62" customWidth="1"/>
    <col min="4849" max="4849" width="11.578125" style="62" customWidth="1"/>
    <col min="4850" max="4850" width="8.83984375" style="62"/>
    <col min="4851" max="4854" width="14.83984375" style="62" customWidth="1"/>
    <col min="4855" max="4860" width="15.83984375" style="62" customWidth="1"/>
    <col min="4861" max="4861" width="17.578125" style="62" customWidth="1"/>
    <col min="4862" max="5093" width="8.83984375" style="62"/>
    <col min="5094" max="5094" width="34.26171875" style="62" customWidth="1"/>
    <col min="5095" max="5095" width="12" style="62" customWidth="1"/>
    <col min="5096" max="5096" width="11.578125" style="62" customWidth="1"/>
    <col min="5097" max="5097" width="12" style="62" customWidth="1"/>
    <col min="5098" max="5098" width="11.578125" style="62" customWidth="1"/>
    <col min="5099" max="5104" width="12" style="62" customWidth="1"/>
    <col min="5105" max="5105" width="11.578125" style="62" customWidth="1"/>
    <col min="5106" max="5106" width="8.83984375" style="62"/>
    <col min="5107" max="5110" width="14.83984375" style="62" customWidth="1"/>
    <col min="5111" max="5116" width="15.83984375" style="62" customWidth="1"/>
    <col min="5117" max="5117" width="17.578125" style="62" customWidth="1"/>
    <col min="5118" max="5349" width="8.83984375" style="62"/>
    <col min="5350" max="5350" width="34.26171875" style="62" customWidth="1"/>
    <col min="5351" max="5351" width="12" style="62" customWidth="1"/>
    <col min="5352" max="5352" width="11.578125" style="62" customWidth="1"/>
    <col min="5353" max="5353" width="12" style="62" customWidth="1"/>
    <col min="5354" max="5354" width="11.578125" style="62" customWidth="1"/>
    <col min="5355" max="5360" width="12" style="62" customWidth="1"/>
    <col min="5361" max="5361" width="11.578125" style="62" customWidth="1"/>
    <col min="5362" max="5362" width="8.83984375" style="62"/>
    <col min="5363" max="5366" width="14.83984375" style="62" customWidth="1"/>
    <col min="5367" max="5372" width="15.83984375" style="62" customWidth="1"/>
    <col min="5373" max="5373" width="17.578125" style="62" customWidth="1"/>
    <col min="5374" max="5605" width="8.83984375" style="62"/>
    <col min="5606" max="5606" width="34.26171875" style="62" customWidth="1"/>
    <col min="5607" max="5607" width="12" style="62" customWidth="1"/>
    <col min="5608" max="5608" width="11.578125" style="62" customWidth="1"/>
    <col min="5609" max="5609" width="12" style="62" customWidth="1"/>
    <col min="5610" max="5610" width="11.578125" style="62" customWidth="1"/>
    <col min="5611" max="5616" width="12" style="62" customWidth="1"/>
    <col min="5617" max="5617" width="11.578125" style="62" customWidth="1"/>
    <col min="5618" max="5618" width="8.83984375" style="62"/>
    <col min="5619" max="5622" width="14.83984375" style="62" customWidth="1"/>
    <col min="5623" max="5628" width="15.83984375" style="62" customWidth="1"/>
    <col min="5629" max="5629" width="17.578125" style="62" customWidth="1"/>
    <col min="5630" max="5861" width="8.83984375" style="62"/>
    <col min="5862" max="5862" width="34.26171875" style="62" customWidth="1"/>
    <col min="5863" max="5863" width="12" style="62" customWidth="1"/>
    <col min="5864" max="5864" width="11.578125" style="62" customWidth="1"/>
    <col min="5865" max="5865" width="12" style="62" customWidth="1"/>
    <col min="5866" max="5866" width="11.578125" style="62" customWidth="1"/>
    <col min="5867" max="5872" width="12" style="62" customWidth="1"/>
    <col min="5873" max="5873" width="11.578125" style="62" customWidth="1"/>
    <col min="5874" max="5874" width="8.83984375" style="62"/>
    <col min="5875" max="5878" width="14.83984375" style="62" customWidth="1"/>
    <col min="5879" max="5884" width="15.83984375" style="62" customWidth="1"/>
    <col min="5885" max="5885" width="17.578125" style="62" customWidth="1"/>
    <col min="5886" max="6117" width="8.83984375" style="62"/>
    <col min="6118" max="6118" width="34.26171875" style="62" customWidth="1"/>
    <col min="6119" max="6119" width="12" style="62" customWidth="1"/>
    <col min="6120" max="6120" width="11.578125" style="62" customWidth="1"/>
    <col min="6121" max="6121" width="12" style="62" customWidth="1"/>
    <col min="6122" max="6122" width="11.578125" style="62" customWidth="1"/>
    <col min="6123" max="6128" width="12" style="62" customWidth="1"/>
    <col min="6129" max="6129" width="11.578125" style="62" customWidth="1"/>
    <col min="6130" max="6130" width="8.83984375" style="62"/>
    <col min="6131" max="6134" width="14.83984375" style="62" customWidth="1"/>
    <col min="6135" max="6140" width="15.83984375" style="62" customWidth="1"/>
    <col min="6141" max="6141" width="17.578125" style="62" customWidth="1"/>
    <col min="6142" max="6373" width="8.83984375" style="62"/>
    <col min="6374" max="6374" width="34.26171875" style="62" customWidth="1"/>
    <col min="6375" max="6375" width="12" style="62" customWidth="1"/>
    <col min="6376" max="6376" width="11.578125" style="62" customWidth="1"/>
    <col min="6377" max="6377" width="12" style="62" customWidth="1"/>
    <col min="6378" max="6378" width="11.578125" style="62" customWidth="1"/>
    <col min="6379" max="6384" width="12" style="62" customWidth="1"/>
    <col min="6385" max="6385" width="11.578125" style="62" customWidth="1"/>
    <col min="6386" max="6386" width="8.83984375" style="62"/>
    <col min="6387" max="6390" width="14.83984375" style="62" customWidth="1"/>
    <col min="6391" max="6396" width="15.83984375" style="62" customWidth="1"/>
    <col min="6397" max="6397" width="17.578125" style="62" customWidth="1"/>
    <col min="6398" max="6629" width="8.83984375" style="62"/>
    <col min="6630" max="6630" width="34.26171875" style="62" customWidth="1"/>
    <col min="6631" max="6631" width="12" style="62" customWidth="1"/>
    <col min="6632" max="6632" width="11.578125" style="62" customWidth="1"/>
    <col min="6633" max="6633" width="12" style="62" customWidth="1"/>
    <col min="6634" max="6634" width="11.578125" style="62" customWidth="1"/>
    <col min="6635" max="6640" width="12" style="62" customWidth="1"/>
    <col min="6641" max="6641" width="11.578125" style="62" customWidth="1"/>
    <col min="6642" max="6642" width="8.83984375" style="62"/>
    <col min="6643" max="6646" width="14.83984375" style="62" customWidth="1"/>
    <col min="6647" max="6652" width="15.83984375" style="62" customWidth="1"/>
    <col min="6653" max="6653" width="17.578125" style="62" customWidth="1"/>
    <col min="6654" max="6885" width="8.83984375" style="62"/>
    <col min="6886" max="6886" width="34.26171875" style="62" customWidth="1"/>
    <col min="6887" max="6887" width="12" style="62" customWidth="1"/>
    <col min="6888" max="6888" width="11.578125" style="62" customWidth="1"/>
    <col min="6889" max="6889" width="12" style="62" customWidth="1"/>
    <col min="6890" max="6890" width="11.578125" style="62" customWidth="1"/>
    <col min="6891" max="6896" width="12" style="62" customWidth="1"/>
    <col min="6897" max="6897" width="11.578125" style="62" customWidth="1"/>
    <col min="6898" max="6898" width="8.83984375" style="62"/>
    <col min="6899" max="6902" width="14.83984375" style="62" customWidth="1"/>
    <col min="6903" max="6908" width="15.83984375" style="62" customWidth="1"/>
    <col min="6909" max="6909" width="17.578125" style="62" customWidth="1"/>
    <col min="6910" max="7141" width="8.83984375" style="62"/>
    <col min="7142" max="7142" width="34.26171875" style="62" customWidth="1"/>
    <col min="7143" max="7143" width="12" style="62" customWidth="1"/>
    <col min="7144" max="7144" width="11.578125" style="62" customWidth="1"/>
    <col min="7145" max="7145" width="12" style="62" customWidth="1"/>
    <col min="7146" max="7146" width="11.578125" style="62" customWidth="1"/>
    <col min="7147" max="7152" width="12" style="62" customWidth="1"/>
    <col min="7153" max="7153" width="11.578125" style="62" customWidth="1"/>
    <col min="7154" max="7154" width="8.83984375" style="62"/>
    <col min="7155" max="7158" width="14.83984375" style="62" customWidth="1"/>
    <col min="7159" max="7164" width="15.83984375" style="62" customWidth="1"/>
    <col min="7165" max="7165" width="17.578125" style="62" customWidth="1"/>
    <col min="7166" max="7397" width="8.83984375" style="62"/>
    <col min="7398" max="7398" width="34.26171875" style="62" customWidth="1"/>
    <col min="7399" max="7399" width="12" style="62" customWidth="1"/>
    <col min="7400" max="7400" width="11.578125" style="62" customWidth="1"/>
    <col min="7401" max="7401" width="12" style="62" customWidth="1"/>
    <col min="7402" max="7402" width="11.578125" style="62" customWidth="1"/>
    <col min="7403" max="7408" width="12" style="62" customWidth="1"/>
    <col min="7409" max="7409" width="11.578125" style="62" customWidth="1"/>
    <col min="7410" max="7410" width="8.83984375" style="62"/>
    <col min="7411" max="7414" width="14.83984375" style="62" customWidth="1"/>
    <col min="7415" max="7420" width="15.83984375" style="62" customWidth="1"/>
    <col min="7421" max="7421" width="17.578125" style="62" customWidth="1"/>
    <col min="7422" max="7653" width="8.83984375" style="62"/>
    <col min="7654" max="7654" width="34.26171875" style="62" customWidth="1"/>
    <col min="7655" max="7655" width="12" style="62" customWidth="1"/>
    <col min="7656" max="7656" width="11.578125" style="62" customWidth="1"/>
    <col min="7657" max="7657" width="12" style="62" customWidth="1"/>
    <col min="7658" max="7658" width="11.578125" style="62" customWidth="1"/>
    <col min="7659" max="7664" width="12" style="62" customWidth="1"/>
    <col min="7665" max="7665" width="11.578125" style="62" customWidth="1"/>
    <col min="7666" max="7666" width="8.83984375" style="62"/>
    <col min="7667" max="7670" width="14.83984375" style="62" customWidth="1"/>
    <col min="7671" max="7676" width="15.83984375" style="62" customWidth="1"/>
    <col min="7677" max="7677" width="17.578125" style="62" customWidth="1"/>
    <col min="7678" max="7909" width="8.83984375" style="62"/>
    <col min="7910" max="7910" width="34.26171875" style="62" customWidth="1"/>
    <col min="7911" max="7911" width="12" style="62" customWidth="1"/>
    <col min="7912" max="7912" width="11.578125" style="62" customWidth="1"/>
    <col min="7913" max="7913" width="12" style="62" customWidth="1"/>
    <col min="7914" max="7914" width="11.578125" style="62" customWidth="1"/>
    <col min="7915" max="7920" width="12" style="62" customWidth="1"/>
    <col min="7921" max="7921" width="11.578125" style="62" customWidth="1"/>
    <col min="7922" max="7922" width="8.83984375" style="62"/>
    <col min="7923" max="7926" width="14.83984375" style="62" customWidth="1"/>
    <col min="7927" max="7932" width="15.83984375" style="62" customWidth="1"/>
    <col min="7933" max="7933" width="17.578125" style="62" customWidth="1"/>
    <col min="7934" max="8165" width="8.83984375" style="62"/>
    <col min="8166" max="8166" width="34.26171875" style="62" customWidth="1"/>
    <col min="8167" max="8167" width="12" style="62" customWidth="1"/>
    <col min="8168" max="8168" width="11.578125" style="62" customWidth="1"/>
    <col min="8169" max="8169" width="12" style="62" customWidth="1"/>
    <col min="8170" max="8170" width="11.578125" style="62" customWidth="1"/>
    <col min="8171" max="8176" width="12" style="62" customWidth="1"/>
    <col min="8177" max="8177" width="11.578125" style="62" customWidth="1"/>
    <col min="8178" max="8178" width="8.83984375" style="62"/>
    <col min="8179" max="8182" width="14.83984375" style="62" customWidth="1"/>
    <col min="8183" max="8188" width="15.83984375" style="62" customWidth="1"/>
    <col min="8189" max="8189" width="17.578125" style="62" customWidth="1"/>
    <col min="8190" max="8421" width="8.83984375" style="62"/>
    <col min="8422" max="8422" width="34.26171875" style="62" customWidth="1"/>
    <col min="8423" max="8423" width="12" style="62" customWidth="1"/>
    <col min="8424" max="8424" width="11.578125" style="62" customWidth="1"/>
    <col min="8425" max="8425" width="12" style="62" customWidth="1"/>
    <col min="8426" max="8426" width="11.578125" style="62" customWidth="1"/>
    <col min="8427" max="8432" width="12" style="62" customWidth="1"/>
    <col min="8433" max="8433" width="11.578125" style="62" customWidth="1"/>
    <col min="8434" max="8434" width="8.83984375" style="62"/>
    <col min="8435" max="8438" width="14.83984375" style="62" customWidth="1"/>
    <col min="8439" max="8444" width="15.83984375" style="62" customWidth="1"/>
    <col min="8445" max="8445" width="17.578125" style="62" customWidth="1"/>
    <col min="8446" max="8677" width="8.83984375" style="62"/>
    <col min="8678" max="8678" width="34.26171875" style="62" customWidth="1"/>
    <col min="8679" max="8679" width="12" style="62" customWidth="1"/>
    <col min="8680" max="8680" width="11.578125" style="62" customWidth="1"/>
    <col min="8681" max="8681" width="12" style="62" customWidth="1"/>
    <col min="8682" max="8682" width="11.578125" style="62" customWidth="1"/>
    <col min="8683" max="8688" width="12" style="62" customWidth="1"/>
    <col min="8689" max="8689" width="11.578125" style="62" customWidth="1"/>
    <col min="8690" max="8690" width="8.83984375" style="62"/>
    <col min="8691" max="8694" width="14.83984375" style="62" customWidth="1"/>
    <col min="8695" max="8700" width="15.83984375" style="62" customWidth="1"/>
    <col min="8701" max="8701" width="17.578125" style="62" customWidth="1"/>
    <col min="8702" max="8933" width="8.83984375" style="62"/>
    <col min="8934" max="8934" width="34.26171875" style="62" customWidth="1"/>
    <col min="8935" max="8935" width="12" style="62" customWidth="1"/>
    <col min="8936" max="8936" width="11.578125" style="62" customWidth="1"/>
    <col min="8937" max="8937" width="12" style="62" customWidth="1"/>
    <col min="8938" max="8938" width="11.578125" style="62" customWidth="1"/>
    <col min="8939" max="8944" width="12" style="62" customWidth="1"/>
    <col min="8945" max="8945" width="11.578125" style="62" customWidth="1"/>
    <col min="8946" max="8946" width="8.83984375" style="62"/>
    <col min="8947" max="8950" width="14.83984375" style="62" customWidth="1"/>
    <col min="8951" max="8956" width="15.83984375" style="62" customWidth="1"/>
    <col min="8957" max="8957" width="17.578125" style="62" customWidth="1"/>
    <col min="8958" max="9189" width="8.83984375" style="62"/>
    <col min="9190" max="9190" width="34.26171875" style="62" customWidth="1"/>
    <col min="9191" max="9191" width="12" style="62" customWidth="1"/>
    <col min="9192" max="9192" width="11.578125" style="62" customWidth="1"/>
    <col min="9193" max="9193" width="12" style="62" customWidth="1"/>
    <col min="9194" max="9194" width="11.578125" style="62" customWidth="1"/>
    <col min="9195" max="9200" width="12" style="62" customWidth="1"/>
    <col min="9201" max="9201" width="11.578125" style="62" customWidth="1"/>
    <col min="9202" max="9202" width="8.83984375" style="62"/>
    <col min="9203" max="9206" width="14.83984375" style="62" customWidth="1"/>
    <col min="9207" max="9212" width="15.83984375" style="62" customWidth="1"/>
    <col min="9213" max="9213" width="17.578125" style="62" customWidth="1"/>
    <col min="9214" max="9445" width="8.83984375" style="62"/>
    <col min="9446" max="9446" width="34.26171875" style="62" customWidth="1"/>
    <col min="9447" max="9447" width="12" style="62" customWidth="1"/>
    <col min="9448" max="9448" width="11.578125" style="62" customWidth="1"/>
    <col min="9449" max="9449" width="12" style="62" customWidth="1"/>
    <col min="9450" max="9450" width="11.578125" style="62" customWidth="1"/>
    <col min="9451" max="9456" width="12" style="62" customWidth="1"/>
    <col min="9457" max="9457" width="11.578125" style="62" customWidth="1"/>
    <col min="9458" max="9458" width="8.83984375" style="62"/>
    <col min="9459" max="9462" width="14.83984375" style="62" customWidth="1"/>
    <col min="9463" max="9468" width="15.83984375" style="62" customWidth="1"/>
    <col min="9469" max="9469" width="17.578125" style="62" customWidth="1"/>
    <col min="9470" max="9701" width="8.83984375" style="62"/>
    <col min="9702" max="9702" width="34.26171875" style="62" customWidth="1"/>
    <col min="9703" max="9703" width="12" style="62" customWidth="1"/>
    <col min="9704" max="9704" width="11.578125" style="62" customWidth="1"/>
    <col min="9705" max="9705" width="12" style="62" customWidth="1"/>
    <col min="9706" max="9706" width="11.578125" style="62" customWidth="1"/>
    <col min="9707" max="9712" width="12" style="62" customWidth="1"/>
    <col min="9713" max="9713" width="11.578125" style="62" customWidth="1"/>
    <col min="9714" max="9714" width="8.83984375" style="62"/>
    <col min="9715" max="9718" width="14.83984375" style="62" customWidth="1"/>
    <col min="9719" max="9724" width="15.83984375" style="62" customWidth="1"/>
    <col min="9725" max="9725" width="17.578125" style="62" customWidth="1"/>
    <col min="9726" max="9957" width="8.83984375" style="62"/>
    <col min="9958" max="9958" width="34.26171875" style="62" customWidth="1"/>
    <col min="9959" max="9959" width="12" style="62" customWidth="1"/>
    <col min="9960" max="9960" width="11.578125" style="62" customWidth="1"/>
    <col min="9961" max="9961" width="12" style="62" customWidth="1"/>
    <col min="9962" max="9962" width="11.578125" style="62" customWidth="1"/>
    <col min="9963" max="9968" width="12" style="62" customWidth="1"/>
    <col min="9969" max="9969" width="11.578125" style="62" customWidth="1"/>
    <col min="9970" max="9970" width="8.83984375" style="62"/>
    <col min="9971" max="9974" width="14.83984375" style="62" customWidth="1"/>
    <col min="9975" max="9980" width="15.83984375" style="62" customWidth="1"/>
    <col min="9981" max="9981" width="17.578125" style="62" customWidth="1"/>
    <col min="9982" max="10213" width="8.83984375" style="62"/>
    <col min="10214" max="10214" width="34.26171875" style="62" customWidth="1"/>
    <col min="10215" max="10215" width="12" style="62" customWidth="1"/>
    <col min="10216" max="10216" width="11.578125" style="62" customWidth="1"/>
    <col min="10217" max="10217" width="12" style="62" customWidth="1"/>
    <col min="10218" max="10218" width="11.578125" style="62" customWidth="1"/>
    <col min="10219" max="10224" width="12" style="62" customWidth="1"/>
    <col min="10225" max="10225" width="11.578125" style="62" customWidth="1"/>
    <col min="10226" max="10226" width="8.83984375" style="62"/>
    <col min="10227" max="10230" width="14.83984375" style="62" customWidth="1"/>
    <col min="10231" max="10236" width="15.83984375" style="62" customWidth="1"/>
    <col min="10237" max="10237" width="17.578125" style="62" customWidth="1"/>
    <col min="10238" max="10469" width="8.83984375" style="62"/>
    <col min="10470" max="10470" width="34.26171875" style="62" customWidth="1"/>
    <col min="10471" max="10471" width="12" style="62" customWidth="1"/>
    <col min="10472" max="10472" width="11.578125" style="62" customWidth="1"/>
    <col min="10473" max="10473" width="12" style="62" customWidth="1"/>
    <col min="10474" max="10474" width="11.578125" style="62" customWidth="1"/>
    <col min="10475" max="10480" width="12" style="62" customWidth="1"/>
    <col min="10481" max="10481" width="11.578125" style="62" customWidth="1"/>
    <col min="10482" max="10482" width="8.83984375" style="62"/>
    <col min="10483" max="10486" width="14.83984375" style="62" customWidth="1"/>
    <col min="10487" max="10492" width="15.83984375" style="62" customWidth="1"/>
    <col min="10493" max="10493" width="17.578125" style="62" customWidth="1"/>
    <col min="10494" max="10725" width="8.83984375" style="62"/>
    <col min="10726" max="10726" width="34.26171875" style="62" customWidth="1"/>
    <col min="10727" max="10727" width="12" style="62" customWidth="1"/>
    <col min="10728" max="10728" width="11.578125" style="62" customWidth="1"/>
    <col min="10729" max="10729" width="12" style="62" customWidth="1"/>
    <col min="10730" max="10730" width="11.578125" style="62" customWidth="1"/>
    <col min="10731" max="10736" width="12" style="62" customWidth="1"/>
    <col min="10737" max="10737" width="11.578125" style="62" customWidth="1"/>
    <col min="10738" max="10738" width="8.83984375" style="62"/>
    <col min="10739" max="10742" width="14.83984375" style="62" customWidth="1"/>
    <col min="10743" max="10748" width="15.83984375" style="62" customWidth="1"/>
    <col min="10749" max="10749" width="17.578125" style="62" customWidth="1"/>
    <col min="10750" max="10981" width="8.83984375" style="62"/>
    <col min="10982" max="10982" width="34.26171875" style="62" customWidth="1"/>
    <col min="10983" max="10983" width="12" style="62" customWidth="1"/>
    <col min="10984" max="10984" width="11.578125" style="62" customWidth="1"/>
    <col min="10985" max="10985" width="12" style="62" customWidth="1"/>
    <col min="10986" max="10986" width="11.578125" style="62" customWidth="1"/>
    <col min="10987" max="10992" width="12" style="62" customWidth="1"/>
    <col min="10993" max="10993" width="11.578125" style="62" customWidth="1"/>
    <col min="10994" max="10994" width="8.83984375" style="62"/>
    <col min="10995" max="10998" width="14.83984375" style="62" customWidth="1"/>
    <col min="10999" max="11004" width="15.83984375" style="62" customWidth="1"/>
    <col min="11005" max="11005" width="17.578125" style="62" customWidth="1"/>
    <col min="11006" max="11237" width="8.83984375" style="62"/>
    <col min="11238" max="11238" width="34.26171875" style="62" customWidth="1"/>
    <col min="11239" max="11239" width="12" style="62" customWidth="1"/>
    <col min="11240" max="11240" width="11.578125" style="62" customWidth="1"/>
    <col min="11241" max="11241" width="12" style="62" customWidth="1"/>
    <col min="11242" max="11242" width="11.578125" style="62" customWidth="1"/>
    <col min="11243" max="11248" width="12" style="62" customWidth="1"/>
    <col min="11249" max="11249" width="11.578125" style="62" customWidth="1"/>
    <col min="11250" max="11250" width="8.83984375" style="62"/>
    <col min="11251" max="11254" width="14.83984375" style="62" customWidth="1"/>
    <col min="11255" max="11260" width="15.83984375" style="62" customWidth="1"/>
    <col min="11261" max="11261" width="17.578125" style="62" customWidth="1"/>
    <col min="11262" max="11493" width="8.83984375" style="62"/>
    <col min="11494" max="11494" width="34.26171875" style="62" customWidth="1"/>
    <col min="11495" max="11495" width="12" style="62" customWidth="1"/>
    <col min="11496" max="11496" width="11.578125" style="62" customWidth="1"/>
    <col min="11497" max="11497" width="12" style="62" customWidth="1"/>
    <col min="11498" max="11498" width="11.578125" style="62" customWidth="1"/>
    <col min="11499" max="11504" width="12" style="62" customWidth="1"/>
    <col min="11505" max="11505" width="11.578125" style="62" customWidth="1"/>
    <col min="11506" max="11506" width="8.83984375" style="62"/>
    <col min="11507" max="11510" width="14.83984375" style="62" customWidth="1"/>
    <col min="11511" max="11516" width="15.83984375" style="62" customWidth="1"/>
    <col min="11517" max="11517" width="17.578125" style="62" customWidth="1"/>
    <col min="11518" max="11749" width="8.83984375" style="62"/>
    <col min="11750" max="11750" width="34.26171875" style="62" customWidth="1"/>
    <col min="11751" max="11751" width="12" style="62" customWidth="1"/>
    <col min="11752" max="11752" width="11.578125" style="62" customWidth="1"/>
    <col min="11753" max="11753" width="12" style="62" customWidth="1"/>
    <col min="11754" max="11754" width="11.578125" style="62" customWidth="1"/>
    <col min="11755" max="11760" width="12" style="62" customWidth="1"/>
    <col min="11761" max="11761" width="11.578125" style="62" customWidth="1"/>
    <col min="11762" max="11762" width="8.83984375" style="62"/>
    <col min="11763" max="11766" width="14.83984375" style="62" customWidth="1"/>
    <col min="11767" max="11772" width="15.83984375" style="62" customWidth="1"/>
    <col min="11773" max="11773" width="17.578125" style="62" customWidth="1"/>
    <col min="11774" max="12005" width="8.83984375" style="62"/>
    <col min="12006" max="12006" width="34.26171875" style="62" customWidth="1"/>
    <col min="12007" max="12007" width="12" style="62" customWidth="1"/>
    <col min="12008" max="12008" width="11.578125" style="62" customWidth="1"/>
    <col min="12009" max="12009" width="12" style="62" customWidth="1"/>
    <col min="12010" max="12010" width="11.578125" style="62" customWidth="1"/>
    <col min="12011" max="12016" width="12" style="62" customWidth="1"/>
    <col min="12017" max="12017" width="11.578125" style="62" customWidth="1"/>
    <col min="12018" max="12018" width="8.83984375" style="62"/>
    <col min="12019" max="12022" width="14.83984375" style="62" customWidth="1"/>
    <col min="12023" max="12028" width="15.83984375" style="62" customWidth="1"/>
    <col min="12029" max="12029" width="17.578125" style="62" customWidth="1"/>
    <col min="12030" max="12261" width="8.83984375" style="62"/>
    <col min="12262" max="12262" width="34.26171875" style="62" customWidth="1"/>
    <col min="12263" max="12263" width="12" style="62" customWidth="1"/>
    <col min="12264" max="12264" width="11.578125" style="62" customWidth="1"/>
    <col min="12265" max="12265" width="12" style="62" customWidth="1"/>
    <col min="12266" max="12266" width="11.578125" style="62" customWidth="1"/>
    <col min="12267" max="12272" width="12" style="62" customWidth="1"/>
    <col min="12273" max="12273" width="11.578125" style="62" customWidth="1"/>
    <col min="12274" max="12274" width="8.83984375" style="62"/>
    <col min="12275" max="12278" width="14.83984375" style="62" customWidth="1"/>
    <col min="12279" max="12284" width="15.83984375" style="62" customWidth="1"/>
    <col min="12285" max="12285" width="17.578125" style="62" customWidth="1"/>
    <col min="12286" max="12517" width="8.83984375" style="62"/>
    <col min="12518" max="12518" width="34.26171875" style="62" customWidth="1"/>
    <col min="12519" max="12519" width="12" style="62" customWidth="1"/>
    <col min="12520" max="12520" width="11.578125" style="62" customWidth="1"/>
    <col min="12521" max="12521" width="12" style="62" customWidth="1"/>
    <col min="12522" max="12522" width="11.578125" style="62" customWidth="1"/>
    <col min="12523" max="12528" width="12" style="62" customWidth="1"/>
    <col min="12529" max="12529" width="11.578125" style="62" customWidth="1"/>
    <col min="12530" max="12530" width="8.83984375" style="62"/>
    <col min="12531" max="12534" width="14.83984375" style="62" customWidth="1"/>
    <col min="12535" max="12540" width="15.83984375" style="62" customWidth="1"/>
    <col min="12541" max="12541" width="17.578125" style="62" customWidth="1"/>
    <col min="12542" max="12773" width="8.83984375" style="62"/>
    <col min="12774" max="12774" width="34.26171875" style="62" customWidth="1"/>
    <col min="12775" max="12775" width="12" style="62" customWidth="1"/>
    <col min="12776" max="12776" width="11.578125" style="62" customWidth="1"/>
    <col min="12777" max="12777" width="12" style="62" customWidth="1"/>
    <col min="12778" max="12778" width="11.578125" style="62" customWidth="1"/>
    <col min="12779" max="12784" width="12" style="62" customWidth="1"/>
    <col min="12785" max="12785" width="11.578125" style="62" customWidth="1"/>
    <col min="12786" max="12786" width="8.83984375" style="62"/>
    <col min="12787" max="12790" width="14.83984375" style="62" customWidth="1"/>
    <col min="12791" max="12796" width="15.83984375" style="62" customWidth="1"/>
    <col min="12797" max="12797" width="17.578125" style="62" customWidth="1"/>
    <col min="12798" max="13029" width="8.83984375" style="62"/>
    <col min="13030" max="13030" width="34.26171875" style="62" customWidth="1"/>
    <col min="13031" max="13031" width="12" style="62" customWidth="1"/>
    <col min="13032" max="13032" width="11.578125" style="62" customWidth="1"/>
    <col min="13033" max="13033" width="12" style="62" customWidth="1"/>
    <col min="13034" max="13034" width="11.578125" style="62" customWidth="1"/>
    <col min="13035" max="13040" width="12" style="62" customWidth="1"/>
    <col min="13041" max="13041" width="11.578125" style="62" customWidth="1"/>
    <col min="13042" max="13042" width="8.83984375" style="62"/>
    <col min="13043" max="13046" width="14.83984375" style="62" customWidth="1"/>
    <col min="13047" max="13052" width="15.83984375" style="62" customWidth="1"/>
    <col min="13053" max="13053" width="17.578125" style="62" customWidth="1"/>
    <col min="13054" max="13285" width="8.83984375" style="62"/>
    <col min="13286" max="13286" width="34.26171875" style="62" customWidth="1"/>
    <col min="13287" max="13287" width="12" style="62" customWidth="1"/>
    <col min="13288" max="13288" width="11.578125" style="62" customWidth="1"/>
    <col min="13289" max="13289" width="12" style="62" customWidth="1"/>
    <col min="13290" max="13290" width="11.578125" style="62" customWidth="1"/>
    <col min="13291" max="13296" width="12" style="62" customWidth="1"/>
    <col min="13297" max="13297" width="11.578125" style="62" customWidth="1"/>
    <col min="13298" max="13298" width="8.83984375" style="62"/>
    <col min="13299" max="13302" width="14.83984375" style="62" customWidth="1"/>
    <col min="13303" max="13308" width="15.83984375" style="62" customWidth="1"/>
    <col min="13309" max="13309" width="17.578125" style="62" customWidth="1"/>
    <col min="13310" max="13541" width="8.83984375" style="62"/>
    <col min="13542" max="13542" width="34.26171875" style="62" customWidth="1"/>
    <col min="13543" max="13543" width="12" style="62" customWidth="1"/>
    <col min="13544" max="13544" width="11.578125" style="62" customWidth="1"/>
    <col min="13545" max="13545" width="12" style="62" customWidth="1"/>
    <col min="13546" max="13546" width="11.578125" style="62" customWidth="1"/>
    <col min="13547" max="13552" width="12" style="62" customWidth="1"/>
    <col min="13553" max="13553" width="11.578125" style="62" customWidth="1"/>
    <col min="13554" max="13554" width="8.83984375" style="62"/>
    <col min="13555" max="13558" width="14.83984375" style="62" customWidth="1"/>
    <col min="13559" max="13564" width="15.83984375" style="62" customWidth="1"/>
    <col min="13565" max="13565" width="17.578125" style="62" customWidth="1"/>
    <col min="13566" max="13797" width="8.83984375" style="62"/>
    <col min="13798" max="13798" width="34.26171875" style="62" customWidth="1"/>
    <col min="13799" max="13799" width="12" style="62" customWidth="1"/>
    <col min="13800" max="13800" width="11.578125" style="62" customWidth="1"/>
    <col min="13801" max="13801" width="12" style="62" customWidth="1"/>
    <col min="13802" max="13802" width="11.578125" style="62" customWidth="1"/>
    <col min="13803" max="13808" width="12" style="62" customWidth="1"/>
    <col min="13809" max="13809" width="11.578125" style="62" customWidth="1"/>
    <col min="13810" max="13810" width="8.83984375" style="62"/>
    <col min="13811" max="13814" width="14.83984375" style="62" customWidth="1"/>
    <col min="13815" max="13820" width="15.83984375" style="62" customWidth="1"/>
    <col min="13821" max="13821" width="17.578125" style="62" customWidth="1"/>
    <col min="13822" max="14053" width="8.83984375" style="62"/>
    <col min="14054" max="14054" width="34.26171875" style="62" customWidth="1"/>
    <col min="14055" max="14055" width="12" style="62" customWidth="1"/>
    <col min="14056" max="14056" width="11.578125" style="62" customWidth="1"/>
    <col min="14057" max="14057" width="12" style="62" customWidth="1"/>
    <col min="14058" max="14058" width="11.578125" style="62" customWidth="1"/>
    <col min="14059" max="14064" width="12" style="62" customWidth="1"/>
    <col min="14065" max="14065" width="11.578125" style="62" customWidth="1"/>
    <col min="14066" max="14066" width="8.83984375" style="62"/>
    <col min="14067" max="14070" width="14.83984375" style="62" customWidth="1"/>
    <col min="14071" max="14076" width="15.83984375" style="62" customWidth="1"/>
    <col min="14077" max="14077" width="17.578125" style="62" customWidth="1"/>
    <col min="14078" max="14309" width="8.83984375" style="62"/>
    <col min="14310" max="14310" width="34.26171875" style="62" customWidth="1"/>
    <col min="14311" max="14311" width="12" style="62" customWidth="1"/>
    <col min="14312" max="14312" width="11.578125" style="62" customWidth="1"/>
    <col min="14313" max="14313" width="12" style="62" customWidth="1"/>
    <col min="14314" max="14314" width="11.578125" style="62" customWidth="1"/>
    <col min="14315" max="14320" width="12" style="62" customWidth="1"/>
    <col min="14321" max="14321" width="11.578125" style="62" customWidth="1"/>
    <col min="14322" max="14322" width="8.83984375" style="62"/>
    <col min="14323" max="14326" width="14.83984375" style="62" customWidth="1"/>
    <col min="14327" max="14332" width="15.83984375" style="62" customWidth="1"/>
    <col min="14333" max="14333" width="17.578125" style="62" customWidth="1"/>
    <col min="14334" max="14565" width="8.83984375" style="62"/>
    <col min="14566" max="14566" width="34.26171875" style="62" customWidth="1"/>
    <col min="14567" max="14567" width="12" style="62" customWidth="1"/>
    <col min="14568" max="14568" width="11.578125" style="62" customWidth="1"/>
    <col min="14569" max="14569" width="12" style="62" customWidth="1"/>
    <col min="14570" max="14570" width="11.578125" style="62" customWidth="1"/>
    <col min="14571" max="14576" width="12" style="62" customWidth="1"/>
    <col min="14577" max="14577" width="11.578125" style="62" customWidth="1"/>
    <col min="14578" max="14578" width="8.83984375" style="62"/>
    <col min="14579" max="14582" width="14.83984375" style="62" customWidth="1"/>
    <col min="14583" max="14588" width="15.83984375" style="62" customWidth="1"/>
    <col min="14589" max="14589" width="17.578125" style="62" customWidth="1"/>
    <col min="14590" max="14821" width="8.83984375" style="62"/>
    <col min="14822" max="14822" width="34.26171875" style="62" customWidth="1"/>
    <col min="14823" max="14823" width="12" style="62" customWidth="1"/>
    <col min="14824" max="14824" width="11.578125" style="62" customWidth="1"/>
    <col min="14825" max="14825" width="12" style="62" customWidth="1"/>
    <col min="14826" max="14826" width="11.578125" style="62" customWidth="1"/>
    <col min="14827" max="14832" width="12" style="62" customWidth="1"/>
    <col min="14833" max="14833" width="11.578125" style="62" customWidth="1"/>
    <col min="14834" max="14834" width="8.83984375" style="62"/>
    <col min="14835" max="14838" width="14.83984375" style="62" customWidth="1"/>
    <col min="14839" max="14844" width="15.83984375" style="62" customWidth="1"/>
    <col min="14845" max="14845" width="17.578125" style="62" customWidth="1"/>
    <col min="14846" max="15077" width="8.83984375" style="62"/>
    <col min="15078" max="15078" width="34.26171875" style="62" customWidth="1"/>
    <col min="15079" max="15079" width="12" style="62" customWidth="1"/>
    <col min="15080" max="15080" width="11.578125" style="62" customWidth="1"/>
    <col min="15081" max="15081" width="12" style="62" customWidth="1"/>
    <col min="15082" max="15082" width="11.578125" style="62" customWidth="1"/>
    <col min="15083" max="15088" width="12" style="62" customWidth="1"/>
    <col min="15089" max="15089" width="11.578125" style="62" customWidth="1"/>
    <col min="15090" max="15090" width="8.83984375" style="62"/>
    <col min="15091" max="15094" width="14.83984375" style="62" customWidth="1"/>
    <col min="15095" max="15100" width="15.83984375" style="62" customWidth="1"/>
    <col min="15101" max="15101" width="17.578125" style="62" customWidth="1"/>
    <col min="15102" max="15333" width="8.83984375" style="62"/>
    <col min="15334" max="15334" width="34.26171875" style="62" customWidth="1"/>
    <col min="15335" max="15335" width="12" style="62" customWidth="1"/>
    <col min="15336" max="15336" width="11.578125" style="62" customWidth="1"/>
    <col min="15337" max="15337" width="12" style="62" customWidth="1"/>
    <col min="15338" max="15338" width="11.578125" style="62" customWidth="1"/>
    <col min="15339" max="15344" width="12" style="62" customWidth="1"/>
    <col min="15345" max="15345" width="11.578125" style="62" customWidth="1"/>
    <col min="15346" max="15346" width="8.83984375" style="62"/>
    <col min="15347" max="15350" width="14.83984375" style="62" customWidth="1"/>
    <col min="15351" max="15356" width="15.83984375" style="62" customWidth="1"/>
    <col min="15357" max="15357" width="17.578125" style="62" customWidth="1"/>
    <col min="15358" max="15589" width="8.83984375" style="62"/>
    <col min="15590" max="15590" width="34.26171875" style="62" customWidth="1"/>
    <col min="15591" max="15591" width="12" style="62" customWidth="1"/>
    <col min="15592" max="15592" width="11.578125" style="62" customWidth="1"/>
    <col min="15593" max="15593" width="12" style="62" customWidth="1"/>
    <col min="15594" max="15594" width="11.578125" style="62" customWidth="1"/>
    <col min="15595" max="15600" width="12" style="62" customWidth="1"/>
    <col min="15601" max="15601" width="11.578125" style="62" customWidth="1"/>
    <col min="15602" max="15602" width="8.83984375" style="62"/>
    <col min="15603" max="15606" width="14.83984375" style="62" customWidth="1"/>
    <col min="15607" max="15612" width="15.83984375" style="62" customWidth="1"/>
    <col min="15613" max="15613" width="17.578125" style="62" customWidth="1"/>
    <col min="15614" max="15845" width="8.83984375" style="62"/>
    <col min="15846" max="15846" width="34.26171875" style="62" customWidth="1"/>
    <col min="15847" max="15847" width="12" style="62" customWidth="1"/>
    <col min="15848" max="15848" width="11.578125" style="62" customWidth="1"/>
    <col min="15849" max="15849" width="12" style="62" customWidth="1"/>
    <col min="15850" max="15850" width="11.578125" style="62" customWidth="1"/>
    <col min="15851" max="15856" width="12" style="62" customWidth="1"/>
    <col min="15857" max="15857" width="11.578125" style="62" customWidth="1"/>
    <col min="15858" max="15858" width="8.83984375" style="62"/>
    <col min="15859" max="15862" width="14.83984375" style="62" customWidth="1"/>
    <col min="15863" max="15868" width="15.83984375" style="62" customWidth="1"/>
    <col min="15869" max="15869" width="17.578125" style="62" customWidth="1"/>
    <col min="15870" max="16101" width="8.83984375" style="62"/>
    <col min="16102" max="16102" width="34.26171875" style="62" customWidth="1"/>
    <col min="16103" max="16103" width="12" style="62" customWidth="1"/>
    <col min="16104" max="16104" width="11.578125" style="62" customWidth="1"/>
    <col min="16105" max="16105" width="12" style="62" customWidth="1"/>
    <col min="16106" max="16106" width="11.578125" style="62" customWidth="1"/>
    <col min="16107" max="16112" width="12" style="62" customWidth="1"/>
    <col min="16113" max="16113" width="11.578125" style="62" customWidth="1"/>
    <col min="16114" max="16114" width="8.83984375" style="62"/>
    <col min="16115" max="16118" width="14.83984375" style="62" customWidth="1"/>
    <col min="16119" max="16124" width="15.83984375" style="62" customWidth="1"/>
    <col min="16125" max="16125" width="17.578125" style="62" customWidth="1"/>
    <col min="16126" max="16356" width="8.83984375" style="62"/>
    <col min="16357" max="16360" width="8.83984375" style="62" customWidth="1"/>
    <col min="16361" max="16363" width="8.83984375" style="62"/>
    <col min="16364" max="16366" width="8.83984375" style="62" customWidth="1"/>
    <col min="16367" max="16367" width="8.83984375" style="62"/>
    <col min="16368" max="16384" width="8.83984375" style="62" customWidth="1"/>
  </cols>
  <sheetData>
    <row r="1" spans="3:10" hidden="1" x14ac:dyDescent="0.55000000000000004">
      <c r="C1" s="62" t="s">
        <v>60</v>
      </c>
      <c r="D1" s="63">
        <f>+D114</f>
        <v>0</v>
      </c>
      <c r="E1" s="63">
        <f>+E114</f>
        <v>41993000</v>
      </c>
      <c r="F1" s="63">
        <f>+F114</f>
        <v>37475734.963470325</v>
      </c>
    </row>
    <row r="2" spans="3:10" hidden="1" x14ac:dyDescent="0.55000000000000004">
      <c r="C2" s="62" t="s">
        <v>61</v>
      </c>
      <c r="D2" s="63">
        <f>+D164</f>
        <v>0</v>
      </c>
      <c r="E2" s="63">
        <f>+E164</f>
        <v>31494750</v>
      </c>
      <c r="F2" s="63">
        <f>+F164</f>
        <v>33771527.249999993</v>
      </c>
    </row>
    <row r="3" spans="3:10" hidden="1" x14ac:dyDescent="0.55000000000000004">
      <c r="C3" s="62" t="s">
        <v>62</v>
      </c>
      <c r="D3" s="64" t="e">
        <f>+#REF!</f>
        <v>#REF!</v>
      </c>
      <c r="E3" s="64" t="e">
        <f>+#REF!</f>
        <v>#REF!</v>
      </c>
      <c r="F3" s="63" t="e">
        <f>+#REF!</f>
        <v>#REF!</v>
      </c>
    </row>
    <row r="4" spans="3:10" hidden="1" x14ac:dyDescent="0.55000000000000004">
      <c r="C4" s="62" t="s">
        <v>63</v>
      </c>
      <c r="D4" s="64" t="e">
        <f>+D77</f>
        <v>#DIV/0!</v>
      </c>
      <c r="E4" s="64">
        <f>+E77</f>
        <v>-4.1558416666666664</v>
      </c>
      <c r="F4" s="63">
        <f>+F77</f>
        <v>0.12386063094494229</v>
      </c>
    </row>
    <row r="6" spans="3:10" x14ac:dyDescent="0.55000000000000004">
      <c r="C6" s="65" t="s">
        <v>64</v>
      </c>
      <c r="D6" s="65"/>
      <c r="E6" s="65"/>
      <c r="F6" s="65"/>
      <c r="G6" s="65"/>
      <c r="H6" s="65"/>
      <c r="I6" s="65"/>
      <c r="J6" s="65"/>
    </row>
    <row r="7" spans="3:10" s="67" customFormat="1" ht="15" x14ac:dyDescent="0.5">
      <c r="C7" s="66" t="s">
        <v>65</v>
      </c>
      <c r="D7" s="66"/>
      <c r="E7" s="66"/>
      <c r="F7" s="66"/>
      <c r="G7" s="66"/>
      <c r="H7" s="66"/>
      <c r="I7" s="66"/>
      <c r="J7" s="66"/>
    </row>
    <row r="8" spans="3:10" ht="7.5" customHeight="1" x14ac:dyDescent="0.55000000000000004">
      <c r="C8" s="68"/>
      <c r="D8" s="69">
        <f>+D47</f>
        <v>0</v>
      </c>
      <c r="E8" s="70">
        <f>+E47</f>
        <v>0</v>
      </c>
      <c r="F8" s="69">
        <f>+F47</f>
        <v>0</v>
      </c>
      <c r="G8" s="71"/>
      <c r="H8" s="71"/>
      <c r="I8" s="71"/>
    </row>
    <row r="9" spans="3:10" s="74" customFormat="1" x14ac:dyDescent="0.55000000000000004">
      <c r="C9" s="72" t="s">
        <v>38</v>
      </c>
      <c r="D9" s="73" t="s">
        <v>66</v>
      </c>
      <c r="E9" s="73" t="s">
        <v>67</v>
      </c>
      <c r="F9" s="73" t="s">
        <v>68</v>
      </c>
      <c r="G9" s="73" t="s">
        <v>69</v>
      </c>
      <c r="H9" s="73" t="s">
        <v>70</v>
      </c>
      <c r="I9" s="73" t="s">
        <v>71</v>
      </c>
      <c r="J9" s="73" t="s">
        <v>72</v>
      </c>
    </row>
    <row r="10" spans="3:10" s="74" customFormat="1" x14ac:dyDescent="0.55000000000000004">
      <c r="C10" s="75"/>
      <c r="D10" s="73" t="s">
        <v>73</v>
      </c>
      <c r="E10" s="76" t="s">
        <v>74</v>
      </c>
      <c r="F10" s="73" t="s">
        <v>75</v>
      </c>
      <c r="G10" s="77" t="s">
        <v>75</v>
      </c>
      <c r="H10" s="76" t="s">
        <v>75</v>
      </c>
      <c r="I10" s="73" t="s">
        <v>75</v>
      </c>
      <c r="J10" s="73" t="s">
        <v>75</v>
      </c>
    </row>
    <row r="11" spans="3:10" ht="23.25" customHeight="1" x14ac:dyDescent="0.55000000000000004">
      <c r="C11" s="78" t="s">
        <v>76</v>
      </c>
      <c r="D11" s="79"/>
      <c r="E11" s="80"/>
      <c r="F11" s="81"/>
      <c r="G11" s="82"/>
      <c r="H11" s="81"/>
      <c r="I11" s="82"/>
      <c r="J11" s="81"/>
    </row>
    <row r="12" spans="3:10" s="67" customFormat="1" ht="15" x14ac:dyDescent="0.5">
      <c r="C12" s="83" t="s">
        <v>77</v>
      </c>
      <c r="D12" s="84"/>
      <c r="E12" s="85"/>
      <c r="F12" s="84"/>
      <c r="G12" s="85"/>
      <c r="H12" s="84"/>
      <c r="I12" s="85"/>
      <c r="J12" s="84"/>
    </row>
    <row r="13" spans="3:10" x14ac:dyDescent="0.55000000000000004">
      <c r="C13" s="86" t="s">
        <v>78</v>
      </c>
      <c r="D13" s="87"/>
      <c r="E13" s="88">
        <f>+D15</f>
        <v>100000</v>
      </c>
      <c r="F13" s="87">
        <f t="shared" ref="F13:J13" si="0">+E15</f>
        <v>21472900</v>
      </c>
      <c r="G13" s="88">
        <f t="shared" si="0"/>
        <v>42845800</v>
      </c>
      <c r="H13" s="87">
        <f t="shared" si="0"/>
        <v>64218700</v>
      </c>
      <c r="I13" s="88">
        <f t="shared" si="0"/>
        <v>85591600</v>
      </c>
      <c r="J13" s="87">
        <f t="shared" si="0"/>
        <v>106964500</v>
      </c>
    </row>
    <row r="14" spans="3:10" x14ac:dyDescent="0.55000000000000004">
      <c r="C14" s="86" t="s">
        <v>79</v>
      </c>
      <c r="D14" s="87">
        <v>100000</v>
      </c>
      <c r="E14" s="88">
        <f>+'Cap Assumptions'!F9</f>
        <v>21372900</v>
      </c>
      <c r="F14" s="87">
        <f>E14</f>
        <v>21372900</v>
      </c>
      <c r="G14" s="87">
        <f t="shared" ref="G14:J14" si="1">F14</f>
        <v>21372900</v>
      </c>
      <c r="H14" s="87">
        <f t="shared" si="1"/>
        <v>21372900</v>
      </c>
      <c r="I14" s="87">
        <f t="shared" si="1"/>
        <v>21372900</v>
      </c>
      <c r="J14" s="87">
        <f t="shared" si="1"/>
        <v>21372900</v>
      </c>
    </row>
    <row r="15" spans="3:10" x14ac:dyDescent="0.55000000000000004">
      <c r="C15" s="89" t="s">
        <v>80</v>
      </c>
      <c r="D15" s="90">
        <f>+D13+D14</f>
        <v>100000</v>
      </c>
      <c r="E15" s="91">
        <f t="shared" ref="E15:J15" si="2">+E13+E14</f>
        <v>21472900</v>
      </c>
      <c r="F15" s="90">
        <f t="shared" si="2"/>
        <v>42845800</v>
      </c>
      <c r="G15" s="92">
        <f t="shared" si="2"/>
        <v>64218700</v>
      </c>
      <c r="H15" s="90">
        <f t="shared" si="2"/>
        <v>85591600</v>
      </c>
      <c r="I15" s="92">
        <f t="shared" si="2"/>
        <v>106964500</v>
      </c>
      <c r="J15" s="90">
        <f t="shared" si="2"/>
        <v>128337400</v>
      </c>
    </row>
    <row r="16" spans="3:10" x14ac:dyDescent="0.55000000000000004">
      <c r="C16" s="89"/>
      <c r="D16" s="90"/>
      <c r="E16" s="92"/>
      <c r="F16" s="90"/>
      <c r="G16" s="92"/>
      <c r="H16" s="90"/>
      <c r="I16" s="92"/>
      <c r="J16" s="90"/>
    </row>
    <row r="17" spans="3:11" x14ac:dyDescent="0.55000000000000004">
      <c r="C17" s="89" t="s">
        <v>81</v>
      </c>
      <c r="D17" s="90">
        <f>+D76</f>
        <v>-360000</v>
      </c>
      <c r="E17" s="90">
        <f>+E76+D17</f>
        <v>-775584.16666666674</v>
      </c>
      <c r="F17" s="90">
        <f>+F76+E17</f>
        <v>5618720.9058659784</v>
      </c>
      <c r="G17" s="90">
        <f t="shared" ref="G17:J17" si="3">+G76+F17</f>
        <v>17926877.226059567</v>
      </c>
      <c r="H17" s="90">
        <f t="shared" si="3"/>
        <v>34403687.406042233</v>
      </c>
      <c r="I17" s="90">
        <f t="shared" si="3"/>
        <v>55743510.547383472</v>
      </c>
      <c r="J17" s="90">
        <f t="shared" si="3"/>
        <v>79191780.922941208</v>
      </c>
    </row>
    <row r="18" spans="3:11" x14ac:dyDescent="0.55000000000000004">
      <c r="C18" s="86"/>
      <c r="D18" s="93"/>
      <c r="E18" s="94"/>
      <c r="F18" s="93"/>
      <c r="G18" s="94"/>
      <c r="H18" s="93"/>
      <c r="I18" s="94"/>
      <c r="J18" s="93"/>
    </row>
    <row r="19" spans="3:11" x14ac:dyDescent="0.55000000000000004">
      <c r="C19" s="83" t="s">
        <v>82</v>
      </c>
      <c r="D19" s="93"/>
      <c r="E19" s="94"/>
      <c r="F19" s="93"/>
      <c r="G19" s="94"/>
      <c r="H19" s="93"/>
      <c r="I19" s="94"/>
      <c r="J19" s="93"/>
    </row>
    <row r="20" spans="3:11" x14ac:dyDescent="0.55000000000000004">
      <c r="C20" s="95" t="s">
        <v>83</v>
      </c>
      <c r="D20" s="87"/>
      <c r="E20" s="88"/>
      <c r="F20" s="87"/>
      <c r="G20" s="88"/>
      <c r="H20" s="87"/>
      <c r="I20" s="88"/>
      <c r="J20" s="87"/>
      <c r="K20" s="96"/>
    </row>
    <row r="21" spans="3:11" x14ac:dyDescent="0.55000000000000004">
      <c r="C21" s="95" t="s">
        <v>84</v>
      </c>
      <c r="D21" s="87">
        <v>250000</v>
      </c>
      <c r="E21" s="88">
        <f>+'repayment sch'!J9</f>
        <v>50285684.166666664</v>
      </c>
      <c r="F21" s="87">
        <f>+'repayment sch'!J21</f>
        <v>54823205.404142596</v>
      </c>
      <c r="G21" s="88">
        <f>+'repayment sch'!J33</f>
        <v>51415587.255602583</v>
      </c>
      <c r="H21" s="87">
        <f>+'repayment sch'!J45</f>
        <v>47651146.958060309</v>
      </c>
      <c r="I21" s="88">
        <f>+'repayment sch'!J57</f>
        <v>43492520.569762744</v>
      </c>
      <c r="J21" s="87">
        <f>+'repayment sch'!J69</f>
        <v>38898431.65600422</v>
      </c>
      <c r="K21" s="96"/>
    </row>
    <row r="22" spans="3:11" x14ac:dyDescent="0.55000000000000004">
      <c r="C22" s="95" t="s">
        <v>85</v>
      </c>
      <c r="D22" s="87">
        <v>0</v>
      </c>
      <c r="E22" s="88"/>
      <c r="F22" s="87">
        <v>0</v>
      </c>
      <c r="G22" s="87">
        <v>0</v>
      </c>
      <c r="H22" s="87">
        <v>0</v>
      </c>
      <c r="I22" s="87">
        <v>0</v>
      </c>
      <c r="J22" s="87">
        <f>+I22</f>
        <v>0</v>
      </c>
      <c r="K22" s="96"/>
    </row>
    <row r="23" spans="3:11" x14ac:dyDescent="0.55000000000000004">
      <c r="C23" s="95" t="s">
        <v>86</v>
      </c>
      <c r="D23" s="87"/>
      <c r="E23" s="88"/>
      <c r="F23" s="87"/>
      <c r="G23" s="88"/>
      <c r="H23" s="87"/>
      <c r="I23" s="88"/>
      <c r="J23" s="87"/>
      <c r="K23" s="96"/>
    </row>
    <row r="24" spans="3:11" x14ac:dyDescent="0.55000000000000004">
      <c r="C24" s="86"/>
      <c r="D24" s="90"/>
      <c r="E24" s="92"/>
      <c r="F24" s="97"/>
      <c r="G24" s="63"/>
      <c r="H24" s="97"/>
      <c r="I24" s="63"/>
      <c r="J24" s="97"/>
    </row>
    <row r="25" spans="3:11" x14ac:dyDescent="0.55000000000000004">
      <c r="C25" s="83" t="s">
        <v>87</v>
      </c>
      <c r="D25" s="97"/>
      <c r="F25" s="97"/>
      <c r="G25" s="63"/>
      <c r="H25" s="97"/>
      <c r="I25" s="63"/>
      <c r="J25" s="97"/>
    </row>
    <row r="26" spans="3:11" x14ac:dyDescent="0.55000000000000004">
      <c r="C26" s="98" t="s">
        <v>88</v>
      </c>
      <c r="D26" s="93">
        <v>0</v>
      </c>
      <c r="E26" s="94">
        <v>0</v>
      </c>
      <c r="F26" s="93">
        <f>+E26</f>
        <v>0</v>
      </c>
      <c r="G26" s="93">
        <v>0</v>
      </c>
      <c r="H26" s="93">
        <f t="shared" ref="H26:J26" si="4">+G26</f>
        <v>0</v>
      </c>
      <c r="I26" s="93">
        <f t="shared" si="4"/>
        <v>0</v>
      </c>
      <c r="J26" s="93">
        <f t="shared" si="4"/>
        <v>0</v>
      </c>
    </row>
    <row r="27" spans="3:11" x14ac:dyDescent="0.55000000000000004">
      <c r="C27" s="98" t="s">
        <v>89</v>
      </c>
      <c r="D27" s="97">
        <f>+D131</f>
        <v>0</v>
      </c>
      <c r="E27" s="63">
        <f>+E131</f>
        <v>0</v>
      </c>
      <c r="F27" s="97">
        <f>+F131</f>
        <v>700000</v>
      </c>
      <c r="G27" s="63">
        <f t="shared" ref="G27:J27" si="5">+G131</f>
        <v>1306666.6666666665</v>
      </c>
      <c r="H27" s="97">
        <f t="shared" si="5"/>
        <v>1633333.333333333</v>
      </c>
      <c r="I27" s="63">
        <f t="shared" si="5"/>
        <v>1878333.3333333328</v>
      </c>
      <c r="J27" s="97">
        <f t="shared" si="5"/>
        <v>1915899.9999999993</v>
      </c>
    </row>
    <row r="28" spans="3:11" x14ac:dyDescent="0.55000000000000004">
      <c r="C28" s="98" t="s">
        <v>90</v>
      </c>
      <c r="D28" s="93">
        <f>+D123</f>
        <v>10000</v>
      </c>
      <c r="E28" s="94">
        <f>+E123</f>
        <v>10000</v>
      </c>
      <c r="F28" s="93">
        <f>+F123</f>
        <v>1667983.3333333333</v>
      </c>
      <c r="G28" s="94">
        <f t="shared" ref="G28:J28" si="6">+G123</f>
        <v>2301817</v>
      </c>
      <c r="H28" s="93">
        <f t="shared" si="6"/>
        <v>2647089.5499999993</v>
      </c>
      <c r="I28" s="94">
        <f t="shared" si="6"/>
        <v>3044152.9824999995</v>
      </c>
      <c r="J28" s="93">
        <f t="shared" si="6"/>
        <v>3155042.4121499993</v>
      </c>
    </row>
    <row r="29" spans="3:11" x14ac:dyDescent="0.55000000000000004">
      <c r="C29" s="98" t="s">
        <v>91</v>
      </c>
      <c r="D29" s="99">
        <f>+D75</f>
        <v>0</v>
      </c>
      <c r="E29" s="94">
        <f>+E75</f>
        <v>0</v>
      </c>
      <c r="F29" s="99">
        <f>+F75</f>
        <v>1974145.1831421007</v>
      </c>
      <c r="G29" s="94">
        <f t="shared" ref="G29:J29" si="7">+G75</f>
        <v>4324487.3557436932</v>
      </c>
      <c r="H29" s="99">
        <f t="shared" si="7"/>
        <v>5789149.5226966124</v>
      </c>
      <c r="I29" s="100">
        <f t="shared" si="7"/>
        <v>7497775.6983090853</v>
      </c>
      <c r="J29" s="99">
        <f t="shared" si="7"/>
        <v>8238581.4833040694</v>
      </c>
    </row>
    <row r="30" spans="3:11" x14ac:dyDescent="0.55000000000000004">
      <c r="C30" s="101" t="s">
        <v>92</v>
      </c>
      <c r="D30" s="102">
        <f>+SUM(D15:D29)</f>
        <v>0</v>
      </c>
      <c r="E30" s="103">
        <f t="shared" ref="E30:J30" si="8">+SUM(E15:E29)</f>
        <v>70993000</v>
      </c>
      <c r="F30" s="102">
        <f t="shared" si="8"/>
        <v>107629854.82648401</v>
      </c>
      <c r="G30" s="103">
        <f t="shared" si="8"/>
        <v>141494135.50407252</v>
      </c>
      <c r="H30" s="102">
        <f t="shared" si="8"/>
        <v>177716006.77013251</v>
      </c>
      <c r="I30" s="103">
        <f t="shared" si="8"/>
        <v>218620793.13128865</v>
      </c>
      <c r="J30" s="102">
        <f t="shared" si="8"/>
        <v>259737136.47439951</v>
      </c>
    </row>
    <row r="31" spans="3:11" ht="7.5" customHeight="1" x14ac:dyDescent="0.55000000000000004">
      <c r="C31" s="86"/>
      <c r="D31" s="87"/>
      <c r="E31" s="88"/>
      <c r="F31" s="97"/>
      <c r="G31" s="63"/>
      <c r="H31" s="97"/>
      <c r="I31" s="63"/>
      <c r="J31" s="97"/>
    </row>
    <row r="32" spans="3:11" x14ac:dyDescent="0.55000000000000004">
      <c r="C32" s="89" t="s">
        <v>93</v>
      </c>
      <c r="D32" s="87"/>
      <c r="E32" s="88"/>
      <c r="F32" s="97"/>
      <c r="G32" s="63"/>
      <c r="H32" s="97"/>
      <c r="I32" s="63"/>
      <c r="J32" s="97"/>
    </row>
    <row r="33" spans="3:10" x14ac:dyDescent="0.55000000000000004">
      <c r="C33" s="83" t="s">
        <v>94</v>
      </c>
      <c r="D33" s="87"/>
      <c r="E33" s="88"/>
      <c r="F33" s="97"/>
      <c r="G33" s="63"/>
      <c r="H33" s="97"/>
      <c r="I33" s="63"/>
      <c r="J33" s="97"/>
    </row>
    <row r="34" spans="3:10" x14ac:dyDescent="0.55000000000000004">
      <c r="C34" s="86" t="s">
        <v>95</v>
      </c>
      <c r="D34" s="87">
        <f>+FA!K11</f>
        <v>0</v>
      </c>
      <c r="E34" s="88">
        <v>0</v>
      </c>
      <c r="F34" s="97">
        <f>+FA!K25</f>
        <v>61552750</v>
      </c>
      <c r="G34" s="63">
        <f>+FA!K32</f>
        <v>53216417.5</v>
      </c>
      <c r="H34" s="97">
        <f>+FA!K39</f>
        <v>46040876.875</v>
      </c>
      <c r="I34" s="63">
        <f>+FA!K46</f>
        <v>39860975.143749997</v>
      </c>
      <c r="J34" s="97">
        <f>+FA!K53</f>
        <v>34535435.692187496</v>
      </c>
    </row>
    <row r="35" spans="3:10" x14ac:dyDescent="0.55000000000000004">
      <c r="C35" s="86" t="s">
        <v>96</v>
      </c>
      <c r="D35" s="104">
        <v>0</v>
      </c>
      <c r="E35" s="105">
        <f>+FA!K18</f>
        <v>29000000</v>
      </c>
      <c r="F35" s="104">
        <v>0</v>
      </c>
      <c r="G35" s="106">
        <v>0</v>
      </c>
      <c r="H35" s="104">
        <v>0</v>
      </c>
      <c r="I35" s="106">
        <v>0</v>
      </c>
      <c r="J35" s="104">
        <v>0</v>
      </c>
    </row>
    <row r="36" spans="3:10" x14ac:dyDescent="0.55000000000000004">
      <c r="C36" s="86" t="s">
        <v>97</v>
      </c>
      <c r="D36" s="104">
        <v>0</v>
      </c>
      <c r="E36" s="106">
        <v>0</v>
      </c>
      <c r="F36" s="104">
        <v>0</v>
      </c>
      <c r="G36" s="106">
        <v>0</v>
      </c>
      <c r="H36" s="104">
        <v>0</v>
      </c>
      <c r="I36" s="106">
        <v>0</v>
      </c>
      <c r="J36" s="104">
        <v>0</v>
      </c>
    </row>
    <row r="37" spans="3:10" x14ac:dyDescent="0.55000000000000004">
      <c r="C37" s="86" t="s">
        <v>98</v>
      </c>
      <c r="D37" s="104">
        <v>0</v>
      </c>
      <c r="E37" s="106">
        <v>0</v>
      </c>
      <c r="F37" s="104">
        <v>0</v>
      </c>
      <c r="G37" s="106">
        <v>0</v>
      </c>
      <c r="H37" s="104">
        <v>0</v>
      </c>
      <c r="I37" s="106">
        <v>0</v>
      </c>
      <c r="J37" s="104">
        <v>0</v>
      </c>
    </row>
    <row r="38" spans="3:10" x14ac:dyDescent="0.55000000000000004">
      <c r="C38" s="86"/>
      <c r="D38" s="90"/>
      <c r="E38" s="92"/>
      <c r="F38" s="97"/>
      <c r="G38" s="63"/>
      <c r="H38" s="97"/>
      <c r="I38" s="63"/>
      <c r="J38" s="97"/>
    </row>
    <row r="39" spans="3:10" x14ac:dyDescent="0.55000000000000004">
      <c r="C39" s="107" t="s">
        <v>99</v>
      </c>
      <c r="D39" s="87"/>
      <c r="E39" s="88"/>
      <c r="F39" s="97"/>
      <c r="G39" s="63"/>
      <c r="H39" s="97"/>
      <c r="I39" s="63"/>
      <c r="J39" s="97"/>
    </row>
    <row r="40" spans="3:10" x14ac:dyDescent="0.55000000000000004">
      <c r="C40" s="108" t="s">
        <v>100</v>
      </c>
      <c r="D40" s="87">
        <f>+D139+D145</f>
        <v>0</v>
      </c>
      <c r="E40" s="87">
        <f t="shared" ref="E40:J40" si="9">+E139+E145</f>
        <v>0</v>
      </c>
      <c r="F40" s="87">
        <f t="shared" si="9"/>
        <v>115068.49315068494</v>
      </c>
      <c r="G40" s="87">
        <f t="shared" si="9"/>
        <v>214794.52054794517</v>
      </c>
      <c r="H40" s="87">
        <f t="shared" si="9"/>
        <v>268493.15068493143</v>
      </c>
      <c r="I40" s="87">
        <f t="shared" si="9"/>
        <v>308767.12328767113</v>
      </c>
      <c r="J40" s="87">
        <f t="shared" si="9"/>
        <v>314942.46575342456</v>
      </c>
    </row>
    <row r="41" spans="3:10" x14ac:dyDescent="0.55000000000000004">
      <c r="C41" s="108" t="s">
        <v>101</v>
      </c>
      <c r="D41" s="109">
        <v>0</v>
      </c>
      <c r="E41" s="110">
        <f t="shared" ref="E41:J41" si="10">+E153</f>
        <v>0</v>
      </c>
      <c r="F41" s="109">
        <f t="shared" si="10"/>
        <v>8486301.3698630128</v>
      </c>
      <c r="G41" s="110">
        <f t="shared" si="10"/>
        <v>12082191.780821918</v>
      </c>
      <c r="H41" s="109">
        <f t="shared" si="10"/>
        <v>14091780.82191781</v>
      </c>
      <c r="I41" s="110">
        <f t="shared" si="10"/>
        <v>16212328.767123286</v>
      </c>
      <c r="J41" s="109">
        <f t="shared" si="10"/>
        <v>16767123.287671233</v>
      </c>
    </row>
    <row r="42" spans="3:10" x14ac:dyDescent="0.55000000000000004">
      <c r="C42" s="108" t="s">
        <v>102</v>
      </c>
      <c r="D42" s="87">
        <v>0</v>
      </c>
      <c r="E42" s="88">
        <v>0</v>
      </c>
      <c r="F42" s="87">
        <f>+E42+F103</f>
        <v>0</v>
      </c>
      <c r="G42" s="88">
        <f>+F42+G103</f>
        <v>0</v>
      </c>
      <c r="H42" s="87">
        <f>+G42+H103</f>
        <v>0</v>
      </c>
      <c r="I42" s="88">
        <f>+H42+I103</f>
        <v>0</v>
      </c>
      <c r="J42" s="87">
        <f>+I42+J103</f>
        <v>0</v>
      </c>
    </row>
    <row r="43" spans="3:10" x14ac:dyDescent="0.55000000000000004">
      <c r="C43" s="108" t="s">
        <v>103</v>
      </c>
      <c r="D43" s="87"/>
      <c r="E43" s="88">
        <v>0</v>
      </c>
      <c r="F43" s="87">
        <v>0</v>
      </c>
      <c r="G43" s="88">
        <v>0</v>
      </c>
      <c r="H43" s="87">
        <v>0</v>
      </c>
      <c r="I43" s="88">
        <v>0</v>
      </c>
      <c r="J43" s="87">
        <v>0</v>
      </c>
    </row>
    <row r="44" spans="3:10" x14ac:dyDescent="0.55000000000000004">
      <c r="C44" s="108" t="s">
        <v>104</v>
      </c>
      <c r="D44" s="87">
        <f>+D30-SUM(D34:D43)</f>
        <v>0</v>
      </c>
      <c r="E44" s="88">
        <f>+E30-SUM(E34:E43)</f>
        <v>41993000</v>
      </c>
      <c r="F44" s="87">
        <f t="shared" ref="F44:J44" si="11">+F30-SUM(F34:F43)</f>
        <v>37475734.96347031</v>
      </c>
      <c r="G44" s="88">
        <f t="shared" si="11"/>
        <v>75980731.702702641</v>
      </c>
      <c r="H44" s="87">
        <f t="shared" si="11"/>
        <v>117314855.92252977</v>
      </c>
      <c r="I44" s="88">
        <f t="shared" si="11"/>
        <v>162238722.09712768</v>
      </c>
      <c r="J44" s="87">
        <f t="shared" si="11"/>
        <v>208119635.02878737</v>
      </c>
    </row>
    <row r="45" spans="3:10" ht="16.5" customHeight="1" x14ac:dyDescent="0.55000000000000004">
      <c r="C45" s="101" t="s">
        <v>92</v>
      </c>
      <c r="D45" s="102">
        <f>+SUM(D40:D44)</f>
        <v>0</v>
      </c>
      <c r="E45" s="103">
        <f>SUM(E34:E37)+SUM(E40:E44)</f>
        <v>70993000</v>
      </c>
      <c r="F45" s="103">
        <f t="shared" ref="F45:J45" si="12">SUM(F34:F37)+SUM(F40:F44)</f>
        <v>107629854.82648401</v>
      </c>
      <c r="G45" s="103">
        <f t="shared" si="12"/>
        <v>141494135.50407249</v>
      </c>
      <c r="H45" s="103">
        <f t="shared" si="12"/>
        <v>177716006.77013251</v>
      </c>
      <c r="I45" s="103">
        <f t="shared" si="12"/>
        <v>218620793.13128865</v>
      </c>
      <c r="J45" s="103">
        <f t="shared" si="12"/>
        <v>259737136.47439951</v>
      </c>
    </row>
    <row r="46" spans="3:10" s="111" customFormat="1" x14ac:dyDescent="0.55000000000000004">
      <c r="D46" s="112">
        <f t="shared" ref="D46:J46" si="13">+D30-D45</f>
        <v>0</v>
      </c>
      <c r="E46" s="112">
        <f t="shared" si="13"/>
        <v>0</v>
      </c>
      <c r="F46" s="112">
        <f t="shared" si="13"/>
        <v>0</v>
      </c>
      <c r="G46" s="112">
        <f t="shared" si="13"/>
        <v>0</v>
      </c>
      <c r="H46" s="112">
        <f t="shared" si="13"/>
        <v>0</v>
      </c>
      <c r="I46" s="112">
        <f t="shared" si="13"/>
        <v>0</v>
      </c>
      <c r="J46" s="112">
        <f t="shared" si="13"/>
        <v>0</v>
      </c>
    </row>
    <row r="47" spans="3:10" s="111" customFormat="1" x14ac:dyDescent="0.55000000000000004">
      <c r="D47" s="113">
        <f>+D45-D30</f>
        <v>0</v>
      </c>
      <c r="E47" s="113">
        <f>+E45-E30</f>
        <v>0</v>
      </c>
      <c r="F47" s="113">
        <f>+F45-F30</f>
        <v>0</v>
      </c>
    </row>
    <row r="48" spans="3:10" x14ac:dyDescent="0.55000000000000004">
      <c r="C48" s="65" t="str">
        <f>+C6</f>
        <v>BLUELEO ENERGY PRIVATE LIMITED</v>
      </c>
      <c r="D48" s="65"/>
      <c r="E48" s="65"/>
      <c r="F48" s="65"/>
      <c r="G48" s="65"/>
      <c r="H48" s="65"/>
      <c r="I48" s="65"/>
      <c r="J48" s="65"/>
    </row>
    <row r="49" spans="3:13" x14ac:dyDescent="0.55000000000000004">
      <c r="C49" s="114" t="s">
        <v>105</v>
      </c>
      <c r="D49" s="114"/>
      <c r="E49" s="114"/>
      <c r="F49" s="114"/>
      <c r="G49" s="114"/>
      <c r="H49" s="114"/>
      <c r="I49" s="114"/>
      <c r="J49" s="114"/>
    </row>
    <row r="50" spans="3:13" s="117" customFormat="1" x14ac:dyDescent="0.55000000000000004">
      <c r="C50" s="115" t="s">
        <v>38</v>
      </c>
      <c r="D50" s="116" t="str">
        <f t="shared" ref="D50:J51" si="14">+D9</f>
        <v>2023-24</v>
      </c>
      <c r="E50" s="116" t="str">
        <f t="shared" si="14"/>
        <v>2024-25</v>
      </c>
      <c r="F50" s="116" t="str">
        <f t="shared" si="14"/>
        <v>2025-26</v>
      </c>
      <c r="G50" s="116" t="str">
        <f t="shared" si="14"/>
        <v>2026-27</v>
      </c>
      <c r="H50" s="116" t="str">
        <f t="shared" si="14"/>
        <v>2027-28</v>
      </c>
      <c r="I50" s="116" t="str">
        <f t="shared" si="14"/>
        <v>2028-29</v>
      </c>
      <c r="J50" s="116" t="str">
        <f t="shared" si="14"/>
        <v>2029-30</v>
      </c>
    </row>
    <row r="51" spans="3:13" s="117" customFormat="1" ht="17.5" customHeight="1" x14ac:dyDescent="0.55000000000000004">
      <c r="C51" s="118"/>
      <c r="D51" s="116" t="s">
        <v>73</v>
      </c>
      <c r="E51" s="116" t="str">
        <f t="shared" si="14"/>
        <v>Estimated</v>
      </c>
      <c r="F51" s="116" t="str">
        <f t="shared" si="14"/>
        <v>Projected</v>
      </c>
      <c r="G51" s="116" t="str">
        <f t="shared" si="14"/>
        <v>Projected</v>
      </c>
      <c r="H51" s="116" t="str">
        <f t="shared" si="14"/>
        <v>Projected</v>
      </c>
      <c r="I51" s="116" t="str">
        <f t="shared" si="14"/>
        <v>Projected</v>
      </c>
      <c r="J51" s="116" t="str">
        <f t="shared" si="14"/>
        <v>Projected</v>
      </c>
    </row>
    <row r="52" spans="3:13" x14ac:dyDescent="0.55000000000000004">
      <c r="C52" s="119" t="s">
        <v>106</v>
      </c>
      <c r="D52" s="97"/>
      <c r="F52" s="97"/>
      <c r="G52" s="97"/>
      <c r="H52" s="97"/>
      <c r="I52" s="120"/>
      <c r="J52" s="120"/>
    </row>
    <row r="53" spans="3:13" x14ac:dyDescent="0.55000000000000004">
      <c r="C53" s="95" t="s">
        <v>107</v>
      </c>
      <c r="D53" s="87">
        <v>0</v>
      </c>
      <c r="E53" s="88">
        <v>100000</v>
      </c>
      <c r="F53" s="87">
        <f>'Production detaiils'!D35</f>
        <v>51625000</v>
      </c>
      <c r="G53" s="87">
        <f>'Production detaiils'!E35</f>
        <v>73500000</v>
      </c>
      <c r="H53" s="87">
        <f>'Production detaiils'!F35</f>
        <v>85725000</v>
      </c>
      <c r="I53" s="87">
        <f>'Production detaiils'!G35</f>
        <v>98625000</v>
      </c>
      <c r="J53" s="87">
        <f>'Production detaiils'!H35</f>
        <v>102000000</v>
      </c>
      <c r="M53" s="121"/>
    </row>
    <row r="54" spans="3:13" x14ac:dyDescent="0.55000000000000004">
      <c r="C54" s="95" t="s">
        <v>108</v>
      </c>
      <c r="D54" s="87">
        <v>0</v>
      </c>
      <c r="E54" s="88">
        <v>0</v>
      </c>
      <c r="F54" s="87">
        <v>0</v>
      </c>
      <c r="G54" s="87">
        <v>0</v>
      </c>
      <c r="H54" s="87">
        <v>0</v>
      </c>
      <c r="I54" s="87">
        <v>0</v>
      </c>
      <c r="J54" s="87">
        <v>0</v>
      </c>
    </row>
    <row r="55" spans="3:13" x14ac:dyDescent="0.55000000000000004">
      <c r="C55" s="122" t="s">
        <v>109</v>
      </c>
      <c r="D55" s="102">
        <f t="shared" ref="D55:J55" si="15">SUM(D53:D54)</f>
        <v>0</v>
      </c>
      <c r="E55" s="103">
        <f t="shared" si="15"/>
        <v>100000</v>
      </c>
      <c r="F55" s="102">
        <f t="shared" si="15"/>
        <v>51625000</v>
      </c>
      <c r="G55" s="102">
        <f t="shared" si="15"/>
        <v>73500000</v>
      </c>
      <c r="H55" s="102">
        <f t="shared" si="15"/>
        <v>85725000</v>
      </c>
      <c r="I55" s="102">
        <f t="shared" si="15"/>
        <v>98625000</v>
      </c>
      <c r="J55" s="102">
        <f t="shared" si="15"/>
        <v>102000000</v>
      </c>
    </row>
    <row r="56" spans="3:13" ht="9.75" customHeight="1" x14ac:dyDescent="0.55000000000000004">
      <c r="C56" s="123"/>
      <c r="D56" s="90"/>
      <c r="E56" s="92"/>
      <c r="F56" s="90"/>
      <c r="G56" s="90"/>
      <c r="H56" s="90"/>
      <c r="I56" s="124"/>
      <c r="J56" s="124"/>
    </row>
    <row r="57" spans="3:13" x14ac:dyDescent="0.55000000000000004">
      <c r="C57" s="119" t="s">
        <v>110</v>
      </c>
      <c r="D57" s="97"/>
      <c r="F57" s="97"/>
      <c r="G57" s="97"/>
      <c r="H57" s="97"/>
      <c r="I57" s="120"/>
      <c r="J57" s="120"/>
    </row>
    <row r="58" spans="3:13" s="67" customFormat="1" x14ac:dyDescent="0.55000000000000004">
      <c r="C58" s="95" t="s">
        <v>111</v>
      </c>
      <c r="D58" s="125">
        <f t="shared" ref="D58:J58" si="16">+D138</f>
        <v>0</v>
      </c>
      <c r="E58" s="126">
        <f t="shared" si="16"/>
        <v>50000</v>
      </c>
      <c r="F58" s="125">
        <f t="shared" si="16"/>
        <v>8400000</v>
      </c>
      <c r="G58" s="125">
        <f t="shared" si="16"/>
        <v>15679999.999999998</v>
      </c>
      <c r="H58" s="125">
        <f t="shared" si="16"/>
        <v>19599999.999999996</v>
      </c>
      <c r="I58" s="125">
        <f t="shared" si="16"/>
        <v>22539999.999999993</v>
      </c>
      <c r="J58" s="125">
        <f t="shared" si="16"/>
        <v>22990799.999999993</v>
      </c>
      <c r="K58" s="127"/>
    </row>
    <row r="59" spans="3:13" s="67" customFormat="1" x14ac:dyDescent="0.55000000000000004">
      <c r="C59" s="95" t="s">
        <v>112</v>
      </c>
      <c r="D59" s="125">
        <f>+D146</f>
        <v>0</v>
      </c>
      <c r="E59" s="125">
        <f t="shared" ref="E59:J60" si="17">+E146</f>
        <v>0</v>
      </c>
      <c r="F59" s="125">
        <f t="shared" si="17"/>
        <v>-115068.49315068494</v>
      </c>
      <c r="G59" s="125">
        <f t="shared" si="17"/>
        <v>-99726.02739726023</v>
      </c>
      <c r="H59" s="125">
        <f t="shared" si="17"/>
        <v>-53698.630136986263</v>
      </c>
      <c r="I59" s="125">
        <f t="shared" si="17"/>
        <v>-40273.972602739697</v>
      </c>
      <c r="J59" s="125">
        <f t="shared" si="17"/>
        <v>-6175.3424657534342</v>
      </c>
      <c r="K59" s="128"/>
    </row>
    <row r="60" spans="3:13" s="67" customFormat="1" x14ac:dyDescent="0.55000000000000004">
      <c r="C60" s="95" t="s">
        <v>113</v>
      </c>
      <c r="D60" s="125">
        <f>+D147</f>
        <v>0</v>
      </c>
      <c r="E60" s="125">
        <f t="shared" si="17"/>
        <v>0</v>
      </c>
      <c r="F60" s="125">
        <f>SUM(Cost!J47:J48)/12*10</f>
        <v>9055800</v>
      </c>
      <c r="G60" s="125">
        <f>+F60/10*12*115%</f>
        <v>12497003.999999998</v>
      </c>
      <c r="H60" s="125">
        <f>+G60*115%</f>
        <v>14371554.599999996</v>
      </c>
      <c r="I60" s="125">
        <f>+H60*115%</f>
        <v>16527287.789999994</v>
      </c>
      <c r="J60" s="125">
        <f>+I60*102%</f>
        <v>16857833.545799993</v>
      </c>
      <c r="K60" s="128"/>
    </row>
    <row r="61" spans="3:13" s="67" customFormat="1" ht="15" x14ac:dyDescent="0.5">
      <c r="C61" s="123" t="s">
        <v>114</v>
      </c>
      <c r="D61" s="129"/>
      <c r="E61" s="130"/>
      <c r="F61" s="84"/>
      <c r="G61" s="84"/>
      <c r="H61" s="84"/>
      <c r="I61" s="84"/>
      <c r="J61" s="84"/>
    </row>
    <row r="62" spans="3:13" x14ac:dyDescent="0.55000000000000004">
      <c r="C62" s="95" t="s">
        <v>115</v>
      </c>
      <c r="D62" s="125">
        <v>300000</v>
      </c>
      <c r="E62" s="125">
        <v>0</v>
      </c>
      <c r="F62" s="131">
        <f>SUM(Cost!J45:J46)/12*10</f>
        <v>3110000</v>
      </c>
      <c r="G62" s="87">
        <f>+(F62/10*12)*115%</f>
        <v>4291800</v>
      </c>
      <c r="H62" s="87">
        <f>+G62*115%</f>
        <v>4935570</v>
      </c>
      <c r="I62" s="87">
        <f>+H62*115%</f>
        <v>5675905.5</v>
      </c>
      <c r="J62" s="87">
        <f>+I62*105%</f>
        <v>5959700.7750000004</v>
      </c>
    </row>
    <row r="63" spans="3:13" x14ac:dyDescent="0.55000000000000004">
      <c r="C63" s="95" t="s">
        <v>116</v>
      </c>
      <c r="D63" s="125">
        <v>60000</v>
      </c>
      <c r="E63" s="125">
        <v>50000</v>
      </c>
      <c r="F63" s="131">
        <f>+SUM(Cost!J49:J51)/12*10</f>
        <v>7850000</v>
      </c>
      <c r="G63" s="87">
        <f>+(F63/10*12)*115%</f>
        <v>10833000</v>
      </c>
      <c r="H63" s="87">
        <f>+G63*115%</f>
        <v>12457949.999999998</v>
      </c>
      <c r="I63" s="87">
        <f>+H63*115%</f>
        <v>14326642.499999996</v>
      </c>
      <c r="J63" s="87">
        <f>+I63*105%</f>
        <v>15042974.624999996</v>
      </c>
    </row>
    <row r="64" spans="3:13" x14ac:dyDescent="0.55000000000000004">
      <c r="C64" s="122" t="s">
        <v>117</v>
      </c>
      <c r="D64" s="102">
        <f t="shared" ref="D64:J64" si="18">+SUM(D58:D63)</f>
        <v>360000</v>
      </c>
      <c r="E64" s="103">
        <f t="shared" si="18"/>
        <v>100000</v>
      </c>
      <c r="F64" s="102">
        <f t="shared" si="18"/>
        <v>28300731.506849315</v>
      </c>
      <c r="G64" s="102">
        <f t="shared" si="18"/>
        <v>43202077.97260274</v>
      </c>
      <c r="H64" s="102">
        <f t="shared" si="18"/>
        <v>51311375.969863005</v>
      </c>
      <c r="I64" s="102">
        <f t="shared" si="18"/>
        <v>59029561.817397237</v>
      </c>
      <c r="J64" s="102">
        <f t="shared" si="18"/>
        <v>60845133.603334218</v>
      </c>
    </row>
    <row r="65" spans="3:10" ht="8.25" customHeight="1" x14ac:dyDescent="0.55000000000000004">
      <c r="C65" s="123"/>
      <c r="D65" s="90"/>
      <c r="E65" s="92"/>
      <c r="F65" s="90"/>
      <c r="G65" s="79"/>
      <c r="H65" s="79"/>
      <c r="I65" s="79"/>
      <c r="J65" s="79"/>
    </row>
    <row r="66" spans="3:10" ht="15.75" customHeight="1" x14ac:dyDescent="0.55000000000000004">
      <c r="C66" s="123" t="s">
        <v>118</v>
      </c>
      <c r="D66" s="90">
        <f t="shared" ref="D66:J66" si="19">+D55-D64</f>
        <v>-360000</v>
      </c>
      <c r="E66" s="92">
        <f t="shared" si="19"/>
        <v>0</v>
      </c>
      <c r="F66" s="90">
        <f t="shared" si="19"/>
        <v>23324268.493150685</v>
      </c>
      <c r="G66" s="90">
        <f t="shared" si="19"/>
        <v>30297922.02739726</v>
      </c>
      <c r="H66" s="90">
        <f t="shared" si="19"/>
        <v>34413624.030136995</v>
      </c>
      <c r="I66" s="90">
        <f t="shared" si="19"/>
        <v>39595438.182602763</v>
      </c>
      <c r="J66" s="90">
        <f t="shared" si="19"/>
        <v>41154866.396665782</v>
      </c>
    </row>
    <row r="67" spans="3:10" x14ac:dyDescent="0.55000000000000004">
      <c r="C67" s="95" t="s">
        <v>119</v>
      </c>
      <c r="D67" s="87">
        <f>+FA!J11</f>
        <v>0</v>
      </c>
      <c r="E67" s="88">
        <f>+FA!J18</f>
        <v>0</v>
      </c>
      <c r="F67" s="87">
        <f>+FA!J25</f>
        <v>9690250</v>
      </c>
      <c r="G67" s="87">
        <f>+FA!J32</f>
        <v>8336332.5</v>
      </c>
      <c r="H67" s="87">
        <f>+FA!J39</f>
        <v>7175540.625</v>
      </c>
      <c r="I67" s="87">
        <f>+FA!J46</f>
        <v>6179901.7312499993</v>
      </c>
      <c r="J67" s="87">
        <f>+FA!J53</f>
        <v>5325539.4515624996</v>
      </c>
    </row>
    <row r="68" spans="3:10" x14ac:dyDescent="0.55000000000000004">
      <c r="C68" s="123" t="s">
        <v>120</v>
      </c>
      <c r="D68" s="90">
        <f>+D66-D67</f>
        <v>-360000</v>
      </c>
      <c r="E68" s="92">
        <f>+E66-E67</f>
        <v>0</v>
      </c>
      <c r="F68" s="90">
        <f>+F66-F67</f>
        <v>13634018.493150685</v>
      </c>
      <c r="G68" s="90">
        <f t="shared" ref="G68:J68" si="20">+G66-G67</f>
        <v>21961589.52739726</v>
      </c>
      <c r="H68" s="90">
        <f t="shared" si="20"/>
        <v>27238083.405136995</v>
      </c>
      <c r="I68" s="90">
        <f t="shared" si="20"/>
        <v>33415536.451352764</v>
      </c>
      <c r="J68" s="90">
        <f t="shared" si="20"/>
        <v>35829326.94510328</v>
      </c>
    </row>
    <row r="69" spans="3:10" x14ac:dyDescent="0.55000000000000004">
      <c r="C69" s="123" t="s">
        <v>121</v>
      </c>
      <c r="D69" s="87"/>
      <c r="E69" s="88"/>
      <c r="F69" s="97"/>
      <c r="G69" s="97"/>
      <c r="H69" s="97"/>
      <c r="I69" s="97"/>
      <c r="J69" s="97"/>
    </row>
    <row r="70" spans="3:10" ht="15" customHeight="1" x14ac:dyDescent="0.55000000000000004">
      <c r="C70" s="95" t="s">
        <v>122</v>
      </c>
      <c r="D70" s="87">
        <v>0</v>
      </c>
      <c r="E70" s="88">
        <v>0</v>
      </c>
      <c r="F70" s="87">
        <f>+E70/3*12</f>
        <v>0</v>
      </c>
      <c r="G70" s="87">
        <f t="shared" ref="G70:J70" si="21">+F70</f>
        <v>0</v>
      </c>
      <c r="H70" s="87">
        <f t="shared" si="21"/>
        <v>0</v>
      </c>
      <c r="I70" s="87">
        <f t="shared" si="21"/>
        <v>0</v>
      </c>
      <c r="J70" s="87">
        <f t="shared" si="21"/>
        <v>0</v>
      </c>
    </row>
    <row r="71" spans="3:10" ht="15" customHeight="1" x14ac:dyDescent="0.55000000000000004">
      <c r="C71" s="95" t="s">
        <v>123</v>
      </c>
      <c r="D71" s="87">
        <v>0</v>
      </c>
      <c r="E71" s="88">
        <f>+SUM('repayment sch'!H9:H9)</f>
        <v>415584.16666666669</v>
      </c>
      <c r="F71" s="87">
        <f>+SUM('repayment sch'!H10:H21)</f>
        <v>5265568.2374759391</v>
      </c>
      <c r="G71" s="97">
        <f>+SUM('repayment sch'!H22:H33)</f>
        <v>5328945.8514599781</v>
      </c>
      <c r="H71" s="97">
        <f>+SUM('repayment sch'!H34:H45)</f>
        <v>4972123.7024577204</v>
      </c>
      <c r="I71" s="97">
        <f>+SUM('repayment sch'!H46:H57)</f>
        <v>4577937.6117024394</v>
      </c>
      <c r="J71" s="97">
        <f>+SUM('repayment sch'!H58:H69)</f>
        <v>4142475.0862414781</v>
      </c>
    </row>
    <row r="72" spans="3:10" ht="15" customHeight="1" x14ac:dyDescent="0.55000000000000004">
      <c r="C72" s="95" t="s">
        <v>124</v>
      </c>
      <c r="D72" s="87">
        <v>0</v>
      </c>
      <c r="E72" s="88">
        <v>0</v>
      </c>
      <c r="F72" s="87">
        <v>0</v>
      </c>
      <c r="G72" s="87">
        <v>0</v>
      </c>
      <c r="H72" s="87">
        <v>0</v>
      </c>
      <c r="I72" s="87">
        <v>0</v>
      </c>
      <c r="J72" s="87">
        <v>0</v>
      </c>
    </row>
    <row r="73" spans="3:10" x14ac:dyDescent="0.55000000000000004">
      <c r="C73" s="132" t="s">
        <v>125</v>
      </c>
      <c r="D73" s="79">
        <f>+D68-SUM(D70:D72)</f>
        <v>-360000</v>
      </c>
      <c r="E73" s="79">
        <f t="shared" ref="E73:J73" si="22">+E68-SUM(E70:E72)</f>
        <v>-415584.16666666669</v>
      </c>
      <c r="F73" s="79">
        <f t="shared" si="22"/>
        <v>8368450.2556747459</v>
      </c>
      <c r="G73" s="79">
        <f t="shared" si="22"/>
        <v>16632643.675937282</v>
      </c>
      <c r="H73" s="79">
        <f t="shared" si="22"/>
        <v>22265959.702679276</v>
      </c>
      <c r="I73" s="79">
        <f t="shared" si="22"/>
        <v>28837598.839650325</v>
      </c>
      <c r="J73" s="79">
        <f t="shared" si="22"/>
        <v>31686851.858861804</v>
      </c>
    </row>
    <row r="74" spans="3:10" x14ac:dyDescent="0.55000000000000004">
      <c r="C74" s="133" t="s">
        <v>126</v>
      </c>
      <c r="D74" s="134" t="e">
        <f t="shared" ref="D74:J74" si="23">+D73/D53</f>
        <v>#DIV/0!</v>
      </c>
      <c r="E74" s="135">
        <f t="shared" si="23"/>
        <v>-4.1558416666666664</v>
      </c>
      <c r="F74" s="134">
        <f t="shared" si="23"/>
        <v>0.16210073134478928</v>
      </c>
      <c r="G74" s="134">
        <f t="shared" si="23"/>
        <v>0.22629447178145962</v>
      </c>
      <c r="H74" s="134">
        <f t="shared" si="23"/>
        <v>0.25973706273175007</v>
      </c>
      <c r="I74" s="134">
        <f t="shared" si="23"/>
        <v>0.29239643943878657</v>
      </c>
      <c r="J74" s="134">
        <f t="shared" si="23"/>
        <v>0.31065541038099809</v>
      </c>
    </row>
    <row r="75" spans="3:10" x14ac:dyDescent="0.55000000000000004">
      <c r="C75" s="95" t="s">
        <v>127</v>
      </c>
      <c r="D75" s="93">
        <v>0</v>
      </c>
      <c r="E75" s="93">
        <v>0</v>
      </c>
      <c r="F75" s="93">
        <f>+(F73+E76+D78)*26%</f>
        <v>1974145.1831421007</v>
      </c>
      <c r="G75" s="93">
        <f t="shared" ref="G75:J75" si="24">+G73*26%</f>
        <v>4324487.3557436932</v>
      </c>
      <c r="H75" s="93">
        <f t="shared" si="24"/>
        <v>5789149.5226966124</v>
      </c>
      <c r="I75" s="93">
        <f t="shared" si="24"/>
        <v>7497775.6983090853</v>
      </c>
      <c r="J75" s="93">
        <f t="shared" si="24"/>
        <v>8238581.4833040694</v>
      </c>
    </row>
    <row r="76" spans="3:10" x14ac:dyDescent="0.55000000000000004">
      <c r="C76" s="132" t="s">
        <v>128</v>
      </c>
      <c r="D76" s="79">
        <f t="shared" ref="D76:J76" si="25">+D73-D75</f>
        <v>-360000</v>
      </c>
      <c r="E76" s="80">
        <f t="shared" si="25"/>
        <v>-415584.16666666669</v>
      </c>
      <c r="F76" s="79">
        <f t="shared" si="25"/>
        <v>6394305.0725326454</v>
      </c>
      <c r="G76" s="79">
        <f t="shared" si="25"/>
        <v>12308156.320193589</v>
      </c>
      <c r="H76" s="79">
        <f t="shared" si="25"/>
        <v>16476810.179982664</v>
      </c>
      <c r="I76" s="79">
        <f t="shared" si="25"/>
        <v>21339823.141341239</v>
      </c>
      <c r="J76" s="79">
        <f t="shared" si="25"/>
        <v>23448270.375557736</v>
      </c>
    </row>
    <row r="77" spans="3:10" x14ac:dyDescent="0.55000000000000004">
      <c r="C77" s="136" t="s">
        <v>129</v>
      </c>
      <c r="D77" s="137" t="e">
        <f t="shared" ref="D77:J77" si="26">+D76/D55</f>
        <v>#DIV/0!</v>
      </c>
      <c r="E77" s="138">
        <f t="shared" si="26"/>
        <v>-4.1558416666666664</v>
      </c>
      <c r="F77" s="137">
        <f t="shared" si="26"/>
        <v>0.12386063094494229</v>
      </c>
      <c r="G77" s="137">
        <f t="shared" si="26"/>
        <v>0.16745790911828012</v>
      </c>
      <c r="H77" s="137">
        <f t="shared" si="26"/>
        <v>0.19220542642149507</v>
      </c>
      <c r="I77" s="137">
        <f t="shared" si="26"/>
        <v>0.21637336518470204</v>
      </c>
      <c r="J77" s="137">
        <f t="shared" si="26"/>
        <v>0.22988500368193859</v>
      </c>
    </row>
    <row r="78" spans="3:10" s="67" customFormat="1" ht="15" x14ac:dyDescent="0.5">
      <c r="C78" s="139" t="s">
        <v>130</v>
      </c>
      <c r="D78" s="140">
        <f t="shared" ref="D78:J78" si="27">+D76+D67</f>
        <v>-360000</v>
      </c>
      <c r="E78" s="141">
        <f t="shared" si="27"/>
        <v>-415584.16666666669</v>
      </c>
      <c r="F78" s="140">
        <f t="shared" si="27"/>
        <v>16084555.072532646</v>
      </c>
      <c r="G78" s="140">
        <f t="shared" si="27"/>
        <v>20644488.820193589</v>
      </c>
      <c r="H78" s="140">
        <f t="shared" si="27"/>
        <v>23652350.804982662</v>
      </c>
      <c r="I78" s="140">
        <f t="shared" si="27"/>
        <v>27519724.872591238</v>
      </c>
      <c r="J78" s="140">
        <f t="shared" si="27"/>
        <v>28773809.827120237</v>
      </c>
    </row>
    <row r="79" spans="3:10" x14ac:dyDescent="0.55000000000000004">
      <c r="C79" s="142"/>
    </row>
    <row r="81" spans="3:13" x14ac:dyDescent="0.55000000000000004">
      <c r="C81" s="65" t="str">
        <f>+C6</f>
        <v>BLUELEO ENERGY PRIVATE LIMITED</v>
      </c>
      <c r="D81" s="65"/>
      <c r="E81" s="65"/>
      <c r="F81" s="65"/>
      <c r="G81" s="65"/>
      <c r="H81" s="65"/>
      <c r="I81" s="65"/>
      <c r="J81" s="65"/>
    </row>
    <row r="82" spans="3:13" x14ac:dyDescent="0.55000000000000004">
      <c r="C82" s="114" t="s">
        <v>131</v>
      </c>
      <c r="D82" s="114"/>
      <c r="E82" s="114"/>
      <c r="F82" s="114"/>
      <c r="G82" s="114"/>
      <c r="H82" s="114"/>
      <c r="I82" s="114"/>
      <c r="J82" s="114"/>
    </row>
    <row r="83" spans="3:13" x14ac:dyDescent="0.55000000000000004">
      <c r="C83" s="115" t="s">
        <v>38</v>
      </c>
      <c r="D83" s="143" t="str">
        <f t="shared" ref="D83:J83" si="28">+D169</f>
        <v>2023-24</v>
      </c>
      <c r="E83" s="143" t="str">
        <f t="shared" si="28"/>
        <v>2024-25</v>
      </c>
      <c r="F83" s="143" t="str">
        <f t="shared" si="28"/>
        <v>2025-26</v>
      </c>
      <c r="G83" s="143" t="str">
        <f t="shared" si="28"/>
        <v>2026-27</v>
      </c>
      <c r="H83" s="143" t="str">
        <f t="shared" si="28"/>
        <v>2027-28</v>
      </c>
      <c r="I83" s="143" t="str">
        <f t="shared" si="28"/>
        <v>2028-29</v>
      </c>
      <c r="J83" s="143" t="str">
        <f t="shared" si="28"/>
        <v>2029-30</v>
      </c>
    </row>
    <row r="84" spans="3:13" x14ac:dyDescent="0.55000000000000004">
      <c r="C84" s="118"/>
      <c r="D84" s="143" t="str">
        <f t="shared" ref="D84:J84" si="29">+D51</f>
        <v>Audited</v>
      </c>
      <c r="E84" s="144" t="str">
        <f t="shared" si="29"/>
        <v>Estimated</v>
      </c>
      <c r="F84" s="143" t="str">
        <f t="shared" si="29"/>
        <v>Projected</v>
      </c>
      <c r="G84" s="143" t="str">
        <f t="shared" si="29"/>
        <v>Projected</v>
      </c>
      <c r="H84" s="144" t="str">
        <f t="shared" si="29"/>
        <v>Projected</v>
      </c>
      <c r="I84" s="143" t="str">
        <f t="shared" si="29"/>
        <v>Projected</v>
      </c>
      <c r="J84" s="143" t="str">
        <f t="shared" si="29"/>
        <v>Projected</v>
      </c>
    </row>
    <row r="85" spans="3:13" x14ac:dyDescent="0.55000000000000004">
      <c r="C85" s="83" t="s">
        <v>132</v>
      </c>
      <c r="D85" s="97"/>
      <c r="F85" s="97"/>
      <c r="G85" s="120"/>
      <c r="I85" s="120"/>
      <c r="J85" s="120"/>
    </row>
    <row r="86" spans="3:13" x14ac:dyDescent="0.55000000000000004">
      <c r="C86" s="86" t="s">
        <v>133</v>
      </c>
      <c r="D86" s="87">
        <f t="shared" ref="D86:J86" si="30">+D154</f>
        <v>0</v>
      </c>
      <c r="E86" s="88">
        <f t="shared" si="30"/>
        <v>100000</v>
      </c>
      <c r="F86" s="87">
        <f t="shared" si="30"/>
        <v>43138698.630136989</v>
      </c>
      <c r="G86" s="87">
        <f t="shared" si="30"/>
        <v>69904109.589041099</v>
      </c>
      <c r="H86" s="88">
        <f t="shared" si="30"/>
        <v>83715410.958904117</v>
      </c>
      <c r="I86" s="87">
        <f t="shared" si="30"/>
        <v>96504452.05479452</v>
      </c>
      <c r="J86" s="87">
        <f t="shared" si="30"/>
        <v>101445205.47945204</v>
      </c>
    </row>
    <row r="87" spans="3:13" x14ac:dyDescent="0.55000000000000004">
      <c r="C87" s="86" t="s">
        <v>134</v>
      </c>
      <c r="D87" s="87">
        <f>+D14</f>
        <v>100000</v>
      </c>
      <c r="E87" s="87">
        <f t="shared" ref="E87:J87" si="31">+E14</f>
        <v>21372900</v>
      </c>
      <c r="F87" s="87">
        <f t="shared" si="31"/>
        <v>21372900</v>
      </c>
      <c r="G87" s="87">
        <f t="shared" si="31"/>
        <v>21372900</v>
      </c>
      <c r="H87" s="87">
        <f t="shared" si="31"/>
        <v>21372900</v>
      </c>
      <c r="I87" s="87">
        <f t="shared" si="31"/>
        <v>21372900</v>
      </c>
      <c r="J87" s="87">
        <f t="shared" si="31"/>
        <v>21372900</v>
      </c>
    </row>
    <row r="88" spans="3:13" x14ac:dyDescent="0.55000000000000004">
      <c r="C88" s="86" t="s">
        <v>135</v>
      </c>
      <c r="D88" s="87">
        <v>0</v>
      </c>
      <c r="E88" s="88">
        <f>+'repayment sch'!E4</f>
        <v>49870100</v>
      </c>
      <c r="F88" s="87">
        <v>0</v>
      </c>
      <c r="G88" s="87">
        <v>0</v>
      </c>
      <c r="H88" s="88">
        <v>0</v>
      </c>
      <c r="I88" s="87">
        <v>0</v>
      </c>
      <c r="J88" s="87">
        <v>0</v>
      </c>
    </row>
    <row r="89" spans="3:13" x14ac:dyDescent="0.55000000000000004">
      <c r="C89" s="86" t="s">
        <v>136</v>
      </c>
      <c r="D89" s="87">
        <v>0</v>
      </c>
      <c r="E89" s="88">
        <v>0</v>
      </c>
      <c r="F89" s="87">
        <v>0</v>
      </c>
      <c r="G89" s="87">
        <v>0</v>
      </c>
      <c r="H89" s="87">
        <v>0</v>
      </c>
      <c r="I89" s="87">
        <v>0</v>
      </c>
      <c r="J89" s="87">
        <v>0</v>
      </c>
    </row>
    <row r="90" spans="3:13" x14ac:dyDescent="0.55000000000000004">
      <c r="C90" s="86" t="s">
        <v>137</v>
      </c>
      <c r="D90" s="87">
        <v>250000</v>
      </c>
      <c r="E90" s="88">
        <f>+E22+E26</f>
        <v>0</v>
      </c>
      <c r="F90" s="87">
        <v>0</v>
      </c>
      <c r="G90" s="145">
        <v>0</v>
      </c>
      <c r="H90" s="88">
        <v>0</v>
      </c>
      <c r="I90" s="145">
        <v>0</v>
      </c>
      <c r="J90" s="145">
        <v>0</v>
      </c>
    </row>
    <row r="91" spans="3:13" x14ac:dyDescent="0.55000000000000004">
      <c r="C91" s="101" t="s">
        <v>138</v>
      </c>
      <c r="D91" s="102">
        <f>SUM(D86:D90)</f>
        <v>350000</v>
      </c>
      <c r="E91" s="103">
        <f>SUM(E86:E90)</f>
        <v>71343000</v>
      </c>
      <c r="F91" s="102">
        <f>SUM(F86:F90)</f>
        <v>64511598.630136989</v>
      </c>
      <c r="G91" s="102">
        <f t="shared" ref="G91:J91" si="32">SUM(G86:G90)</f>
        <v>91277009.589041099</v>
      </c>
      <c r="H91" s="102">
        <f t="shared" si="32"/>
        <v>105088310.95890412</v>
      </c>
      <c r="I91" s="102">
        <f t="shared" si="32"/>
        <v>117877352.05479452</v>
      </c>
      <c r="J91" s="102">
        <f t="shared" si="32"/>
        <v>122818105.47945204</v>
      </c>
    </row>
    <row r="92" spans="3:13" ht="8.25" customHeight="1" x14ac:dyDescent="0.55000000000000004">
      <c r="C92" s="86"/>
      <c r="D92" s="87"/>
      <c r="E92" s="88"/>
      <c r="F92" s="97"/>
      <c r="G92" s="97"/>
      <c r="H92" s="97"/>
      <c r="I92" s="97"/>
      <c r="J92" s="97"/>
    </row>
    <row r="93" spans="3:13" x14ac:dyDescent="0.55000000000000004">
      <c r="C93" s="83" t="s">
        <v>139</v>
      </c>
      <c r="D93" s="87"/>
      <c r="E93" s="88"/>
      <c r="F93" s="97"/>
      <c r="G93" s="97"/>
      <c r="H93" s="97"/>
      <c r="I93" s="97"/>
      <c r="J93" s="97"/>
    </row>
    <row r="94" spans="3:13" x14ac:dyDescent="0.55000000000000004">
      <c r="C94" s="86" t="s">
        <v>140</v>
      </c>
      <c r="D94" s="87">
        <v>0</v>
      </c>
      <c r="E94" s="88">
        <v>0</v>
      </c>
      <c r="F94" s="87">
        <f>+E26-F26</f>
        <v>0</v>
      </c>
      <c r="G94" s="87">
        <f t="shared" ref="G94:J94" si="33">+F26-G26</f>
        <v>0</v>
      </c>
      <c r="H94" s="87">
        <f t="shared" si="33"/>
        <v>0</v>
      </c>
      <c r="I94" s="87">
        <f t="shared" si="33"/>
        <v>0</v>
      </c>
      <c r="J94" s="87">
        <f t="shared" si="33"/>
        <v>0</v>
      </c>
      <c r="M94" s="96"/>
    </row>
    <row r="95" spans="3:13" x14ac:dyDescent="0.55000000000000004">
      <c r="C95" s="86" t="s">
        <v>141</v>
      </c>
      <c r="D95" s="87">
        <f t="shared" ref="D95:J95" si="34">+D71</f>
        <v>0</v>
      </c>
      <c r="E95" s="88">
        <v>0</v>
      </c>
      <c r="F95" s="87">
        <f>+F71-SUM('repayment sch'!H10:H20)</f>
        <v>459101.25953836832</v>
      </c>
      <c r="G95" s="87">
        <f t="shared" si="34"/>
        <v>5328945.8514599781</v>
      </c>
      <c r="H95" s="87">
        <f t="shared" si="34"/>
        <v>4972123.7024577204</v>
      </c>
      <c r="I95" s="87">
        <f t="shared" si="34"/>
        <v>4577937.6117024394</v>
      </c>
      <c r="J95" s="87">
        <f t="shared" si="34"/>
        <v>4142475.0862414781</v>
      </c>
    </row>
    <row r="96" spans="3:13" ht="15" customHeight="1" x14ac:dyDescent="0.55000000000000004">
      <c r="C96" s="95" t="s">
        <v>142</v>
      </c>
      <c r="D96" s="87">
        <f t="shared" ref="D96:J96" si="35">+D70</f>
        <v>0</v>
      </c>
      <c r="E96" s="88">
        <f t="shared" si="35"/>
        <v>0</v>
      </c>
      <c r="F96" s="87">
        <f t="shared" si="35"/>
        <v>0</v>
      </c>
      <c r="G96" s="87">
        <f t="shared" si="35"/>
        <v>0</v>
      </c>
      <c r="H96" s="87">
        <f t="shared" si="35"/>
        <v>0</v>
      </c>
      <c r="I96" s="87">
        <f t="shared" si="35"/>
        <v>0</v>
      </c>
      <c r="J96" s="87">
        <f t="shared" si="35"/>
        <v>0</v>
      </c>
    </row>
    <row r="97" spans="2:10" s="146" customFormat="1" x14ac:dyDescent="0.55000000000000004">
      <c r="C97" s="95" t="s">
        <v>143</v>
      </c>
      <c r="D97" s="87">
        <v>0</v>
      </c>
      <c r="E97" s="88">
        <v>0</v>
      </c>
      <c r="F97" s="87">
        <f>+'repayment sch'!G21</f>
        <v>268945.74046163139</v>
      </c>
      <c r="G97" s="87">
        <f>+F21-G21</f>
        <v>3407618.1485400125</v>
      </c>
      <c r="H97" s="87">
        <f>+G21-H21</f>
        <v>3764440.297542274</v>
      </c>
      <c r="I97" s="87">
        <f>+H21-I21</f>
        <v>4158626.3882975653</v>
      </c>
      <c r="J97" s="87">
        <f>+I21-J21</f>
        <v>4594088.9137585238</v>
      </c>
    </row>
    <row r="98" spans="2:10" s="146" customFormat="1" x14ac:dyDescent="0.55000000000000004">
      <c r="C98" s="95" t="s">
        <v>144</v>
      </c>
      <c r="D98" s="87">
        <v>0</v>
      </c>
      <c r="E98" s="87">
        <v>250000</v>
      </c>
      <c r="F98" s="87">
        <f>+E22-F22</f>
        <v>0</v>
      </c>
      <c r="G98" s="87">
        <f t="shared" ref="G98:J98" si="36">+F22-G22</f>
        <v>0</v>
      </c>
      <c r="H98" s="87">
        <f t="shared" si="36"/>
        <v>0</v>
      </c>
      <c r="I98" s="87">
        <f t="shared" si="36"/>
        <v>0</v>
      </c>
      <c r="J98" s="87">
        <f t="shared" si="36"/>
        <v>0</v>
      </c>
    </row>
    <row r="99" spans="2:10" s="146" customFormat="1" x14ac:dyDescent="0.55000000000000004">
      <c r="C99" s="95" t="s">
        <v>145</v>
      </c>
      <c r="D99" s="87">
        <v>0</v>
      </c>
      <c r="E99" s="88">
        <v>0</v>
      </c>
      <c r="F99" s="87">
        <v>0</v>
      </c>
      <c r="G99" s="87">
        <v>0</v>
      </c>
      <c r="H99" s="87">
        <v>0</v>
      </c>
      <c r="I99" s="87">
        <v>0</v>
      </c>
      <c r="J99" s="87">
        <v>0</v>
      </c>
    </row>
    <row r="100" spans="2:10" x14ac:dyDescent="0.55000000000000004">
      <c r="C100" s="86" t="s">
        <v>146</v>
      </c>
      <c r="D100" s="87">
        <v>0</v>
      </c>
      <c r="E100" s="88">
        <v>0</v>
      </c>
      <c r="F100" s="97">
        <f>+FA!F25</f>
        <v>42243000</v>
      </c>
      <c r="G100" s="97">
        <v>0</v>
      </c>
      <c r="H100" s="97">
        <v>0</v>
      </c>
      <c r="I100" s="97">
        <v>0</v>
      </c>
      <c r="J100" s="97">
        <v>0</v>
      </c>
    </row>
    <row r="101" spans="2:10" x14ac:dyDescent="0.55000000000000004">
      <c r="C101" s="86" t="s">
        <v>147</v>
      </c>
      <c r="D101" s="87">
        <v>0</v>
      </c>
      <c r="E101" s="88">
        <v>0</v>
      </c>
      <c r="F101" s="87">
        <v>0</v>
      </c>
      <c r="G101" s="87">
        <v>0</v>
      </c>
      <c r="H101" s="87">
        <v>0</v>
      </c>
      <c r="I101" s="87">
        <v>0</v>
      </c>
      <c r="J101" s="87">
        <v>0</v>
      </c>
    </row>
    <row r="102" spans="2:10" x14ac:dyDescent="0.55000000000000004">
      <c r="C102" s="86" t="s">
        <v>148</v>
      </c>
      <c r="D102" s="87">
        <v>0</v>
      </c>
      <c r="E102" s="88">
        <f>+FA!G16+FA!I17</f>
        <v>29000000</v>
      </c>
      <c r="F102" s="87">
        <v>0</v>
      </c>
      <c r="G102" s="87">
        <v>0</v>
      </c>
      <c r="H102" s="87">
        <v>0</v>
      </c>
      <c r="I102" s="87">
        <v>0</v>
      </c>
      <c r="J102" s="87">
        <v>0</v>
      </c>
    </row>
    <row r="103" spans="2:10" x14ac:dyDescent="0.55000000000000004">
      <c r="C103" s="86" t="s">
        <v>149</v>
      </c>
      <c r="D103" s="87">
        <v>0</v>
      </c>
      <c r="E103" s="88">
        <v>0</v>
      </c>
      <c r="F103" s="87">
        <v>0</v>
      </c>
      <c r="G103" s="87">
        <v>0</v>
      </c>
      <c r="H103" s="87">
        <v>0</v>
      </c>
      <c r="I103" s="87">
        <v>0</v>
      </c>
      <c r="J103" s="87">
        <v>0</v>
      </c>
    </row>
    <row r="104" spans="2:10" x14ac:dyDescent="0.55000000000000004">
      <c r="B104" s="147"/>
      <c r="C104" s="148" t="s">
        <v>150</v>
      </c>
      <c r="D104" s="149">
        <v>0</v>
      </c>
      <c r="E104" s="150">
        <v>0</v>
      </c>
      <c r="F104" s="149">
        <v>0</v>
      </c>
      <c r="G104" s="149">
        <v>0</v>
      </c>
      <c r="H104" s="149">
        <v>0</v>
      </c>
      <c r="I104" s="149">
        <v>0</v>
      </c>
      <c r="J104" s="149">
        <v>0</v>
      </c>
    </row>
    <row r="105" spans="2:10" x14ac:dyDescent="0.55000000000000004">
      <c r="C105" s="89" t="s">
        <v>151</v>
      </c>
      <c r="D105" s="90">
        <f t="shared" ref="D105:J105" si="37">SUM(D94:D104)</f>
        <v>0</v>
      </c>
      <c r="E105" s="92">
        <f t="shared" si="37"/>
        <v>29250000</v>
      </c>
      <c r="F105" s="90">
        <f t="shared" si="37"/>
        <v>42971047</v>
      </c>
      <c r="G105" s="90">
        <f t="shared" si="37"/>
        <v>8736563.9999999907</v>
      </c>
      <c r="H105" s="90">
        <f t="shared" si="37"/>
        <v>8736563.9999999944</v>
      </c>
      <c r="I105" s="90">
        <f t="shared" si="37"/>
        <v>8736564.0000000037</v>
      </c>
      <c r="J105" s="90">
        <f t="shared" si="37"/>
        <v>8736564.0000000019</v>
      </c>
    </row>
    <row r="106" spans="2:10" x14ac:dyDescent="0.55000000000000004">
      <c r="C106" s="89" t="s">
        <v>152</v>
      </c>
      <c r="D106" s="87"/>
      <c r="E106" s="88"/>
      <c r="F106" s="97"/>
      <c r="G106" s="97"/>
      <c r="H106" s="97"/>
      <c r="I106" s="97"/>
      <c r="J106" s="97"/>
    </row>
    <row r="107" spans="2:10" x14ac:dyDescent="0.55000000000000004">
      <c r="C107" s="151" t="s">
        <v>153</v>
      </c>
      <c r="D107" s="152">
        <f t="shared" ref="D107:J107" si="38">+D130</f>
        <v>0</v>
      </c>
      <c r="E107" s="152">
        <f t="shared" si="38"/>
        <v>50000</v>
      </c>
      <c r="F107" s="152">
        <f t="shared" si="38"/>
        <v>7700000</v>
      </c>
      <c r="G107" s="152">
        <f t="shared" si="38"/>
        <v>15073333.333333332</v>
      </c>
      <c r="H107" s="152">
        <f t="shared" si="38"/>
        <v>19273333.333333332</v>
      </c>
      <c r="I107" s="152">
        <f t="shared" si="38"/>
        <v>22294999.999999993</v>
      </c>
      <c r="J107" s="152">
        <f t="shared" si="38"/>
        <v>22953233.333333325</v>
      </c>
    </row>
    <row r="108" spans="2:10" x14ac:dyDescent="0.55000000000000004">
      <c r="C108" s="86" t="s">
        <v>154</v>
      </c>
      <c r="D108" s="87">
        <f t="shared" ref="D108:J108" si="39">+D122</f>
        <v>350000</v>
      </c>
      <c r="E108" s="88">
        <f t="shared" si="39"/>
        <v>50000</v>
      </c>
      <c r="F108" s="87">
        <f t="shared" si="39"/>
        <v>18357816.666666668</v>
      </c>
      <c r="G108" s="87">
        <f t="shared" si="39"/>
        <v>26987970.333333332</v>
      </c>
      <c r="H108" s="87">
        <f t="shared" si="39"/>
        <v>31419802.049999993</v>
      </c>
      <c r="I108" s="87">
        <f t="shared" si="39"/>
        <v>36132772.357499987</v>
      </c>
      <c r="J108" s="87">
        <f t="shared" si="39"/>
        <v>37749619.516149998</v>
      </c>
    </row>
    <row r="109" spans="2:10" x14ac:dyDescent="0.55000000000000004">
      <c r="C109" s="86" t="s">
        <v>155</v>
      </c>
      <c r="D109" s="87">
        <v>0</v>
      </c>
      <c r="E109" s="88">
        <f t="shared" ref="E109:J109" si="40">+D29</f>
        <v>0</v>
      </c>
      <c r="F109" s="87">
        <f t="shared" si="40"/>
        <v>0</v>
      </c>
      <c r="G109" s="87">
        <f t="shared" si="40"/>
        <v>1974145.1831421007</v>
      </c>
      <c r="H109" s="87">
        <f t="shared" si="40"/>
        <v>4324487.3557436932</v>
      </c>
      <c r="I109" s="87">
        <f t="shared" si="40"/>
        <v>5789149.5226966124</v>
      </c>
      <c r="J109" s="87">
        <f t="shared" si="40"/>
        <v>7497775.6983090853</v>
      </c>
    </row>
    <row r="110" spans="2:10" s="67" customFormat="1" ht="15" x14ac:dyDescent="0.5">
      <c r="C110" s="89" t="s">
        <v>151</v>
      </c>
      <c r="D110" s="84">
        <f t="shared" ref="D110:J110" si="41">SUM(D107:D109)</f>
        <v>350000</v>
      </c>
      <c r="E110" s="84">
        <f t="shared" si="41"/>
        <v>100000</v>
      </c>
      <c r="F110" s="84">
        <f t="shared" si="41"/>
        <v>26057816.666666668</v>
      </c>
      <c r="G110" s="84">
        <f t="shared" si="41"/>
        <v>44035448.849808767</v>
      </c>
      <c r="H110" s="84">
        <f t="shared" si="41"/>
        <v>55017622.739077017</v>
      </c>
      <c r="I110" s="84">
        <f t="shared" si="41"/>
        <v>64216921.880196594</v>
      </c>
      <c r="J110" s="84">
        <f t="shared" si="41"/>
        <v>68200628.547792405</v>
      </c>
    </row>
    <row r="111" spans="2:10" x14ac:dyDescent="0.55000000000000004">
      <c r="C111" s="101" t="s">
        <v>156</v>
      </c>
      <c r="D111" s="102">
        <f t="shared" ref="D111:J111" si="42">+D110+D105</f>
        <v>350000</v>
      </c>
      <c r="E111" s="102">
        <f t="shared" si="42"/>
        <v>29350000</v>
      </c>
      <c r="F111" s="102">
        <f t="shared" si="42"/>
        <v>69028863.666666672</v>
      </c>
      <c r="G111" s="102">
        <f t="shared" si="42"/>
        <v>52772012.84980876</v>
      </c>
      <c r="H111" s="102">
        <f t="shared" si="42"/>
        <v>63754186.739077009</v>
      </c>
      <c r="I111" s="102">
        <f t="shared" si="42"/>
        <v>72953485.880196601</v>
      </c>
      <c r="J111" s="102">
        <f t="shared" si="42"/>
        <v>76937192.547792405</v>
      </c>
    </row>
    <row r="112" spans="2:10" ht="7.5" customHeight="1" x14ac:dyDescent="0.55000000000000004">
      <c r="C112" s="86"/>
      <c r="D112" s="87"/>
      <c r="E112" s="88"/>
      <c r="F112" s="97"/>
      <c r="G112" s="97"/>
      <c r="H112" s="97"/>
      <c r="I112" s="97"/>
      <c r="J112" s="97"/>
    </row>
    <row r="113" spans="3:10" x14ac:dyDescent="0.55000000000000004">
      <c r="C113" s="86" t="s">
        <v>157</v>
      </c>
      <c r="D113" s="87">
        <v>0</v>
      </c>
      <c r="E113" s="88">
        <f t="shared" ref="E113:J113" si="43">+D114</f>
        <v>0</v>
      </c>
      <c r="F113" s="87">
        <f t="shared" si="43"/>
        <v>41993000</v>
      </c>
      <c r="G113" s="87">
        <f t="shared" si="43"/>
        <v>37475734.963470325</v>
      </c>
      <c r="H113" s="87">
        <f t="shared" si="43"/>
        <v>75980731.702702671</v>
      </c>
      <c r="I113" s="87">
        <f t="shared" si="43"/>
        <v>117314855.92252979</v>
      </c>
      <c r="J113" s="87">
        <f t="shared" si="43"/>
        <v>162238722.09712771</v>
      </c>
    </row>
    <row r="114" spans="3:10" x14ac:dyDescent="0.55000000000000004">
      <c r="C114" s="153" t="s">
        <v>158</v>
      </c>
      <c r="D114" s="154">
        <f t="shared" ref="D114:J114" si="44">+D113+D91-D111</f>
        <v>0</v>
      </c>
      <c r="E114" s="154">
        <f t="shared" si="44"/>
        <v>41993000</v>
      </c>
      <c r="F114" s="154">
        <f t="shared" si="44"/>
        <v>37475734.963470325</v>
      </c>
      <c r="G114" s="154">
        <f t="shared" si="44"/>
        <v>75980731.702702671</v>
      </c>
      <c r="H114" s="154">
        <f t="shared" si="44"/>
        <v>117314855.92252979</v>
      </c>
      <c r="I114" s="154">
        <f t="shared" si="44"/>
        <v>162238722.09712771</v>
      </c>
      <c r="J114" s="154">
        <f t="shared" si="44"/>
        <v>208119635.02878734</v>
      </c>
    </row>
    <row r="115" spans="3:10" x14ac:dyDescent="0.55000000000000004">
      <c r="D115" s="113">
        <f>+D44-D114</f>
        <v>0</v>
      </c>
      <c r="E115" s="155">
        <f t="shared" ref="E115:J115" si="45">+E44-E114</f>
        <v>0</v>
      </c>
      <c r="F115" s="155">
        <f t="shared" si="45"/>
        <v>0</v>
      </c>
      <c r="G115" s="155">
        <f t="shared" si="45"/>
        <v>0</v>
      </c>
      <c r="H115" s="155">
        <f t="shared" si="45"/>
        <v>0</v>
      </c>
      <c r="I115" s="155">
        <f t="shared" si="45"/>
        <v>0</v>
      </c>
      <c r="J115" s="155">
        <f t="shared" si="45"/>
        <v>0</v>
      </c>
    </row>
    <row r="117" spans="3:10" x14ac:dyDescent="0.55000000000000004">
      <c r="C117" s="156" t="s">
        <v>159</v>
      </c>
      <c r="D117" s="156"/>
      <c r="E117" s="156"/>
      <c r="F117" s="156"/>
      <c r="G117" s="156"/>
      <c r="H117" s="156"/>
      <c r="I117" s="156"/>
      <c r="J117" s="156"/>
    </row>
    <row r="118" spans="3:10" x14ac:dyDescent="0.55000000000000004">
      <c r="C118" s="157" t="s">
        <v>38</v>
      </c>
      <c r="D118" s="158" t="str">
        <f t="shared" ref="D118:J118" si="46">+D9</f>
        <v>2023-24</v>
      </c>
      <c r="E118" s="158" t="str">
        <f t="shared" si="46"/>
        <v>2024-25</v>
      </c>
      <c r="F118" s="158" t="str">
        <f t="shared" si="46"/>
        <v>2025-26</v>
      </c>
      <c r="G118" s="158" t="str">
        <f t="shared" si="46"/>
        <v>2026-27</v>
      </c>
      <c r="H118" s="158" t="str">
        <f t="shared" si="46"/>
        <v>2027-28</v>
      </c>
      <c r="I118" s="158" t="str">
        <f t="shared" si="46"/>
        <v>2028-29</v>
      </c>
      <c r="J118" s="158" t="str">
        <f t="shared" si="46"/>
        <v>2029-30</v>
      </c>
    </row>
    <row r="119" spans="3:10" x14ac:dyDescent="0.55000000000000004">
      <c r="C119" s="159"/>
      <c r="D119" s="160" t="str">
        <f t="shared" ref="D119:J119" si="47">+D84</f>
        <v>Audited</v>
      </c>
      <c r="E119" s="160" t="str">
        <f t="shared" si="47"/>
        <v>Estimated</v>
      </c>
      <c r="F119" s="160" t="str">
        <f t="shared" si="47"/>
        <v>Projected</v>
      </c>
      <c r="G119" s="160" t="str">
        <f t="shared" si="47"/>
        <v>Projected</v>
      </c>
      <c r="H119" s="160" t="str">
        <f t="shared" si="47"/>
        <v>Projected</v>
      </c>
      <c r="I119" s="160" t="str">
        <f t="shared" si="47"/>
        <v>Projected</v>
      </c>
      <c r="J119" s="160" t="str">
        <f t="shared" si="47"/>
        <v>Projected</v>
      </c>
    </row>
    <row r="120" spans="3:10" x14ac:dyDescent="0.55000000000000004">
      <c r="C120" s="86" t="s">
        <v>160</v>
      </c>
      <c r="D120" s="97">
        <v>0</v>
      </c>
      <c r="E120" s="97">
        <f t="shared" ref="E120:J120" si="48">+D123</f>
        <v>10000</v>
      </c>
      <c r="F120" s="97">
        <f t="shared" si="48"/>
        <v>10000</v>
      </c>
      <c r="G120" s="97">
        <f t="shared" si="48"/>
        <v>1667983.3333333333</v>
      </c>
      <c r="H120" s="97">
        <f t="shared" si="48"/>
        <v>2301817</v>
      </c>
      <c r="I120" s="97">
        <f t="shared" si="48"/>
        <v>2647089.5499999993</v>
      </c>
      <c r="J120" s="97">
        <f t="shared" si="48"/>
        <v>3044152.9824999995</v>
      </c>
    </row>
    <row r="121" spans="3:10" x14ac:dyDescent="0.55000000000000004">
      <c r="C121" s="86" t="s">
        <v>161</v>
      </c>
      <c r="D121" s="97">
        <f t="shared" ref="D121:E121" si="49">+SUM(D61:D63)</f>
        <v>360000</v>
      </c>
      <c r="E121" s="97">
        <f t="shared" si="49"/>
        <v>50000</v>
      </c>
      <c r="F121" s="97">
        <f>+SUM(F60:F63)</f>
        <v>20015800</v>
      </c>
      <c r="G121" s="97">
        <f t="shared" ref="G121:J121" si="50">+SUM(G60:G63)</f>
        <v>27621804</v>
      </c>
      <c r="H121" s="97">
        <f t="shared" si="50"/>
        <v>31765074.599999994</v>
      </c>
      <c r="I121" s="97">
        <f t="shared" si="50"/>
        <v>36529835.789999992</v>
      </c>
      <c r="J121" s="97">
        <f t="shared" si="50"/>
        <v>37860508.945799991</v>
      </c>
    </row>
    <row r="122" spans="3:10" x14ac:dyDescent="0.55000000000000004">
      <c r="C122" s="86" t="s">
        <v>162</v>
      </c>
      <c r="D122" s="97">
        <f t="shared" ref="D122:J122" si="51">+D120+D121-D123</f>
        <v>350000</v>
      </c>
      <c r="E122" s="97">
        <f t="shared" si="51"/>
        <v>50000</v>
      </c>
      <c r="F122" s="97">
        <f t="shared" si="51"/>
        <v>18357816.666666668</v>
      </c>
      <c r="G122" s="97">
        <f t="shared" si="51"/>
        <v>26987970.333333332</v>
      </c>
      <c r="H122" s="97">
        <f t="shared" si="51"/>
        <v>31419802.049999993</v>
      </c>
      <c r="I122" s="97">
        <f t="shared" si="51"/>
        <v>36132772.357499987</v>
      </c>
      <c r="J122" s="97">
        <f t="shared" si="51"/>
        <v>37749619.516149998</v>
      </c>
    </row>
    <row r="123" spans="3:10" x14ac:dyDescent="0.55000000000000004">
      <c r="C123" s="153" t="s">
        <v>163</v>
      </c>
      <c r="D123" s="161">
        <v>10000</v>
      </c>
      <c r="E123" s="161">
        <v>10000</v>
      </c>
      <c r="F123" s="161">
        <f t="shared" ref="F123:J123" si="52">+F121/12</f>
        <v>1667983.3333333333</v>
      </c>
      <c r="G123" s="161">
        <f t="shared" si="52"/>
        <v>2301817</v>
      </c>
      <c r="H123" s="161">
        <f t="shared" si="52"/>
        <v>2647089.5499999993</v>
      </c>
      <c r="I123" s="161">
        <f t="shared" si="52"/>
        <v>3044152.9824999995</v>
      </c>
      <c r="J123" s="161">
        <f t="shared" si="52"/>
        <v>3155042.4121499993</v>
      </c>
    </row>
    <row r="125" spans="3:10" x14ac:dyDescent="0.55000000000000004">
      <c r="C125" s="156" t="s">
        <v>164</v>
      </c>
      <c r="D125" s="156"/>
      <c r="E125" s="156"/>
      <c r="F125" s="156"/>
      <c r="G125" s="156"/>
      <c r="H125" s="156"/>
      <c r="I125" s="156"/>
      <c r="J125" s="156"/>
    </row>
    <row r="126" spans="3:10" x14ac:dyDescent="0.55000000000000004">
      <c r="C126" s="162" t="s">
        <v>38</v>
      </c>
      <c r="D126" s="158" t="str">
        <f t="shared" ref="D126:J127" si="53">+D118</f>
        <v>2023-24</v>
      </c>
      <c r="E126" s="158" t="str">
        <f t="shared" si="53"/>
        <v>2024-25</v>
      </c>
      <c r="F126" s="158" t="str">
        <f t="shared" si="53"/>
        <v>2025-26</v>
      </c>
      <c r="G126" s="158" t="str">
        <f t="shared" si="53"/>
        <v>2026-27</v>
      </c>
      <c r="H126" s="158" t="str">
        <f t="shared" si="53"/>
        <v>2027-28</v>
      </c>
      <c r="I126" s="158" t="str">
        <f t="shared" si="53"/>
        <v>2028-29</v>
      </c>
      <c r="J126" s="158" t="str">
        <f t="shared" si="53"/>
        <v>2029-30</v>
      </c>
    </row>
    <row r="127" spans="3:10" x14ac:dyDescent="0.55000000000000004">
      <c r="C127" s="163"/>
      <c r="D127" s="160" t="str">
        <f t="shared" si="53"/>
        <v>Audited</v>
      </c>
      <c r="E127" s="160" t="str">
        <f t="shared" si="53"/>
        <v>Estimated</v>
      </c>
      <c r="F127" s="160" t="str">
        <f t="shared" si="53"/>
        <v>Projected</v>
      </c>
      <c r="G127" s="160" t="str">
        <f t="shared" si="53"/>
        <v>Projected</v>
      </c>
      <c r="H127" s="160" t="str">
        <f t="shared" si="53"/>
        <v>Projected</v>
      </c>
      <c r="I127" s="160" t="str">
        <f t="shared" si="53"/>
        <v>Projected</v>
      </c>
      <c r="J127" s="160" t="str">
        <f t="shared" si="53"/>
        <v>Projected</v>
      </c>
    </row>
    <row r="128" spans="3:10" x14ac:dyDescent="0.55000000000000004">
      <c r="C128" s="86" t="s">
        <v>160</v>
      </c>
      <c r="D128" s="97">
        <v>0</v>
      </c>
      <c r="E128" s="97">
        <f t="shared" ref="E128:J128" si="54">+D131</f>
        <v>0</v>
      </c>
      <c r="F128" s="97">
        <f t="shared" si="54"/>
        <v>0</v>
      </c>
      <c r="G128" s="97">
        <f t="shared" si="54"/>
        <v>700000</v>
      </c>
      <c r="H128" s="97">
        <f t="shared" si="54"/>
        <v>1306666.6666666665</v>
      </c>
      <c r="I128" s="97">
        <f t="shared" si="54"/>
        <v>1633333.333333333</v>
      </c>
      <c r="J128" s="97">
        <f t="shared" si="54"/>
        <v>1878333.3333333328</v>
      </c>
    </row>
    <row r="129" spans="3:10" x14ac:dyDescent="0.55000000000000004">
      <c r="C129" s="86" t="s">
        <v>165</v>
      </c>
      <c r="D129" s="97">
        <f t="shared" ref="D129:J129" si="55">+D137</f>
        <v>0</v>
      </c>
      <c r="E129" s="97">
        <f t="shared" si="55"/>
        <v>50000</v>
      </c>
      <c r="F129" s="97">
        <f t="shared" si="55"/>
        <v>8400000</v>
      </c>
      <c r="G129" s="97">
        <f t="shared" si="55"/>
        <v>15679999.999999998</v>
      </c>
      <c r="H129" s="97">
        <f t="shared" si="55"/>
        <v>19599999.999999996</v>
      </c>
      <c r="I129" s="97">
        <f t="shared" si="55"/>
        <v>22539999.999999993</v>
      </c>
      <c r="J129" s="97">
        <f t="shared" si="55"/>
        <v>22990799.999999993</v>
      </c>
    </row>
    <row r="130" spans="3:10" x14ac:dyDescent="0.55000000000000004">
      <c r="C130" s="86" t="s">
        <v>162</v>
      </c>
      <c r="D130" s="97">
        <f t="shared" ref="D130:J130" si="56">+D128+D129-D131</f>
        <v>0</v>
      </c>
      <c r="E130" s="97">
        <f t="shared" si="56"/>
        <v>50000</v>
      </c>
      <c r="F130" s="97">
        <f t="shared" si="56"/>
        <v>7700000</v>
      </c>
      <c r="G130" s="97">
        <f t="shared" si="56"/>
        <v>15073333.333333332</v>
      </c>
      <c r="H130" s="97">
        <f t="shared" si="56"/>
        <v>19273333.333333332</v>
      </c>
      <c r="I130" s="97">
        <f t="shared" si="56"/>
        <v>22294999.999999993</v>
      </c>
      <c r="J130" s="97">
        <f t="shared" si="56"/>
        <v>22953233.333333325</v>
      </c>
    </row>
    <row r="131" spans="3:10" x14ac:dyDescent="0.55000000000000004">
      <c r="C131" s="153" t="s">
        <v>163</v>
      </c>
      <c r="D131" s="161">
        <f t="shared" ref="D131" si="57">+D129/12*2</f>
        <v>0</v>
      </c>
      <c r="E131" s="161">
        <v>0</v>
      </c>
      <c r="F131" s="161">
        <f>+F129/12</f>
        <v>700000</v>
      </c>
      <c r="G131" s="161">
        <f t="shared" ref="G131:J131" si="58">+G129/12</f>
        <v>1306666.6666666665</v>
      </c>
      <c r="H131" s="161">
        <f t="shared" si="58"/>
        <v>1633333.333333333</v>
      </c>
      <c r="I131" s="161">
        <f t="shared" si="58"/>
        <v>1878333.3333333328</v>
      </c>
      <c r="J131" s="161">
        <f t="shared" si="58"/>
        <v>1915899.9999999993</v>
      </c>
    </row>
    <row r="132" spans="3:10" x14ac:dyDescent="0.55000000000000004">
      <c r="C132" s="67"/>
      <c r="D132" s="164"/>
      <c r="E132" s="164"/>
    </row>
    <row r="133" spans="3:10" x14ac:dyDescent="0.55000000000000004">
      <c r="C133" s="156" t="s">
        <v>166</v>
      </c>
      <c r="D133" s="156"/>
      <c r="E133" s="156"/>
      <c r="F133" s="156"/>
      <c r="G133" s="156"/>
      <c r="H133" s="156"/>
      <c r="I133" s="156"/>
      <c r="J133" s="156"/>
    </row>
    <row r="134" spans="3:10" x14ac:dyDescent="0.55000000000000004">
      <c r="C134" s="157" t="s">
        <v>38</v>
      </c>
      <c r="D134" s="160" t="str">
        <f t="shared" ref="D134:J135" si="59">+D126</f>
        <v>2023-24</v>
      </c>
      <c r="E134" s="160" t="str">
        <f t="shared" si="59"/>
        <v>2024-25</v>
      </c>
      <c r="F134" s="165" t="str">
        <f t="shared" si="59"/>
        <v>2025-26</v>
      </c>
      <c r="G134" s="160" t="str">
        <f t="shared" si="59"/>
        <v>2026-27</v>
      </c>
      <c r="H134" s="165" t="str">
        <f t="shared" si="59"/>
        <v>2027-28</v>
      </c>
      <c r="I134" s="160" t="str">
        <f t="shared" si="59"/>
        <v>2028-29</v>
      </c>
      <c r="J134" s="160" t="str">
        <f t="shared" si="59"/>
        <v>2029-30</v>
      </c>
    </row>
    <row r="135" spans="3:10" x14ac:dyDescent="0.55000000000000004">
      <c r="C135" s="159"/>
      <c r="D135" s="160" t="str">
        <f t="shared" si="59"/>
        <v>Audited</v>
      </c>
      <c r="E135" s="160" t="str">
        <f t="shared" si="59"/>
        <v>Estimated</v>
      </c>
      <c r="F135" s="165" t="str">
        <f t="shared" si="59"/>
        <v>Projected</v>
      </c>
      <c r="G135" s="160" t="str">
        <f t="shared" si="59"/>
        <v>Projected</v>
      </c>
      <c r="H135" s="165" t="str">
        <f t="shared" si="59"/>
        <v>Projected</v>
      </c>
      <c r="I135" s="160" t="str">
        <f t="shared" si="59"/>
        <v>Projected</v>
      </c>
      <c r="J135" s="160" t="str">
        <f t="shared" si="59"/>
        <v>Projected</v>
      </c>
    </row>
    <row r="136" spans="3:10" x14ac:dyDescent="0.55000000000000004">
      <c r="C136" s="120" t="s">
        <v>167</v>
      </c>
      <c r="D136" s="97">
        <v>0</v>
      </c>
      <c r="E136" s="97">
        <f t="shared" ref="E136:J136" si="60">+D139</f>
        <v>0</v>
      </c>
      <c r="F136" s="63">
        <f t="shared" si="60"/>
        <v>0</v>
      </c>
      <c r="G136" s="97">
        <f t="shared" si="60"/>
        <v>0</v>
      </c>
      <c r="H136" s="63">
        <f t="shared" si="60"/>
        <v>0</v>
      </c>
      <c r="I136" s="97">
        <f t="shared" si="60"/>
        <v>0</v>
      </c>
      <c r="J136" s="97">
        <f t="shared" si="60"/>
        <v>0</v>
      </c>
    </row>
    <row r="137" spans="3:10" x14ac:dyDescent="0.55000000000000004">
      <c r="C137" s="120" t="s">
        <v>168</v>
      </c>
      <c r="D137" s="97">
        <f>+D55*48%</f>
        <v>0</v>
      </c>
      <c r="E137" s="97">
        <v>50000</v>
      </c>
      <c r="F137" s="63">
        <f>+Cost!J44/12*10</f>
        <v>8400000</v>
      </c>
      <c r="G137" s="97">
        <f>+(F137/9*12)*140%</f>
        <v>15679999.999999998</v>
      </c>
      <c r="H137" s="97">
        <f>+G137*125%</f>
        <v>19599999.999999996</v>
      </c>
      <c r="I137" s="97">
        <f>+H137*115%</f>
        <v>22539999.999999993</v>
      </c>
      <c r="J137" s="97">
        <f>+I137*102%</f>
        <v>22990799.999999993</v>
      </c>
    </row>
    <row r="138" spans="3:10" x14ac:dyDescent="0.55000000000000004">
      <c r="C138" s="120" t="s">
        <v>169</v>
      </c>
      <c r="D138" s="97">
        <f t="shared" ref="D138:J138" si="61">+D136+D137-D139</f>
        <v>0</v>
      </c>
      <c r="E138" s="97">
        <f t="shared" si="61"/>
        <v>50000</v>
      </c>
      <c r="F138" s="63">
        <f t="shared" si="61"/>
        <v>8400000</v>
      </c>
      <c r="G138" s="97">
        <f t="shared" si="61"/>
        <v>15679999.999999998</v>
      </c>
      <c r="H138" s="63">
        <f t="shared" si="61"/>
        <v>19599999.999999996</v>
      </c>
      <c r="I138" s="97">
        <f t="shared" si="61"/>
        <v>22539999.999999993</v>
      </c>
      <c r="J138" s="97">
        <f t="shared" si="61"/>
        <v>22990799.999999993</v>
      </c>
    </row>
    <row r="139" spans="3:10" x14ac:dyDescent="0.55000000000000004">
      <c r="C139" s="166" t="s">
        <v>170</v>
      </c>
      <c r="D139" s="161">
        <f t="shared" ref="D139" si="62">+D137/365*10</f>
        <v>0</v>
      </c>
      <c r="E139" s="161">
        <v>0</v>
      </c>
      <c r="F139" s="167">
        <v>0</v>
      </c>
      <c r="G139" s="161">
        <v>0</v>
      </c>
      <c r="H139" s="167">
        <v>0</v>
      </c>
      <c r="I139" s="161">
        <v>0</v>
      </c>
      <c r="J139" s="161">
        <v>0</v>
      </c>
    </row>
    <row r="140" spans="3:10" ht="15" customHeight="1" x14ac:dyDescent="0.55000000000000004"/>
    <row r="141" spans="3:10" ht="15" customHeight="1" x14ac:dyDescent="0.55000000000000004">
      <c r="C141" s="156" t="s">
        <v>171</v>
      </c>
      <c r="D141" s="156"/>
      <c r="E141" s="156"/>
      <c r="F141" s="156"/>
      <c r="G141" s="156"/>
      <c r="H141" s="156"/>
      <c r="I141" s="156"/>
      <c r="J141" s="156"/>
    </row>
    <row r="142" spans="3:10" ht="15" customHeight="1" x14ac:dyDescent="0.55000000000000004">
      <c r="C142" s="157" t="s">
        <v>38</v>
      </c>
      <c r="D142" s="160" t="str">
        <f t="shared" ref="D142:J143" si="63">+D134</f>
        <v>2023-24</v>
      </c>
      <c r="E142" s="160" t="str">
        <f t="shared" si="63"/>
        <v>2024-25</v>
      </c>
      <c r="F142" s="165" t="str">
        <f t="shared" si="63"/>
        <v>2025-26</v>
      </c>
      <c r="G142" s="160" t="str">
        <f t="shared" si="63"/>
        <v>2026-27</v>
      </c>
      <c r="H142" s="165" t="str">
        <f t="shared" si="63"/>
        <v>2027-28</v>
      </c>
      <c r="I142" s="160" t="str">
        <f t="shared" si="63"/>
        <v>2028-29</v>
      </c>
      <c r="J142" s="160" t="str">
        <f t="shared" si="63"/>
        <v>2029-30</v>
      </c>
    </row>
    <row r="143" spans="3:10" ht="15" customHeight="1" x14ac:dyDescent="0.55000000000000004">
      <c r="C143" s="159"/>
      <c r="D143" s="160" t="str">
        <f t="shared" si="63"/>
        <v>Audited</v>
      </c>
      <c r="E143" s="160" t="str">
        <f t="shared" si="63"/>
        <v>Estimated</v>
      </c>
      <c r="F143" s="165" t="str">
        <f t="shared" si="63"/>
        <v>Projected</v>
      </c>
      <c r="G143" s="160" t="str">
        <f t="shared" si="63"/>
        <v>Projected</v>
      </c>
      <c r="H143" s="165" t="str">
        <f t="shared" si="63"/>
        <v>Projected</v>
      </c>
      <c r="I143" s="160" t="str">
        <f t="shared" si="63"/>
        <v>Projected</v>
      </c>
      <c r="J143" s="160" t="str">
        <f t="shared" si="63"/>
        <v>Projected</v>
      </c>
    </row>
    <row r="144" spans="3:10" ht="15" customHeight="1" x14ac:dyDescent="0.55000000000000004">
      <c r="C144" s="120" t="s">
        <v>172</v>
      </c>
      <c r="D144" s="97">
        <v>0</v>
      </c>
      <c r="E144" s="97">
        <f t="shared" ref="E144:F144" si="64">+D146</f>
        <v>0</v>
      </c>
      <c r="F144" s="63">
        <f t="shared" si="64"/>
        <v>0</v>
      </c>
      <c r="G144" s="97">
        <f>+F145</f>
        <v>115068.49315068494</v>
      </c>
      <c r="H144" s="63">
        <f>+G145</f>
        <v>214794.52054794517</v>
      </c>
      <c r="I144" s="97">
        <f>+H145</f>
        <v>268493.15068493143</v>
      </c>
      <c r="J144" s="97">
        <f>+I145</f>
        <v>308767.12328767113</v>
      </c>
    </row>
    <row r="145" spans="3:10" ht="15" customHeight="1" x14ac:dyDescent="0.55000000000000004">
      <c r="C145" s="120" t="s">
        <v>173</v>
      </c>
      <c r="D145" s="97">
        <v>0</v>
      </c>
      <c r="E145" s="97">
        <v>0</v>
      </c>
      <c r="F145" s="63">
        <f>+F137/365*5</f>
        <v>115068.49315068494</v>
      </c>
      <c r="G145" s="97">
        <f t="shared" ref="G145:J145" si="65">+G137/365*5</f>
        <v>214794.52054794517</v>
      </c>
      <c r="H145" s="63">
        <f t="shared" si="65"/>
        <v>268493.15068493143</v>
      </c>
      <c r="I145" s="97">
        <f t="shared" si="65"/>
        <v>308767.12328767113</v>
      </c>
      <c r="J145" s="97">
        <f t="shared" si="65"/>
        <v>314942.46575342456</v>
      </c>
    </row>
    <row r="146" spans="3:10" ht="15" customHeight="1" x14ac:dyDescent="0.55000000000000004">
      <c r="C146" s="166" t="s">
        <v>174</v>
      </c>
      <c r="D146" s="161">
        <f>+D144-D145</f>
        <v>0</v>
      </c>
      <c r="E146" s="161">
        <f t="shared" ref="E146:J146" si="66">+E144-E145</f>
        <v>0</v>
      </c>
      <c r="F146" s="168">
        <f t="shared" si="66"/>
        <v>-115068.49315068494</v>
      </c>
      <c r="G146" s="161">
        <f t="shared" si="66"/>
        <v>-99726.02739726023</v>
      </c>
      <c r="H146" s="167">
        <f t="shared" si="66"/>
        <v>-53698.630136986263</v>
      </c>
      <c r="I146" s="161">
        <f t="shared" si="66"/>
        <v>-40273.972602739697</v>
      </c>
      <c r="J146" s="161">
        <f t="shared" si="66"/>
        <v>-6175.3424657534342</v>
      </c>
    </row>
    <row r="147" spans="3:10" ht="15" customHeight="1" x14ac:dyDescent="0.55000000000000004">
      <c r="C147" s="67"/>
      <c r="D147" s="164"/>
      <c r="E147" s="164"/>
      <c r="F147" s="164"/>
      <c r="G147" s="164"/>
      <c r="H147" s="164"/>
      <c r="I147" s="164"/>
      <c r="J147" s="164"/>
    </row>
    <row r="148" spans="3:10" x14ac:dyDescent="0.55000000000000004">
      <c r="C148" s="169" t="s">
        <v>175</v>
      </c>
      <c r="D148" s="170"/>
      <c r="E148" s="170"/>
      <c r="F148" s="170"/>
      <c r="G148" s="170"/>
      <c r="H148" s="170"/>
      <c r="I148" s="170"/>
      <c r="J148" s="171"/>
    </row>
    <row r="149" spans="3:10" x14ac:dyDescent="0.55000000000000004">
      <c r="C149" s="162" t="s">
        <v>38</v>
      </c>
      <c r="D149" s="158" t="str">
        <f t="shared" ref="D149:J150" si="67">+D134</f>
        <v>2023-24</v>
      </c>
      <c r="E149" s="158" t="str">
        <f t="shared" si="67"/>
        <v>2024-25</v>
      </c>
      <c r="F149" s="158" t="str">
        <f t="shared" si="67"/>
        <v>2025-26</v>
      </c>
      <c r="G149" s="158" t="str">
        <f t="shared" si="67"/>
        <v>2026-27</v>
      </c>
      <c r="H149" s="158" t="str">
        <f t="shared" si="67"/>
        <v>2027-28</v>
      </c>
      <c r="I149" s="158" t="str">
        <f t="shared" si="67"/>
        <v>2028-29</v>
      </c>
      <c r="J149" s="158" t="str">
        <f t="shared" si="67"/>
        <v>2029-30</v>
      </c>
    </row>
    <row r="150" spans="3:10" x14ac:dyDescent="0.55000000000000004">
      <c r="C150" s="163"/>
      <c r="D150" s="160" t="str">
        <f t="shared" si="67"/>
        <v>Audited</v>
      </c>
      <c r="E150" s="160" t="str">
        <f t="shared" si="67"/>
        <v>Estimated</v>
      </c>
      <c r="F150" s="160" t="str">
        <f t="shared" si="67"/>
        <v>Projected</v>
      </c>
      <c r="G150" s="160" t="str">
        <f t="shared" si="67"/>
        <v>Projected</v>
      </c>
      <c r="H150" s="160" t="str">
        <f t="shared" si="67"/>
        <v>Projected</v>
      </c>
      <c r="I150" s="160" t="str">
        <f t="shared" si="67"/>
        <v>Projected</v>
      </c>
      <c r="J150" s="160" t="str">
        <f t="shared" si="67"/>
        <v>Projected</v>
      </c>
    </row>
    <row r="151" spans="3:10" x14ac:dyDescent="0.55000000000000004">
      <c r="C151" s="86" t="s">
        <v>160</v>
      </c>
      <c r="D151" s="97">
        <v>0</v>
      </c>
      <c r="E151" s="63">
        <f t="shared" ref="E151:J151" si="68">+D153</f>
        <v>0</v>
      </c>
      <c r="F151" s="97">
        <f t="shared" si="68"/>
        <v>0</v>
      </c>
      <c r="G151" s="97">
        <f t="shared" si="68"/>
        <v>8486301.3698630128</v>
      </c>
      <c r="H151" s="97">
        <f t="shared" si="68"/>
        <v>12082191.780821918</v>
      </c>
      <c r="I151" s="97">
        <f t="shared" si="68"/>
        <v>14091780.82191781</v>
      </c>
      <c r="J151" s="97">
        <f t="shared" si="68"/>
        <v>16212328.767123286</v>
      </c>
    </row>
    <row r="152" spans="3:10" x14ac:dyDescent="0.55000000000000004">
      <c r="C152" s="86" t="s">
        <v>176</v>
      </c>
      <c r="D152" s="97">
        <f t="shared" ref="D152:J152" si="69">+D53</f>
        <v>0</v>
      </c>
      <c r="E152" s="63">
        <f t="shared" si="69"/>
        <v>100000</v>
      </c>
      <c r="F152" s="97">
        <f t="shared" si="69"/>
        <v>51625000</v>
      </c>
      <c r="G152" s="97">
        <f t="shared" si="69"/>
        <v>73500000</v>
      </c>
      <c r="H152" s="97">
        <f t="shared" si="69"/>
        <v>85725000</v>
      </c>
      <c r="I152" s="97">
        <f t="shared" si="69"/>
        <v>98625000</v>
      </c>
      <c r="J152" s="97">
        <f t="shared" si="69"/>
        <v>102000000</v>
      </c>
    </row>
    <row r="153" spans="3:10" x14ac:dyDescent="0.55000000000000004">
      <c r="C153" s="89" t="s">
        <v>163</v>
      </c>
      <c r="D153" s="172">
        <f t="shared" ref="D153" si="70">+D152/12*2</f>
        <v>0</v>
      </c>
      <c r="E153" s="172">
        <v>0</v>
      </c>
      <c r="F153" s="172">
        <f>+F152/365*60</f>
        <v>8486301.3698630128</v>
      </c>
      <c r="G153" s="172">
        <f t="shared" ref="G153:J153" si="71">+G152/365*60</f>
        <v>12082191.780821918</v>
      </c>
      <c r="H153" s="172">
        <f t="shared" si="71"/>
        <v>14091780.82191781</v>
      </c>
      <c r="I153" s="172">
        <f t="shared" si="71"/>
        <v>16212328.767123286</v>
      </c>
      <c r="J153" s="172">
        <f t="shared" si="71"/>
        <v>16767123.287671233</v>
      </c>
    </row>
    <row r="154" spans="3:10" x14ac:dyDescent="0.55000000000000004">
      <c r="C154" s="173" t="s">
        <v>177</v>
      </c>
      <c r="D154" s="174">
        <f t="shared" ref="D154:J154" si="72">+D151+D152-D153</f>
        <v>0</v>
      </c>
      <c r="E154" s="175">
        <f t="shared" si="72"/>
        <v>100000</v>
      </c>
      <c r="F154" s="174">
        <f t="shared" si="72"/>
        <v>43138698.630136989</v>
      </c>
      <c r="G154" s="174">
        <f t="shared" si="72"/>
        <v>69904109.589041099</v>
      </c>
      <c r="H154" s="174">
        <f t="shared" si="72"/>
        <v>83715410.958904117</v>
      </c>
      <c r="I154" s="174">
        <f t="shared" si="72"/>
        <v>96504452.05479452</v>
      </c>
      <c r="J154" s="174">
        <f t="shared" si="72"/>
        <v>101445205.47945204</v>
      </c>
    </row>
    <row r="155" spans="3:10" ht="14.25" customHeight="1" x14ac:dyDescent="0.55000000000000004"/>
    <row r="156" spans="3:10" x14ac:dyDescent="0.55000000000000004">
      <c r="C156" s="156" t="s">
        <v>178</v>
      </c>
      <c r="D156" s="156"/>
      <c r="E156" s="156"/>
      <c r="F156" s="156"/>
      <c r="G156" s="156"/>
      <c r="H156" s="156"/>
      <c r="I156" s="156"/>
      <c r="J156" s="156"/>
    </row>
    <row r="157" spans="3:10" x14ac:dyDescent="0.55000000000000004">
      <c r="C157" s="162" t="str">
        <f>+C149</f>
        <v>Particulars</v>
      </c>
      <c r="D157" s="158" t="str">
        <f t="shared" ref="D157:J158" si="73">+D149</f>
        <v>2023-24</v>
      </c>
      <c r="E157" s="158" t="str">
        <f t="shared" si="73"/>
        <v>2024-25</v>
      </c>
      <c r="F157" s="176" t="str">
        <f t="shared" si="73"/>
        <v>2025-26</v>
      </c>
      <c r="G157" s="158" t="str">
        <f t="shared" si="73"/>
        <v>2026-27</v>
      </c>
      <c r="H157" s="176" t="str">
        <f t="shared" si="73"/>
        <v>2027-28</v>
      </c>
      <c r="I157" s="158" t="str">
        <f t="shared" si="73"/>
        <v>2028-29</v>
      </c>
      <c r="J157" s="158" t="str">
        <f t="shared" si="73"/>
        <v>2029-30</v>
      </c>
    </row>
    <row r="158" spans="3:10" x14ac:dyDescent="0.55000000000000004">
      <c r="C158" s="163"/>
      <c r="D158" s="160" t="str">
        <f t="shared" si="73"/>
        <v>Audited</v>
      </c>
      <c r="E158" s="160" t="str">
        <f t="shared" si="73"/>
        <v>Estimated</v>
      </c>
      <c r="F158" s="165" t="str">
        <f t="shared" si="73"/>
        <v>Projected</v>
      </c>
      <c r="G158" s="160" t="str">
        <f t="shared" si="73"/>
        <v>Projected</v>
      </c>
      <c r="H158" s="165" t="str">
        <f t="shared" si="73"/>
        <v>Projected</v>
      </c>
      <c r="I158" s="160" t="str">
        <f t="shared" si="73"/>
        <v>Projected</v>
      </c>
      <c r="J158" s="160" t="str">
        <f t="shared" si="73"/>
        <v>Projected</v>
      </c>
    </row>
    <row r="159" spans="3:10" x14ac:dyDescent="0.55000000000000004">
      <c r="C159" s="89" t="s">
        <v>179</v>
      </c>
      <c r="D159" s="97"/>
      <c r="E159" s="97"/>
      <c r="G159" s="120"/>
      <c r="I159" s="120"/>
      <c r="J159" s="120"/>
    </row>
    <row r="160" spans="3:10" x14ac:dyDescent="0.55000000000000004">
      <c r="C160" s="86" t="s">
        <v>101</v>
      </c>
      <c r="D160" s="97">
        <f t="shared" ref="D160:J160" si="74">+D41</f>
        <v>0</v>
      </c>
      <c r="E160" s="97">
        <f t="shared" si="74"/>
        <v>0</v>
      </c>
      <c r="F160" s="63">
        <f t="shared" si="74"/>
        <v>8486301.3698630128</v>
      </c>
      <c r="G160" s="97">
        <f t="shared" si="74"/>
        <v>12082191.780821918</v>
      </c>
      <c r="H160" s="63">
        <f t="shared" si="74"/>
        <v>14091780.82191781</v>
      </c>
      <c r="I160" s="97">
        <f t="shared" si="74"/>
        <v>16212328.767123286</v>
      </c>
      <c r="J160" s="97">
        <f t="shared" si="74"/>
        <v>16767123.287671233</v>
      </c>
    </row>
    <row r="161" spans="3:10" x14ac:dyDescent="0.55000000000000004">
      <c r="C161" s="86" t="s">
        <v>100</v>
      </c>
      <c r="D161" s="97">
        <f t="shared" ref="D161:J161" si="75">+D44</f>
        <v>0</v>
      </c>
      <c r="E161" s="97">
        <f t="shared" si="75"/>
        <v>41993000</v>
      </c>
      <c r="F161" s="63">
        <f t="shared" si="75"/>
        <v>37475734.96347031</v>
      </c>
      <c r="G161" s="97">
        <f t="shared" si="75"/>
        <v>75980731.702702641</v>
      </c>
      <c r="H161" s="63">
        <f t="shared" si="75"/>
        <v>117314855.92252977</v>
      </c>
      <c r="I161" s="97">
        <f t="shared" si="75"/>
        <v>162238722.09712768</v>
      </c>
      <c r="J161" s="97">
        <f t="shared" si="75"/>
        <v>208119635.02878737</v>
      </c>
    </row>
    <row r="162" spans="3:10" x14ac:dyDescent="0.55000000000000004">
      <c r="C162" s="89" t="s">
        <v>180</v>
      </c>
      <c r="D162" s="172">
        <f t="shared" ref="D162:F162" si="76">+SUM(D160:D161)*75%</f>
        <v>0</v>
      </c>
      <c r="E162" s="172">
        <f t="shared" si="76"/>
        <v>31494750</v>
      </c>
      <c r="F162" s="164">
        <f t="shared" si="76"/>
        <v>34471527.249999993</v>
      </c>
      <c r="G162" s="172">
        <f t="shared" ref="G162:I162" si="77">+SUM(G160:G161)*75%</f>
        <v>66047192.612643421</v>
      </c>
      <c r="H162" s="164">
        <f t="shared" si="77"/>
        <v>98554977.558335692</v>
      </c>
      <c r="I162" s="172">
        <f t="shared" si="77"/>
        <v>133838288.14818822</v>
      </c>
      <c r="J162" s="172">
        <f t="shared" ref="J162" si="78">+SUM(J160:J161)*75%</f>
        <v>168665068.73734397</v>
      </c>
    </row>
    <row r="163" spans="3:10" x14ac:dyDescent="0.55000000000000004">
      <c r="C163" s="86" t="s">
        <v>181</v>
      </c>
      <c r="D163" s="97">
        <f t="shared" ref="D163:J163" si="79">+D27</f>
        <v>0</v>
      </c>
      <c r="E163" s="97">
        <f t="shared" si="79"/>
        <v>0</v>
      </c>
      <c r="F163" s="63">
        <f t="shared" si="79"/>
        <v>700000</v>
      </c>
      <c r="G163" s="97">
        <f t="shared" si="79"/>
        <v>1306666.6666666665</v>
      </c>
      <c r="H163" s="63">
        <f t="shared" si="79"/>
        <v>1633333.333333333</v>
      </c>
      <c r="I163" s="97">
        <f t="shared" si="79"/>
        <v>1878333.3333333328</v>
      </c>
      <c r="J163" s="97">
        <f t="shared" si="79"/>
        <v>1915899.9999999993</v>
      </c>
    </row>
    <row r="164" spans="3:10" x14ac:dyDescent="0.55000000000000004">
      <c r="C164" s="153" t="s">
        <v>182</v>
      </c>
      <c r="D164" s="161">
        <f t="shared" ref="D164:J164" si="80">+D162-D163</f>
        <v>0</v>
      </c>
      <c r="E164" s="161">
        <f t="shared" si="80"/>
        <v>31494750</v>
      </c>
      <c r="F164" s="167">
        <f t="shared" si="80"/>
        <v>33771527.249999993</v>
      </c>
      <c r="G164" s="161">
        <f t="shared" si="80"/>
        <v>64740525.945976757</v>
      </c>
      <c r="H164" s="167">
        <f t="shared" si="80"/>
        <v>96921644.225002363</v>
      </c>
      <c r="I164" s="161">
        <f t="shared" si="80"/>
        <v>131959954.81485489</v>
      </c>
      <c r="J164" s="161">
        <f t="shared" si="80"/>
        <v>166749168.73734397</v>
      </c>
    </row>
    <row r="165" spans="3:10" x14ac:dyDescent="0.55000000000000004">
      <c r="C165" s="78" t="s">
        <v>183</v>
      </c>
      <c r="D165" s="177">
        <f>+D26</f>
        <v>0</v>
      </c>
      <c r="E165" s="177">
        <f t="shared" ref="E165:J165" si="81">+E26</f>
        <v>0</v>
      </c>
      <c r="F165" s="177">
        <f t="shared" si="81"/>
        <v>0</v>
      </c>
      <c r="G165" s="177">
        <f t="shared" si="81"/>
        <v>0</v>
      </c>
      <c r="H165" s="177">
        <f t="shared" si="81"/>
        <v>0</v>
      </c>
      <c r="I165" s="177">
        <f t="shared" si="81"/>
        <v>0</v>
      </c>
      <c r="J165" s="177">
        <f t="shared" si="81"/>
        <v>0</v>
      </c>
    </row>
    <row r="166" spans="3:10" x14ac:dyDescent="0.55000000000000004">
      <c r="C166" s="153" t="s">
        <v>184</v>
      </c>
      <c r="D166" s="178" t="str">
        <f t="shared" ref="D166:J166" si="82">+IF(D164&gt;=D165,"YES","NO")</f>
        <v>YES</v>
      </c>
      <c r="E166" s="178" t="str">
        <f t="shared" si="82"/>
        <v>YES</v>
      </c>
      <c r="F166" s="179" t="str">
        <f t="shared" si="82"/>
        <v>YES</v>
      </c>
      <c r="G166" s="178" t="str">
        <f t="shared" si="82"/>
        <v>YES</v>
      </c>
      <c r="H166" s="179" t="str">
        <f t="shared" si="82"/>
        <v>YES</v>
      </c>
      <c r="I166" s="178" t="str">
        <f t="shared" si="82"/>
        <v>YES</v>
      </c>
      <c r="J166" s="178" t="str">
        <f t="shared" si="82"/>
        <v>YES</v>
      </c>
    </row>
    <row r="168" spans="3:10" x14ac:dyDescent="0.55000000000000004">
      <c r="C168" s="156" t="s">
        <v>185</v>
      </c>
      <c r="D168" s="156"/>
      <c r="E168" s="156"/>
      <c r="F168" s="156"/>
      <c r="G168" s="156"/>
      <c r="H168" s="156"/>
      <c r="I168" s="156"/>
      <c r="J168" s="156"/>
    </row>
    <row r="169" spans="3:10" x14ac:dyDescent="0.55000000000000004">
      <c r="C169" s="180" t="str">
        <f>+C157</f>
        <v>Particulars</v>
      </c>
      <c r="D169" s="181" t="str">
        <f t="shared" ref="D169:J169" si="83">+D50</f>
        <v>2023-24</v>
      </c>
      <c r="E169" s="181" t="str">
        <f t="shared" si="83"/>
        <v>2024-25</v>
      </c>
      <c r="F169" s="181" t="str">
        <f t="shared" si="83"/>
        <v>2025-26</v>
      </c>
      <c r="G169" s="181" t="str">
        <f t="shared" si="83"/>
        <v>2026-27</v>
      </c>
      <c r="H169" s="182" t="str">
        <f t="shared" si="83"/>
        <v>2027-28</v>
      </c>
      <c r="I169" s="181" t="str">
        <f t="shared" si="83"/>
        <v>2028-29</v>
      </c>
      <c r="J169" s="181" t="str">
        <f t="shared" si="83"/>
        <v>2029-30</v>
      </c>
    </row>
    <row r="170" spans="3:10" ht="16.149999999999999" customHeight="1" x14ac:dyDescent="0.55000000000000004">
      <c r="C170" s="183"/>
      <c r="D170" s="143" t="str">
        <f t="shared" ref="D170:J170" si="84">+D158</f>
        <v>Audited</v>
      </c>
      <c r="E170" s="143" t="str">
        <f t="shared" si="84"/>
        <v>Estimated</v>
      </c>
      <c r="F170" s="143" t="str">
        <f t="shared" si="84"/>
        <v>Projected</v>
      </c>
      <c r="G170" s="143" t="str">
        <f t="shared" si="84"/>
        <v>Projected</v>
      </c>
      <c r="H170" s="144" t="str">
        <f t="shared" si="84"/>
        <v>Projected</v>
      </c>
      <c r="I170" s="143" t="str">
        <f t="shared" si="84"/>
        <v>Projected</v>
      </c>
      <c r="J170" s="143" t="str">
        <f t="shared" si="84"/>
        <v>Projected</v>
      </c>
    </row>
    <row r="171" spans="3:10" x14ac:dyDescent="0.55000000000000004">
      <c r="C171" s="184" t="s">
        <v>186</v>
      </c>
      <c r="D171" s="97"/>
      <c r="E171" s="97"/>
      <c r="F171" s="185"/>
      <c r="G171" s="120"/>
      <c r="I171" s="120"/>
      <c r="J171" s="120"/>
    </row>
    <row r="172" spans="3:10" x14ac:dyDescent="0.55000000000000004">
      <c r="C172" s="186" t="s">
        <v>187</v>
      </c>
      <c r="D172" s="87">
        <f>+D73</f>
        <v>-360000</v>
      </c>
      <c r="E172" s="87">
        <f t="shared" ref="E172:J172" si="85">+E73</f>
        <v>-415584.16666666669</v>
      </c>
      <c r="F172" s="87">
        <f t="shared" si="85"/>
        <v>8368450.2556747459</v>
      </c>
      <c r="G172" s="87">
        <f t="shared" si="85"/>
        <v>16632643.675937282</v>
      </c>
      <c r="H172" s="87">
        <f t="shared" si="85"/>
        <v>22265959.702679276</v>
      </c>
      <c r="I172" s="87">
        <f t="shared" si="85"/>
        <v>28837598.839650325</v>
      </c>
      <c r="J172" s="87">
        <f t="shared" si="85"/>
        <v>31686851.858861804</v>
      </c>
    </row>
    <row r="173" spans="3:10" x14ac:dyDescent="0.55000000000000004">
      <c r="C173" s="186" t="s">
        <v>188</v>
      </c>
      <c r="D173" s="87">
        <f t="shared" ref="D173:J173" si="86">+D67</f>
        <v>0</v>
      </c>
      <c r="E173" s="87">
        <f t="shared" si="86"/>
        <v>0</v>
      </c>
      <c r="F173" s="187">
        <f t="shared" si="86"/>
        <v>9690250</v>
      </c>
      <c r="G173" s="87">
        <f t="shared" si="86"/>
        <v>8336332.5</v>
      </c>
      <c r="H173" s="88">
        <f t="shared" si="86"/>
        <v>7175540.625</v>
      </c>
      <c r="I173" s="87">
        <f t="shared" si="86"/>
        <v>6179901.7312499993</v>
      </c>
      <c r="J173" s="87">
        <f t="shared" si="86"/>
        <v>5325539.4515624996</v>
      </c>
    </row>
    <row r="174" spans="3:10" x14ac:dyDescent="0.55000000000000004">
      <c r="C174" s="186" t="s">
        <v>189</v>
      </c>
      <c r="D174" s="97">
        <f t="shared" ref="D174:J174" si="87">+D71+D70</f>
        <v>0</v>
      </c>
      <c r="E174" s="97">
        <f t="shared" si="87"/>
        <v>415584.16666666669</v>
      </c>
      <c r="F174" s="97">
        <f t="shared" si="87"/>
        <v>5265568.2374759391</v>
      </c>
      <c r="G174" s="97">
        <f t="shared" si="87"/>
        <v>5328945.8514599781</v>
      </c>
      <c r="H174" s="63">
        <f t="shared" si="87"/>
        <v>4972123.7024577204</v>
      </c>
      <c r="I174" s="97">
        <f t="shared" si="87"/>
        <v>4577937.6117024394</v>
      </c>
      <c r="J174" s="97">
        <f t="shared" si="87"/>
        <v>4142475.0862414781</v>
      </c>
    </row>
    <row r="175" spans="3:10" x14ac:dyDescent="0.55000000000000004">
      <c r="C175" s="184" t="s">
        <v>52</v>
      </c>
      <c r="D175" s="172">
        <f t="shared" ref="D175:F175" si="88">SUM(D172:D174)</f>
        <v>-360000</v>
      </c>
      <c r="E175" s="172">
        <f t="shared" si="88"/>
        <v>0</v>
      </c>
      <c r="F175" s="188">
        <f t="shared" si="88"/>
        <v>23324268.493150685</v>
      </c>
      <c r="G175" s="172">
        <f t="shared" ref="G175:J175" si="89">SUM(G172:G174)</f>
        <v>30297922.02739726</v>
      </c>
      <c r="H175" s="164">
        <f t="shared" si="89"/>
        <v>34413624.030136995</v>
      </c>
      <c r="I175" s="172">
        <f t="shared" si="89"/>
        <v>39595438.182602763</v>
      </c>
      <c r="J175" s="172">
        <f t="shared" si="89"/>
        <v>41154866.396665782</v>
      </c>
    </row>
    <row r="176" spans="3:10" x14ac:dyDescent="0.55000000000000004">
      <c r="C176" s="184" t="s">
        <v>190</v>
      </c>
      <c r="D176" s="87"/>
      <c r="E176" s="97"/>
      <c r="F176" s="185"/>
      <c r="G176" s="97"/>
      <c r="H176" s="63"/>
      <c r="I176" s="97"/>
      <c r="J176" s="97"/>
    </row>
    <row r="177" spans="3:10" x14ac:dyDescent="0.55000000000000004">
      <c r="C177" s="186" t="s">
        <v>191</v>
      </c>
      <c r="D177" s="189">
        <f t="shared" ref="D177:J177" si="90">+D97+D98</f>
        <v>0</v>
      </c>
      <c r="E177" s="189">
        <f t="shared" si="90"/>
        <v>250000</v>
      </c>
      <c r="F177" s="189">
        <f t="shared" si="90"/>
        <v>268945.74046163139</v>
      </c>
      <c r="G177" s="189">
        <f t="shared" si="90"/>
        <v>3407618.1485400125</v>
      </c>
      <c r="H177" s="190">
        <f t="shared" si="90"/>
        <v>3764440.297542274</v>
      </c>
      <c r="I177" s="189">
        <f t="shared" si="90"/>
        <v>4158626.3882975653</v>
      </c>
      <c r="J177" s="189">
        <f t="shared" si="90"/>
        <v>4594088.9137585238</v>
      </c>
    </row>
    <row r="178" spans="3:10" x14ac:dyDescent="0.55000000000000004">
      <c r="C178" s="186" t="s">
        <v>192</v>
      </c>
      <c r="D178" s="189">
        <f t="shared" ref="D178" si="91">+D70+D71</f>
        <v>0</v>
      </c>
      <c r="E178" s="189">
        <f>+E174</f>
        <v>415584.16666666669</v>
      </c>
      <c r="F178" s="189">
        <f t="shared" ref="F178:J178" si="92">+F174</f>
        <v>5265568.2374759391</v>
      </c>
      <c r="G178" s="189">
        <f t="shared" si="92"/>
        <v>5328945.8514599781</v>
      </c>
      <c r="H178" s="189">
        <f t="shared" si="92"/>
        <v>4972123.7024577204</v>
      </c>
      <c r="I178" s="189">
        <f t="shared" si="92"/>
        <v>4577937.6117024394</v>
      </c>
      <c r="J178" s="189">
        <f t="shared" si="92"/>
        <v>4142475.0862414781</v>
      </c>
    </row>
    <row r="179" spans="3:10" s="67" customFormat="1" x14ac:dyDescent="0.55000000000000004">
      <c r="C179" s="186"/>
      <c r="D179" s="97"/>
      <c r="E179" s="97"/>
      <c r="F179" s="188"/>
      <c r="G179" s="172"/>
      <c r="H179" s="164"/>
      <c r="I179" s="172"/>
      <c r="J179" s="172"/>
    </row>
    <row r="180" spans="3:10" x14ac:dyDescent="0.55000000000000004">
      <c r="C180" s="191" t="s">
        <v>52</v>
      </c>
      <c r="D180" s="90">
        <f t="shared" ref="D180:J180" si="93">SUM(D177:D178)</f>
        <v>0</v>
      </c>
      <c r="E180" s="90">
        <f t="shared" si="93"/>
        <v>665584.16666666674</v>
      </c>
      <c r="F180" s="192">
        <f t="shared" si="93"/>
        <v>5534513.9779375708</v>
      </c>
      <c r="G180" s="90">
        <f t="shared" si="93"/>
        <v>8736563.9999999907</v>
      </c>
      <c r="H180" s="92">
        <f t="shared" si="93"/>
        <v>8736563.9999999944</v>
      </c>
      <c r="I180" s="90">
        <f t="shared" si="93"/>
        <v>8736564.0000000037</v>
      </c>
      <c r="J180" s="90">
        <f t="shared" si="93"/>
        <v>8736564.0000000019</v>
      </c>
    </row>
    <row r="181" spans="3:10" x14ac:dyDescent="0.55000000000000004">
      <c r="C181" s="193" t="s">
        <v>193</v>
      </c>
      <c r="D181" s="194" t="e">
        <f t="shared" ref="D181:J181" si="94">+D175/D180</f>
        <v>#DIV/0!</v>
      </c>
      <c r="E181" s="194">
        <f t="shared" si="94"/>
        <v>0</v>
      </c>
      <c r="F181" s="195">
        <f t="shared" si="94"/>
        <v>4.2143300362288434</v>
      </c>
      <c r="G181" s="194">
        <f t="shared" si="94"/>
        <v>3.4679448381992386</v>
      </c>
      <c r="H181" s="196">
        <f t="shared" si="94"/>
        <v>3.9390341592114493</v>
      </c>
      <c r="I181" s="194">
        <f t="shared" si="94"/>
        <v>4.532152249168294</v>
      </c>
      <c r="J181" s="194">
        <f t="shared" si="94"/>
        <v>4.7106467023724399</v>
      </c>
    </row>
    <row r="182" spans="3:10" x14ac:dyDescent="0.55000000000000004">
      <c r="C182" s="62" t="s">
        <v>194</v>
      </c>
      <c r="J182" s="197">
        <f>SUM(E181:J181)/6</f>
        <v>3.4773513308633777</v>
      </c>
    </row>
    <row r="183" spans="3:10" x14ac:dyDescent="0.55000000000000004">
      <c r="C183" s="156" t="s">
        <v>195</v>
      </c>
      <c r="D183" s="156"/>
      <c r="E183" s="156"/>
      <c r="F183" s="156"/>
      <c r="G183" s="156"/>
      <c r="H183" s="156"/>
      <c r="I183" s="156"/>
      <c r="J183" s="156"/>
    </row>
    <row r="184" spans="3:10" x14ac:dyDescent="0.55000000000000004">
      <c r="C184" s="180" t="str">
        <f>+C157</f>
        <v>Particulars</v>
      </c>
      <c r="D184" s="198" t="str">
        <f t="shared" ref="D184:J184" si="95">+D157</f>
        <v>2023-24</v>
      </c>
      <c r="E184" s="198" t="str">
        <f t="shared" si="95"/>
        <v>2024-25</v>
      </c>
      <c r="F184" s="198" t="str">
        <f t="shared" si="95"/>
        <v>2025-26</v>
      </c>
      <c r="G184" s="198" t="str">
        <f t="shared" si="95"/>
        <v>2026-27</v>
      </c>
      <c r="H184" s="198" t="str">
        <f t="shared" si="95"/>
        <v>2027-28</v>
      </c>
      <c r="I184" s="198" t="str">
        <f t="shared" si="95"/>
        <v>2028-29</v>
      </c>
      <c r="J184" s="198" t="str">
        <f t="shared" si="95"/>
        <v>2029-30</v>
      </c>
    </row>
    <row r="185" spans="3:10" x14ac:dyDescent="0.55000000000000004">
      <c r="C185" s="183"/>
      <c r="D185" s="73" t="str">
        <f t="shared" ref="D185:J185" si="96">+D170</f>
        <v>Audited</v>
      </c>
      <c r="E185" s="76" t="str">
        <f t="shared" si="96"/>
        <v>Estimated</v>
      </c>
      <c r="F185" s="73" t="str">
        <f t="shared" si="96"/>
        <v>Projected</v>
      </c>
      <c r="G185" s="199" t="str">
        <f t="shared" si="96"/>
        <v>Projected</v>
      </c>
      <c r="H185" s="73" t="str">
        <f t="shared" si="96"/>
        <v>Projected</v>
      </c>
      <c r="I185" s="199" t="str">
        <f t="shared" si="96"/>
        <v>Projected</v>
      </c>
      <c r="J185" s="73" t="str">
        <f t="shared" si="96"/>
        <v>Projected</v>
      </c>
    </row>
    <row r="186" spans="3:10" x14ac:dyDescent="0.55000000000000004">
      <c r="C186" s="86" t="s">
        <v>196</v>
      </c>
      <c r="D186" s="200">
        <v>0</v>
      </c>
      <c r="E186" s="201">
        <v>0</v>
      </c>
      <c r="F186" s="202">
        <v>1</v>
      </c>
      <c r="G186" s="203">
        <f>+(G53-F53)/F53</f>
        <v>0.42372881355932202</v>
      </c>
      <c r="H186" s="202">
        <f>+(H53-G53)/G53</f>
        <v>0.16632653061224489</v>
      </c>
      <c r="I186" s="203">
        <f>+(I53-H53)/H53</f>
        <v>0.1504811898512686</v>
      </c>
      <c r="J186" s="202">
        <f>+(J53-I53)/I53</f>
        <v>3.4220532319391636E-2</v>
      </c>
    </row>
    <row r="187" spans="3:10" x14ac:dyDescent="0.55000000000000004">
      <c r="C187" s="86" t="s">
        <v>197</v>
      </c>
      <c r="D187" s="200">
        <v>0</v>
      </c>
      <c r="E187" s="201">
        <v>0</v>
      </c>
      <c r="F187" s="204">
        <f t="shared" ref="F187:J187" si="97">+F77</f>
        <v>0.12386063094494229</v>
      </c>
      <c r="G187" s="64">
        <f t="shared" si="97"/>
        <v>0.16745790911828012</v>
      </c>
      <c r="H187" s="204">
        <f t="shared" si="97"/>
        <v>0.19220542642149507</v>
      </c>
      <c r="I187" s="64">
        <f t="shared" si="97"/>
        <v>0.21637336518470204</v>
      </c>
      <c r="J187" s="204">
        <f t="shared" si="97"/>
        <v>0.22988500368193859</v>
      </c>
    </row>
    <row r="188" spans="3:10" x14ac:dyDescent="0.55000000000000004">
      <c r="C188" s="86" t="s">
        <v>198</v>
      </c>
      <c r="D188" s="205">
        <v>0</v>
      </c>
      <c r="E188" s="206">
        <f>+SUM(E40:E44)/SUM(E26:E29)</f>
        <v>4199.3</v>
      </c>
      <c r="F188" s="205">
        <f>+SUM(F40:F43)/SUM(F26:F29)</f>
        <v>1.9809109358180743</v>
      </c>
      <c r="G188" s="205">
        <f t="shared" ref="G188:J188" si="98">+SUM(G40:G43)/SUM(G26:G29)</f>
        <v>1.55011108280004</v>
      </c>
      <c r="H188" s="205">
        <f t="shared" si="98"/>
        <v>1.4261056372168697</v>
      </c>
      <c r="I188" s="205">
        <f t="shared" si="98"/>
        <v>1.3301728958373904</v>
      </c>
      <c r="J188" s="205">
        <f t="shared" si="98"/>
        <v>1.2834467925076658</v>
      </c>
    </row>
    <row r="189" spans="3:10" x14ac:dyDescent="0.55000000000000004">
      <c r="C189" s="86" t="s">
        <v>199</v>
      </c>
      <c r="D189" s="200"/>
      <c r="E189" s="207">
        <f>+SUM(E41:E44)/SUM(E26:E29)</f>
        <v>4199.3</v>
      </c>
      <c r="F189" s="205">
        <f t="shared" ref="F189:J189" si="99">+SUM(F41:F44)/SUM(F26:F29)</f>
        <v>10.585139559766267</v>
      </c>
      <c r="G189" s="207">
        <f t="shared" si="99"/>
        <v>11.100875477138382</v>
      </c>
      <c r="H189" s="205">
        <f t="shared" si="99"/>
        <v>13.049872571128995</v>
      </c>
      <c r="I189" s="207">
        <f t="shared" si="99"/>
        <v>14.367736418205707</v>
      </c>
      <c r="J189" s="205">
        <f t="shared" si="99"/>
        <v>16.89667940663676</v>
      </c>
    </row>
    <row r="190" spans="3:10" x14ac:dyDescent="0.55000000000000004">
      <c r="C190" s="86" t="s">
        <v>200</v>
      </c>
      <c r="D190" s="205">
        <v>0</v>
      </c>
      <c r="E190" s="207">
        <f t="shared" ref="E190:J190" si="100">+E181</f>
        <v>0</v>
      </c>
      <c r="F190" s="205">
        <f t="shared" si="100"/>
        <v>4.2143300362288434</v>
      </c>
      <c r="G190" s="207">
        <f t="shared" si="100"/>
        <v>3.4679448381992386</v>
      </c>
      <c r="H190" s="205">
        <f t="shared" si="100"/>
        <v>3.9390341592114493</v>
      </c>
      <c r="I190" s="207">
        <f t="shared" si="100"/>
        <v>4.532152249168294</v>
      </c>
      <c r="J190" s="205">
        <f t="shared" si="100"/>
        <v>4.7106467023724399</v>
      </c>
    </row>
    <row r="191" spans="3:10" x14ac:dyDescent="0.55000000000000004">
      <c r="C191" s="86" t="s">
        <v>201</v>
      </c>
      <c r="D191" s="205">
        <v>0</v>
      </c>
      <c r="E191" s="207">
        <f>+E68/(E70+E71)</f>
        <v>0</v>
      </c>
      <c r="F191" s="205">
        <f>+F175/F174</f>
        <v>4.4295824194524576</v>
      </c>
      <c r="G191" s="205">
        <f>+G175/G174</f>
        <v>5.6855376038577123</v>
      </c>
      <c r="H191" s="205">
        <f>+H175/H174</f>
        <v>6.9213129217051348</v>
      </c>
      <c r="I191" s="205">
        <f>+I175/I174</f>
        <v>8.649186935485135</v>
      </c>
      <c r="J191" s="205">
        <f>+J175/J174</f>
        <v>9.9348494655657973</v>
      </c>
    </row>
    <row r="192" spans="3:10" x14ac:dyDescent="0.55000000000000004">
      <c r="C192" s="86" t="s">
        <v>202</v>
      </c>
      <c r="D192" s="205">
        <f t="shared" ref="D192:J192" si="101">+(D21+D22+D26)/(D15+D17)</f>
        <v>-0.96153846153846156</v>
      </c>
      <c r="E192" s="205">
        <f t="shared" si="101"/>
        <v>2.4295751474053864</v>
      </c>
      <c r="F192" s="205">
        <f t="shared" si="101"/>
        <v>1.1312028754112162</v>
      </c>
      <c r="G192" s="205">
        <f t="shared" si="101"/>
        <v>0.62590816197091237</v>
      </c>
      <c r="H192" s="205">
        <f t="shared" si="101"/>
        <v>0.39710848640928281</v>
      </c>
      <c r="I192" s="205">
        <f t="shared" si="101"/>
        <v>0.2673041138137261</v>
      </c>
      <c r="J192" s="205">
        <f t="shared" si="101"/>
        <v>0.18743596193562681</v>
      </c>
    </row>
    <row r="193" spans="3:10" x14ac:dyDescent="0.55000000000000004">
      <c r="C193" s="86" t="s">
        <v>203</v>
      </c>
      <c r="D193" s="205">
        <f>+D68/(D45-SUM(D26:D29))</f>
        <v>36</v>
      </c>
      <c r="E193" s="205">
        <f t="shared" ref="E193:J193" si="102">+E68/(E45-SUM(E26:E29))</f>
        <v>0</v>
      </c>
      <c r="F193" s="205">
        <f t="shared" si="102"/>
        <v>0.1320003739091849</v>
      </c>
      <c r="G193" s="205">
        <f t="shared" si="102"/>
        <v>0.16443095275956937</v>
      </c>
      <c r="H193" s="205">
        <f>+H68/(H45-SUM(H26:H29))</f>
        <v>0.16247338339436446</v>
      </c>
      <c r="I193" s="205">
        <f t="shared" si="102"/>
        <v>0.16205359060093205</v>
      </c>
      <c r="J193" s="205">
        <f t="shared" si="102"/>
        <v>0.14539493594138123</v>
      </c>
    </row>
    <row r="194" spans="3:10" x14ac:dyDescent="0.55000000000000004">
      <c r="C194" s="86" t="s">
        <v>204</v>
      </c>
      <c r="D194" s="205">
        <v>0</v>
      </c>
      <c r="E194" s="207">
        <v>0</v>
      </c>
      <c r="F194" s="97">
        <f>+BEP!C18</f>
        <v>854056.08663542464</v>
      </c>
      <c r="G194" s="97">
        <f>+BEP!D18</f>
        <v>1224830.5789529225</v>
      </c>
      <c r="H194" s="97">
        <f>+BEP!E18</f>
        <v>1391136.3841190618</v>
      </c>
      <c r="I194" s="97">
        <f>+BEP!F18</f>
        <v>1545202.1408204825</v>
      </c>
      <c r="J194" s="97">
        <f>+BEP!G18</f>
        <v>1554892.1074023617</v>
      </c>
    </row>
    <row r="195" spans="3:10" x14ac:dyDescent="0.55000000000000004">
      <c r="C195" s="173" t="s">
        <v>205</v>
      </c>
      <c r="D195" s="208"/>
      <c r="E195" s="209">
        <v>0</v>
      </c>
      <c r="F195" s="174">
        <f>+BEP!C20</f>
        <v>16796436.370496687</v>
      </c>
      <c r="G195" s="174">
        <f>+BEP!D20</f>
        <v>25006957.653622169</v>
      </c>
      <c r="H195" s="174">
        <f>+BEP!E20</f>
        <v>29445720.130520143</v>
      </c>
      <c r="I195" s="174">
        <f>+BEP!F20</f>
        <v>33865680.252982244</v>
      </c>
      <c r="J195" s="174">
        <f>+BEP!G20</f>
        <v>35244221.101120204</v>
      </c>
    </row>
  </sheetData>
  <sheetProtection selectLockedCells="1" selectUnlockedCells="1"/>
  <mergeCells count="25">
    <mergeCell ref="C184:C185"/>
    <mergeCell ref="C149:C150"/>
    <mergeCell ref="C156:J156"/>
    <mergeCell ref="C157:C158"/>
    <mergeCell ref="C168:J168"/>
    <mergeCell ref="C169:C170"/>
    <mergeCell ref="C183:J183"/>
    <mergeCell ref="C126:C127"/>
    <mergeCell ref="C133:J133"/>
    <mergeCell ref="C134:C135"/>
    <mergeCell ref="C141:J141"/>
    <mergeCell ref="C142:C143"/>
    <mergeCell ref="C148:J148"/>
    <mergeCell ref="C81:J81"/>
    <mergeCell ref="C82:J82"/>
    <mergeCell ref="C83:C84"/>
    <mergeCell ref="C117:J117"/>
    <mergeCell ref="C118:C119"/>
    <mergeCell ref="C125:J125"/>
    <mergeCell ref="C6:J6"/>
    <mergeCell ref="C7:J7"/>
    <mergeCell ref="C9:C10"/>
    <mergeCell ref="C48:J48"/>
    <mergeCell ref="C49:J49"/>
    <mergeCell ref="C50:C51"/>
  </mergeCells>
  <printOptions horizontalCentered="1"/>
  <pageMargins left="0.11811023622047245" right="0.11811023622047245" top="0.39370078740157483" bottom="0.39370078740157483" header="0.19685039370078741" footer="0.31496062992125984"/>
  <pageSetup paperSize="9" scale="84" firstPageNumber="0" fitToHeight="6" orientation="landscape" r:id="rId1"/>
  <headerFooter alignWithMargins="0"/>
  <rowBreaks count="4" manualBreakCount="4">
    <brk id="45" min="1" max="10" man="1"/>
    <brk id="79" min="1" max="10" man="1"/>
    <brk id="115" min="1" max="10" man="1"/>
    <brk id="155" min="1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3:K53"/>
  <sheetViews>
    <sheetView showGridLines="0" view="pageBreakPreview" topLeftCell="A37" zoomScale="80" zoomScaleNormal="100" zoomScaleSheetLayoutView="80" workbookViewId="0">
      <selection activeCell="B13" sqref="B13:K13"/>
    </sheetView>
  </sheetViews>
  <sheetFormatPr defaultColWidth="9.15625" defaultRowHeight="18" customHeight="1" x14ac:dyDescent="0.55000000000000004"/>
  <cols>
    <col min="1" max="1" width="3.26171875" style="14" customWidth="1"/>
    <col min="2" max="2" width="5.41796875" style="14" bestFit="1" customWidth="1"/>
    <col min="3" max="3" width="19.578125" style="14" bestFit="1" customWidth="1"/>
    <col min="4" max="4" width="5.68359375" style="14" bestFit="1" customWidth="1"/>
    <col min="5" max="5" width="16.26171875" style="14" customWidth="1"/>
    <col min="6" max="7" width="14.41796875" style="14" bestFit="1" customWidth="1"/>
    <col min="8" max="8" width="10.578125" style="14" bestFit="1" customWidth="1"/>
    <col min="9" max="9" width="16.15625" style="14" customWidth="1"/>
    <col min="10" max="10" width="17.41796875" style="14" customWidth="1"/>
    <col min="11" max="11" width="16.83984375" style="14" customWidth="1"/>
    <col min="12" max="12" width="4.26171875" style="14" customWidth="1"/>
    <col min="13" max="14" width="9.15625" style="14"/>
    <col min="15" max="15" width="11.578125" style="14" bestFit="1" customWidth="1"/>
    <col min="16" max="16384" width="9.15625" style="14"/>
  </cols>
  <sheetData>
    <row r="3" spans="2:11" ht="18" customHeight="1" x14ac:dyDescent="0.55000000000000004">
      <c r="B3" s="210" t="str">
        <f>+'BS PL CF'!C6</f>
        <v>BLUELEO ENERGY PRIVATE LIMITED</v>
      </c>
      <c r="C3" s="210"/>
      <c r="D3" s="210"/>
      <c r="E3" s="210"/>
      <c r="F3" s="210"/>
      <c r="G3" s="210"/>
      <c r="H3" s="210"/>
      <c r="I3" s="210"/>
      <c r="J3" s="210"/>
      <c r="K3" s="210"/>
    </row>
    <row r="4" spans="2:11" ht="18" customHeight="1" x14ac:dyDescent="0.55000000000000004">
      <c r="B4" s="210" t="s">
        <v>206</v>
      </c>
      <c r="C4" s="210"/>
      <c r="D4" s="210"/>
      <c r="E4" s="210"/>
      <c r="F4" s="210"/>
      <c r="G4" s="210"/>
      <c r="H4" s="210"/>
      <c r="I4" s="210"/>
      <c r="J4" s="210"/>
      <c r="K4" s="210"/>
    </row>
    <row r="5" spans="2:11" ht="18" customHeight="1" x14ac:dyDescent="0.55000000000000004">
      <c r="B5" s="211"/>
      <c r="C5" s="211"/>
      <c r="D5" s="211"/>
      <c r="E5" s="27"/>
      <c r="F5" s="27"/>
      <c r="G5" s="27"/>
      <c r="H5" s="27"/>
      <c r="I5" s="27"/>
      <c r="J5" s="27"/>
      <c r="K5" s="27"/>
    </row>
    <row r="6" spans="2:11" ht="18" customHeight="1" x14ac:dyDescent="0.55000000000000004">
      <c r="B6" s="212" t="s">
        <v>207</v>
      </c>
      <c r="C6" s="212"/>
      <c r="D6" s="212"/>
      <c r="E6" s="212"/>
      <c r="F6" s="212"/>
      <c r="G6" s="212"/>
      <c r="H6" s="212"/>
      <c r="I6" s="212"/>
      <c r="J6" s="212"/>
      <c r="K6" s="212"/>
    </row>
    <row r="7" spans="2:11" ht="18" customHeight="1" x14ac:dyDescent="0.55000000000000004">
      <c r="B7" s="213" t="s">
        <v>208</v>
      </c>
      <c r="C7" s="213" t="s">
        <v>209</v>
      </c>
      <c r="D7" s="213" t="s">
        <v>210</v>
      </c>
      <c r="E7" s="214" t="s">
        <v>211</v>
      </c>
      <c r="F7" s="215" t="s">
        <v>212</v>
      </c>
      <c r="G7" s="216"/>
      <c r="H7" s="217" t="s">
        <v>213</v>
      </c>
      <c r="I7" s="218" t="s">
        <v>214</v>
      </c>
      <c r="J7" s="218" t="s">
        <v>215</v>
      </c>
      <c r="K7" s="219" t="s">
        <v>216</v>
      </c>
    </row>
    <row r="8" spans="2:11" ht="26.25" customHeight="1" x14ac:dyDescent="0.55000000000000004">
      <c r="B8" s="220"/>
      <c r="C8" s="220"/>
      <c r="D8" s="220"/>
      <c r="E8" s="221"/>
      <c r="F8" s="222" t="s">
        <v>217</v>
      </c>
      <c r="G8" s="222" t="s">
        <v>218</v>
      </c>
      <c r="H8" s="223"/>
      <c r="I8" s="224"/>
      <c r="J8" s="224"/>
      <c r="K8" s="225"/>
    </row>
    <row r="9" spans="2:11" ht="18" customHeight="1" x14ac:dyDescent="0.55000000000000004">
      <c r="B9" s="18">
        <v>1</v>
      </c>
      <c r="C9" s="226" t="s">
        <v>219</v>
      </c>
      <c r="D9" s="227">
        <v>0.15</v>
      </c>
      <c r="E9" s="23">
        <v>0</v>
      </c>
      <c r="F9" s="228">
        <v>0</v>
      </c>
      <c r="G9" s="229"/>
      <c r="H9" s="23"/>
      <c r="I9" s="228">
        <f>+E9+F9+G9-H9</f>
        <v>0</v>
      </c>
      <c r="J9" s="228">
        <f>+((E9+F9)*D9)+(G9*D9*0.5)</f>
        <v>0</v>
      </c>
      <c r="K9" s="229">
        <f>+I9-J9</f>
        <v>0</v>
      </c>
    </row>
    <row r="10" spans="2:11" ht="18" customHeight="1" x14ac:dyDescent="0.55000000000000004">
      <c r="B10" s="18">
        <v>2</v>
      </c>
      <c r="C10" s="226" t="s">
        <v>220</v>
      </c>
      <c r="D10" s="227">
        <v>0.1</v>
      </c>
      <c r="E10" s="23">
        <v>0</v>
      </c>
      <c r="F10" s="228">
        <f>+'Cap Assumptions'!F33+'Cap Assumptions'!F34+'Cap Assumptions'!F35</f>
        <v>0</v>
      </c>
      <c r="G10" s="229"/>
      <c r="H10" s="23"/>
      <c r="I10" s="228">
        <f t="shared" ref="I10" si="0">+E10+F10+G10-H10</f>
        <v>0</v>
      </c>
      <c r="J10" s="228">
        <f t="shared" ref="J10" si="1">+((E10+F10)*D10)+(G10*D10*0.5)</f>
        <v>0</v>
      </c>
      <c r="K10" s="229">
        <f t="shared" ref="K10" si="2">+I10-J10</f>
        <v>0</v>
      </c>
    </row>
    <row r="11" spans="2:11" ht="18" customHeight="1" x14ac:dyDescent="0.55000000000000004">
      <c r="B11" s="230" t="s">
        <v>52</v>
      </c>
      <c r="C11" s="231"/>
      <c r="D11" s="232"/>
      <c r="E11" s="233">
        <f t="shared" ref="E11:K11" si="3">+SUM(E9:E10)</f>
        <v>0</v>
      </c>
      <c r="F11" s="233">
        <f t="shared" si="3"/>
        <v>0</v>
      </c>
      <c r="G11" s="233">
        <f t="shared" si="3"/>
        <v>0</v>
      </c>
      <c r="H11" s="233">
        <f t="shared" si="3"/>
        <v>0</v>
      </c>
      <c r="I11" s="233">
        <f t="shared" si="3"/>
        <v>0</v>
      </c>
      <c r="J11" s="233">
        <f t="shared" si="3"/>
        <v>0</v>
      </c>
      <c r="K11" s="233">
        <f t="shared" si="3"/>
        <v>0</v>
      </c>
    </row>
    <row r="12" spans="2:11" ht="18" customHeight="1" x14ac:dyDescent="0.55000000000000004">
      <c r="B12" s="211"/>
      <c r="C12" s="211"/>
      <c r="D12" s="211"/>
      <c r="E12" s="27"/>
      <c r="F12" s="27"/>
      <c r="G12" s="27"/>
      <c r="H12" s="27"/>
      <c r="I12" s="27"/>
      <c r="J12" s="27"/>
      <c r="K12" s="27"/>
    </row>
    <row r="13" spans="2:11" ht="18" customHeight="1" x14ac:dyDescent="0.55000000000000004">
      <c r="B13" s="212" t="s">
        <v>221</v>
      </c>
      <c r="C13" s="212"/>
      <c r="D13" s="212"/>
      <c r="E13" s="212"/>
      <c r="F13" s="212"/>
      <c r="G13" s="212"/>
      <c r="H13" s="212"/>
      <c r="I13" s="212"/>
      <c r="J13" s="212"/>
      <c r="K13" s="212"/>
    </row>
    <row r="14" spans="2:11" ht="18" customHeight="1" x14ac:dyDescent="0.55000000000000004">
      <c r="B14" s="213" t="s">
        <v>208</v>
      </c>
      <c r="C14" s="213" t="s">
        <v>209</v>
      </c>
      <c r="D14" s="213" t="s">
        <v>210</v>
      </c>
      <c r="E14" s="214" t="s">
        <v>222</v>
      </c>
      <c r="F14" s="215" t="s">
        <v>212</v>
      </c>
      <c r="G14" s="216"/>
      <c r="H14" s="217" t="s">
        <v>213</v>
      </c>
      <c r="I14" s="218" t="s">
        <v>223</v>
      </c>
      <c r="J14" s="218" t="s">
        <v>215</v>
      </c>
      <c r="K14" s="219" t="s">
        <v>224</v>
      </c>
    </row>
    <row r="15" spans="2:11" ht="24.75" customHeight="1" x14ac:dyDescent="0.55000000000000004">
      <c r="B15" s="220"/>
      <c r="C15" s="220"/>
      <c r="D15" s="220"/>
      <c r="E15" s="221"/>
      <c r="F15" s="222" t="s">
        <v>217</v>
      </c>
      <c r="G15" s="222" t="s">
        <v>218</v>
      </c>
      <c r="H15" s="223"/>
      <c r="I15" s="224"/>
      <c r="J15" s="224"/>
      <c r="K15" s="225"/>
    </row>
    <row r="16" spans="2:11" ht="18" customHeight="1" x14ac:dyDescent="0.55000000000000004">
      <c r="B16" s="18">
        <v>1</v>
      </c>
      <c r="C16" s="226" t="s">
        <v>219</v>
      </c>
      <c r="D16" s="227">
        <v>0.15</v>
      </c>
      <c r="E16" s="23">
        <f>+K9</f>
        <v>0</v>
      </c>
      <c r="F16" s="228">
        <v>0</v>
      </c>
      <c r="G16" s="229">
        <v>20000000</v>
      </c>
      <c r="H16" s="23"/>
      <c r="I16" s="228">
        <f>+E16+F16+G16-H16</f>
        <v>20000000</v>
      </c>
      <c r="J16" s="228">
        <v>0</v>
      </c>
      <c r="K16" s="229">
        <f>+I16-J16</f>
        <v>20000000</v>
      </c>
    </row>
    <row r="17" spans="2:11" ht="18" customHeight="1" x14ac:dyDescent="0.55000000000000004">
      <c r="B17" s="18">
        <v>2</v>
      </c>
      <c r="C17" s="226" t="s">
        <v>220</v>
      </c>
      <c r="D17" s="227">
        <v>0.1</v>
      </c>
      <c r="E17" s="23">
        <f t="shared" ref="E17" si="4">+K10</f>
        <v>0</v>
      </c>
      <c r="F17" s="228">
        <f>+'Cap Assumptions'!F42+'Cap Assumptions'!F43+'Cap Assumptions'!F44</f>
        <v>0</v>
      </c>
      <c r="G17" s="229">
        <v>9000000</v>
      </c>
      <c r="H17" s="23"/>
      <c r="I17" s="228">
        <f t="shared" ref="I17" si="5">+E17+F17+G17-H17</f>
        <v>9000000</v>
      </c>
      <c r="J17" s="228">
        <v>0</v>
      </c>
      <c r="K17" s="229">
        <f t="shared" ref="K17" si="6">+I17-J17</f>
        <v>9000000</v>
      </c>
    </row>
    <row r="18" spans="2:11" ht="18" customHeight="1" x14ac:dyDescent="0.55000000000000004">
      <c r="B18" s="230" t="s">
        <v>52</v>
      </c>
      <c r="C18" s="231"/>
      <c r="D18" s="232"/>
      <c r="E18" s="233">
        <f t="shared" ref="E18:K18" si="7">+SUM(E16:E17)</f>
        <v>0</v>
      </c>
      <c r="F18" s="233">
        <f t="shared" si="7"/>
        <v>0</v>
      </c>
      <c r="G18" s="233">
        <f t="shared" si="7"/>
        <v>29000000</v>
      </c>
      <c r="H18" s="233">
        <f t="shared" si="7"/>
        <v>0</v>
      </c>
      <c r="I18" s="233">
        <f t="shared" si="7"/>
        <v>29000000</v>
      </c>
      <c r="J18" s="233">
        <f t="shared" si="7"/>
        <v>0</v>
      </c>
      <c r="K18" s="233">
        <f t="shared" si="7"/>
        <v>29000000</v>
      </c>
    </row>
    <row r="19" spans="2:11" ht="18" customHeight="1" x14ac:dyDescent="0.55000000000000004">
      <c r="B19" s="211"/>
      <c r="C19" s="211"/>
      <c r="D19" s="211"/>
      <c r="E19" s="27"/>
      <c r="F19" s="27"/>
      <c r="G19" s="27"/>
      <c r="H19" s="27"/>
      <c r="I19" s="27"/>
      <c r="J19" s="27"/>
      <c r="K19" s="27"/>
    </row>
    <row r="20" spans="2:11" ht="18" customHeight="1" x14ac:dyDescent="0.55000000000000004">
      <c r="B20" s="212" t="s">
        <v>225</v>
      </c>
      <c r="C20" s="212"/>
      <c r="D20" s="212"/>
      <c r="E20" s="212"/>
      <c r="F20" s="212"/>
      <c r="G20" s="212"/>
      <c r="H20" s="212"/>
      <c r="I20" s="212"/>
      <c r="J20" s="212"/>
      <c r="K20" s="212"/>
    </row>
    <row r="21" spans="2:11" ht="18" customHeight="1" x14ac:dyDescent="0.55000000000000004">
      <c r="B21" s="213" t="s">
        <v>208</v>
      </c>
      <c r="C21" s="213" t="s">
        <v>209</v>
      </c>
      <c r="D21" s="213" t="s">
        <v>210</v>
      </c>
      <c r="E21" s="214" t="s">
        <v>226</v>
      </c>
      <c r="F21" s="215" t="s">
        <v>212</v>
      </c>
      <c r="G21" s="216"/>
      <c r="H21" s="217" t="s">
        <v>213</v>
      </c>
      <c r="I21" s="218" t="s">
        <v>227</v>
      </c>
      <c r="J21" s="218" t="s">
        <v>215</v>
      </c>
      <c r="K21" s="219" t="s">
        <v>228</v>
      </c>
    </row>
    <row r="22" spans="2:11" ht="24.75" customHeight="1" x14ac:dyDescent="0.55000000000000004">
      <c r="B22" s="220"/>
      <c r="C22" s="220"/>
      <c r="D22" s="220"/>
      <c r="E22" s="221"/>
      <c r="F22" s="222" t="s">
        <v>217</v>
      </c>
      <c r="G22" s="222" t="s">
        <v>218</v>
      </c>
      <c r="H22" s="223"/>
      <c r="I22" s="224"/>
      <c r="J22" s="224"/>
      <c r="K22" s="225"/>
    </row>
    <row r="23" spans="2:11" ht="18" customHeight="1" x14ac:dyDescent="0.55000000000000004">
      <c r="B23" s="18">
        <v>1</v>
      </c>
      <c r="C23" s="226" t="s">
        <v>219</v>
      </c>
      <c r="D23" s="227">
        <v>0.15</v>
      </c>
      <c r="E23" s="23">
        <f>+K16</f>
        <v>20000000</v>
      </c>
      <c r="F23" s="228">
        <f>+'Cap Assumptions'!E20+'Cap Assumptions'!G20+'Cap Assumptions'!H20-20000000</f>
        <v>31319000</v>
      </c>
      <c r="G23" s="229">
        <v>0</v>
      </c>
      <c r="H23" s="23"/>
      <c r="I23" s="228">
        <f>+E23+F23+G23-H23</f>
        <v>51319000</v>
      </c>
      <c r="J23" s="228">
        <f>+((E23+F23)*D23)+(G23*D23*0.5)</f>
        <v>7697850</v>
      </c>
      <c r="K23" s="229">
        <f>+I23-J23</f>
        <v>43621150</v>
      </c>
    </row>
    <row r="24" spans="2:11" ht="18" customHeight="1" x14ac:dyDescent="0.55000000000000004">
      <c r="B24" s="18">
        <v>2</v>
      </c>
      <c r="C24" s="226" t="s">
        <v>220</v>
      </c>
      <c r="D24" s="227">
        <v>0.1</v>
      </c>
      <c r="E24" s="23">
        <f t="shared" ref="E24" si="8">+K17</f>
        <v>9000000</v>
      </c>
      <c r="F24" s="228">
        <f>+'Cap Assumptions'!F20-9000000</f>
        <v>10924000</v>
      </c>
      <c r="G24" s="229">
        <v>0</v>
      </c>
      <c r="H24" s="23"/>
      <c r="I24" s="228">
        <f t="shared" ref="I24" si="9">+E24+F24+G24-H24</f>
        <v>19924000</v>
      </c>
      <c r="J24" s="228">
        <f t="shared" ref="J24" si="10">+((E24+F24)*D24)+(G24*D24*0.5)</f>
        <v>1992400</v>
      </c>
      <c r="K24" s="229">
        <f t="shared" ref="K24" si="11">+I24-J24</f>
        <v>17931600</v>
      </c>
    </row>
    <row r="25" spans="2:11" ht="18" customHeight="1" x14ac:dyDescent="0.55000000000000004">
      <c r="B25" s="230" t="s">
        <v>52</v>
      </c>
      <c r="C25" s="231"/>
      <c r="D25" s="232"/>
      <c r="E25" s="233">
        <f t="shared" ref="E25:K25" si="12">+SUM(E23:E24)</f>
        <v>29000000</v>
      </c>
      <c r="F25" s="233">
        <f t="shared" si="12"/>
        <v>42243000</v>
      </c>
      <c r="G25" s="233">
        <f t="shared" si="12"/>
        <v>0</v>
      </c>
      <c r="H25" s="233">
        <f t="shared" si="12"/>
        <v>0</v>
      </c>
      <c r="I25" s="233">
        <f t="shared" si="12"/>
        <v>71243000</v>
      </c>
      <c r="J25" s="233">
        <f t="shared" si="12"/>
        <v>9690250</v>
      </c>
      <c r="K25" s="233">
        <f t="shared" si="12"/>
        <v>61552750</v>
      </c>
    </row>
    <row r="27" spans="2:11" ht="18" customHeight="1" x14ac:dyDescent="0.55000000000000004">
      <c r="B27" s="212" t="s">
        <v>229</v>
      </c>
      <c r="C27" s="212"/>
      <c r="D27" s="212"/>
      <c r="E27" s="212"/>
      <c r="F27" s="212"/>
      <c r="G27" s="212"/>
      <c r="H27" s="212"/>
      <c r="I27" s="212"/>
      <c r="J27" s="212"/>
      <c r="K27" s="212"/>
    </row>
    <row r="28" spans="2:11" ht="18" customHeight="1" x14ac:dyDescent="0.55000000000000004">
      <c r="B28" s="213" t="s">
        <v>208</v>
      </c>
      <c r="C28" s="213" t="s">
        <v>209</v>
      </c>
      <c r="D28" s="213" t="s">
        <v>210</v>
      </c>
      <c r="E28" s="214" t="s">
        <v>230</v>
      </c>
      <c r="F28" s="215" t="s">
        <v>212</v>
      </c>
      <c r="G28" s="216"/>
      <c r="H28" s="217" t="s">
        <v>213</v>
      </c>
      <c r="I28" s="218" t="s">
        <v>231</v>
      </c>
      <c r="J28" s="218" t="s">
        <v>215</v>
      </c>
      <c r="K28" s="219" t="s">
        <v>232</v>
      </c>
    </row>
    <row r="29" spans="2:11" ht="20.25" customHeight="1" x14ac:dyDescent="0.55000000000000004">
      <c r="B29" s="220"/>
      <c r="C29" s="220"/>
      <c r="D29" s="220"/>
      <c r="E29" s="221"/>
      <c r="F29" s="222" t="s">
        <v>217</v>
      </c>
      <c r="G29" s="222" t="s">
        <v>218</v>
      </c>
      <c r="H29" s="223"/>
      <c r="I29" s="224"/>
      <c r="J29" s="224"/>
      <c r="K29" s="225"/>
    </row>
    <row r="30" spans="2:11" ht="18" customHeight="1" x14ac:dyDescent="0.55000000000000004">
      <c r="B30" s="18">
        <v>1</v>
      </c>
      <c r="C30" s="226" t="s">
        <v>219</v>
      </c>
      <c r="D30" s="227">
        <v>0.15</v>
      </c>
      <c r="E30" s="23">
        <f>+K23</f>
        <v>43621150</v>
      </c>
      <c r="F30" s="228">
        <v>0</v>
      </c>
      <c r="G30" s="229"/>
      <c r="H30" s="23"/>
      <c r="I30" s="228">
        <f>+E30+F30+G30-H30</f>
        <v>43621150</v>
      </c>
      <c r="J30" s="228">
        <f>+((E30+F30)*D30)+(G30*D30*0.5)</f>
        <v>6543172.5</v>
      </c>
      <c r="K30" s="229">
        <f>+I30-J30</f>
        <v>37077977.5</v>
      </c>
    </row>
    <row r="31" spans="2:11" ht="18" customHeight="1" x14ac:dyDescent="0.55000000000000004">
      <c r="B31" s="18">
        <v>2</v>
      </c>
      <c r="C31" s="226" t="s">
        <v>220</v>
      </c>
      <c r="D31" s="227">
        <v>0.1</v>
      </c>
      <c r="E31" s="23">
        <f t="shared" ref="E31" si="13">+K24</f>
        <v>17931600</v>
      </c>
      <c r="F31" s="228">
        <f>+'Cap Assumptions'!F58+'Cap Assumptions'!F59+'Cap Assumptions'!F60</f>
        <v>0</v>
      </c>
      <c r="G31" s="229"/>
      <c r="H31" s="23"/>
      <c r="I31" s="228">
        <f t="shared" ref="I31" si="14">+E31+F31+G31-H31</f>
        <v>17931600</v>
      </c>
      <c r="J31" s="228">
        <f t="shared" ref="J31" si="15">+((E31+F31)*D31)+(G31*D31*0.5)</f>
        <v>1793160</v>
      </c>
      <c r="K31" s="229">
        <f t="shared" ref="K31" si="16">+I31-J31</f>
        <v>16138440</v>
      </c>
    </row>
    <row r="32" spans="2:11" ht="18" customHeight="1" x14ac:dyDescent="0.55000000000000004">
      <c r="B32" s="230" t="s">
        <v>52</v>
      </c>
      <c r="C32" s="231"/>
      <c r="D32" s="232"/>
      <c r="E32" s="233">
        <f t="shared" ref="E32:K32" si="17">+SUM(E30:E31)</f>
        <v>61552750</v>
      </c>
      <c r="F32" s="233">
        <f t="shared" si="17"/>
        <v>0</v>
      </c>
      <c r="G32" s="233">
        <f t="shared" si="17"/>
        <v>0</v>
      </c>
      <c r="H32" s="233">
        <f t="shared" si="17"/>
        <v>0</v>
      </c>
      <c r="I32" s="233">
        <f t="shared" si="17"/>
        <v>61552750</v>
      </c>
      <c r="J32" s="233">
        <f t="shared" si="17"/>
        <v>8336332.5</v>
      </c>
      <c r="K32" s="233">
        <f t="shared" si="17"/>
        <v>53216417.5</v>
      </c>
    </row>
    <row r="34" spans="2:11" ht="18" customHeight="1" x14ac:dyDescent="0.55000000000000004">
      <c r="B34" s="212" t="s">
        <v>233</v>
      </c>
      <c r="C34" s="212"/>
      <c r="D34" s="212"/>
      <c r="E34" s="212"/>
      <c r="F34" s="212"/>
      <c r="G34" s="212"/>
      <c r="H34" s="212"/>
      <c r="I34" s="212"/>
      <c r="J34" s="212"/>
      <c r="K34" s="212"/>
    </row>
    <row r="35" spans="2:11" ht="18" customHeight="1" x14ac:dyDescent="0.55000000000000004">
      <c r="B35" s="213" t="s">
        <v>208</v>
      </c>
      <c r="C35" s="213" t="s">
        <v>209</v>
      </c>
      <c r="D35" s="213" t="s">
        <v>210</v>
      </c>
      <c r="E35" s="214" t="s">
        <v>234</v>
      </c>
      <c r="F35" s="215" t="s">
        <v>212</v>
      </c>
      <c r="G35" s="216"/>
      <c r="H35" s="217" t="s">
        <v>213</v>
      </c>
      <c r="I35" s="218" t="s">
        <v>235</v>
      </c>
      <c r="J35" s="218" t="s">
        <v>215</v>
      </c>
      <c r="K35" s="219" t="s">
        <v>236</v>
      </c>
    </row>
    <row r="36" spans="2:11" ht="19.5" customHeight="1" x14ac:dyDescent="0.55000000000000004">
      <c r="B36" s="220"/>
      <c r="C36" s="220"/>
      <c r="D36" s="220"/>
      <c r="E36" s="221"/>
      <c r="F36" s="222" t="s">
        <v>217</v>
      </c>
      <c r="G36" s="222" t="s">
        <v>218</v>
      </c>
      <c r="H36" s="223"/>
      <c r="I36" s="224"/>
      <c r="J36" s="224"/>
      <c r="K36" s="225"/>
    </row>
    <row r="37" spans="2:11" ht="18" customHeight="1" x14ac:dyDescent="0.55000000000000004">
      <c r="B37" s="18">
        <v>1</v>
      </c>
      <c r="C37" s="226" t="s">
        <v>219</v>
      </c>
      <c r="D37" s="227">
        <v>0.15</v>
      </c>
      <c r="E37" s="23">
        <f>+K30</f>
        <v>37077977.5</v>
      </c>
      <c r="F37" s="228">
        <v>0</v>
      </c>
      <c r="G37" s="229"/>
      <c r="H37" s="23"/>
      <c r="I37" s="228">
        <f>+E37+F37+G37-H37</f>
        <v>37077977.5</v>
      </c>
      <c r="J37" s="228">
        <f>+((E37+F37)*D37)+(G37*D37*0.5)</f>
        <v>5561696.625</v>
      </c>
      <c r="K37" s="229">
        <f>+I37-J37</f>
        <v>31516280.875</v>
      </c>
    </row>
    <row r="38" spans="2:11" ht="18" customHeight="1" x14ac:dyDescent="0.55000000000000004">
      <c r="B38" s="18">
        <v>2</v>
      </c>
      <c r="C38" s="226" t="s">
        <v>220</v>
      </c>
      <c r="D38" s="227">
        <v>0.1</v>
      </c>
      <c r="E38" s="23">
        <f t="shared" ref="E38" si="18">+K31</f>
        <v>16138440</v>
      </c>
      <c r="F38" s="228">
        <f>+'Cap Assumptions'!F65+'Cap Assumptions'!F66+'Cap Assumptions'!F67</f>
        <v>0</v>
      </c>
      <c r="G38" s="229"/>
      <c r="H38" s="23"/>
      <c r="I38" s="228">
        <f t="shared" ref="I38" si="19">+E38+F38+G38-H38</f>
        <v>16138440</v>
      </c>
      <c r="J38" s="228">
        <f t="shared" ref="J38" si="20">+((E38+F38)*D38)+(G38*D38*0.5)</f>
        <v>1613844</v>
      </c>
      <c r="K38" s="229">
        <f t="shared" ref="K38" si="21">+I38-J38</f>
        <v>14524596</v>
      </c>
    </row>
    <row r="39" spans="2:11" ht="18" customHeight="1" x14ac:dyDescent="0.55000000000000004">
      <c r="B39" s="230" t="s">
        <v>52</v>
      </c>
      <c r="C39" s="231"/>
      <c r="D39" s="232"/>
      <c r="E39" s="233">
        <f t="shared" ref="E39:K39" si="22">+SUM(E37:E38)</f>
        <v>53216417.5</v>
      </c>
      <c r="F39" s="233">
        <f t="shared" si="22"/>
        <v>0</v>
      </c>
      <c r="G39" s="233">
        <f t="shared" si="22"/>
        <v>0</v>
      </c>
      <c r="H39" s="233">
        <f t="shared" si="22"/>
        <v>0</v>
      </c>
      <c r="I39" s="233">
        <f t="shared" si="22"/>
        <v>53216417.5</v>
      </c>
      <c r="J39" s="233">
        <f t="shared" si="22"/>
        <v>7175540.625</v>
      </c>
      <c r="K39" s="233">
        <f t="shared" si="22"/>
        <v>46040876.875</v>
      </c>
    </row>
    <row r="41" spans="2:11" ht="18" customHeight="1" x14ac:dyDescent="0.55000000000000004">
      <c r="B41" s="212" t="s">
        <v>237</v>
      </c>
      <c r="C41" s="212"/>
      <c r="D41" s="212"/>
      <c r="E41" s="212"/>
      <c r="F41" s="212"/>
      <c r="G41" s="212"/>
      <c r="H41" s="212"/>
      <c r="I41" s="212"/>
      <c r="J41" s="212"/>
      <c r="K41" s="212"/>
    </row>
    <row r="42" spans="2:11" ht="18" customHeight="1" x14ac:dyDescent="0.55000000000000004">
      <c r="B42" s="213" t="s">
        <v>208</v>
      </c>
      <c r="C42" s="213" t="s">
        <v>209</v>
      </c>
      <c r="D42" s="213" t="s">
        <v>210</v>
      </c>
      <c r="E42" s="214" t="s">
        <v>238</v>
      </c>
      <c r="F42" s="215" t="s">
        <v>212</v>
      </c>
      <c r="G42" s="216"/>
      <c r="H42" s="217" t="s">
        <v>213</v>
      </c>
      <c r="I42" s="218" t="s">
        <v>239</v>
      </c>
      <c r="J42" s="218" t="s">
        <v>215</v>
      </c>
      <c r="K42" s="219" t="s">
        <v>240</v>
      </c>
    </row>
    <row r="43" spans="2:11" ht="19.5" customHeight="1" x14ac:dyDescent="0.55000000000000004">
      <c r="B43" s="220"/>
      <c r="C43" s="220"/>
      <c r="D43" s="220"/>
      <c r="E43" s="221"/>
      <c r="F43" s="222" t="s">
        <v>217</v>
      </c>
      <c r="G43" s="222" t="s">
        <v>218</v>
      </c>
      <c r="H43" s="223"/>
      <c r="I43" s="224"/>
      <c r="J43" s="224"/>
      <c r="K43" s="225"/>
    </row>
    <row r="44" spans="2:11" ht="18" customHeight="1" x14ac:dyDescent="0.55000000000000004">
      <c r="B44" s="18">
        <v>1</v>
      </c>
      <c r="C44" s="226" t="s">
        <v>219</v>
      </c>
      <c r="D44" s="227">
        <v>0.15</v>
      </c>
      <c r="E44" s="23">
        <f>+K37</f>
        <v>31516280.875</v>
      </c>
      <c r="F44" s="228">
        <v>0</v>
      </c>
      <c r="G44" s="229"/>
      <c r="H44" s="23"/>
      <c r="I44" s="228">
        <f>+E44+F44+G44-H44</f>
        <v>31516280.875</v>
      </c>
      <c r="J44" s="228">
        <f>+((E44+F44)*D44)+(G44*D44*0.5)</f>
        <v>4727442.1312499996</v>
      </c>
      <c r="K44" s="229">
        <f>+I44-J44</f>
        <v>26788838.743749999</v>
      </c>
    </row>
    <row r="45" spans="2:11" ht="18" customHeight="1" x14ac:dyDescent="0.55000000000000004">
      <c r="B45" s="18">
        <v>2</v>
      </c>
      <c r="C45" s="226" t="s">
        <v>220</v>
      </c>
      <c r="D45" s="227">
        <v>0.1</v>
      </c>
      <c r="E45" s="23">
        <f t="shared" ref="E45" si="23">+K38</f>
        <v>14524596</v>
      </c>
      <c r="F45" s="228">
        <f>+'Cap Assumptions'!F72+'Cap Assumptions'!F73+'Cap Assumptions'!F74</f>
        <v>0</v>
      </c>
      <c r="G45" s="229"/>
      <c r="H45" s="23"/>
      <c r="I45" s="228">
        <f t="shared" ref="I45" si="24">+E45+F45+G45-H45</f>
        <v>14524596</v>
      </c>
      <c r="J45" s="228">
        <f t="shared" ref="J45" si="25">+((E45+F45)*D45)+(G45*D45*0.5)</f>
        <v>1452459.6</v>
      </c>
      <c r="K45" s="229">
        <f t="shared" ref="K45" si="26">+I45-J45</f>
        <v>13072136.4</v>
      </c>
    </row>
    <row r="46" spans="2:11" ht="18" customHeight="1" x14ac:dyDescent="0.55000000000000004">
      <c r="B46" s="230" t="s">
        <v>52</v>
      </c>
      <c r="C46" s="231"/>
      <c r="D46" s="232"/>
      <c r="E46" s="233">
        <f t="shared" ref="E46:K46" si="27">+SUM(E44:E45)</f>
        <v>46040876.875</v>
      </c>
      <c r="F46" s="233">
        <f t="shared" si="27"/>
        <v>0</v>
      </c>
      <c r="G46" s="233">
        <f t="shared" si="27"/>
        <v>0</v>
      </c>
      <c r="H46" s="233">
        <f t="shared" si="27"/>
        <v>0</v>
      </c>
      <c r="I46" s="233">
        <f t="shared" si="27"/>
        <v>46040876.875</v>
      </c>
      <c r="J46" s="233">
        <f t="shared" si="27"/>
        <v>6179901.7312499993</v>
      </c>
      <c r="K46" s="233">
        <f t="shared" si="27"/>
        <v>39860975.143749997</v>
      </c>
    </row>
    <row r="48" spans="2:11" ht="18" customHeight="1" x14ac:dyDescent="0.55000000000000004">
      <c r="B48" s="212" t="s">
        <v>241</v>
      </c>
      <c r="C48" s="212"/>
      <c r="D48" s="212"/>
      <c r="E48" s="212"/>
      <c r="F48" s="212"/>
      <c r="G48" s="212"/>
      <c r="H48" s="212"/>
      <c r="I48" s="212"/>
      <c r="J48" s="212"/>
      <c r="K48" s="212"/>
    </row>
    <row r="49" spans="2:11" ht="18" customHeight="1" x14ac:dyDescent="0.55000000000000004">
      <c r="B49" s="213" t="s">
        <v>208</v>
      </c>
      <c r="C49" s="213" t="s">
        <v>209</v>
      </c>
      <c r="D49" s="213" t="s">
        <v>210</v>
      </c>
      <c r="E49" s="214" t="s">
        <v>238</v>
      </c>
      <c r="F49" s="215" t="s">
        <v>212</v>
      </c>
      <c r="G49" s="216"/>
      <c r="H49" s="217" t="s">
        <v>213</v>
      </c>
      <c r="I49" s="218" t="s">
        <v>239</v>
      </c>
      <c r="J49" s="218" t="s">
        <v>215</v>
      </c>
      <c r="K49" s="219" t="s">
        <v>240</v>
      </c>
    </row>
    <row r="50" spans="2:11" ht="21.75" customHeight="1" x14ac:dyDescent="0.55000000000000004">
      <c r="B50" s="220"/>
      <c r="C50" s="220"/>
      <c r="D50" s="220"/>
      <c r="E50" s="221"/>
      <c r="F50" s="222" t="s">
        <v>217</v>
      </c>
      <c r="G50" s="222" t="s">
        <v>218</v>
      </c>
      <c r="H50" s="223"/>
      <c r="I50" s="224"/>
      <c r="J50" s="224"/>
      <c r="K50" s="225"/>
    </row>
    <row r="51" spans="2:11" ht="18" customHeight="1" x14ac:dyDescent="0.55000000000000004">
      <c r="B51" s="18">
        <v>1</v>
      </c>
      <c r="C51" s="226" t="s">
        <v>219</v>
      </c>
      <c r="D51" s="227">
        <v>0.15</v>
      </c>
      <c r="E51" s="23">
        <f>+K44</f>
        <v>26788838.743749999</v>
      </c>
      <c r="F51" s="228">
        <v>0</v>
      </c>
      <c r="G51" s="229"/>
      <c r="H51" s="23"/>
      <c r="I51" s="228">
        <f>+E51+F51+G51-H51</f>
        <v>26788838.743749999</v>
      </c>
      <c r="J51" s="228">
        <f>+((E51+F51)*D51)+(G51*D51*0.5)</f>
        <v>4018325.8115624995</v>
      </c>
      <c r="K51" s="229">
        <f>+I51-J51</f>
        <v>22770512.932187498</v>
      </c>
    </row>
    <row r="52" spans="2:11" ht="18" customHeight="1" x14ac:dyDescent="0.55000000000000004">
      <c r="B52" s="18">
        <v>2</v>
      </c>
      <c r="C52" s="226" t="s">
        <v>220</v>
      </c>
      <c r="D52" s="227">
        <v>0.1</v>
      </c>
      <c r="E52" s="23">
        <f t="shared" ref="E52" si="28">+K45</f>
        <v>13072136.4</v>
      </c>
      <c r="F52" s="228">
        <f>+'Cap Assumptions'!F79+'Cap Assumptions'!F80+'Cap Assumptions'!F81</f>
        <v>0</v>
      </c>
      <c r="G52" s="229"/>
      <c r="H52" s="23"/>
      <c r="I52" s="228">
        <f t="shared" ref="I52" si="29">+E52+F52+G52-H52</f>
        <v>13072136.4</v>
      </c>
      <c r="J52" s="228">
        <f t="shared" ref="J52" si="30">+((E52+F52)*D52)+(G52*D52*0.5)</f>
        <v>1307213.6400000001</v>
      </c>
      <c r="K52" s="229">
        <f t="shared" ref="K52" si="31">+I52-J52</f>
        <v>11764922.76</v>
      </c>
    </row>
    <row r="53" spans="2:11" ht="18" customHeight="1" x14ac:dyDescent="0.55000000000000004">
      <c r="B53" s="230" t="s">
        <v>52</v>
      </c>
      <c r="C53" s="231"/>
      <c r="D53" s="232"/>
      <c r="E53" s="233">
        <f t="shared" ref="E53:K53" si="32">+SUM(E51:E52)</f>
        <v>39860975.143749997</v>
      </c>
      <c r="F53" s="233">
        <f t="shared" si="32"/>
        <v>0</v>
      </c>
      <c r="G53" s="233">
        <f t="shared" si="32"/>
        <v>0</v>
      </c>
      <c r="H53" s="233">
        <f t="shared" si="32"/>
        <v>0</v>
      </c>
      <c r="I53" s="233">
        <f t="shared" si="32"/>
        <v>39860975.143749997</v>
      </c>
      <c r="J53" s="233">
        <f t="shared" si="32"/>
        <v>5325539.4515624996</v>
      </c>
      <c r="K53" s="233">
        <f t="shared" si="32"/>
        <v>34535435.692187496</v>
      </c>
    </row>
  </sheetData>
  <mergeCells count="72">
    <mergeCell ref="K49:K50"/>
    <mergeCell ref="B53:D53"/>
    <mergeCell ref="K42:K43"/>
    <mergeCell ref="B46:D46"/>
    <mergeCell ref="B48:K48"/>
    <mergeCell ref="B49:B50"/>
    <mergeCell ref="C49:C50"/>
    <mergeCell ref="D49:D50"/>
    <mergeCell ref="E49:E50"/>
    <mergeCell ref="F49:G49"/>
    <mergeCell ref="I49:I50"/>
    <mergeCell ref="J49:J50"/>
    <mergeCell ref="K35:K36"/>
    <mergeCell ref="B39:D39"/>
    <mergeCell ref="B41:K41"/>
    <mergeCell ref="B42:B43"/>
    <mergeCell ref="C42:C43"/>
    <mergeCell ref="D42:D43"/>
    <mergeCell ref="E42:E43"/>
    <mergeCell ref="F42:G42"/>
    <mergeCell ref="I42:I43"/>
    <mergeCell ref="J42:J43"/>
    <mergeCell ref="K28:K29"/>
    <mergeCell ref="B32:D32"/>
    <mergeCell ref="B34:K34"/>
    <mergeCell ref="B35:B36"/>
    <mergeCell ref="C35:C36"/>
    <mergeCell ref="D35:D36"/>
    <mergeCell ref="E35:E36"/>
    <mergeCell ref="F35:G35"/>
    <mergeCell ref="I35:I36"/>
    <mergeCell ref="J35:J36"/>
    <mergeCell ref="K21:K22"/>
    <mergeCell ref="B25:D25"/>
    <mergeCell ref="B27:K27"/>
    <mergeCell ref="B28:B29"/>
    <mergeCell ref="C28:C29"/>
    <mergeCell ref="D28:D29"/>
    <mergeCell ref="E28:E29"/>
    <mergeCell ref="F28:G28"/>
    <mergeCell ref="I28:I29"/>
    <mergeCell ref="J28:J29"/>
    <mergeCell ref="K14:K15"/>
    <mergeCell ref="B18:D18"/>
    <mergeCell ref="B20:K20"/>
    <mergeCell ref="B21:B22"/>
    <mergeCell ref="C21:C22"/>
    <mergeCell ref="D21:D22"/>
    <mergeCell ref="E21:E22"/>
    <mergeCell ref="F21:G21"/>
    <mergeCell ref="I21:I22"/>
    <mergeCell ref="J21:J22"/>
    <mergeCell ref="K7:K8"/>
    <mergeCell ref="B11:D11"/>
    <mergeCell ref="B13:K13"/>
    <mergeCell ref="B14:B15"/>
    <mergeCell ref="C14:C15"/>
    <mergeCell ref="D14:D15"/>
    <mergeCell ref="E14:E15"/>
    <mergeCell ref="F14:G14"/>
    <mergeCell ref="I14:I15"/>
    <mergeCell ref="J14:J15"/>
    <mergeCell ref="B3:K3"/>
    <mergeCell ref="B4:K4"/>
    <mergeCell ref="B6:K6"/>
    <mergeCell ref="B7:B8"/>
    <mergeCell ref="C7:C8"/>
    <mergeCell ref="D7:D8"/>
    <mergeCell ref="E7:E8"/>
    <mergeCell ref="F7:G7"/>
    <mergeCell ref="I7:I8"/>
    <mergeCell ref="J7:J8"/>
  </mergeCells>
  <printOptions horizontalCentered="1"/>
  <pageMargins left="0.11811023622047245" right="0.11811023622047245" top="0.35433070866141736" bottom="0.35433070866141736" header="0.31496062992125984" footer="0.31496062992125984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3:M140"/>
  <sheetViews>
    <sheetView showGridLines="0" view="pageBreakPreview" zoomScale="83" zoomScaleNormal="100" zoomScaleSheetLayoutView="83" workbookViewId="0">
      <selection activeCell="B13" sqref="B10:H21"/>
    </sheetView>
  </sheetViews>
  <sheetFormatPr defaultColWidth="9.15625" defaultRowHeight="14.1" x14ac:dyDescent="0.5"/>
  <cols>
    <col min="1" max="1" width="9.15625" style="235"/>
    <col min="2" max="2" width="4.15625" style="235" customWidth="1"/>
    <col min="3" max="3" width="11.68359375" style="281" customWidth="1"/>
    <col min="4" max="4" width="13.26171875" style="281" bestFit="1" customWidth="1"/>
    <col min="5" max="5" width="9.15625" style="281"/>
    <col min="6" max="6" width="15.26171875" style="235" customWidth="1"/>
    <col min="7" max="7" width="12.26171875" style="235" customWidth="1"/>
    <col min="8" max="8" width="10.83984375" style="282" bestFit="1" customWidth="1"/>
    <col min="9" max="9" width="10" style="282" bestFit="1" customWidth="1"/>
    <col min="10" max="10" width="14.578125" style="282" bestFit="1" customWidth="1"/>
    <col min="11" max="11" width="3.41796875" style="235" customWidth="1"/>
    <col min="12" max="12" width="13.41796875" style="235" bestFit="1" customWidth="1"/>
    <col min="13" max="16384" width="9.15625" style="235"/>
  </cols>
  <sheetData>
    <row r="3" spans="3:11" x14ac:dyDescent="0.5">
      <c r="C3" s="234" t="str">
        <f>+FA!B3</f>
        <v>BLUELEO ENERGY PRIVATE LIMITED</v>
      </c>
      <c r="D3" s="234"/>
      <c r="E3" s="234"/>
      <c r="F3" s="234"/>
      <c r="G3" s="234"/>
      <c r="H3" s="234"/>
      <c r="I3" s="234"/>
      <c r="J3" s="234"/>
    </row>
    <row r="4" spans="3:11" x14ac:dyDescent="0.5">
      <c r="C4" s="236" t="s">
        <v>242</v>
      </c>
      <c r="D4" s="237"/>
      <c r="E4" s="238">
        <f>+'Cap Assumptions'!H9</f>
        <v>49870100</v>
      </c>
      <c r="F4" s="239"/>
      <c r="G4" s="240"/>
      <c r="H4" s="241" t="s">
        <v>243</v>
      </c>
      <c r="I4" s="242"/>
      <c r="J4" s="243">
        <v>120</v>
      </c>
    </row>
    <row r="5" spans="3:11" x14ac:dyDescent="0.5">
      <c r="C5" s="244" t="s">
        <v>244</v>
      </c>
      <c r="D5" s="245"/>
      <c r="E5" s="246">
        <v>45703</v>
      </c>
      <c r="F5" s="247"/>
      <c r="G5" s="248"/>
      <c r="H5" s="249" t="s">
        <v>245</v>
      </c>
      <c r="I5" s="250"/>
      <c r="J5" s="251">
        <v>0.1</v>
      </c>
      <c r="K5" s="252"/>
    </row>
    <row r="6" spans="3:11" x14ac:dyDescent="0.5">
      <c r="C6" s="253" t="s">
        <v>246</v>
      </c>
      <c r="D6" s="254"/>
      <c r="E6" s="254"/>
      <c r="F6" s="254"/>
      <c r="G6" s="254"/>
      <c r="H6" s="254"/>
      <c r="I6" s="254"/>
      <c r="J6" s="254"/>
    </row>
    <row r="7" spans="3:11" s="262" customFormat="1" x14ac:dyDescent="0.55000000000000004">
      <c r="C7" s="255" t="s">
        <v>247</v>
      </c>
      <c r="D7" s="256" t="s">
        <v>248</v>
      </c>
      <c r="E7" s="257" t="s">
        <v>249</v>
      </c>
      <c r="F7" s="256" t="s">
        <v>250</v>
      </c>
      <c r="G7" s="258" t="s">
        <v>251</v>
      </c>
      <c r="H7" s="259">
        <v>0.1</v>
      </c>
      <c r="I7" s="260" t="s">
        <v>252</v>
      </c>
      <c r="J7" s="261" t="s">
        <v>163</v>
      </c>
    </row>
    <row r="8" spans="3:11" s="262" customFormat="1" x14ac:dyDescent="0.55000000000000004">
      <c r="C8" s="255"/>
      <c r="D8" s="263"/>
      <c r="E8" s="264"/>
      <c r="F8" s="263"/>
      <c r="G8" s="258" t="s">
        <v>253</v>
      </c>
      <c r="H8" s="258" t="s">
        <v>192</v>
      </c>
      <c r="I8" s="265"/>
      <c r="J8" s="266"/>
    </row>
    <row r="9" spans="3:11" x14ac:dyDescent="0.5">
      <c r="C9" s="267">
        <v>1</v>
      </c>
      <c r="D9" s="268" t="s">
        <v>67</v>
      </c>
      <c r="E9" s="269">
        <v>45717</v>
      </c>
      <c r="F9" s="270">
        <f>+E4</f>
        <v>49870100</v>
      </c>
      <c r="G9" s="271">
        <f t="shared" ref="G9:G72" si="0">+I9-H9</f>
        <v>-415584.16666666669</v>
      </c>
      <c r="H9" s="271">
        <f t="shared" ref="H9:H72" si="1">+F9*$H$7/12</f>
        <v>415584.16666666669</v>
      </c>
      <c r="I9" s="272">
        <v>0</v>
      </c>
      <c r="J9" s="273">
        <f t="shared" ref="J9:J72" si="2">+F9-G9</f>
        <v>50285684.166666664</v>
      </c>
      <c r="K9" s="274"/>
    </row>
    <row r="10" spans="3:11" x14ac:dyDescent="0.5">
      <c r="C10" s="267">
        <f t="shared" ref="C10:C73" si="3">+C9+1</f>
        <v>2</v>
      </c>
      <c r="D10" s="275" t="s">
        <v>68</v>
      </c>
      <c r="E10" s="276">
        <f t="shared" ref="E10:E67" si="4">+E9+31</f>
        <v>45748</v>
      </c>
      <c r="F10" s="270">
        <f t="shared" ref="F10:F73" si="5">+J9</f>
        <v>50285684.166666664</v>
      </c>
      <c r="G10" s="271">
        <f t="shared" si="0"/>
        <v>-419047.36805555556</v>
      </c>
      <c r="H10" s="271">
        <f t="shared" si="1"/>
        <v>419047.36805555556</v>
      </c>
      <c r="I10" s="272">
        <f t="shared" ref="I10:I73" si="6">+I9</f>
        <v>0</v>
      </c>
      <c r="J10" s="271">
        <f t="shared" si="2"/>
        <v>50704731.534722216</v>
      </c>
      <c r="K10" s="274"/>
    </row>
    <row r="11" spans="3:11" x14ac:dyDescent="0.5">
      <c r="C11" s="267">
        <f t="shared" si="3"/>
        <v>3</v>
      </c>
      <c r="D11" s="277"/>
      <c r="E11" s="276">
        <f t="shared" si="4"/>
        <v>45779</v>
      </c>
      <c r="F11" s="270">
        <f t="shared" si="5"/>
        <v>50704731.534722216</v>
      </c>
      <c r="G11" s="278">
        <f t="shared" si="0"/>
        <v>-422539.42945601855</v>
      </c>
      <c r="H11" s="270">
        <f t="shared" si="1"/>
        <v>422539.42945601855</v>
      </c>
      <c r="I11" s="270">
        <f t="shared" si="6"/>
        <v>0</v>
      </c>
      <c r="J11" s="278">
        <f t="shared" si="2"/>
        <v>51127270.964178234</v>
      </c>
    </row>
    <row r="12" spans="3:11" x14ac:dyDescent="0.5">
      <c r="C12" s="267">
        <f t="shared" si="3"/>
        <v>4</v>
      </c>
      <c r="D12" s="277"/>
      <c r="E12" s="276">
        <f t="shared" si="4"/>
        <v>45810</v>
      </c>
      <c r="F12" s="270">
        <f t="shared" si="5"/>
        <v>51127270.964178234</v>
      </c>
      <c r="G12" s="278">
        <f t="shared" si="0"/>
        <v>-426060.591368152</v>
      </c>
      <c r="H12" s="270">
        <f t="shared" si="1"/>
        <v>426060.591368152</v>
      </c>
      <c r="I12" s="270">
        <f t="shared" si="6"/>
        <v>0</v>
      </c>
      <c r="J12" s="278">
        <f t="shared" si="2"/>
        <v>51553331.555546388</v>
      </c>
    </row>
    <row r="13" spans="3:11" x14ac:dyDescent="0.5">
      <c r="C13" s="267">
        <f t="shared" si="3"/>
        <v>5</v>
      </c>
      <c r="D13" s="277"/>
      <c r="E13" s="276">
        <f t="shared" si="4"/>
        <v>45841</v>
      </c>
      <c r="F13" s="270">
        <f t="shared" si="5"/>
        <v>51553331.555546388</v>
      </c>
      <c r="G13" s="278">
        <f t="shared" si="0"/>
        <v>-429611.09629621991</v>
      </c>
      <c r="H13" s="270">
        <f t="shared" si="1"/>
        <v>429611.09629621991</v>
      </c>
      <c r="I13" s="270">
        <f t="shared" si="6"/>
        <v>0</v>
      </c>
      <c r="J13" s="278">
        <f t="shared" si="2"/>
        <v>51982942.651842609</v>
      </c>
    </row>
    <row r="14" spans="3:11" x14ac:dyDescent="0.5">
      <c r="C14" s="267">
        <f t="shared" si="3"/>
        <v>6</v>
      </c>
      <c r="D14" s="277"/>
      <c r="E14" s="276">
        <f t="shared" si="4"/>
        <v>45872</v>
      </c>
      <c r="F14" s="270">
        <f t="shared" si="5"/>
        <v>51982942.651842609</v>
      </c>
      <c r="G14" s="278">
        <f t="shared" si="0"/>
        <v>-433191.18876535509</v>
      </c>
      <c r="H14" s="270">
        <f t="shared" si="1"/>
        <v>433191.18876535509</v>
      </c>
      <c r="I14" s="270">
        <f t="shared" si="6"/>
        <v>0</v>
      </c>
      <c r="J14" s="278">
        <f t="shared" si="2"/>
        <v>52416133.840607964</v>
      </c>
    </row>
    <row r="15" spans="3:11" x14ac:dyDescent="0.5">
      <c r="C15" s="267">
        <f t="shared" si="3"/>
        <v>7</v>
      </c>
      <c r="D15" s="277"/>
      <c r="E15" s="276">
        <f t="shared" si="4"/>
        <v>45903</v>
      </c>
      <c r="F15" s="270">
        <f t="shared" si="5"/>
        <v>52416133.840607964</v>
      </c>
      <c r="G15" s="278">
        <f t="shared" si="0"/>
        <v>-436801.11533839972</v>
      </c>
      <c r="H15" s="270">
        <f t="shared" si="1"/>
        <v>436801.11533839972</v>
      </c>
      <c r="I15" s="270">
        <f t="shared" si="6"/>
        <v>0</v>
      </c>
      <c r="J15" s="278">
        <f t="shared" si="2"/>
        <v>52852934.955946364</v>
      </c>
    </row>
    <row r="16" spans="3:11" x14ac:dyDescent="0.5">
      <c r="C16" s="267">
        <f t="shared" si="3"/>
        <v>8</v>
      </c>
      <c r="D16" s="277"/>
      <c r="E16" s="276">
        <f t="shared" si="4"/>
        <v>45934</v>
      </c>
      <c r="F16" s="270">
        <f t="shared" si="5"/>
        <v>52852934.955946364</v>
      </c>
      <c r="G16" s="278">
        <f t="shared" si="0"/>
        <v>-440441.12463288638</v>
      </c>
      <c r="H16" s="270">
        <f t="shared" si="1"/>
        <v>440441.12463288638</v>
      </c>
      <c r="I16" s="270">
        <f t="shared" si="6"/>
        <v>0</v>
      </c>
      <c r="J16" s="278">
        <f t="shared" si="2"/>
        <v>53293376.080579251</v>
      </c>
    </row>
    <row r="17" spans="3:10" x14ac:dyDescent="0.5">
      <c r="C17" s="267">
        <f t="shared" si="3"/>
        <v>9</v>
      </c>
      <c r="D17" s="277"/>
      <c r="E17" s="276">
        <f t="shared" si="4"/>
        <v>45965</v>
      </c>
      <c r="F17" s="270">
        <f t="shared" si="5"/>
        <v>53293376.080579251</v>
      </c>
      <c r="G17" s="278">
        <f t="shared" si="0"/>
        <v>-444111.46733816044</v>
      </c>
      <c r="H17" s="270">
        <f t="shared" si="1"/>
        <v>444111.46733816044</v>
      </c>
      <c r="I17" s="270">
        <f t="shared" si="6"/>
        <v>0</v>
      </c>
      <c r="J17" s="278">
        <f t="shared" si="2"/>
        <v>53737487.547917411</v>
      </c>
    </row>
    <row r="18" spans="3:10" x14ac:dyDescent="0.5">
      <c r="C18" s="267">
        <f t="shared" si="3"/>
        <v>10</v>
      </c>
      <c r="D18" s="277"/>
      <c r="E18" s="276">
        <f t="shared" si="4"/>
        <v>45996</v>
      </c>
      <c r="F18" s="270">
        <f t="shared" si="5"/>
        <v>53737487.547917411</v>
      </c>
      <c r="G18" s="278">
        <f t="shared" si="0"/>
        <v>-447812.39623264509</v>
      </c>
      <c r="H18" s="270">
        <f t="shared" si="1"/>
        <v>447812.39623264509</v>
      </c>
      <c r="I18" s="270">
        <f t="shared" si="6"/>
        <v>0</v>
      </c>
      <c r="J18" s="278">
        <f t="shared" si="2"/>
        <v>54185299.944150053</v>
      </c>
    </row>
    <row r="19" spans="3:10" x14ac:dyDescent="0.5">
      <c r="C19" s="267">
        <f t="shared" si="3"/>
        <v>11</v>
      </c>
      <c r="D19" s="277"/>
      <c r="E19" s="276">
        <f t="shared" si="4"/>
        <v>46027</v>
      </c>
      <c r="F19" s="270">
        <f t="shared" si="5"/>
        <v>54185299.944150053</v>
      </c>
      <c r="G19" s="278">
        <f t="shared" si="0"/>
        <v>-451544.16620125045</v>
      </c>
      <c r="H19" s="270">
        <f t="shared" si="1"/>
        <v>451544.16620125045</v>
      </c>
      <c r="I19" s="270">
        <f t="shared" si="6"/>
        <v>0</v>
      </c>
      <c r="J19" s="278">
        <f t="shared" si="2"/>
        <v>54636844.110351302</v>
      </c>
    </row>
    <row r="20" spans="3:10" x14ac:dyDescent="0.5">
      <c r="C20" s="267">
        <f t="shared" si="3"/>
        <v>12</v>
      </c>
      <c r="D20" s="277"/>
      <c r="E20" s="276">
        <f t="shared" si="4"/>
        <v>46058</v>
      </c>
      <c r="F20" s="270">
        <f t="shared" si="5"/>
        <v>54636844.110351302</v>
      </c>
      <c r="G20" s="278">
        <f t="shared" si="0"/>
        <v>-455307.03425292758</v>
      </c>
      <c r="H20" s="270">
        <f t="shared" si="1"/>
        <v>455307.03425292758</v>
      </c>
      <c r="I20" s="270">
        <f t="shared" si="6"/>
        <v>0</v>
      </c>
      <c r="J20" s="278">
        <f t="shared" si="2"/>
        <v>55092151.144604228</v>
      </c>
    </row>
    <row r="21" spans="3:10" x14ac:dyDescent="0.5">
      <c r="C21" s="267">
        <f t="shared" si="3"/>
        <v>13</v>
      </c>
      <c r="D21" s="279"/>
      <c r="E21" s="269">
        <f t="shared" si="4"/>
        <v>46089</v>
      </c>
      <c r="F21" s="270">
        <f t="shared" si="5"/>
        <v>55092151.144604228</v>
      </c>
      <c r="G21" s="278">
        <f t="shared" si="0"/>
        <v>268945.74046163139</v>
      </c>
      <c r="H21" s="270">
        <f t="shared" si="1"/>
        <v>459101.25953836861</v>
      </c>
      <c r="I21" s="270">
        <v>728047</v>
      </c>
      <c r="J21" s="273">
        <f t="shared" si="2"/>
        <v>54823205.404142596</v>
      </c>
    </row>
    <row r="22" spans="3:10" x14ac:dyDescent="0.5">
      <c r="C22" s="267">
        <f t="shared" si="3"/>
        <v>14</v>
      </c>
      <c r="D22" s="275" t="s">
        <v>69</v>
      </c>
      <c r="E22" s="276">
        <f t="shared" si="4"/>
        <v>46120</v>
      </c>
      <c r="F22" s="270">
        <f t="shared" si="5"/>
        <v>54823205.404142596</v>
      </c>
      <c r="G22" s="271">
        <f t="shared" si="0"/>
        <v>271186.95496547833</v>
      </c>
      <c r="H22" s="272">
        <f t="shared" si="1"/>
        <v>456860.04503452167</v>
      </c>
      <c r="I22" s="272">
        <f>+I21</f>
        <v>728047</v>
      </c>
      <c r="J22" s="271">
        <f t="shared" si="2"/>
        <v>54552018.449177116</v>
      </c>
    </row>
    <row r="23" spans="3:10" x14ac:dyDescent="0.5">
      <c r="C23" s="267">
        <f t="shared" si="3"/>
        <v>15</v>
      </c>
      <c r="D23" s="277"/>
      <c r="E23" s="276">
        <f t="shared" si="4"/>
        <v>46151</v>
      </c>
      <c r="F23" s="270">
        <f t="shared" si="5"/>
        <v>54552018.449177116</v>
      </c>
      <c r="G23" s="278">
        <f t="shared" si="0"/>
        <v>273446.84625685733</v>
      </c>
      <c r="H23" s="270">
        <f t="shared" si="1"/>
        <v>454600.15374314267</v>
      </c>
      <c r="I23" s="270">
        <f t="shared" si="6"/>
        <v>728047</v>
      </c>
      <c r="J23" s="278">
        <f t="shared" si="2"/>
        <v>54278571.602920257</v>
      </c>
    </row>
    <row r="24" spans="3:10" x14ac:dyDescent="0.5">
      <c r="C24" s="267">
        <f t="shared" si="3"/>
        <v>16</v>
      </c>
      <c r="D24" s="277"/>
      <c r="E24" s="276">
        <f t="shared" si="4"/>
        <v>46182</v>
      </c>
      <c r="F24" s="270">
        <f t="shared" si="5"/>
        <v>54278571.602920257</v>
      </c>
      <c r="G24" s="278">
        <f t="shared" si="0"/>
        <v>275725.56997566455</v>
      </c>
      <c r="H24" s="270">
        <f t="shared" si="1"/>
        <v>452321.43002433545</v>
      </c>
      <c r="I24" s="270">
        <f t="shared" si="6"/>
        <v>728047</v>
      </c>
      <c r="J24" s="278">
        <f t="shared" si="2"/>
        <v>54002846.03294459</v>
      </c>
    </row>
    <row r="25" spans="3:10" x14ac:dyDescent="0.5">
      <c r="C25" s="267">
        <f t="shared" si="3"/>
        <v>17</v>
      </c>
      <c r="D25" s="277"/>
      <c r="E25" s="276">
        <f t="shared" si="4"/>
        <v>46213</v>
      </c>
      <c r="F25" s="270">
        <f t="shared" si="5"/>
        <v>54002846.03294459</v>
      </c>
      <c r="G25" s="278">
        <f t="shared" si="0"/>
        <v>278023.28305879509</v>
      </c>
      <c r="H25" s="270">
        <f t="shared" si="1"/>
        <v>450023.71694120491</v>
      </c>
      <c r="I25" s="270">
        <f t="shared" si="6"/>
        <v>728047</v>
      </c>
      <c r="J25" s="278">
        <f t="shared" si="2"/>
        <v>53724822.749885798</v>
      </c>
    </row>
    <row r="26" spans="3:10" x14ac:dyDescent="0.5">
      <c r="C26" s="267">
        <f t="shared" si="3"/>
        <v>18</v>
      </c>
      <c r="D26" s="277"/>
      <c r="E26" s="276">
        <f t="shared" si="4"/>
        <v>46244</v>
      </c>
      <c r="F26" s="270">
        <f t="shared" si="5"/>
        <v>53724822.749885798</v>
      </c>
      <c r="G26" s="278">
        <f t="shared" si="0"/>
        <v>280340.14375095163</v>
      </c>
      <c r="H26" s="270">
        <f t="shared" si="1"/>
        <v>447706.85624904837</v>
      </c>
      <c r="I26" s="270">
        <f t="shared" si="6"/>
        <v>728047</v>
      </c>
      <c r="J26" s="278">
        <f t="shared" si="2"/>
        <v>53444482.606134847</v>
      </c>
    </row>
    <row r="27" spans="3:10" x14ac:dyDescent="0.5">
      <c r="C27" s="267">
        <f t="shared" si="3"/>
        <v>19</v>
      </c>
      <c r="D27" s="277"/>
      <c r="E27" s="276">
        <f t="shared" si="4"/>
        <v>46275</v>
      </c>
      <c r="F27" s="270">
        <f t="shared" si="5"/>
        <v>53444482.606134847</v>
      </c>
      <c r="G27" s="278">
        <f t="shared" si="0"/>
        <v>282676.31161554292</v>
      </c>
      <c r="H27" s="270">
        <f t="shared" si="1"/>
        <v>445370.68838445708</v>
      </c>
      <c r="I27" s="270">
        <f t="shared" si="6"/>
        <v>728047</v>
      </c>
      <c r="J27" s="278">
        <f t="shared" si="2"/>
        <v>53161806.294519305</v>
      </c>
    </row>
    <row r="28" spans="3:10" x14ac:dyDescent="0.5">
      <c r="C28" s="267">
        <f t="shared" si="3"/>
        <v>20</v>
      </c>
      <c r="D28" s="277"/>
      <c r="E28" s="276">
        <f t="shared" si="4"/>
        <v>46306</v>
      </c>
      <c r="F28" s="270">
        <f t="shared" si="5"/>
        <v>53161806.294519305</v>
      </c>
      <c r="G28" s="278">
        <f t="shared" si="0"/>
        <v>285031.94754567248</v>
      </c>
      <c r="H28" s="270">
        <f t="shared" si="1"/>
        <v>443015.05245432752</v>
      </c>
      <c r="I28" s="270">
        <f t="shared" si="6"/>
        <v>728047</v>
      </c>
      <c r="J28" s="278">
        <f t="shared" si="2"/>
        <v>52876774.346973635</v>
      </c>
    </row>
    <row r="29" spans="3:10" x14ac:dyDescent="0.5">
      <c r="C29" s="267">
        <f t="shared" si="3"/>
        <v>21</v>
      </c>
      <c r="D29" s="277"/>
      <c r="E29" s="276">
        <f t="shared" si="4"/>
        <v>46337</v>
      </c>
      <c r="F29" s="270">
        <f t="shared" si="5"/>
        <v>52876774.346973635</v>
      </c>
      <c r="G29" s="278">
        <f t="shared" si="0"/>
        <v>287407.21377521969</v>
      </c>
      <c r="H29" s="270">
        <f t="shared" si="1"/>
        <v>440639.78622478031</v>
      </c>
      <c r="I29" s="270">
        <f t="shared" si="6"/>
        <v>728047</v>
      </c>
      <c r="J29" s="278">
        <f t="shared" si="2"/>
        <v>52589367.133198418</v>
      </c>
    </row>
    <row r="30" spans="3:10" x14ac:dyDescent="0.5">
      <c r="C30" s="267">
        <f t="shared" si="3"/>
        <v>22</v>
      </c>
      <c r="D30" s="277"/>
      <c r="E30" s="276">
        <f t="shared" si="4"/>
        <v>46368</v>
      </c>
      <c r="F30" s="270">
        <f t="shared" si="5"/>
        <v>52589367.133198418</v>
      </c>
      <c r="G30" s="278">
        <f t="shared" si="0"/>
        <v>289802.27389001317</v>
      </c>
      <c r="H30" s="270">
        <f t="shared" si="1"/>
        <v>438244.72610998683</v>
      </c>
      <c r="I30" s="270">
        <f t="shared" si="6"/>
        <v>728047</v>
      </c>
      <c r="J30" s="278">
        <f t="shared" si="2"/>
        <v>52299564.859308407</v>
      </c>
    </row>
    <row r="31" spans="3:10" x14ac:dyDescent="0.5">
      <c r="C31" s="267">
        <f t="shared" si="3"/>
        <v>23</v>
      </c>
      <c r="D31" s="277"/>
      <c r="E31" s="276">
        <f t="shared" si="4"/>
        <v>46399</v>
      </c>
      <c r="F31" s="270">
        <f t="shared" si="5"/>
        <v>52299564.859308407</v>
      </c>
      <c r="G31" s="278">
        <f t="shared" si="0"/>
        <v>292217.29283909657</v>
      </c>
      <c r="H31" s="270">
        <f t="shared" si="1"/>
        <v>435829.70716090343</v>
      </c>
      <c r="I31" s="270">
        <f t="shared" si="6"/>
        <v>728047</v>
      </c>
      <c r="J31" s="278">
        <f t="shared" si="2"/>
        <v>52007347.566469312</v>
      </c>
    </row>
    <row r="32" spans="3:10" x14ac:dyDescent="0.5">
      <c r="C32" s="267">
        <f t="shared" si="3"/>
        <v>24</v>
      </c>
      <c r="D32" s="277"/>
      <c r="E32" s="276">
        <f t="shared" si="4"/>
        <v>46430</v>
      </c>
      <c r="F32" s="270">
        <f t="shared" si="5"/>
        <v>52007347.566469312</v>
      </c>
      <c r="G32" s="278">
        <f t="shared" si="0"/>
        <v>294652.43694608909</v>
      </c>
      <c r="H32" s="270">
        <f t="shared" si="1"/>
        <v>433394.56305391091</v>
      </c>
      <c r="I32" s="270">
        <f t="shared" si="6"/>
        <v>728047</v>
      </c>
      <c r="J32" s="278">
        <f t="shared" si="2"/>
        <v>51712695.129523225</v>
      </c>
    </row>
    <row r="33" spans="3:10" x14ac:dyDescent="0.5">
      <c r="C33" s="267">
        <f t="shared" si="3"/>
        <v>25</v>
      </c>
      <c r="D33" s="279"/>
      <c r="E33" s="269">
        <f t="shared" si="4"/>
        <v>46461</v>
      </c>
      <c r="F33" s="270">
        <f t="shared" si="5"/>
        <v>51712695.129523225</v>
      </c>
      <c r="G33" s="278">
        <f t="shared" si="0"/>
        <v>297107.87392063974</v>
      </c>
      <c r="H33" s="270">
        <f t="shared" si="1"/>
        <v>430939.12607936026</v>
      </c>
      <c r="I33" s="270">
        <f t="shared" si="6"/>
        <v>728047</v>
      </c>
      <c r="J33" s="273">
        <f t="shared" si="2"/>
        <v>51415587.255602583</v>
      </c>
    </row>
    <row r="34" spans="3:10" x14ac:dyDescent="0.5">
      <c r="C34" s="267">
        <f t="shared" si="3"/>
        <v>26</v>
      </c>
      <c r="D34" s="275" t="s">
        <v>70</v>
      </c>
      <c r="E34" s="276">
        <f t="shared" si="4"/>
        <v>46492</v>
      </c>
      <c r="F34" s="270">
        <f t="shared" si="5"/>
        <v>51415587.255602583</v>
      </c>
      <c r="G34" s="271">
        <f t="shared" si="0"/>
        <v>299583.77286997839</v>
      </c>
      <c r="H34" s="272">
        <f t="shared" si="1"/>
        <v>428463.22713002161</v>
      </c>
      <c r="I34" s="272">
        <f t="shared" si="6"/>
        <v>728047</v>
      </c>
      <c r="J34" s="271">
        <f t="shared" si="2"/>
        <v>51116003.482732601</v>
      </c>
    </row>
    <row r="35" spans="3:10" x14ac:dyDescent="0.5">
      <c r="C35" s="267">
        <f t="shared" si="3"/>
        <v>27</v>
      </c>
      <c r="D35" s="277"/>
      <c r="E35" s="276">
        <f t="shared" si="4"/>
        <v>46523</v>
      </c>
      <c r="F35" s="270">
        <f t="shared" si="5"/>
        <v>51116003.482732601</v>
      </c>
      <c r="G35" s="278">
        <f t="shared" si="0"/>
        <v>302080.30431056162</v>
      </c>
      <c r="H35" s="270">
        <f t="shared" si="1"/>
        <v>425966.69568943838</v>
      </c>
      <c r="I35" s="270">
        <f t="shared" si="6"/>
        <v>728047</v>
      </c>
      <c r="J35" s="278">
        <f t="shared" si="2"/>
        <v>50813923.178422041</v>
      </c>
    </row>
    <row r="36" spans="3:10" x14ac:dyDescent="0.5">
      <c r="C36" s="267">
        <f t="shared" si="3"/>
        <v>28</v>
      </c>
      <c r="D36" s="277"/>
      <c r="E36" s="276">
        <f t="shared" si="4"/>
        <v>46554</v>
      </c>
      <c r="F36" s="270">
        <f t="shared" si="5"/>
        <v>50813923.178422041</v>
      </c>
      <c r="G36" s="278">
        <f t="shared" si="0"/>
        <v>304597.64017981634</v>
      </c>
      <c r="H36" s="270">
        <f t="shared" si="1"/>
        <v>423449.35982018366</v>
      </c>
      <c r="I36" s="270">
        <f t="shared" si="6"/>
        <v>728047</v>
      </c>
      <c r="J36" s="278">
        <f t="shared" si="2"/>
        <v>50509325.538242228</v>
      </c>
    </row>
    <row r="37" spans="3:10" x14ac:dyDescent="0.5">
      <c r="C37" s="267">
        <f t="shared" si="3"/>
        <v>29</v>
      </c>
      <c r="D37" s="277"/>
      <c r="E37" s="276">
        <f t="shared" si="4"/>
        <v>46585</v>
      </c>
      <c r="F37" s="270">
        <f t="shared" si="5"/>
        <v>50509325.538242228</v>
      </c>
      <c r="G37" s="278">
        <f t="shared" si="0"/>
        <v>307135.95384798135</v>
      </c>
      <c r="H37" s="270">
        <f t="shared" si="1"/>
        <v>420911.04615201865</v>
      </c>
      <c r="I37" s="270">
        <f t="shared" si="6"/>
        <v>728047</v>
      </c>
      <c r="J37" s="278">
        <f t="shared" si="2"/>
        <v>50202189.584394246</v>
      </c>
    </row>
    <row r="38" spans="3:10" x14ac:dyDescent="0.5">
      <c r="C38" s="267">
        <f t="shared" si="3"/>
        <v>30</v>
      </c>
      <c r="D38" s="277"/>
      <c r="E38" s="276">
        <f t="shared" si="4"/>
        <v>46616</v>
      </c>
      <c r="F38" s="270">
        <f t="shared" si="5"/>
        <v>50202189.584394246</v>
      </c>
      <c r="G38" s="278">
        <f t="shared" si="0"/>
        <v>309695.42013004795</v>
      </c>
      <c r="H38" s="270">
        <f t="shared" si="1"/>
        <v>418351.57986995205</v>
      </c>
      <c r="I38" s="270">
        <f t="shared" si="6"/>
        <v>728047</v>
      </c>
      <c r="J38" s="278">
        <f t="shared" si="2"/>
        <v>49892494.164264202</v>
      </c>
    </row>
    <row r="39" spans="3:10" x14ac:dyDescent="0.5">
      <c r="C39" s="267">
        <f t="shared" si="3"/>
        <v>31</v>
      </c>
      <c r="D39" s="277"/>
      <c r="E39" s="276">
        <f t="shared" si="4"/>
        <v>46647</v>
      </c>
      <c r="F39" s="270">
        <f t="shared" si="5"/>
        <v>49892494.164264202</v>
      </c>
      <c r="G39" s="278">
        <f t="shared" si="0"/>
        <v>312276.21529779834</v>
      </c>
      <c r="H39" s="270">
        <f t="shared" si="1"/>
        <v>415770.78470220166</v>
      </c>
      <c r="I39" s="270">
        <f t="shared" si="6"/>
        <v>728047</v>
      </c>
      <c r="J39" s="278">
        <f t="shared" si="2"/>
        <v>49580217.948966406</v>
      </c>
    </row>
    <row r="40" spans="3:10" x14ac:dyDescent="0.5">
      <c r="C40" s="267">
        <f t="shared" si="3"/>
        <v>32</v>
      </c>
      <c r="D40" s="277"/>
      <c r="E40" s="276">
        <f t="shared" si="4"/>
        <v>46678</v>
      </c>
      <c r="F40" s="270">
        <f t="shared" si="5"/>
        <v>49580217.948966406</v>
      </c>
      <c r="G40" s="278">
        <f t="shared" si="0"/>
        <v>314878.51709194662</v>
      </c>
      <c r="H40" s="270">
        <f t="shared" si="1"/>
        <v>413168.48290805338</v>
      </c>
      <c r="I40" s="270">
        <f t="shared" si="6"/>
        <v>728047</v>
      </c>
      <c r="J40" s="278">
        <f t="shared" si="2"/>
        <v>49265339.431874461</v>
      </c>
    </row>
    <row r="41" spans="3:10" x14ac:dyDescent="0.5">
      <c r="C41" s="267">
        <f t="shared" si="3"/>
        <v>33</v>
      </c>
      <c r="D41" s="277"/>
      <c r="E41" s="276">
        <f t="shared" si="4"/>
        <v>46709</v>
      </c>
      <c r="F41" s="270">
        <f t="shared" si="5"/>
        <v>49265339.431874461</v>
      </c>
      <c r="G41" s="278">
        <f t="shared" si="0"/>
        <v>317502.50473437947</v>
      </c>
      <c r="H41" s="270">
        <f t="shared" si="1"/>
        <v>410544.49526562053</v>
      </c>
      <c r="I41" s="270">
        <f t="shared" si="6"/>
        <v>728047</v>
      </c>
      <c r="J41" s="278">
        <f t="shared" si="2"/>
        <v>48947836.927140079</v>
      </c>
    </row>
    <row r="42" spans="3:10" x14ac:dyDescent="0.5">
      <c r="C42" s="267">
        <f t="shared" si="3"/>
        <v>34</v>
      </c>
      <c r="D42" s="277"/>
      <c r="E42" s="276">
        <f t="shared" si="4"/>
        <v>46740</v>
      </c>
      <c r="F42" s="270">
        <f t="shared" si="5"/>
        <v>48947836.927140079</v>
      </c>
      <c r="G42" s="278">
        <f t="shared" si="0"/>
        <v>320148.35894049931</v>
      </c>
      <c r="H42" s="270">
        <f t="shared" si="1"/>
        <v>407898.64105950069</v>
      </c>
      <c r="I42" s="270">
        <f t="shared" si="6"/>
        <v>728047</v>
      </c>
      <c r="J42" s="278">
        <f t="shared" si="2"/>
        <v>48627688.568199582</v>
      </c>
    </row>
    <row r="43" spans="3:10" x14ac:dyDescent="0.5">
      <c r="C43" s="267">
        <f t="shared" si="3"/>
        <v>35</v>
      </c>
      <c r="D43" s="277"/>
      <c r="E43" s="276">
        <f t="shared" si="4"/>
        <v>46771</v>
      </c>
      <c r="F43" s="270">
        <f t="shared" si="5"/>
        <v>48627688.568199582</v>
      </c>
      <c r="G43" s="278">
        <f t="shared" si="0"/>
        <v>322816.26193167013</v>
      </c>
      <c r="H43" s="270">
        <f t="shared" si="1"/>
        <v>405230.73806832987</v>
      </c>
      <c r="I43" s="270">
        <f t="shared" si="6"/>
        <v>728047</v>
      </c>
      <c r="J43" s="278">
        <f t="shared" si="2"/>
        <v>48304872.30626791</v>
      </c>
    </row>
    <row r="44" spans="3:10" x14ac:dyDescent="0.5">
      <c r="C44" s="267">
        <f t="shared" si="3"/>
        <v>36</v>
      </c>
      <c r="D44" s="277"/>
      <c r="E44" s="276">
        <f t="shared" si="4"/>
        <v>46802</v>
      </c>
      <c r="F44" s="270">
        <f t="shared" si="5"/>
        <v>48304872.30626791</v>
      </c>
      <c r="G44" s="278">
        <f t="shared" si="0"/>
        <v>325506.39744776743</v>
      </c>
      <c r="H44" s="270">
        <f t="shared" si="1"/>
        <v>402540.60255223257</v>
      </c>
      <c r="I44" s="270">
        <f t="shared" si="6"/>
        <v>728047</v>
      </c>
      <c r="J44" s="278">
        <f t="shared" si="2"/>
        <v>47979365.908820145</v>
      </c>
    </row>
    <row r="45" spans="3:10" x14ac:dyDescent="0.5">
      <c r="C45" s="267">
        <f t="shared" si="3"/>
        <v>37</v>
      </c>
      <c r="D45" s="279"/>
      <c r="E45" s="269">
        <f t="shared" si="4"/>
        <v>46833</v>
      </c>
      <c r="F45" s="270">
        <f t="shared" si="5"/>
        <v>47979365.908820145</v>
      </c>
      <c r="G45" s="278">
        <f t="shared" si="0"/>
        <v>328218.95075983211</v>
      </c>
      <c r="H45" s="270">
        <f t="shared" si="1"/>
        <v>399828.04924016789</v>
      </c>
      <c r="I45" s="270">
        <f t="shared" si="6"/>
        <v>728047</v>
      </c>
      <c r="J45" s="273">
        <f t="shared" si="2"/>
        <v>47651146.958060309</v>
      </c>
    </row>
    <row r="46" spans="3:10" x14ac:dyDescent="0.5">
      <c r="C46" s="267">
        <f t="shared" si="3"/>
        <v>38</v>
      </c>
      <c r="D46" s="275" t="s">
        <v>71</v>
      </c>
      <c r="E46" s="276">
        <f t="shared" si="4"/>
        <v>46864</v>
      </c>
      <c r="F46" s="270">
        <f t="shared" si="5"/>
        <v>47651146.958060309</v>
      </c>
      <c r="G46" s="271">
        <f t="shared" si="0"/>
        <v>330954.10868283076</v>
      </c>
      <c r="H46" s="272">
        <f t="shared" si="1"/>
        <v>397092.89131716924</v>
      </c>
      <c r="I46" s="270">
        <f t="shared" si="6"/>
        <v>728047</v>
      </c>
      <c r="J46" s="271">
        <f t="shared" si="2"/>
        <v>47320192.849377476</v>
      </c>
    </row>
    <row r="47" spans="3:10" x14ac:dyDescent="0.5">
      <c r="C47" s="267">
        <f t="shared" si="3"/>
        <v>39</v>
      </c>
      <c r="D47" s="277"/>
      <c r="E47" s="276">
        <f t="shared" si="4"/>
        <v>46895</v>
      </c>
      <c r="F47" s="270">
        <f t="shared" si="5"/>
        <v>47320192.849377476</v>
      </c>
      <c r="G47" s="278">
        <f t="shared" si="0"/>
        <v>333712.05958852102</v>
      </c>
      <c r="H47" s="270">
        <f t="shared" si="1"/>
        <v>394334.94041147898</v>
      </c>
      <c r="I47" s="270">
        <f t="shared" si="6"/>
        <v>728047</v>
      </c>
      <c r="J47" s="278">
        <f t="shared" si="2"/>
        <v>46986480.789788954</v>
      </c>
    </row>
    <row r="48" spans="3:10" x14ac:dyDescent="0.5">
      <c r="C48" s="267">
        <f t="shared" si="3"/>
        <v>40</v>
      </c>
      <c r="D48" s="277"/>
      <c r="E48" s="276">
        <f t="shared" si="4"/>
        <v>46926</v>
      </c>
      <c r="F48" s="270">
        <f t="shared" si="5"/>
        <v>46986480.789788954</v>
      </c>
      <c r="G48" s="278">
        <f t="shared" si="0"/>
        <v>336492.99341842538</v>
      </c>
      <c r="H48" s="270">
        <f t="shared" si="1"/>
        <v>391554.00658157462</v>
      </c>
      <c r="I48" s="270">
        <f t="shared" si="6"/>
        <v>728047</v>
      </c>
      <c r="J48" s="278">
        <f t="shared" si="2"/>
        <v>46649987.796370529</v>
      </c>
    </row>
    <row r="49" spans="3:10" x14ac:dyDescent="0.5">
      <c r="C49" s="267">
        <f t="shared" si="3"/>
        <v>41</v>
      </c>
      <c r="D49" s="277"/>
      <c r="E49" s="276">
        <f t="shared" si="4"/>
        <v>46957</v>
      </c>
      <c r="F49" s="270">
        <f t="shared" si="5"/>
        <v>46649987.796370529</v>
      </c>
      <c r="G49" s="278">
        <f t="shared" si="0"/>
        <v>339297.10169691226</v>
      </c>
      <c r="H49" s="270">
        <f t="shared" si="1"/>
        <v>388749.89830308774</v>
      </c>
      <c r="I49" s="270">
        <f t="shared" si="6"/>
        <v>728047</v>
      </c>
      <c r="J49" s="278">
        <f t="shared" si="2"/>
        <v>46310690.694673613</v>
      </c>
    </row>
    <row r="50" spans="3:10" x14ac:dyDescent="0.5">
      <c r="C50" s="267">
        <f t="shared" si="3"/>
        <v>42</v>
      </c>
      <c r="D50" s="277"/>
      <c r="E50" s="276">
        <f t="shared" si="4"/>
        <v>46988</v>
      </c>
      <c r="F50" s="270">
        <f t="shared" si="5"/>
        <v>46310690.694673613</v>
      </c>
      <c r="G50" s="278">
        <f t="shared" si="0"/>
        <v>342124.57754438656</v>
      </c>
      <c r="H50" s="270">
        <f t="shared" si="1"/>
        <v>385922.42245561344</v>
      </c>
      <c r="I50" s="270">
        <f t="shared" si="6"/>
        <v>728047</v>
      </c>
      <c r="J50" s="278">
        <f t="shared" si="2"/>
        <v>45968566.117129229</v>
      </c>
    </row>
    <row r="51" spans="3:10" x14ac:dyDescent="0.5">
      <c r="C51" s="267">
        <f t="shared" si="3"/>
        <v>43</v>
      </c>
      <c r="D51" s="277"/>
      <c r="E51" s="276">
        <f t="shared" si="4"/>
        <v>47019</v>
      </c>
      <c r="F51" s="270">
        <f t="shared" si="5"/>
        <v>45968566.117129229</v>
      </c>
      <c r="G51" s="278">
        <f t="shared" si="0"/>
        <v>344975.61569058971</v>
      </c>
      <c r="H51" s="270">
        <f t="shared" si="1"/>
        <v>383071.38430941029</v>
      </c>
      <c r="I51" s="270">
        <f t="shared" si="6"/>
        <v>728047</v>
      </c>
      <c r="J51" s="278">
        <f t="shared" si="2"/>
        <v>45623590.50143864</v>
      </c>
    </row>
    <row r="52" spans="3:10" x14ac:dyDescent="0.5">
      <c r="C52" s="267">
        <f t="shared" si="3"/>
        <v>44</v>
      </c>
      <c r="D52" s="277"/>
      <c r="E52" s="276">
        <f t="shared" si="4"/>
        <v>47050</v>
      </c>
      <c r="F52" s="270">
        <f t="shared" si="5"/>
        <v>45623590.50143864</v>
      </c>
      <c r="G52" s="278">
        <f t="shared" si="0"/>
        <v>347850.41248801135</v>
      </c>
      <c r="H52" s="270">
        <f t="shared" si="1"/>
        <v>380196.58751198865</v>
      </c>
      <c r="I52" s="270">
        <f t="shared" si="6"/>
        <v>728047</v>
      </c>
      <c r="J52" s="278">
        <f t="shared" si="2"/>
        <v>45275740.088950627</v>
      </c>
    </row>
    <row r="53" spans="3:10" x14ac:dyDescent="0.5">
      <c r="C53" s="267">
        <f t="shared" si="3"/>
        <v>45</v>
      </c>
      <c r="D53" s="277"/>
      <c r="E53" s="276">
        <f t="shared" si="4"/>
        <v>47081</v>
      </c>
      <c r="F53" s="270">
        <f t="shared" si="5"/>
        <v>45275740.088950627</v>
      </c>
      <c r="G53" s="278">
        <f t="shared" si="0"/>
        <v>350749.16592541145</v>
      </c>
      <c r="H53" s="270">
        <f t="shared" si="1"/>
        <v>377297.83407458855</v>
      </c>
      <c r="I53" s="270">
        <f t="shared" si="6"/>
        <v>728047</v>
      </c>
      <c r="J53" s="278">
        <f t="shared" si="2"/>
        <v>44924990.923025213</v>
      </c>
    </row>
    <row r="54" spans="3:10" x14ac:dyDescent="0.5">
      <c r="C54" s="267">
        <f t="shared" si="3"/>
        <v>46</v>
      </c>
      <c r="D54" s="277"/>
      <c r="E54" s="276">
        <f t="shared" si="4"/>
        <v>47112</v>
      </c>
      <c r="F54" s="270">
        <f t="shared" si="5"/>
        <v>44924990.923025213</v>
      </c>
      <c r="G54" s="278">
        <f t="shared" si="0"/>
        <v>353672.07564145653</v>
      </c>
      <c r="H54" s="270">
        <f t="shared" si="1"/>
        <v>374374.92435854347</v>
      </c>
      <c r="I54" s="270">
        <f t="shared" si="6"/>
        <v>728047</v>
      </c>
      <c r="J54" s="278">
        <f t="shared" si="2"/>
        <v>44571318.84738376</v>
      </c>
    </row>
    <row r="55" spans="3:10" x14ac:dyDescent="0.5">
      <c r="C55" s="267">
        <f t="shared" si="3"/>
        <v>47</v>
      </c>
      <c r="D55" s="277"/>
      <c r="E55" s="276">
        <f t="shared" si="4"/>
        <v>47143</v>
      </c>
      <c r="F55" s="270">
        <f t="shared" si="5"/>
        <v>44571318.84738376</v>
      </c>
      <c r="G55" s="278">
        <f t="shared" si="0"/>
        <v>356619.34293846862</v>
      </c>
      <c r="H55" s="270">
        <f t="shared" si="1"/>
        <v>371427.65706153138</v>
      </c>
      <c r="I55" s="270">
        <f t="shared" si="6"/>
        <v>728047</v>
      </c>
      <c r="J55" s="278">
        <f t="shared" si="2"/>
        <v>44214699.504445292</v>
      </c>
    </row>
    <row r="56" spans="3:10" x14ac:dyDescent="0.5">
      <c r="C56" s="267">
        <f t="shared" si="3"/>
        <v>48</v>
      </c>
      <c r="D56" s="277"/>
      <c r="E56" s="276">
        <f t="shared" si="4"/>
        <v>47174</v>
      </c>
      <c r="F56" s="270">
        <f t="shared" si="5"/>
        <v>44214699.504445292</v>
      </c>
      <c r="G56" s="278">
        <f t="shared" si="0"/>
        <v>359591.17079628917</v>
      </c>
      <c r="H56" s="270">
        <f t="shared" si="1"/>
        <v>368455.82920371083</v>
      </c>
      <c r="I56" s="270">
        <f t="shared" si="6"/>
        <v>728047</v>
      </c>
      <c r="J56" s="278">
        <f t="shared" si="2"/>
        <v>43855108.333649002</v>
      </c>
    </row>
    <row r="57" spans="3:10" x14ac:dyDescent="0.5">
      <c r="C57" s="267">
        <f t="shared" si="3"/>
        <v>49</v>
      </c>
      <c r="D57" s="279"/>
      <c r="E57" s="269">
        <f>+E56+28</f>
        <v>47202</v>
      </c>
      <c r="F57" s="270">
        <f t="shared" si="5"/>
        <v>43855108.333649002</v>
      </c>
      <c r="G57" s="278">
        <f t="shared" si="0"/>
        <v>362587.7638862583</v>
      </c>
      <c r="H57" s="270">
        <f t="shared" si="1"/>
        <v>365459.2361137417</v>
      </c>
      <c r="I57" s="270">
        <f t="shared" si="6"/>
        <v>728047</v>
      </c>
      <c r="J57" s="273">
        <f t="shared" si="2"/>
        <v>43492520.569762744</v>
      </c>
    </row>
    <row r="58" spans="3:10" x14ac:dyDescent="0.5">
      <c r="C58" s="267">
        <f t="shared" si="3"/>
        <v>50</v>
      </c>
      <c r="D58" s="275" t="s">
        <v>72</v>
      </c>
      <c r="E58" s="276">
        <f>+E57+31</f>
        <v>47233</v>
      </c>
      <c r="F58" s="270">
        <f t="shared" si="5"/>
        <v>43492520.569762744</v>
      </c>
      <c r="G58" s="271">
        <f t="shared" si="0"/>
        <v>365609.32858531043</v>
      </c>
      <c r="H58" s="272">
        <f t="shared" si="1"/>
        <v>362437.67141468957</v>
      </c>
      <c r="I58" s="270">
        <f t="shared" si="6"/>
        <v>728047</v>
      </c>
      <c r="J58" s="271">
        <f t="shared" si="2"/>
        <v>43126911.241177432</v>
      </c>
    </row>
    <row r="59" spans="3:10" x14ac:dyDescent="0.5">
      <c r="C59" s="267">
        <f t="shared" si="3"/>
        <v>51</v>
      </c>
      <c r="D59" s="277"/>
      <c r="E59" s="276">
        <f t="shared" si="4"/>
        <v>47264</v>
      </c>
      <c r="F59" s="270">
        <f t="shared" si="5"/>
        <v>43126911.241177432</v>
      </c>
      <c r="G59" s="278">
        <f t="shared" si="0"/>
        <v>368656.07299018808</v>
      </c>
      <c r="H59" s="270">
        <f t="shared" si="1"/>
        <v>359390.92700981192</v>
      </c>
      <c r="I59" s="270">
        <f t="shared" si="6"/>
        <v>728047</v>
      </c>
      <c r="J59" s="278">
        <f t="shared" si="2"/>
        <v>42758255.168187246</v>
      </c>
    </row>
    <row r="60" spans="3:10" x14ac:dyDescent="0.5">
      <c r="C60" s="267">
        <f t="shared" si="3"/>
        <v>52</v>
      </c>
      <c r="D60" s="277"/>
      <c r="E60" s="276">
        <f t="shared" si="4"/>
        <v>47295</v>
      </c>
      <c r="F60" s="270">
        <f t="shared" si="5"/>
        <v>42758255.168187246</v>
      </c>
      <c r="G60" s="278">
        <f t="shared" si="0"/>
        <v>371728.20693177293</v>
      </c>
      <c r="H60" s="270">
        <f t="shared" si="1"/>
        <v>356318.79306822707</v>
      </c>
      <c r="I60" s="270">
        <f t="shared" si="6"/>
        <v>728047</v>
      </c>
      <c r="J60" s="278">
        <f t="shared" si="2"/>
        <v>42386526.961255476</v>
      </c>
    </row>
    <row r="61" spans="3:10" x14ac:dyDescent="0.5">
      <c r="C61" s="267">
        <f t="shared" si="3"/>
        <v>53</v>
      </c>
      <c r="D61" s="277"/>
      <c r="E61" s="276">
        <f t="shared" si="4"/>
        <v>47326</v>
      </c>
      <c r="F61" s="270">
        <f t="shared" si="5"/>
        <v>42386526.961255476</v>
      </c>
      <c r="G61" s="278">
        <f t="shared" si="0"/>
        <v>374825.94198953774</v>
      </c>
      <c r="H61" s="270">
        <f t="shared" si="1"/>
        <v>353221.05801046226</v>
      </c>
      <c r="I61" s="270">
        <f t="shared" si="6"/>
        <v>728047</v>
      </c>
      <c r="J61" s="278">
        <f t="shared" si="2"/>
        <v>42011701.019265935</v>
      </c>
    </row>
    <row r="62" spans="3:10" x14ac:dyDescent="0.5">
      <c r="C62" s="267">
        <f t="shared" si="3"/>
        <v>54</v>
      </c>
      <c r="D62" s="277"/>
      <c r="E62" s="276">
        <f t="shared" si="4"/>
        <v>47357</v>
      </c>
      <c r="F62" s="270">
        <f t="shared" si="5"/>
        <v>42011701.019265935</v>
      </c>
      <c r="G62" s="278">
        <f t="shared" si="0"/>
        <v>377949.49150611716</v>
      </c>
      <c r="H62" s="270">
        <f t="shared" si="1"/>
        <v>350097.50849388284</v>
      </c>
      <c r="I62" s="270">
        <f t="shared" si="6"/>
        <v>728047</v>
      </c>
      <c r="J62" s="278">
        <f t="shared" si="2"/>
        <v>41633751.52775982</v>
      </c>
    </row>
    <row r="63" spans="3:10" x14ac:dyDescent="0.5">
      <c r="C63" s="267">
        <f t="shared" si="3"/>
        <v>55</v>
      </c>
      <c r="D63" s="277"/>
      <c r="E63" s="276">
        <f t="shared" si="4"/>
        <v>47388</v>
      </c>
      <c r="F63" s="270">
        <f t="shared" si="5"/>
        <v>41633751.52775982</v>
      </c>
      <c r="G63" s="278">
        <f t="shared" si="0"/>
        <v>381099.07060200145</v>
      </c>
      <c r="H63" s="270">
        <f t="shared" si="1"/>
        <v>346947.92939799855</v>
      </c>
      <c r="I63" s="270">
        <f t="shared" si="6"/>
        <v>728047</v>
      </c>
      <c r="J63" s="278">
        <f t="shared" si="2"/>
        <v>41252652.45715782</v>
      </c>
    </row>
    <row r="64" spans="3:10" x14ac:dyDescent="0.5">
      <c r="C64" s="267">
        <f t="shared" si="3"/>
        <v>56</v>
      </c>
      <c r="D64" s="277"/>
      <c r="E64" s="276">
        <f t="shared" si="4"/>
        <v>47419</v>
      </c>
      <c r="F64" s="270">
        <f t="shared" si="5"/>
        <v>41252652.45715782</v>
      </c>
      <c r="G64" s="278">
        <f t="shared" si="0"/>
        <v>384274.89619035152</v>
      </c>
      <c r="H64" s="270">
        <f t="shared" si="1"/>
        <v>343772.10380964848</v>
      </c>
      <c r="I64" s="270">
        <f t="shared" si="6"/>
        <v>728047</v>
      </c>
      <c r="J64" s="278">
        <f t="shared" si="2"/>
        <v>40868377.560967468</v>
      </c>
    </row>
    <row r="65" spans="3:10" x14ac:dyDescent="0.5">
      <c r="C65" s="267">
        <f t="shared" si="3"/>
        <v>57</v>
      </c>
      <c r="D65" s="277"/>
      <c r="E65" s="276">
        <f>+E64+30</f>
        <v>47449</v>
      </c>
      <c r="F65" s="270">
        <f t="shared" si="5"/>
        <v>40868377.560967468</v>
      </c>
      <c r="G65" s="278">
        <f t="shared" si="0"/>
        <v>387477.18699193775</v>
      </c>
      <c r="H65" s="270">
        <f t="shared" si="1"/>
        <v>340569.81300806225</v>
      </c>
      <c r="I65" s="270">
        <f t="shared" si="6"/>
        <v>728047</v>
      </c>
      <c r="J65" s="278">
        <f t="shared" si="2"/>
        <v>40480900.37397553</v>
      </c>
    </row>
    <row r="66" spans="3:10" x14ac:dyDescent="0.5">
      <c r="C66" s="267">
        <f t="shared" si="3"/>
        <v>58</v>
      </c>
      <c r="D66" s="277"/>
      <c r="E66" s="276">
        <f t="shared" si="4"/>
        <v>47480</v>
      </c>
      <c r="F66" s="270">
        <f t="shared" si="5"/>
        <v>40480900.37397553</v>
      </c>
      <c r="G66" s="278">
        <f t="shared" si="0"/>
        <v>390706.1635502039</v>
      </c>
      <c r="H66" s="270">
        <f t="shared" si="1"/>
        <v>337340.8364497961</v>
      </c>
      <c r="I66" s="270">
        <f t="shared" si="6"/>
        <v>728047</v>
      </c>
      <c r="J66" s="278">
        <f t="shared" si="2"/>
        <v>40090194.210425325</v>
      </c>
    </row>
    <row r="67" spans="3:10" x14ac:dyDescent="0.5">
      <c r="C67" s="267">
        <f t="shared" si="3"/>
        <v>59</v>
      </c>
      <c r="D67" s="277"/>
      <c r="E67" s="276">
        <f t="shared" si="4"/>
        <v>47511</v>
      </c>
      <c r="F67" s="270">
        <f t="shared" si="5"/>
        <v>40090194.210425325</v>
      </c>
      <c r="G67" s="278">
        <f t="shared" si="0"/>
        <v>393962.04824645561</v>
      </c>
      <c r="H67" s="270">
        <f t="shared" si="1"/>
        <v>334084.95175354439</v>
      </c>
      <c r="I67" s="270">
        <f t="shared" si="6"/>
        <v>728047</v>
      </c>
      <c r="J67" s="278">
        <f t="shared" si="2"/>
        <v>39696232.162178867</v>
      </c>
    </row>
    <row r="68" spans="3:10" x14ac:dyDescent="0.5">
      <c r="C68" s="267">
        <f t="shared" si="3"/>
        <v>60</v>
      </c>
      <c r="D68" s="277"/>
      <c r="E68" s="276">
        <f>+E67+28</f>
        <v>47539</v>
      </c>
      <c r="F68" s="270">
        <f t="shared" si="5"/>
        <v>39696232.162178867</v>
      </c>
      <c r="G68" s="278">
        <f t="shared" si="0"/>
        <v>397245.06531517609</v>
      </c>
      <c r="H68" s="270">
        <f t="shared" si="1"/>
        <v>330801.93468482391</v>
      </c>
      <c r="I68" s="270">
        <f t="shared" si="6"/>
        <v>728047</v>
      </c>
      <c r="J68" s="278">
        <f t="shared" si="2"/>
        <v>39298987.096863687</v>
      </c>
    </row>
    <row r="69" spans="3:10" x14ac:dyDescent="0.5">
      <c r="C69" s="267">
        <f t="shared" si="3"/>
        <v>61</v>
      </c>
      <c r="D69" s="279"/>
      <c r="E69" s="269">
        <f t="shared" ref="E69:E122" si="7">+E68+31</f>
        <v>47570</v>
      </c>
      <c r="F69" s="270">
        <f t="shared" si="5"/>
        <v>39298987.096863687</v>
      </c>
      <c r="G69" s="278">
        <f t="shared" si="0"/>
        <v>400555.44085946929</v>
      </c>
      <c r="H69" s="270">
        <f t="shared" si="1"/>
        <v>327491.55914053071</v>
      </c>
      <c r="I69" s="270">
        <f t="shared" si="6"/>
        <v>728047</v>
      </c>
      <c r="J69" s="273">
        <f t="shared" si="2"/>
        <v>38898431.65600422</v>
      </c>
    </row>
    <row r="70" spans="3:10" x14ac:dyDescent="0.5">
      <c r="C70" s="267">
        <f t="shared" si="3"/>
        <v>62</v>
      </c>
      <c r="D70" s="275" t="s">
        <v>254</v>
      </c>
      <c r="E70" s="276">
        <f>+E69+30</f>
        <v>47600</v>
      </c>
      <c r="F70" s="270">
        <f t="shared" si="5"/>
        <v>38898431.65600422</v>
      </c>
      <c r="G70" s="271">
        <f t="shared" si="0"/>
        <v>403893.40286663146</v>
      </c>
      <c r="H70" s="272">
        <f t="shared" si="1"/>
        <v>324153.59713336854</v>
      </c>
      <c r="I70" s="270">
        <f t="shared" si="6"/>
        <v>728047</v>
      </c>
      <c r="J70" s="271">
        <f t="shared" si="2"/>
        <v>38494538.253137589</v>
      </c>
    </row>
    <row r="71" spans="3:10" x14ac:dyDescent="0.5">
      <c r="C71" s="267">
        <f t="shared" si="3"/>
        <v>63</v>
      </c>
      <c r="D71" s="277"/>
      <c r="E71" s="276">
        <f t="shared" si="7"/>
        <v>47631</v>
      </c>
      <c r="F71" s="270">
        <f t="shared" si="5"/>
        <v>38494538.253137589</v>
      </c>
      <c r="G71" s="278">
        <f t="shared" si="0"/>
        <v>407259.18122385343</v>
      </c>
      <c r="H71" s="270">
        <f t="shared" si="1"/>
        <v>320787.81877614657</v>
      </c>
      <c r="I71" s="270">
        <f t="shared" si="6"/>
        <v>728047</v>
      </c>
      <c r="J71" s="278">
        <f t="shared" si="2"/>
        <v>38087279.071913734</v>
      </c>
    </row>
    <row r="72" spans="3:10" x14ac:dyDescent="0.5">
      <c r="C72" s="267">
        <f t="shared" si="3"/>
        <v>64</v>
      </c>
      <c r="D72" s="277"/>
      <c r="E72" s="276">
        <f>+E71+30</f>
        <v>47661</v>
      </c>
      <c r="F72" s="270">
        <f t="shared" si="5"/>
        <v>38087279.071913734</v>
      </c>
      <c r="G72" s="278">
        <f t="shared" si="0"/>
        <v>410653.0077340522</v>
      </c>
      <c r="H72" s="270">
        <f t="shared" si="1"/>
        <v>317393.9922659478</v>
      </c>
      <c r="I72" s="270">
        <f t="shared" si="6"/>
        <v>728047</v>
      </c>
      <c r="J72" s="278">
        <f t="shared" si="2"/>
        <v>37676626.064179681</v>
      </c>
    </row>
    <row r="73" spans="3:10" x14ac:dyDescent="0.5">
      <c r="C73" s="267">
        <f t="shared" si="3"/>
        <v>65</v>
      </c>
      <c r="D73" s="277"/>
      <c r="E73" s="276">
        <f t="shared" si="7"/>
        <v>47692</v>
      </c>
      <c r="F73" s="270">
        <f t="shared" si="5"/>
        <v>37676626.064179681</v>
      </c>
      <c r="G73" s="278">
        <f t="shared" ref="G73:G136" si="8">+I73-H73</f>
        <v>414075.11613183597</v>
      </c>
      <c r="H73" s="270">
        <f t="shared" ref="H73:H136" si="9">+F73*$H$7/12</f>
        <v>313971.88386816403</v>
      </c>
      <c r="I73" s="270">
        <f t="shared" si="6"/>
        <v>728047</v>
      </c>
      <c r="J73" s="278">
        <f t="shared" ref="J73:J136" si="10">+F73-G73</f>
        <v>37262550.948047847</v>
      </c>
    </row>
    <row r="74" spans="3:10" x14ac:dyDescent="0.5">
      <c r="C74" s="267">
        <f t="shared" ref="C74:C137" si="11">+C73+1</f>
        <v>66</v>
      </c>
      <c r="D74" s="277"/>
      <c r="E74" s="276">
        <f t="shared" si="7"/>
        <v>47723</v>
      </c>
      <c r="F74" s="270">
        <f t="shared" ref="F74:F137" si="12">+J73</f>
        <v>37262550.948047847</v>
      </c>
      <c r="G74" s="278">
        <f t="shared" si="8"/>
        <v>417525.74209960125</v>
      </c>
      <c r="H74" s="270">
        <f t="shared" si="9"/>
        <v>310521.25790039875</v>
      </c>
      <c r="I74" s="270">
        <f t="shared" ref="I74:I137" si="13">+I73</f>
        <v>728047</v>
      </c>
      <c r="J74" s="278">
        <f t="shared" si="10"/>
        <v>36845025.205948249</v>
      </c>
    </row>
    <row r="75" spans="3:10" x14ac:dyDescent="0.5">
      <c r="C75" s="267">
        <f t="shared" si="11"/>
        <v>67</v>
      </c>
      <c r="D75" s="277"/>
      <c r="E75" s="276">
        <f>+E74+30</f>
        <v>47753</v>
      </c>
      <c r="F75" s="270">
        <f t="shared" si="12"/>
        <v>36845025.205948249</v>
      </c>
      <c r="G75" s="278">
        <f t="shared" si="8"/>
        <v>421005.12328376458</v>
      </c>
      <c r="H75" s="270">
        <f t="shared" si="9"/>
        <v>307041.87671623542</v>
      </c>
      <c r="I75" s="270">
        <f t="shared" si="13"/>
        <v>728047</v>
      </c>
      <c r="J75" s="278">
        <f t="shared" si="10"/>
        <v>36424020.082664482</v>
      </c>
    </row>
    <row r="76" spans="3:10" x14ac:dyDescent="0.5">
      <c r="C76" s="267">
        <f t="shared" si="11"/>
        <v>68</v>
      </c>
      <c r="D76" s="277"/>
      <c r="E76" s="276">
        <f t="shared" si="7"/>
        <v>47784</v>
      </c>
      <c r="F76" s="270">
        <f t="shared" si="12"/>
        <v>36424020.082664482</v>
      </c>
      <c r="G76" s="278">
        <f t="shared" si="8"/>
        <v>424513.49931112927</v>
      </c>
      <c r="H76" s="270">
        <f t="shared" si="9"/>
        <v>303533.50068887073</v>
      </c>
      <c r="I76" s="270">
        <f t="shared" si="13"/>
        <v>728047</v>
      </c>
      <c r="J76" s="278">
        <f t="shared" si="10"/>
        <v>35999506.583353356</v>
      </c>
    </row>
    <row r="77" spans="3:10" x14ac:dyDescent="0.5">
      <c r="C77" s="267">
        <f t="shared" si="11"/>
        <v>69</v>
      </c>
      <c r="D77" s="277"/>
      <c r="E77" s="276">
        <f>+E76+30</f>
        <v>47814</v>
      </c>
      <c r="F77" s="270">
        <f t="shared" si="12"/>
        <v>35999506.583353356</v>
      </c>
      <c r="G77" s="278">
        <f t="shared" si="8"/>
        <v>428051.1118053887</v>
      </c>
      <c r="H77" s="270">
        <f t="shared" si="9"/>
        <v>299995.8881946113</v>
      </c>
      <c r="I77" s="270">
        <f t="shared" si="13"/>
        <v>728047</v>
      </c>
      <c r="J77" s="278">
        <f t="shared" si="10"/>
        <v>35571455.471547969</v>
      </c>
    </row>
    <row r="78" spans="3:10" x14ac:dyDescent="0.5">
      <c r="C78" s="267">
        <f t="shared" si="11"/>
        <v>70</v>
      </c>
      <c r="D78" s="277"/>
      <c r="E78" s="276">
        <f t="shared" si="7"/>
        <v>47845</v>
      </c>
      <c r="F78" s="270">
        <f t="shared" si="12"/>
        <v>35571455.471547969</v>
      </c>
      <c r="G78" s="278">
        <f t="shared" si="8"/>
        <v>431618.2044037669</v>
      </c>
      <c r="H78" s="270">
        <f t="shared" si="9"/>
        <v>296428.7955962331</v>
      </c>
      <c r="I78" s="270">
        <f t="shared" si="13"/>
        <v>728047</v>
      </c>
      <c r="J78" s="278">
        <f t="shared" si="10"/>
        <v>35139837.267144203</v>
      </c>
    </row>
    <row r="79" spans="3:10" x14ac:dyDescent="0.5">
      <c r="C79" s="267">
        <f t="shared" si="11"/>
        <v>71</v>
      </c>
      <c r="D79" s="277"/>
      <c r="E79" s="276">
        <f t="shared" si="7"/>
        <v>47876</v>
      </c>
      <c r="F79" s="270">
        <f t="shared" si="12"/>
        <v>35139837.267144203</v>
      </c>
      <c r="G79" s="278">
        <f t="shared" si="8"/>
        <v>435215.02277379826</v>
      </c>
      <c r="H79" s="270">
        <f t="shared" si="9"/>
        <v>292831.97722620174</v>
      </c>
      <c r="I79" s="270">
        <f t="shared" si="13"/>
        <v>728047</v>
      </c>
      <c r="J79" s="278">
        <f t="shared" si="10"/>
        <v>34704622.244370408</v>
      </c>
    </row>
    <row r="80" spans="3:10" x14ac:dyDescent="0.5">
      <c r="C80" s="267">
        <f t="shared" si="11"/>
        <v>72</v>
      </c>
      <c r="D80" s="277"/>
      <c r="E80" s="276">
        <f>+E79+28</f>
        <v>47904</v>
      </c>
      <c r="F80" s="270">
        <f t="shared" si="12"/>
        <v>34704622.244370408</v>
      </c>
      <c r="G80" s="278">
        <f t="shared" si="8"/>
        <v>438841.81463024655</v>
      </c>
      <c r="H80" s="270">
        <f t="shared" si="9"/>
        <v>289205.18536975345</v>
      </c>
      <c r="I80" s="270">
        <f t="shared" si="13"/>
        <v>728047</v>
      </c>
      <c r="J80" s="278">
        <f t="shared" si="10"/>
        <v>34265780.429740161</v>
      </c>
    </row>
    <row r="81" spans="3:10" x14ac:dyDescent="0.5">
      <c r="C81" s="267">
        <f t="shared" si="11"/>
        <v>73</v>
      </c>
      <c r="D81" s="279"/>
      <c r="E81" s="269">
        <f t="shared" si="7"/>
        <v>47935</v>
      </c>
      <c r="F81" s="270">
        <f t="shared" si="12"/>
        <v>34265780.429740161</v>
      </c>
      <c r="G81" s="278">
        <f t="shared" si="8"/>
        <v>442498.8297521653</v>
      </c>
      <c r="H81" s="270">
        <f t="shared" si="9"/>
        <v>285548.1702478347</v>
      </c>
      <c r="I81" s="270">
        <f t="shared" si="13"/>
        <v>728047</v>
      </c>
      <c r="J81" s="273">
        <f t="shared" si="10"/>
        <v>33823281.599987999</v>
      </c>
    </row>
    <row r="82" spans="3:10" x14ac:dyDescent="0.5">
      <c r="C82" s="267">
        <f t="shared" si="11"/>
        <v>74</v>
      </c>
      <c r="D82" s="275" t="s">
        <v>255</v>
      </c>
      <c r="E82" s="276">
        <f>+E81+30</f>
        <v>47965</v>
      </c>
      <c r="F82" s="270">
        <f t="shared" si="12"/>
        <v>33823281.599987999</v>
      </c>
      <c r="G82" s="271">
        <f t="shared" si="8"/>
        <v>446186.32000010001</v>
      </c>
      <c r="H82" s="272">
        <f t="shared" si="9"/>
        <v>281860.67999989999</v>
      </c>
      <c r="I82" s="270">
        <f t="shared" si="13"/>
        <v>728047</v>
      </c>
      <c r="J82" s="271">
        <f t="shared" si="10"/>
        <v>33377095.279987898</v>
      </c>
    </row>
    <row r="83" spans="3:10" x14ac:dyDescent="0.5">
      <c r="C83" s="267">
        <f t="shared" si="11"/>
        <v>75</v>
      </c>
      <c r="D83" s="277"/>
      <c r="E83" s="276">
        <f t="shared" si="7"/>
        <v>47996</v>
      </c>
      <c r="F83" s="270">
        <f t="shared" si="12"/>
        <v>33377095.279987898</v>
      </c>
      <c r="G83" s="278">
        <f t="shared" si="8"/>
        <v>449904.53933343414</v>
      </c>
      <c r="H83" s="270">
        <f t="shared" si="9"/>
        <v>278142.46066656586</v>
      </c>
      <c r="I83" s="270">
        <f t="shared" si="13"/>
        <v>728047</v>
      </c>
      <c r="J83" s="278">
        <f t="shared" si="10"/>
        <v>32927190.740654465</v>
      </c>
    </row>
    <row r="84" spans="3:10" x14ac:dyDescent="0.5">
      <c r="C84" s="267">
        <f t="shared" si="11"/>
        <v>76</v>
      </c>
      <c r="D84" s="277"/>
      <c r="E84" s="276">
        <f>+E83+30</f>
        <v>48026</v>
      </c>
      <c r="F84" s="270">
        <f t="shared" si="12"/>
        <v>32927190.740654465</v>
      </c>
      <c r="G84" s="278">
        <f t="shared" si="8"/>
        <v>453653.74382787943</v>
      </c>
      <c r="H84" s="270">
        <f t="shared" si="9"/>
        <v>274393.25617212057</v>
      </c>
      <c r="I84" s="270">
        <f t="shared" si="13"/>
        <v>728047</v>
      </c>
      <c r="J84" s="278">
        <f t="shared" si="10"/>
        <v>32473536.996826585</v>
      </c>
    </row>
    <row r="85" spans="3:10" x14ac:dyDescent="0.5">
      <c r="C85" s="267">
        <f t="shared" si="11"/>
        <v>77</v>
      </c>
      <c r="D85" s="277"/>
      <c r="E85" s="276">
        <f t="shared" si="7"/>
        <v>48057</v>
      </c>
      <c r="F85" s="270">
        <f t="shared" si="12"/>
        <v>32473536.996826585</v>
      </c>
      <c r="G85" s="278">
        <f t="shared" si="8"/>
        <v>457434.19169311179</v>
      </c>
      <c r="H85" s="270">
        <f t="shared" si="9"/>
        <v>270612.80830688821</v>
      </c>
      <c r="I85" s="270">
        <f t="shared" si="13"/>
        <v>728047</v>
      </c>
      <c r="J85" s="271">
        <f t="shared" si="10"/>
        <v>32016102.805133473</v>
      </c>
    </row>
    <row r="86" spans="3:10" x14ac:dyDescent="0.5">
      <c r="C86" s="267">
        <f t="shared" si="11"/>
        <v>78</v>
      </c>
      <c r="D86" s="277"/>
      <c r="E86" s="276">
        <f t="shared" si="7"/>
        <v>48088</v>
      </c>
      <c r="F86" s="270">
        <f t="shared" si="12"/>
        <v>32016102.805133473</v>
      </c>
      <c r="G86" s="278">
        <f t="shared" si="8"/>
        <v>461246.14329055435</v>
      </c>
      <c r="H86" s="270">
        <f t="shared" si="9"/>
        <v>266800.85670944565</v>
      </c>
      <c r="I86" s="270">
        <f t="shared" si="13"/>
        <v>728047</v>
      </c>
      <c r="J86" s="271">
        <f t="shared" si="10"/>
        <v>31554856.66184292</v>
      </c>
    </row>
    <row r="87" spans="3:10" x14ac:dyDescent="0.5">
      <c r="C87" s="267">
        <f t="shared" si="11"/>
        <v>79</v>
      </c>
      <c r="D87" s="277"/>
      <c r="E87" s="276">
        <f>+E86+30</f>
        <v>48118</v>
      </c>
      <c r="F87" s="270">
        <f t="shared" si="12"/>
        <v>31554856.66184292</v>
      </c>
      <c r="G87" s="278">
        <f t="shared" si="8"/>
        <v>465089.86115130899</v>
      </c>
      <c r="H87" s="270">
        <f t="shared" si="9"/>
        <v>262957.13884869101</v>
      </c>
      <c r="I87" s="270">
        <f t="shared" si="13"/>
        <v>728047</v>
      </c>
      <c r="J87" s="271">
        <f t="shared" si="10"/>
        <v>31089766.800691612</v>
      </c>
    </row>
    <row r="88" spans="3:10" x14ac:dyDescent="0.5">
      <c r="C88" s="267">
        <f t="shared" si="11"/>
        <v>80</v>
      </c>
      <c r="D88" s="277"/>
      <c r="E88" s="276">
        <f t="shared" si="7"/>
        <v>48149</v>
      </c>
      <c r="F88" s="270">
        <f t="shared" si="12"/>
        <v>31089766.800691612</v>
      </c>
      <c r="G88" s="278">
        <f t="shared" si="8"/>
        <v>468965.6099942365</v>
      </c>
      <c r="H88" s="270">
        <f t="shared" si="9"/>
        <v>259081.39000576347</v>
      </c>
      <c r="I88" s="270">
        <f t="shared" si="13"/>
        <v>728047</v>
      </c>
      <c r="J88" s="271">
        <f t="shared" si="10"/>
        <v>30620801.190697376</v>
      </c>
    </row>
    <row r="89" spans="3:10" x14ac:dyDescent="0.5">
      <c r="C89" s="267">
        <f t="shared" si="11"/>
        <v>81</v>
      </c>
      <c r="D89" s="277"/>
      <c r="E89" s="276">
        <f>+E88+30</f>
        <v>48179</v>
      </c>
      <c r="F89" s="270">
        <f t="shared" si="12"/>
        <v>30620801.190697376</v>
      </c>
      <c r="G89" s="278">
        <f t="shared" si="8"/>
        <v>472873.65674418851</v>
      </c>
      <c r="H89" s="270">
        <f t="shared" si="9"/>
        <v>255173.34325581149</v>
      </c>
      <c r="I89" s="270">
        <f t="shared" si="13"/>
        <v>728047</v>
      </c>
      <c r="J89" s="271">
        <f t="shared" si="10"/>
        <v>30147927.533953186</v>
      </c>
    </row>
    <row r="90" spans="3:10" x14ac:dyDescent="0.5">
      <c r="C90" s="267">
        <f t="shared" si="11"/>
        <v>82</v>
      </c>
      <c r="D90" s="277"/>
      <c r="E90" s="276">
        <f t="shared" si="7"/>
        <v>48210</v>
      </c>
      <c r="F90" s="270">
        <f t="shared" si="12"/>
        <v>30147927.533953186</v>
      </c>
      <c r="G90" s="278">
        <f t="shared" si="8"/>
        <v>476814.27055039012</v>
      </c>
      <c r="H90" s="270">
        <f t="shared" si="9"/>
        <v>251232.72944960991</v>
      </c>
      <c r="I90" s="270">
        <f t="shared" si="13"/>
        <v>728047</v>
      </c>
      <c r="J90" s="271">
        <f t="shared" si="10"/>
        <v>29671113.263402797</v>
      </c>
    </row>
    <row r="91" spans="3:10" x14ac:dyDescent="0.5">
      <c r="C91" s="267">
        <f t="shared" si="11"/>
        <v>83</v>
      </c>
      <c r="D91" s="277"/>
      <c r="E91" s="276">
        <f t="shared" si="7"/>
        <v>48241</v>
      </c>
      <c r="F91" s="270">
        <f t="shared" si="12"/>
        <v>29671113.263402797</v>
      </c>
      <c r="G91" s="278">
        <f t="shared" si="8"/>
        <v>480787.72280497663</v>
      </c>
      <c r="H91" s="270">
        <f t="shared" si="9"/>
        <v>247259.27719502334</v>
      </c>
      <c r="I91" s="270">
        <f t="shared" si="13"/>
        <v>728047</v>
      </c>
      <c r="J91" s="271">
        <f t="shared" si="10"/>
        <v>29190325.540597819</v>
      </c>
    </row>
    <row r="92" spans="3:10" x14ac:dyDescent="0.5">
      <c r="C92" s="267">
        <f t="shared" si="11"/>
        <v>84</v>
      </c>
      <c r="D92" s="277"/>
      <c r="E92" s="276">
        <f>+E91+28</f>
        <v>48269</v>
      </c>
      <c r="F92" s="270">
        <f t="shared" si="12"/>
        <v>29190325.540597819</v>
      </c>
      <c r="G92" s="278">
        <f t="shared" si="8"/>
        <v>484794.28716168483</v>
      </c>
      <c r="H92" s="270">
        <f t="shared" si="9"/>
        <v>243252.71283831517</v>
      </c>
      <c r="I92" s="270">
        <f t="shared" si="13"/>
        <v>728047</v>
      </c>
      <c r="J92" s="271">
        <f t="shared" si="10"/>
        <v>28705531.253436133</v>
      </c>
    </row>
    <row r="93" spans="3:10" x14ac:dyDescent="0.5">
      <c r="C93" s="267">
        <f t="shared" si="11"/>
        <v>85</v>
      </c>
      <c r="D93" s="277"/>
      <c r="E93" s="269">
        <f t="shared" si="7"/>
        <v>48300</v>
      </c>
      <c r="F93" s="270">
        <f t="shared" si="12"/>
        <v>28705531.253436133</v>
      </c>
      <c r="G93" s="278">
        <f t="shared" si="8"/>
        <v>488834.23955469893</v>
      </c>
      <c r="H93" s="270">
        <f t="shared" si="9"/>
        <v>239212.7604453011</v>
      </c>
      <c r="I93" s="270">
        <f t="shared" si="13"/>
        <v>728047</v>
      </c>
      <c r="J93" s="273">
        <f t="shared" si="10"/>
        <v>28216697.013881434</v>
      </c>
    </row>
    <row r="94" spans="3:10" x14ac:dyDescent="0.5">
      <c r="C94" s="267">
        <f t="shared" si="11"/>
        <v>86</v>
      </c>
      <c r="D94" s="280" t="s">
        <v>256</v>
      </c>
      <c r="E94" s="276">
        <f>+E93+30</f>
        <v>48330</v>
      </c>
      <c r="F94" s="270">
        <f t="shared" si="12"/>
        <v>28216697.013881434</v>
      </c>
      <c r="G94" s="278">
        <f t="shared" si="8"/>
        <v>492907.85821765475</v>
      </c>
      <c r="H94" s="270">
        <f t="shared" si="9"/>
        <v>235139.14178234528</v>
      </c>
      <c r="I94" s="270">
        <f t="shared" si="13"/>
        <v>728047</v>
      </c>
      <c r="J94" s="271">
        <f t="shared" si="10"/>
        <v>27723789.155663781</v>
      </c>
    </row>
    <row r="95" spans="3:10" x14ac:dyDescent="0.5">
      <c r="C95" s="267">
        <f t="shared" si="11"/>
        <v>87</v>
      </c>
      <c r="D95" s="280"/>
      <c r="E95" s="276">
        <f t="shared" si="7"/>
        <v>48361</v>
      </c>
      <c r="F95" s="270">
        <f t="shared" si="12"/>
        <v>27723789.155663781</v>
      </c>
      <c r="G95" s="278">
        <f t="shared" si="8"/>
        <v>497015.42370280181</v>
      </c>
      <c r="H95" s="270">
        <f t="shared" si="9"/>
        <v>231031.57629719819</v>
      </c>
      <c r="I95" s="270">
        <f t="shared" si="13"/>
        <v>728047</v>
      </c>
      <c r="J95" s="271">
        <f t="shared" si="10"/>
        <v>27226773.731960978</v>
      </c>
    </row>
    <row r="96" spans="3:10" x14ac:dyDescent="0.5">
      <c r="C96" s="267">
        <f t="shared" si="11"/>
        <v>88</v>
      </c>
      <c r="D96" s="280"/>
      <c r="E96" s="276">
        <f>+E95+30</f>
        <v>48391</v>
      </c>
      <c r="F96" s="270">
        <f t="shared" si="12"/>
        <v>27226773.731960978</v>
      </c>
      <c r="G96" s="278">
        <f t="shared" si="8"/>
        <v>501157.21890032513</v>
      </c>
      <c r="H96" s="270">
        <f t="shared" si="9"/>
        <v>226889.78109967484</v>
      </c>
      <c r="I96" s="270">
        <f t="shared" si="13"/>
        <v>728047</v>
      </c>
      <c r="J96" s="271">
        <f t="shared" si="10"/>
        <v>26725616.513060652</v>
      </c>
    </row>
    <row r="97" spans="3:10" x14ac:dyDescent="0.5">
      <c r="C97" s="267">
        <f t="shared" si="11"/>
        <v>89</v>
      </c>
      <c r="D97" s="280"/>
      <c r="E97" s="276">
        <f t="shared" si="7"/>
        <v>48422</v>
      </c>
      <c r="F97" s="270">
        <f t="shared" si="12"/>
        <v>26725616.513060652</v>
      </c>
      <c r="G97" s="278">
        <f t="shared" si="8"/>
        <v>505333.52905782789</v>
      </c>
      <c r="H97" s="270">
        <f t="shared" si="9"/>
        <v>222713.47094217211</v>
      </c>
      <c r="I97" s="270">
        <f t="shared" si="13"/>
        <v>728047</v>
      </c>
      <c r="J97" s="271">
        <f t="shared" si="10"/>
        <v>26220282.984002825</v>
      </c>
    </row>
    <row r="98" spans="3:10" x14ac:dyDescent="0.5">
      <c r="C98" s="267">
        <f t="shared" si="11"/>
        <v>90</v>
      </c>
      <c r="D98" s="280"/>
      <c r="E98" s="276">
        <f t="shared" si="7"/>
        <v>48453</v>
      </c>
      <c r="F98" s="270">
        <f t="shared" si="12"/>
        <v>26220282.984002825</v>
      </c>
      <c r="G98" s="278">
        <f t="shared" si="8"/>
        <v>509544.64179997647</v>
      </c>
      <c r="H98" s="270">
        <f t="shared" si="9"/>
        <v>218502.35820002356</v>
      </c>
      <c r="I98" s="270">
        <f t="shared" si="13"/>
        <v>728047</v>
      </c>
      <c r="J98" s="271">
        <f t="shared" si="10"/>
        <v>25710738.34220285</v>
      </c>
    </row>
    <row r="99" spans="3:10" x14ac:dyDescent="0.5">
      <c r="C99" s="267">
        <f t="shared" si="11"/>
        <v>91</v>
      </c>
      <c r="D99" s="280"/>
      <c r="E99" s="276">
        <f>+E98+30</f>
        <v>48483</v>
      </c>
      <c r="F99" s="270">
        <f t="shared" si="12"/>
        <v>25710738.34220285</v>
      </c>
      <c r="G99" s="278">
        <f t="shared" si="8"/>
        <v>513790.84714830958</v>
      </c>
      <c r="H99" s="270">
        <f t="shared" si="9"/>
        <v>214256.15285169042</v>
      </c>
      <c r="I99" s="270">
        <f t="shared" si="13"/>
        <v>728047</v>
      </c>
      <c r="J99" s="271">
        <f t="shared" si="10"/>
        <v>25196947.495054539</v>
      </c>
    </row>
    <row r="100" spans="3:10" x14ac:dyDescent="0.5">
      <c r="C100" s="267">
        <f t="shared" si="11"/>
        <v>92</v>
      </c>
      <c r="D100" s="280"/>
      <c r="E100" s="276">
        <f t="shared" si="7"/>
        <v>48514</v>
      </c>
      <c r="F100" s="270">
        <f t="shared" si="12"/>
        <v>25196947.495054539</v>
      </c>
      <c r="G100" s="278">
        <f t="shared" si="8"/>
        <v>518072.43754121219</v>
      </c>
      <c r="H100" s="270">
        <f t="shared" si="9"/>
        <v>209974.56245878784</v>
      </c>
      <c r="I100" s="270">
        <f t="shared" si="13"/>
        <v>728047</v>
      </c>
      <c r="J100" s="271">
        <f t="shared" si="10"/>
        <v>24678875.057513326</v>
      </c>
    </row>
    <row r="101" spans="3:10" x14ac:dyDescent="0.5">
      <c r="C101" s="267">
        <f t="shared" si="11"/>
        <v>93</v>
      </c>
      <c r="D101" s="280"/>
      <c r="E101" s="276">
        <f>+E100+30</f>
        <v>48544</v>
      </c>
      <c r="F101" s="270">
        <f t="shared" si="12"/>
        <v>24678875.057513326</v>
      </c>
      <c r="G101" s="278">
        <f t="shared" si="8"/>
        <v>522389.70785405557</v>
      </c>
      <c r="H101" s="270">
        <f t="shared" si="9"/>
        <v>205657.2921459444</v>
      </c>
      <c r="I101" s="270">
        <f t="shared" si="13"/>
        <v>728047</v>
      </c>
      <c r="J101" s="271">
        <f t="shared" si="10"/>
        <v>24156485.349659272</v>
      </c>
    </row>
    <row r="102" spans="3:10" x14ac:dyDescent="0.5">
      <c r="C102" s="267">
        <f t="shared" si="11"/>
        <v>94</v>
      </c>
      <c r="D102" s="280"/>
      <c r="E102" s="276">
        <f t="shared" si="7"/>
        <v>48575</v>
      </c>
      <c r="F102" s="270">
        <f t="shared" si="12"/>
        <v>24156485.349659272</v>
      </c>
      <c r="G102" s="278">
        <f t="shared" si="8"/>
        <v>526742.95541950606</v>
      </c>
      <c r="H102" s="270">
        <f t="shared" si="9"/>
        <v>201304.04458049394</v>
      </c>
      <c r="I102" s="270">
        <f t="shared" si="13"/>
        <v>728047</v>
      </c>
      <c r="J102" s="271">
        <f t="shared" si="10"/>
        <v>23629742.394239765</v>
      </c>
    </row>
    <row r="103" spans="3:10" x14ac:dyDescent="0.5">
      <c r="C103" s="267">
        <f t="shared" si="11"/>
        <v>95</v>
      </c>
      <c r="D103" s="280"/>
      <c r="E103" s="276">
        <f t="shared" si="7"/>
        <v>48606</v>
      </c>
      <c r="F103" s="270">
        <f t="shared" si="12"/>
        <v>23629742.394239765</v>
      </c>
      <c r="G103" s="278">
        <f t="shared" si="8"/>
        <v>531132.48004800198</v>
      </c>
      <c r="H103" s="270">
        <f t="shared" si="9"/>
        <v>196914.51995199805</v>
      </c>
      <c r="I103" s="270">
        <f t="shared" si="13"/>
        <v>728047</v>
      </c>
      <c r="J103" s="271">
        <f t="shared" si="10"/>
        <v>23098609.914191764</v>
      </c>
    </row>
    <row r="104" spans="3:10" x14ac:dyDescent="0.5">
      <c r="C104" s="267">
        <f t="shared" si="11"/>
        <v>96</v>
      </c>
      <c r="D104" s="280"/>
      <c r="E104" s="276">
        <f>+E103+28</f>
        <v>48634</v>
      </c>
      <c r="F104" s="270">
        <f t="shared" si="12"/>
        <v>23098609.914191764</v>
      </c>
      <c r="G104" s="278">
        <f t="shared" si="8"/>
        <v>535558.58404840191</v>
      </c>
      <c r="H104" s="270">
        <f t="shared" si="9"/>
        <v>192488.41595159806</v>
      </c>
      <c r="I104" s="270">
        <f t="shared" si="13"/>
        <v>728047</v>
      </c>
      <c r="J104" s="271">
        <f t="shared" si="10"/>
        <v>22563051.330143362</v>
      </c>
    </row>
    <row r="105" spans="3:10" x14ac:dyDescent="0.5">
      <c r="C105" s="267">
        <f t="shared" si="11"/>
        <v>97</v>
      </c>
      <c r="D105" s="280"/>
      <c r="E105" s="269">
        <f t="shared" si="7"/>
        <v>48665</v>
      </c>
      <c r="F105" s="270">
        <f t="shared" si="12"/>
        <v>22563051.330143362</v>
      </c>
      <c r="G105" s="278">
        <f t="shared" si="8"/>
        <v>540021.57224880531</v>
      </c>
      <c r="H105" s="270">
        <f t="shared" si="9"/>
        <v>188025.42775119469</v>
      </c>
      <c r="I105" s="270">
        <f t="shared" si="13"/>
        <v>728047</v>
      </c>
      <c r="J105" s="273">
        <f t="shared" si="10"/>
        <v>22023029.757894557</v>
      </c>
    </row>
    <row r="106" spans="3:10" x14ac:dyDescent="0.5">
      <c r="C106" s="267">
        <f t="shared" si="11"/>
        <v>98</v>
      </c>
      <c r="D106" s="275" t="s">
        <v>257</v>
      </c>
      <c r="E106" s="276">
        <f>+E105+30</f>
        <v>48695</v>
      </c>
      <c r="F106" s="270">
        <f t="shared" si="12"/>
        <v>22023029.757894557</v>
      </c>
      <c r="G106" s="278">
        <f t="shared" si="8"/>
        <v>544521.7520175454</v>
      </c>
      <c r="H106" s="270">
        <f t="shared" si="9"/>
        <v>183525.24798245463</v>
      </c>
      <c r="I106" s="270">
        <f t="shared" si="13"/>
        <v>728047</v>
      </c>
      <c r="J106" s="271">
        <f t="shared" si="10"/>
        <v>21478508.005877011</v>
      </c>
    </row>
    <row r="107" spans="3:10" x14ac:dyDescent="0.5">
      <c r="C107" s="267">
        <f t="shared" si="11"/>
        <v>99</v>
      </c>
      <c r="D107" s="277"/>
      <c r="E107" s="276">
        <f t="shared" si="7"/>
        <v>48726</v>
      </c>
      <c r="F107" s="270">
        <f t="shared" si="12"/>
        <v>21478508.005877011</v>
      </c>
      <c r="G107" s="278">
        <f t="shared" si="8"/>
        <v>549059.43328435824</v>
      </c>
      <c r="H107" s="270">
        <f t="shared" si="9"/>
        <v>178987.56671564176</v>
      </c>
      <c r="I107" s="270">
        <f t="shared" si="13"/>
        <v>728047</v>
      </c>
      <c r="J107" s="271">
        <f t="shared" si="10"/>
        <v>20929448.572592653</v>
      </c>
    </row>
    <row r="108" spans="3:10" x14ac:dyDescent="0.5">
      <c r="C108" s="267">
        <f t="shared" si="11"/>
        <v>100</v>
      </c>
      <c r="D108" s="277"/>
      <c r="E108" s="276">
        <f>+E107+30</f>
        <v>48756</v>
      </c>
      <c r="F108" s="270">
        <f t="shared" si="12"/>
        <v>20929448.572592653</v>
      </c>
      <c r="G108" s="278">
        <f t="shared" si="8"/>
        <v>553634.92856172787</v>
      </c>
      <c r="H108" s="270">
        <f t="shared" si="9"/>
        <v>174412.07143827211</v>
      </c>
      <c r="I108" s="270">
        <f t="shared" si="13"/>
        <v>728047</v>
      </c>
      <c r="J108" s="271">
        <f t="shared" si="10"/>
        <v>20375813.644030925</v>
      </c>
    </row>
    <row r="109" spans="3:10" x14ac:dyDescent="0.5">
      <c r="C109" s="267">
        <f t="shared" si="11"/>
        <v>101</v>
      </c>
      <c r="D109" s="277"/>
      <c r="E109" s="276">
        <f t="shared" si="7"/>
        <v>48787</v>
      </c>
      <c r="F109" s="270">
        <f t="shared" si="12"/>
        <v>20375813.644030925</v>
      </c>
      <c r="G109" s="278">
        <f t="shared" si="8"/>
        <v>558248.5529664089</v>
      </c>
      <c r="H109" s="270">
        <f t="shared" si="9"/>
        <v>169798.44703359104</v>
      </c>
      <c r="I109" s="270">
        <f t="shared" si="13"/>
        <v>728047</v>
      </c>
      <c r="J109" s="271">
        <f t="shared" si="10"/>
        <v>19817565.091064516</v>
      </c>
    </row>
    <row r="110" spans="3:10" x14ac:dyDescent="0.5">
      <c r="C110" s="267">
        <f t="shared" si="11"/>
        <v>102</v>
      </c>
      <c r="D110" s="277"/>
      <c r="E110" s="276">
        <f t="shared" si="7"/>
        <v>48818</v>
      </c>
      <c r="F110" s="270">
        <f t="shared" si="12"/>
        <v>19817565.091064516</v>
      </c>
      <c r="G110" s="278">
        <f t="shared" si="8"/>
        <v>562900.62424112903</v>
      </c>
      <c r="H110" s="270">
        <f t="shared" si="9"/>
        <v>165146.37575887097</v>
      </c>
      <c r="I110" s="270">
        <f t="shared" si="13"/>
        <v>728047</v>
      </c>
      <c r="J110" s="271">
        <f t="shared" si="10"/>
        <v>19254664.466823388</v>
      </c>
    </row>
    <row r="111" spans="3:10" x14ac:dyDescent="0.5">
      <c r="C111" s="267">
        <f t="shared" si="11"/>
        <v>103</v>
      </c>
      <c r="D111" s="277"/>
      <c r="E111" s="276">
        <f>+E110+30</f>
        <v>48848</v>
      </c>
      <c r="F111" s="270">
        <f t="shared" si="12"/>
        <v>19254664.466823388</v>
      </c>
      <c r="G111" s="278">
        <f t="shared" si="8"/>
        <v>567591.46277647174</v>
      </c>
      <c r="H111" s="270">
        <f t="shared" si="9"/>
        <v>160455.53722352823</v>
      </c>
      <c r="I111" s="270">
        <f t="shared" si="13"/>
        <v>728047</v>
      </c>
      <c r="J111" s="271">
        <f t="shared" si="10"/>
        <v>18687073.004046917</v>
      </c>
    </row>
    <row r="112" spans="3:10" x14ac:dyDescent="0.5">
      <c r="C112" s="267">
        <f t="shared" si="11"/>
        <v>104</v>
      </c>
      <c r="D112" s="277"/>
      <c r="E112" s="276">
        <f t="shared" si="7"/>
        <v>48879</v>
      </c>
      <c r="F112" s="270">
        <f t="shared" si="12"/>
        <v>18687073.004046917</v>
      </c>
      <c r="G112" s="278">
        <f t="shared" si="8"/>
        <v>572321.39163294237</v>
      </c>
      <c r="H112" s="270">
        <f t="shared" si="9"/>
        <v>155725.60836705766</v>
      </c>
      <c r="I112" s="270">
        <f t="shared" si="13"/>
        <v>728047</v>
      </c>
      <c r="J112" s="271">
        <f t="shared" si="10"/>
        <v>18114751.612413976</v>
      </c>
    </row>
    <row r="113" spans="3:13" x14ac:dyDescent="0.5">
      <c r="C113" s="267">
        <f t="shared" si="11"/>
        <v>105</v>
      </c>
      <c r="D113" s="277"/>
      <c r="E113" s="276">
        <f>+E112+30</f>
        <v>48909</v>
      </c>
      <c r="F113" s="270">
        <f t="shared" si="12"/>
        <v>18114751.612413976</v>
      </c>
      <c r="G113" s="278">
        <f t="shared" si="8"/>
        <v>577090.73656321689</v>
      </c>
      <c r="H113" s="270">
        <f t="shared" si="9"/>
        <v>150956.26343678313</v>
      </c>
      <c r="I113" s="270">
        <f t="shared" si="13"/>
        <v>728047</v>
      </c>
      <c r="J113" s="271">
        <f t="shared" si="10"/>
        <v>17537660.875850759</v>
      </c>
    </row>
    <row r="114" spans="3:13" x14ac:dyDescent="0.5">
      <c r="C114" s="267">
        <f t="shared" si="11"/>
        <v>106</v>
      </c>
      <c r="D114" s="277"/>
      <c r="E114" s="276">
        <f t="shared" si="7"/>
        <v>48940</v>
      </c>
      <c r="F114" s="270">
        <f t="shared" si="12"/>
        <v>17537660.875850759</v>
      </c>
      <c r="G114" s="278">
        <f t="shared" si="8"/>
        <v>581899.82603457698</v>
      </c>
      <c r="H114" s="270">
        <f t="shared" si="9"/>
        <v>146147.17396542299</v>
      </c>
      <c r="I114" s="270">
        <f t="shared" si="13"/>
        <v>728047</v>
      </c>
      <c r="J114" s="271">
        <f t="shared" si="10"/>
        <v>16955761.049816184</v>
      </c>
    </row>
    <row r="115" spans="3:13" x14ac:dyDescent="0.5">
      <c r="C115" s="267">
        <f t="shared" si="11"/>
        <v>107</v>
      </c>
      <c r="D115" s="277"/>
      <c r="E115" s="276">
        <f t="shared" si="7"/>
        <v>48971</v>
      </c>
      <c r="F115" s="270">
        <f t="shared" si="12"/>
        <v>16955761.049816184</v>
      </c>
      <c r="G115" s="278">
        <f t="shared" si="8"/>
        <v>586748.99125153176</v>
      </c>
      <c r="H115" s="270">
        <f t="shared" si="9"/>
        <v>141298.00874846822</v>
      </c>
      <c r="I115" s="270">
        <f t="shared" si="13"/>
        <v>728047</v>
      </c>
      <c r="J115" s="271">
        <f t="shared" si="10"/>
        <v>16369012.058564652</v>
      </c>
    </row>
    <row r="116" spans="3:13" x14ac:dyDescent="0.5">
      <c r="C116" s="267">
        <f t="shared" si="11"/>
        <v>108</v>
      </c>
      <c r="D116" s="277"/>
      <c r="E116" s="276">
        <f>+E115+28</f>
        <v>48999</v>
      </c>
      <c r="F116" s="270">
        <f t="shared" si="12"/>
        <v>16369012.058564652</v>
      </c>
      <c r="G116" s="278">
        <f t="shared" si="8"/>
        <v>591638.56617862789</v>
      </c>
      <c r="H116" s="270">
        <f t="shared" si="9"/>
        <v>136408.43382137211</v>
      </c>
      <c r="I116" s="270">
        <f t="shared" si="13"/>
        <v>728047</v>
      </c>
      <c r="J116" s="271">
        <f t="shared" si="10"/>
        <v>15777373.492386024</v>
      </c>
    </row>
    <row r="117" spans="3:13" x14ac:dyDescent="0.5">
      <c r="C117" s="267">
        <f t="shared" si="11"/>
        <v>109</v>
      </c>
      <c r="D117" s="277"/>
      <c r="E117" s="269">
        <f t="shared" si="7"/>
        <v>49030</v>
      </c>
      <c r="F117" s="270">
        <f t="shared" si="12"/>
        <v>15777373.492386024</v>
      </c>
      <c r="G117" s="278">
        <f t="shared" si="8"/>
        <v>596568.8875634498</v>
      </c>
      <c r="H117" s="270">
        <f t="shared" si="9"/>
        <v>131478.1124365502</v>
      </c>
      <c r="I117" s="270">
        <f t="shared" si="13"/>
        <v>728047</v>
      </c>
      <c r="J117" s="273">
        <f t="shared" si="10"/>
        <v>15180804.604822574</v>
      </c>
    </row>
    <row r="118" spans="3:13" x14ac:dyDescent="0.5">
      <c r="C118" s="267">
        <f t="shared" si="11"/>
        <v>110</v>
      </c>
      <c r="D118" s="275" t="s">
        <v>258</v>
      </c>
      <c r="E118" s="276">
        <f t="shared" si="7"/>
        <v>49061</v>
      </c>
      <c r="F118" s="270">
        <f t="shared" si="12"/>
        <v>15180804.604822574</v>
      </c>
      <c r="G118" s="278">
        <f t="shared" si="8"/>
        <v>601540.29495981184</v>
      </c>
      <c r="H118" s="270">
        <f t="shared" si="9"/>
        <v>126506.70504018811</v>
      </c>
      <c r="I118" s="270">
        <f t="shared" si="13"/>
        <v>728047</v>
      </c>
      <c r="J118" s="271">
        <f t="shared" si="10"/>
        <v>14579264.309862763</v>
      </c>
    </row>
    <row r="119" spans="3:13" x14ac:dyDescent="0.5">
      <c r="C119" s="267">
        <f t="shared" si="11"/>
        <v>111</v>
      </c>
      <c r="D119" s="277"/>
      <c r="E119" s="276">
        <f t="shared" si="7"/>
        <v>49092</v>
      </c>
      <c r="F119" s="270">
        <f t="shared" si="12"/>
        <v>14579264.309862763</v>
      </c>
      <c r="G119" s="278">
        <f t="shared" si="8"/>
        <v>606553.13075114368</v>
      </c>
      <c r="H119" s="270">
        <f t="shared" si="9"/>
        <v>121493.86924885637</v>
      </c>
      <c r="I119" s="270">
        <f t="shared" si="13"/>
        <v>728047</v>
      </c>
      <c r="J119" s="271">
        <f t="shared" si="10"/>
        <v>13972711.179111619</v>
      </c>
    </row>
    <row r="120" spans="3:13" x14ac:dyDescent="0.5">
      <c r="C120" s="267">
        <f t="shared" si="11"/>
        <v>112</v>
      </c>
      <c r="D120" s="277"/>
      <c r="E120" s="276">
        <f>+E119+30</f>
        <v>49122</v>
      </c>
      <c r="F120" s="270">
        <f t="shared" si="12"/>
        <v>13972711.179111619</v>
      </c>
      <c r="G120" s="278">
        <f t="shared" si="8"/>
        <v>611607.74017406988</v>
      </c>
      <c r="H120" s="270">
        <f t="shared" si="9"/>
        <v>116439.25982593016</v>
      </c>
      <c r="I120" s="270">
        <f t="shared" si="13"/>
        <v>728047</v>
      </c>
      <c r="J120" s="271">
        <f t="shared" si="10"/>
        <v>13361103.438937549</v>
      </c>
    </row>
    <row r="121" spans="3:13" x14ac:dyDescent="0.5">
      <c r="C121" s="267">
        <f t="shared" si="11"/>
        <v>113</v>
      </c>
      <c r="D121" s="277"/>
      <c r="E121" s="276">
        <f>+E120+31</f>
        <v>49153</v>
      </c>
      <c r="F121" s="270">
        <f t="shared" si="12"/>
        <v>13361103.438937549</v>
      </c>
      <c r="G121" s="278">
        <f t="shared" si="8"/>
        <v>616704.47134218714</v>
      </c>
      <c r="H121" s="270">
        <f t="shared" si="9"/>
        <v>111342.52865781292</v>
      </c>
      <c r="I121" s="270">
        <f t="shared" si="13"/>
        <v>728047</v>
      </c>
      <c r="J121" s="271">
        <f t="shared" si="10"/>
        <v>12744398.967595361</v>
      </c>
    </row>
    <row r="122" spans="3:13" x14ac:dyDescent="0.5">
      <c r="C122" s="267">
        <f t="shared" si="11"/>
        <v>114</v>
      </c>
      <c r="D122" s="277"/>
      <c r="E122" s="276">
        <f t="shared" si="7"/>
        <v>49184</v>
      </c>
      <c r="F122" s="270">
        <f t="shared" si="12"/>
        <v>12744398.967595361</v>
      </c>
      <c r="G122" s="278">
        <f t="shared" si="8"/>
        <v>621843.67527003866</v>
      </c>
      <c r="H122" s="270">
        <f t="shared" si="9"/>
        <v>106203.32472996134</v>
      </c>
      <c r="I122" s="270">
        <f t="shared" si="13"/>
        <v>728047</v>
      </c>
      <c r="J122" s="271">
        <f t="shared" si="10"/>
        <v>12122555.292325322</v>
      </c>
    </row>
    <row r="123" spans="3:13" x14ac:dyDescent="0.5">
      <c r="C123" s="267">
        <f t="shared" si="11"/>
        <v>115</v>
      </c>
      <c r="D123" s="277"/>
      <c r="E123" s="276">
        <f>+E122+30</f>
        <v>49214</v>
      </c>
      <c r="F123" s="270">
        <f t="shared" si="12"/>
        <v>12122555.292325322</v>
      </c>
      <c r="G123" s="278">
        <f t="shared" si="8"/>
        <v>627025.70589728898</v>
      </c>
      <c r="H123" s="270">
        <f t="shared" si="9"/>
        <v>101021.29410271102</v>
      </c>
      <c r="I123" s="270">
        <f t="shared" si="13"/>
        <v>728047</v>
      </c>
      <c r="J123" s="271">
        <f t="shared" si="10"/>
        <v>11495529.586428033</v>
      </c>
    </row>
    <row r="124" spans="3:13" x14ac:dyDescent="0.5">
      <c r="C124" s="267">
        <f t="shared" si="11"/>
        <v>116</v>
      </c>
      <c r="D124" s="277"/>
      <c r="E124" s="276">
        <f>+E123+31</f>
        <v>49245</v>
      </c>
      <c r="F124" s="270">
        <f t="shared" si="12"/>
        <v>11495529.586428033</v>
      </c>
      <c r="G124" s="278">
        <f t="shared" si="8"/>
        <v>632250.92011309974</v>
      </c>
      <c r="H124" s="270">
        <f t="shared" si="9"/>
        <v>95796.079886900276</v>
      </c>
      <c r="I124" s="270">
        <f t="shared" si="13"/>
        <v>728047</v>
      </c>
      <c r="J124" s="271">
        <f t="shared" si="10"/>
        <v>10863278.666314933</v>
      </c>
    </row>
    <row r="125" spans="3:13" x14ac:dyDescent="0.5">
      <c r="C125" s="267">
        <f t="shared" si="11"/>
        <v>117</v>
      </c>
      <c r="D125" s="277"/>
      <c r="E125" s="276">
        <f>+E124+30</f>
        <v>49275</v>
      </c>
      <c r="F125" s="270">
        <f t="shared" si="12"/>
        <v>10863278.666314933</v>
      </c>
      <c r="G125" s="278">
        <f t="shared" si="8"/>
        <v>637519.67778070888</v>
      </c>
      <c r="H125" s="270">
        <f t="shared" si="9"/>
        <v>90527.32221929112</v>
      </c>
      <c r="I125" s="270">
        <f t="shared" si="13"/>
        <v>728047</v>
      </c>
      <c r="J125" s="271">
        <f t="shared" si="10"/>
        <v>10225758.988534225</v>
      </c>
    </row>
    <row r="126" spans="3:13" x14ac:dyDescent="0.5">
      <c r="C126" s="267">
        <f t="shared" si="11"/>
        <v>118</v>
      </c>
      <c r="D126" s="277"/>
      <c r="E126" s="276">
        <f t="shared" ref="E126:E140" si="14">+E125+30</f>
        <v>49305</v>
      </c>
      <c r="F126" s="270">
        <f t="shared" si="12"/>
        <v>10225758.988534225</v>
      </c>
      <c r="G126" s="278">
        <f t="shared" si="8"/>
        <v>642832.34176221478</v>
      </c>
      <c r="H126" s="270">
        <f t="shared" si="9"/>
        <v>85214.658237785217</v>
      </c>
      <c r="I126" s="270">
        <f t="shared" si="13"/>
        <v>728047</v>
      </c>
      <c r="J126" s="271">
        <f t="shared" si="10"/>
        <v>9582926.6467720103</v>
      </c>
    </row>
    <row r="127" spans="3:13" x14ac:dyDescent="0.5">
      <c r="C127" s="267">
        <f t="shared" si="11"/>
        <v>119</v>
      </c>
      <c r="D127" s="277"/>
      <c r="E127" s="276">
        <f t="shared" si="14"/>
        <v>49335</v>
      </c>
      <c r="F127" s="270">
        <f t="shared" si="12"/>
        <v>9582926.6467720103</v>
      </c>
      <c r="G127" s="278">
        <f t="shared" si="8"/>
        <v>648189.27794356656</v>
      </c>
      <c r="H127" s="270">
        <f t="shared" si="9"/>
        <v>79857.722056433427</v>
      </c>
      <c r="I127" s="270">
        <f t="shared" si="13"/>
        <v>728047</v>
      </c>
      <c r="J127" s="271">
        <f t="shared" si="10"/>
        <v>8934737.3688284438</v>
      </c>
    </row>
    <row r="128" spans="3:13" x14ac:dyDescent="0.5">
      <c r="C128" s="267">
        <f t="shared" si="11"/>
        <v>120</v>
      </c>
      <c r="D128" s="277"/>
      <c r="E128" s="276">
        <f t="shared" si="14"/>
        <v>49365</v>
      </c>
      <c r="F128" s="270">
        <f t="shared" si="12"/>
        <v>8934737.3688284438</v>
      </c>
      <c r="G128" s="278">
        <f t="shared" si="8"/>
        <v>653590.85525976296</v>
      </c>
      <c r="H128" s="270">
        <f t="shared" si="9"/>
        <v>74456.14474023704</v>
      </c>
      <c r="I128" s="270">
        <f t="shared" si="13"/>
        <v>728047</v>
      </c>
      <c r="J128" s="271">
        <f t="shared" si="10"/>
        <v>8281146.5135686807</v>
      </c>
      <c r="M128" s="235">
        <f>120+12</f>
        <v>132</v>
      </c>
    </row>
    <row r="129" spans="3:10" x14ac:dyDescent="0.5">
      <c r="C129" s="267">
        <f t="shared" si="11"/>
        <v>121</v>
      </c>
      <c r="D129" s="279"/>
      <c r="E129" s="276">
        <f t="shared" si="14"/>
        <v>49395</v>
      </c>
      <c r="F129" s="270">
        <f t="shared" si="12"/>
        <v>8281146.5135686807</v>
      </c>
      <c r="G129" s="278">
        <f t="shared" si="8"/>
        <v>659037.44572026096</v>
      </c>
      <c r="H129" s="270">
        <f t="shared" si="9"/>
        <v>69009.554279739008</v>
      </c>
      <c r="I129" s="270">
        <f t="shared" si="13"/>
        <v>728047</v>
      </c>
      <c r="J129" s="271">
        <f t="shared" si="10"/>
        <v>7622109.0678484198</v>
      </c>
    </row>
    <row r="130" spans="3:10" x14ac:dyDescent="0.5">
      <c r="C130" s="267">
        <f t="shared" si="11"/>
        <v>122</v>
      </c>
      <c r="D130" s="275" t="s">
        <v>259</v>
      </c>
      <c r="E130" s="276">
        <f t="shared" si="14"/>
        <v>49425</v>
      </c>
      <c r="F130" s="270">
        <f t="shared" si="12"/>
        <v>7622109.0678484198</v>
      </c>
      <c r="G130" s="278">
        <f t="shared" si="8"/>
        <v>664529.42443459644</v>
      </c>
      <c r="H130" s="270">
        <f t="shared" si="9"/>
        <v>63517.575565403502</v>
      </c>
      <c r="I130" s="270">
        <f t="shared" si="13"/>
        <v>728047</v>
      </c>
      <c r="J130" s="271">
        <f t="shared" si="10"/>
        <v>6957579.6434138231</v>
      </c>
    </row>
    <row r="131" spans="3:10" x14ac:dyDescent="0.5">
      <c r="C131" s="267">
        <f t="shared" si="11"/>
        <v>123</v>
      </c>
      <c r="D131" s="277"/>
      <c r="E131" s="276">
        <f t="shared" si="14"/>
        <v>49455</v>
      </c>
      <c r="F131" s="270">
        <f t="shared" si="12"/>
        <v>6957579.6434138231</v>
      </c>
      <c r="G131" s="278">
        <f t="shared" si="8"/>
        <v>670067.16963821813</v>
      </c>
      <c r="H131" s="270">
        <f t="shared" si="9"/>
        <v>57979.830361781867</v>
      </c>
      <c r="I131" s="270">
        <f t="shared" si="13"/>
        <v>728047</v>
      </c>
      <c r="J131" s="271">
        <f t="shared" si="10"/>
        <v>6287512.4737756047</v>
      </c>
    </row>
    <row r="132" spans="3:10" x14ac:dyDescent="0.5">
      <c r="C132" s="267">
        <f t="shared" si="11"/>
        <v>124</v>
      </c>
      <c r="D132" s="277"/>
      <c r="E132" s="276">
        <f t="shared" si="14"/>
        <v>49485</v>
      </c>
      <c r="F132" s="270">
        <f t="shared" si="12"/>
        <v>6287512.4737756047</v>
      </c>
      <c r="G132" s="278">
        <f t="shared" si="8"/>
        <v>675651.06271853659</v>
      </c>
      <c r="H132" s="270">
        <f t="shared" si="9"/>
        <v>52395.937281463375</v>
      </c>
      <c r="I132" s="270">
        <f t="shared" si="13"/>
        <v>728047</v>
      </c>
      <c r="J132" s="271">
        <f t="shared" si="10"/>
        <v>5611861.411057068</v>
      </c>
    </row>
    <row r="133" spans="3:10" x14ac:dyDescent="0.5">
      <c r="C133" s="267">
        <f t="shared" si="11"/>
        <v>125</v>
      </c>
      <c r="D133" s="277"/>
      <c r="E133" s="276">
        <f t="shared" si="14"/>
        <v>49515</v>
      </c>
      <c r="F133" s="270">
        <f t="shared" si="12"/>
        <v>5611861.411057068</v>
      </c>
      <c r="G133" s="278">
        <f t="shared" si="8"/>
        <v>681281.48824119114</v>
      </c>
      <c r="H133" s="270">
        <f t="shared" si="9"/>
        <v>46765.511758808898</v>
      </c>
      <c r="I133" s="270">
        <f t="shared" si="13"/>
        <v>728047</v>
      </c>
      <c r="J133" s="271">
        <f t="shared" si="10"/>
        <v>4930579.922815877</v>
      </c>
    </row>
    <row r="134" spans="3:10" x14ac:dyDescent="0.5">
      <c r="C134" s="267">
        <f t="shared" si="11"/>
        <v>126</v>
      </c>
      <c r="D134" s="277"/>
      <c r="E134" s="276">
        <f t="shared" si="14"/>
        <v>49545</v>
      </c>
      <c r="F134" s="270">
        <f t="shared" si="12"/>
        <v>4930579.922815877</v>
      </c>
      <c r="G134" s="278">
        <f t="shared" si="8"/>
        <v>686958.83397653431</v>
      </c>
      <c r="H134" s="270">
        <f t="shared" si="9"/>
        <v>41088.166023465645</v>
      </c>
      <c r="I134" s="270">
        <f t="shared" si="13"/>
        <v>728047</v>
      </c>
      <c r="J134" s="271">
        <f t="shared" si="10"/>
        <v>4243621.0888393428</v>
      </c>
    </row>
    <row r="135" spans="3:10" x14ac:dyDescent="0.5">
      <c r="C135" s="267">
        <f t="shared" si="11"/>
        <v>127</v>
      </c>
      <c r="D135" s="277"/>
      <c r="E135" s="276">
        <f t="shared" si="14"/>
        <v>49575</v>
      </c>
      <c r="F135" s="270">
        <f t="shared" si="12"/>
        <v>4243621.0888393428</v>
      </c>
      <c r="G135" s="278">
        <f t="shared" si="8"/>
        <v>692683.49092633883</v>
      </c>
      <c r="H135" s="270">
        <f t="shared" si="9"/>
        <v>35363.509073661196</v>
      </c>
      <c r="I135" s="270">
        <f t="shared" si="13"/>
        <v>728047</v>
      </c>
      <c r="J135" s="271">
        <f t="shared" si="10"/>
        <v>3550937.597913004</v>
      </c>
    </row>
    <row r="136" spans="3:10" x14ac:dyDescent="0.5">
      <c r="C136" s="267">
        <f t="shared" si="11"/>
        <v>128</v>
      </c>
      <c r="D136" s="277"/>
      <c r="E136" s="276">
        <f t="shared" si="14"/>
        <v>49605</v>
      </c>
      <c r="F136" s="270">
        <f t="shared" si="12"/>
        <v>3550937.597913004</v>
      </c>
      <c r="G136" s="278">
        <f t="shared" si="8"/>
        <v>698455.85335072502</v>
      </c>
      <c r="H136" s="270">
        <f t="shared" si="9"/>
        <v>29591.146649275033</v>
      </c>
      <c r="I136" s="270">
        <f t="shared" si="13"/>
        <v>728047</v>
      </c>
      <c r="J136" s="271">
        <f t="shared" si="10"/>
        <v>2852481.744562279</v>
      </c>
    </row>
    <row r="137" spans="3:10" x14ac:dyDescent="0.5">
      <c r="C137" s="267">
        <f t="shared" si="11"/>
        <v>129</v>
      </c>
      <c r="D137" s="277"/>
      <c r="E137" s="276">
        <f t="shared" si="14"/>
        <v>49635</v>
      </c>
      <c r="F137" s="270">
        <f t="shared" si="12"/>
        <v>2852481.744562279</v>
      </c>
      <c r="G137" s="278">
        <f t="shared" ref="G137:G147" si="15">+I137-H137</f>
        <v>704276.31879531429</v>
      </c>
      <c r="H137" s="270">
        <f t="shared" ref="H137:H151" si="16">+F137*$H$7/12</f>
        <v>23770.681204685661</v>
      </c>
      <c r="I137" s="270">
        <f t="shared" si="13"/>
        <v>728047</v>
      </c>
      <c r="J137" s="271">
        <f t="shared" ref="J137:J147" si="17">+F137-G137</f>
        <v>2148205.4257669644</v>
      </c>
    </row>
    <row r="138" spans="3:10" x14ac:dyDescent="0.5">
      <c r="C138" s="267">
        <f t="shared" ref="C138:C140" si="18">+C137+1</f>
        <v>130</v>
      </c>
      <c r="D138" s="277"/>
      <c r="E138" s="276">
        <f t="shared" si="14"/>
        <v>49665</v>
      </c>
      <c r="F138" s="270">
        <f t="shared" ref="F138:F148" si="19">+J137</f>
        <v>2148205.4257669644</v>
      </c>
      <c r="G138" s="278">
        <f t="shared" si="15"/>
        <v>710145.28811860865</v>
      </c>
      <c r="H138" s="270">
        <f t="shared" si="16"/>
        <v>17901.711881391373</v>
      </c>
      <c r="I138" s="270">
        <f t="shared" ref="I138:I140" si="20">+I137</f>
        <v>728047</v>
      </c>
      <c r="J138" s="271">
        <f t="shared" si="17"/>
        <v>1438060.1376483557</v>
      </c>
    </row>
    <row r="139" spans="3:10" x14ac:dyDescent="0.5">
      <c r="C139" s="267">
        <f t="shared" si="18"/>
        <v>131</v>
      </c>
      <c r="D139" s="277"/>
      <c r="E139" s="276">
        <f t="shared" si="14"/>
        <v>49695</v>
      </c>
      <c r="F139" s="270">
        <f t="shared" si="19"/>
        <v>1438060.1376483557</v>
      </c>
      <c r="G139" s="278">
        <f t="shared" si="15"/>
        <v>716063.16551959701</v>
      </c>
      <c r="H139" s="270">
        <f t="shared" si="16"/>
        <v>11983.834480402964</v>
      </c>
      <c r="I139" s="270">
        <f t="shared" si="20"/>
        <v>728047</v>
      </c>
      <c r="J139" s="271">
        <f t="shared" si="17"/>
        <v>721996.97212875867</v>
      </c>
    </row>
    <row r="140" spans="3:10" x14ac:dyDescent="0.5">
      <c r="C140" s="267">
        <f t="shared" si="18"/>
        <v>132</v>
      </c>
      <c r="D140" s="279"/>
      <c r="E140" s="276">
        <f t="shared" si="14"/>
        <v>49725</v>
      </c>
      <c r="F140" s="270">
        <f t="shared" si="19"/>
        <v>721996.97212875867</v>
      </c>
      <c r="G140" s="278">
        <f t="shared" si="15"/>
        <v>721997.35856559372</v>
      </c>
      <c r="H140" s="270">
        <f>+F140*$H$7/12+33</f>
        <v>6049.6414344063223</v>
      </c>
      <c r="I140" s="270">
        <f t="shared" si="20"/>
        <v>728047</v>
      </c>
      <c r="J140" s="271">
        <f t="shared" si="17"/>
        <v>-0.38643683504778892</v>
      </c>
    </row>
  </sheetData>
  <mergeCells count="25">
    <mergeCell ref="D82:D93"/>
    <mergeCell ref="D94:D105"/>
    <mergeCell ref="D106:D117"/>
    <mergeCell ref="D118:D129"/>
    <mergeCell ref="D130:D140"/>
    <mergeCell ref="D10:D21"/>
    <mergeCell ref="D22:D33"/>
    <mergeCell ref="D34:D45"/>
    <mergeCell ref="D46:D57"/>
    <mergeCell ref="D58:D69"/>
    <mergeCell ref="D70:D81"/>
    <mergeCell ref="C6:J6"/>
    <mergeCell ref="C7:C8"/>
    <mergeCell ref="D7:D8"/>
    <mergeCell ref="E7:E8"/>
    <mergeCell ref="F7:F8"/>
    <mergeCell ref="I7:I8"/>
    <mergeCell ref="J7:J8"/>
    <mergeCell ref="C3:J3"/>
    <mergeCell ref="C4:D4"/>
    <mergeCell ref="E4:F4"/>
    <mergeCell ref="H4:I4"/>
    <mergeCell ref="C5:D5"/>
    <mergeCell ref="E5:F5"/>
    <mergeCell ref="H5:I5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77" fitToHeight="2" orientation="portrait" r:id="rId1"/>
  <rowBreaks count="1" manualBreakCount="1">
    <brk id="69" min="1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20"/>
  <sheetViews>
    <sheetView showGridLines="0" view="pageBreakPreview" zoomScaleNormal="100" zoomScaleSheetLayoutView="100" workbookViewId="0">
      <selection activeCell="B13" sqref="B13:H13"/>
    </sheetView>
  </sheetViews>
  <sheetFormatPr defaultColWidth="8.83984375" defaultRowHeight="15.3" x14ac:dyDescent="0.55000000000000004"/>
  <cols>
    <col min="1" max="1" width="3" style="14" customWidth="1"/>
    <col min="2" max="2" width="34.89453125" style="14" bestFit="1" customWidth="1"/>
    <col min="3" max="6" width="13.41796875" style="14" bestFit="1" customWidth="1"/>
    <col min="7" max="7" width="14.578125" style="14" bestFit="1" customWidth="1"/>
    <col min="8" max="8" width="4.15625" style="14" customWidth="1"/>
    <col min="9" max="16384" width="8.83984375" style="14"/>
  </cols>
  <sheetData>
    <row r="2" spans="1:8" x14ac:dyDescent="0.55000000000000004">
      <c r="B2" s="210" t="str">
        <f>+'Cap Assumptions'!D5</f>
        <v>BLUELEO ENERGY PRIVATE LIMITED</v>
      </c>
      <c r="C2" s="210"/>
      <c r="D2" s="210"/>
      <c r="E2" s="210"/>
      <c r="F2" s="210"/>
      <c r="G2" s="210"/>
    </row>
    <row r="3" spans="1:8" x14ac:dyDescent="0.55000000000000004">
      <c r="A3" s="283"/>
      <c r="B3" s="212" t="s">
        <v>260</v>
      </c>
      <c r="C3" s="212"/>
      <c r="D3" s="212"/>
      <c r="E3" s="212"/>
      <c r="F3" s="212"/>
      <c r="G3" s="212"/>
    </row>
    <row r="4" spans="1:8" s="16" customFormat="1" ht="15" x14ac:dyDescent="0.5">
      <c r="B4" s="284" t="s">
        <v>38</v>
      </c>
      <c r="C4" s="285" t="str">
        <f>+'BS PL CF'!F50</f>
        <v>2025-26</v>
      </c>
      <c r="D4" s="286" t="str">
        <f>+'BS PL CF'!G50</f>
        <v>2026-27</v>
      </c>
      <c r="E4" s="285" t="str">
        <f>+'BS PL CF'!H50</f>
        <v>2027-28</v>
      </c>
      <c r="F4" s="287" t="str">
        <f>+'BS PL CF'!I50</f>
        <v>2028-29</v>
      </c>
      <c r="G4" s="285" t="s">
        <v>72</v>
      </c>
    </row>
    <row r="5" spans="1:8" x14ac:dyDescent="0.55000000000000004">
      <c r="B5" s="18" t="s">
        <v>176</v>
      </c>
      <c r="C5" s="228">
        <f>'Production detaiils'!D35</f>
        <v>51625000</v>
      </c>
      <c r="D5" s="228">
        <f>'Production detaiils'!E35</f>
        <v>73500000</v>
      </c>
      <c r="E5" s="228">
        <f>'Production detaiils'!F35</f>
        <v>85725000</v>
      </c>
      <c r="F5" s="228">
        <f>'Production detaiils'!G35</f>
        <v>98625000</v>
      </c>
      <c r="G5" s="228">
        <f>'Production detaiils'!H35</f>
        <v>102000000</v>
      </c>
      <c r="H5" s="288"/>
    </row>
    <row r="6" spans="1:8" x14ac:dyDescent="0.55000000000000004">
      <c r="B6" s="18" t="s">
        <v>261</v>
      </c>
      <c r="C6" s="289">
        <f>C5/C7</f>
        <v>19.666666666666668</v>
      </c>
      <c r="D6" s="289">
        <f t="shared" ref="D6:G6" si="0">D5/D7</f>
        <v>20.416666666666668</v>
      </c>
      <c r="E6" s="289">
        <f t="shared" si="0"/>
        <v>21.166666666666668</v>
      </c>
      <c r="F6" s="289">
        <f t="shared" si="0"/>
        <v>21.916666666666668</v>
      </c>
      <c r="G6" s="289">
        <f t="shared" si="0"/>
        <v>22.666666666666668</v>
      </c>
    </row>
    <row r="7" spans="1:8" s="16" customFormat="1" ht="15" x14ac:dyDescent="0.5">
      <c r="B7" s="15" t="s">
        <v>262</v>
      </c>
      <c r="C7" s="290">
        <f>'Production detaiils'!D34</f>
        <v>2625000</v>
      </c>
      <c r="D7" s="290">
        <f>'Production detaiils'!E34</f>
        <v>3600000</v>
      </c>
      <c r="E7" s="290">
        <f>'Production detaiils'!F34</f>
        <v>4050000</v>
      </c>
      <c r="F7" s="290">
        <f>'Production detaiils'!G34</f>
        <v>4500000</v>
      </c>
      <c r="G7" s="290">
        <f>'Production detaiils'!H34</f>
        <v>4500000</v>
      </c>
    </row>
    <row r="8" spans="1:8" x14ac:dyDescent="0.55000000000000004">
      <c r="B8" s="18"/>
      <c r="C8" s="291"/>
      <c r="E8" s="226"/>
      <c r="F8" s="19"/>
      <c r="G8" s="226"/>
    </row>
    <row r="9" spans="1:8" x14ac:dyDescent="0.55000000000000004">
      <c r="B9" s="18" t="s">
        <v>263</v>
      </c>
      <c r="C9" s="228">
        <f>+'BS PL CF'!F62+'BS PL CF'!F63</f>
        <v>10960000</v>
      </c>
      <c r="D9" s="23">
        <f>+'BS PL CF'!G62+'BS PL CF'!G63</f>
        <v>15124800</v>
      </c>
      <c r="E9" s="228">
        <f>+'BS PL CF'!H62+'BS PL CF'!H63</f>
        <v>17393520</v>
      </c>
      <c r="F9" s="229">
        <f>+'BS PL CF'!I62+'BS PL CF'!I63</f>
        <v>20002547.999999996</v>
      </c>
      <c r="G9" s="228">
        <f>+'BS PL CF'!J62+'BS PL CF'!J63</f>
        <v>21002675.399999999</v>
      </c>
    </row>
    <row r="10" spans="1:8" x14ac:dyDescent="0.55000000000000004">
      <c r="B10" s="18" t="s">
        <v>264</v>
      </c>
      <c r="C10" s="228">
        <f>+SUM('BS PL CF'!F58:F60)</f>
        <v>17340731.506849315</v>
      </c>
      <c r="D10" s="228">
        <f>+SUM('BS PL CF'!G58:G60)</f>
        <v>28077277.972602736</v>
      </c>
      <c r="E10" s="228">
        <f>+SUM('BS PL CF'!H58:H60)</f>
        <v>33917855.969863005</v>
      </c>
      <c r="F10" s="228">
        <f>+SUM('BS PL CF'!I58:I60)</f>
        <v>39027013.817397244</v>
      </c>
      <c r="G10" s="228">
        <f>+SUM('BS PL CF'!J58:J60)</f>
        <v>39842458.203334227</v>
      </c>
    </row>
    <row r="11" spans="1:8" s="16" customFormat="1" ht="15" x14ac:dyDescent="0.5">
      <c r="B11" s="15" t="s">
        <v>265</v>
      </c>
      <c r="C11" s="290">
        <f>+C5-C10</f>
        <v>34284268.493150681</v>
      </c>
      <c r="D11" s="290">
        <f t="shared" ref="D11:G11" si="1">+D5-D10</f>
        <v>45422722.02739726</v>
      </c>
      <c r="E11" s="290">
        <f t="shared" si="1"/>
        <v>51807144.030136995</v>
      </c>
      <c r="F11" s="290">
        <f t="shared" si="1"/>
        <v>59597986.182602756</v>
      </c>
      <c r="G11" s="290">
        <f t="shared" si="1"/>
        <v>62157541.796665773</v>
      </c>
    </row>
    <row r="12" spans="1:8" s="16" customFormat="1" ht="15" x14ac:dyDescent="0.5">
      <c r="B12" s="15" t="s">
        <v>266</v>
      </c>
      <c r="C12" s="292">
        <f>+C11/C5</f>
        <v>0.66410205313609072</v>
      </c>
      <c r="D12" s="293">
        <f t="shared" ref="D12:G12" si="2">+D11/D5</f>
        <v>0.61799621805982663</v>
      </c>
      <c r="E12" s="292">
        <f t="shared" si="2"/>
        <v>0.60434113770938458</v>
      </c>
      <c r="F12" s="294">
        <f t="shared" si="2"/>
        <v>0.60428883328367811</v>
      </c>
      <c r="G12" s="292">
        <f t="shared" si="2"/>
        <v>0.60938766467319383</v>
      </c>
    </row>
    <row r="13" spans="1:8" x14ac:dyDescent="0.55000000000000004">
      <c r="B13" s="18"/>
      <c r="C13" s="226"/>
      <c r="E13" s="226"/>
      <c r="F13" s="19"/>
      <c r="G13" s="226"/>
    </row>
    <row r="14" spans="1:8" x14ac:dyDescent="0.55000000000000004">
      <c r="B14" s="18" t="s">
        <v>267</v>
      </c>
      <c r="C14" s="228">
        <f>'Production detaiils'!D42</f>
        <v>2537500</v>
      </c>
      <c r="D14" s="228">
        <f>'Production detaiils'!E42</f>
        <v>3480000</v>
      </c>
      <c r="E14" s="228">
        <f>'Production detaiils'!F42</f>
        <v>3915000</v>
      </c>
      <c r="F14" s="228">
        <f>'Production detaiils'!G42</f>
        <v>4350000</v>
      </c>
      <c r="G14" s="228">
        <f>'Production detaiils'!H42</f>
        <v>4350000</v>
      </c>
    </row>
    <row r="15" spans="1:8" x14ac:dyDescent="0.55000000000000004">
      <c r="B15" s="18" t="s">
        <v>268</v>
      </c>
      <c r="C15" s="228">
        <f>+C10</f>
        <v>17340731.506849315</v>
      </c>
      <c r="D15" s="228">
        <f t="shared" ref="D15:G15" si="3">+D10</f>
        <v>28077277.972602736</v>
      </c>
      <c r="E15" s="228">
        <f t="shared" si="3"/>
        <v>33917855.969863005</v>
      </c>
      <c r="F15" s="228">
        <f t="shared" si="3"/>
        <v>39027013.817397244</v>
      </c>
      <c r="G15" s="228">
        <f t="shared" si="3"/>
        <v>39842458.203334227</v>
      </c>
    </row>
    <row r="16" spans="1:8" x14ac:dyDescent="0.55000000000000004">
      <c r="B16" s="18" t="s">
        <v>269</v>
      </c>
      <c r="C16" s="295">
        <f t="shared" ref="C16:G16" si="4">+C15/C14</f>
        <v>6.8337858155071194</v>
      </c>
      <c r="D16" s="22">
        <f t="shared" si="4"/>
        <v>8.0681833254605557</v>
      </c>
      <c r="E16" s="295">
        <f t="shared" si="4"/>
        <v>8.6635647432600269</v>
      </c>
      <c r="F16" s="296">
        <f t="shared" si="4"/>
        <v>8.9717273143441947</v>
      </c>
      <c r="G16" s="295">
        <f t="shared" si="4"/>
        <v>9.1591857938699377</v>
      </c>
    </row>
    <row r="17" spans="2:7" x14ac:dyDescent="0.55000000000000004">
      <c r="B17" s="18" t="s">
        <v>270</v>
      </c>
      <c r="C17" s="295">
        <f t="shared" ref="C17:G17" si="5">+C6-C16</f>
        <v>12.832880851159548</v>
      </c>
      <c r="D17" s="22">
        <f t="shared" si="5"/>
        <v>12.348483341206112</v>
      </c>
      <c r="E17" s="295">
        <f t="shared" si="5"/>
        <v>12.503101923406641</v>
      </c>
      <c r="F17" s="296">
        <f t="shared" si="5"/>
        <v>12.944939352322473</v>
      </c>
      <c r="G17" s="295">
        <f t="shared" si="5"/>
        <v>13.50748087279673</v>
      </c>
    </row>
    <row r="18" spans="2:7" s="16" customFormat="1" ht="15" x14ac:dyDescent="0.5">
      <c r="B18" s="15" t="s">
        <v>271</v>
      </c>
      <c r="C18" s="290">
        <f t="shared" ref="C18:G18" si="6">+C9/C17</f>
        <v>854056.08663542464</v>
      </c>
      <c r="D18" s="297">
        <f t="shared" si="6"/>
        <v>1224830.5789529225</v>
      </c>
      <c r="E18" s="290">
        <f t="shared" si="6"/>
        <v>1391136.3841190618</v>
      </c>
      <c r="F18" s="298">
        <f t="shared" si="6"/>
        <v>1545202.1408204825</v>
      </c>
      <c r="G18" s="290">
        <f t="shared" si="6"/>
        <v>1554892.1074023617</v>
      </c>
    </row>
    <row r="19" spans="2:7" x14ac:dyDescent="0.55000000000000004">
      <c r="B19" s="18"/>
      <c r="C19" s="228"/>
      <c r="D19" s="288"/>
      <c r="E19" s="228"/>
      <c r="F19" s="229"/>
      <c r="G19" s="228"/>
    </row>
    <row r="20" spans="2:7" s="16" customFormat="1" ht="15" x14ac:dyDescent="0.5">
      <c r="B20" s="299" t="s">
        <v>272</v>
      </c>
      <c r="C20" s="300">
        <f t="shared" ref="C20:G20" si="7">+C18*C6</f>
        <v>16796436.370496687</v>
      </c>
      <c r="D20" s="300">
        <f t="shared" si="7"/>
        <v>25006957.653622169</v>
      </c>
      <c r="E20" s="300">
        <f t="shared" si="7"/>
        <v>29445720.130520143</v>
      </c>
      <c r="F20" s="300">
        <f t="shared" si="7"/>
        <v>33865680.252982244</v>
      </c>
      <c r="G20" s="300">
        <f t="shared" si="7"/>
        <v>35244221.101120204</v>
      </c>
    </row>
  </sheetData>
  <mergeCells count="2">
    <mergeCell ref="B2:G2"/>
    <mergeCell ref="B3:G3"/>
  </mergeCells>
  <printOptions horizontalCentered="1"/>
  <pageMargins left="0" right="0" top="0.74803149606299213" bottom="0.74803149606299213" header="0.31496062992125984" footer="0.31496062992125984"/>
  <pageSetup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3"/>
  <sheetViews>
    <sheetView showGridLines="0" view="pageBreakPreview" zoomScale="94" zoomScaleNormal="100" workbookViewId="0">
      <selection activeCell="B13" sqref="B13:H13"/>
    </sheetView>
  </sheetViews>
  <sheetFormatPr defaultColWidth="8.83984375" defaultRowHeight="15.3" x14ac:dyDescent="0.55000000000000004"/>
  <cols>
    <col min="1" max="1" width="2.26171875" style="14" customWidth="1"/>
    <col min="2" max="2" width="5.578125" style="14" bestFit="1" customWidth="1"/>
    <col min="3" max="3" width="43.68359375" style="14" bestFit="1" customWidth="1"/>
    <col min="4" max="5" width="16" style="14" bestFit="1" customWidth="1"/>
    <col min="6" max="6" width="13.578125" style="14" customWidth="1"/>
    <col min="7" max="7" width="14" style="14" bestFit="1" customWidth="1"/>
    <col min="8" max="8" width="15.15625" style="14" bestFit="1" customWidth="1"/>
    <col min="9" max="9" width="4.26171875" style="14" customWidth="1"/>
    <col min="10" max="10" width="18.578125" style="14" bestFit="1" customWidth="1"/>
    <col min="11" max="11" width="15.68359375" style="14" customWidth="1"/>
    <col min="12" max="12" width="3.83984375" style="14" customWidth="1"/>
    <col min="13" max="13" width="1.41796875" style="14" customWidth="1"/>
    <col min="14" max="14" width="9.20703125" style="14" bestFit="1" customWidth="1"/>
    <col min="15" max="15" width="10.734375" style="14" bestFit="1" customWidth="1"/>
    <col min="16" max="16384" width="8.83984375" style="14"/>
  </cols>
  <sheetData>
    <row r="2" spans="2:11" x14ac:dyDescent="0.55000000000000004">
      <c r="B2" s="210" t="str">
        <f>+BEP!B2</f>
        <v>BLUELEO ENERGY PRIVATE LIMITED</v>
      </c>
      <c r="C2" s="210"/>
      <c r="D2" s="210"/>
      <c r="E2" s="210"/>
      <c r="F2" s="210"/>
      <c r="G2" s="210"/>
      <c r="H2" s="210"/>
      <c r="I2" s="210"/>
      <c r="J2" s="210"/>
      <c r="K2" s="210"/>
    </row>
    <row r="3" spans="2:11" x14ac:dyDescent="0.55000000000000004">
      <c r="B3" s="210" t="s">
        <v>273</v>
      </c>
      <c r="C3" s="210"/>
      <c r="D3" s="210"/>
      <c r="E3" s="210"/>
      <c r="F3" s="210"/>
      <c r="G3" s="210"/>
      <c r="H3" s="210"/>
      <c r="I3" s="210"/>
      <c r="J3" s="210"/>
      <c r="K3" s="210"/>
    </row>
    <row r="4" spans="2:11" s="16" customFormat="1" ht="15" x14ac:dyDescent="0.5">
      <c r="B4" s="16" t="s">
        <v>274</v>
      </c>
      <c r="C4" s="16" t="s">
        <v>68</v>
      </c>
    </row>
    <row r="6" spans="2:11" s="16" customFormat="1" ht="15" x14ac:dyDescent="0.5">
      <c r="B6" s="222" t="s">
        <v>275</v>
      </c>
      <c r="C6" s="301" t="s">
        <v>38</v>
      </c>
      <c r="D6" s="285" t="str">
        <f>+BEP!C4</f>
        <v>2025-26</v>
      </c>
      <c r="E6" s="286" t="str">
        <f>+BEP!D4</f>
        <v>2026-27</v>
      </c>
      <c r="F6" s="285" t="str">
        <f>+BEP!E4</f>
        <v>2027-28</v>
      </c>
      <c r="G6" s="286" t="str">
        <f>+BEP!F4</f>
        <v>2028-29</v>
      </c>
      <c r="H6" s="285" t="str">
        <f>+BEP!G4</f>
        <v>2029-30</v>
      </c>
    </row>
    <row r="7" spans="2:11" x14ac:dyDescent="0.55000000000000004">
      <c r="B7" s="302">
        <v>1</v>
      </c>
      <c r="C7" s="15" t="s">
        <v>276</v>
      </c>
      <c r="D7" s="303">
        <v>4350000</v>
      </c>
      <c r="E7" s="303">
        <v>4350000</v>
      </c>
      <c r="F7" s="303">
        <v>4350000</v>
      </c>
      <c r="G7" s="303">
        <v>4350000</v>
      </c>
      <c r="H7" s="303">
        <v>4350000</v>
      </c>
    </row>
    <row r="8" spans="2:11" s="16" customFormat="1" ht="15" x14ac:dyDescent="0.5">
      <c r="B8" s="304"/>
      <c r="C8" s="15"/>
      <c r="D8" s="303"/>
      <c r="E8" s="305"/>
      <c r="F8" s="303"/>
      <c r="G8" s="305"/>
      <c r="H8" s="303"/>
    </row>
    <row r="9" spans="2:11" s="16" customFormat="1" ht="15" x14ac:dyDescent="0.5">
      <c r="B9" s="304"/>
      <c r="C9" s="15"/>
      <c r="D9" s="303"/>
      <c r="E9" s="305"/>
      <c r="F9" s="303"/>
      <c r="G9" s="305"/>
      <c r="H9" s="303"/>
    </row>
    <row r="10" spans="2:11" s="16" customFormat="1" ht="15" x14ac:dyDescent="0.5">
      <c r="B10" s="304"/>
      <c r="C10" s="15" t="s">
        <v>277</v>
      </c>
      <c r="D10" s="303">
        <v>25</v>
      </c>
      <c r="E10" s="303">
        <v>25</v>
      </c>
      <c r="F10" s="303">
        <v>25</v>
      </c>
      <c r="G10" s="303">
        <v>25</v>
      </c>
      <c r="H10" s="303">
        <v>25</v>
      </c>
    </row>
    <row r="11" spans="2:11" s="16" customFormat="1" ht="15" x14ac:dyDescent="0.5">
      <c r="B11" s="304"/>
      <c r="C11" s="15" t="s">
        <v>278</v>
      </c>
      <c r="D11" s="303">
        <v>10</v>
      </c>
      <c r="E11" s="303">
        <v>12</v>
      </c>
      <c r="F11" s="303">
        <v>12</v>
      </c>
      <c r="G11" s="303">
        <v>12</v>
      </c>
      <c r="H11" s="303">
        <v>12</v>
      </c>
    </row>
    <row r="12" spans="2:11" s="16" customFormat="1" x14ac:dyDescent="0.55000000000000004">
      <c r="B12" s="304"/>
      <c r="C12" s="15" t="s">
        <v>279</v>
      </c>
      <c r="D12" s="227">
        <v>0.7</v>
      </c>
      <c r="E12" s="306">
        <v>0.8</v>
      </c>
      <c r="F12" s="227">
        <v>0.9</v>
      </c>
      <c r="G12" s="306">
        <v>1</v>
      </c>
      <c r="H12" s="227">
        <v>1</v>
      </c>
    </row>
    <row r="13" spans="2:11" s="16" customFormat="1" ht="15" x14ac:dyDescent="0.5">
      <c r="B13" s="304"/>
      <c r="C13" s="15"/>
      <c r="D13" s="303"/>
      <c r="E13" s="305"/>
      <c r="F13" s="303"/>
      <c r="G13" s="305"/>
      <c r="H13" s="303"/>
    </row>
    <row r="14" spans="2:11" s="16" customFormat="1" ht="15" x14ac:dyDescent="0.5">
      <c r="B14" s="304"/>
      <c r="C14" s="15"/>
      <c r="D14" s="303"/>
      <c r="E14" s="305"/>
      <c r="F14" s="303"/>
      <c r="G14" s="305"/>
      <c r="H14" s="303"/>
    </row>
    <row r="15" spans="2:11" s="16" customFormat="1" ht="15" x14ac:dyDescent="0.5">
      <c r="B15" s="304"/>
      <c r="C15" s="15"/>
      <c r="D15" s="303"/>
      <c r="E15" s="305"/>
      <c r="F15" s="303"/>
      <c r="G15" s="305"/>
      <c r="H15" s="303"/>
    </row>
    <row r="16" spans="2:11" s="16" customFormat="1" ht="15" x14ac:dyDescent="0.5">
      <c r="B16" s="304">
        <v>1</v>
      </c>
      <c r="C16" s="307" t="s">
        <v>280</v>
      </c>
      <c r="D16" s="303"/>
      <c r="E16" s="305"/>
      <c r="F16" s="303"/>
      <c r="G16" s="305"/>
      <c r="H16" s="303"/>
    </row>
    <row r="17" spans="2:8" s="16" customFormat="1" ht="30" x14ac:dyDescent="0.5">
      <c r="B17" s="304"/>
      <c r="C17" s="308" t="s">
        <v>281</v>
      </c>
      <c r="D17" s="303">
        <v>2500</v>
      </c>
      <c r="E17" s="303">
        <v>2500</v>
      </c>
      <c r="F17" s="303">
        <v>2500</v>
      </c>
      <c r="G17" s="303">
        <v>2500</v>
      </c>
      <c r="H17" s="303">
        <v>2500</v>
      </c>
    </row>
    <row r="18" spans="2:8" s="16" customFormat="1" ht="15" x14ac:dyDescent="0.5">
      <c r="B18" s="304"/>
      <c r="C18" s="308"/>
      <c r="D18" s="303"/>
      <c r="E18" s="305"/>
      <c r="F18" s="303"/>
      <c r="G18" s="305"/>
      <c r="H18" s="303"/>
    </row>
    <row r="19" spans="2:8" s="16" customFormat="1" ht="30" x14ac:dyDescent="0.5">
      <c r="B19" s="304"/>
      <c r="C19" s="308" t="s">
        <v>282</v>
      </c>
      <c r="D19" s="303">
        <f>+D17*D11*D10</f>
        <v>625000</v>
      </c>
      <c r="E19" s="303">
        <f t="shared" ref="E19:H19" si="0">+E17*E11*E10</f>
        <v>750000</v>
      </c>
      <c r="F19" s="303">
        <f t="shared" si="0"/>
        <v>750000</v>
      </c>
      <c r="G19" s="303">
        <f t="shared" si="0"/>
        <v>750000</v>
      </c>
      <c r="H19" s="303">
        <f t="shared" si="0"/>
        <v>750000</v>
      </c>
    </row>
    <row r="20" spans="2:8" s="16" customFormat="1" ht="30" x14ac:dyDescent="0.5">
      <c r="B20" s="304"/>
      <c r="C20" s="308" t="s">
        <v>283</v>
      </c>
      <c r="D20" s="303">
        <f>+D17*D10*D11*D12</f>
        <v>437500</v>
      </c>
      <c r="E20" s="303">
        <f t="shared" ref="E20:H20" si="1">+E17*E10*E11*E12</f>
        <v>600000</v>
      </c>
      <c r="F20" s="303">
        <f t="shared" si="1"/>
        <v>675000</v>
      </c>
      <c r="G20" s="303">
        <f t="shared" si="1"/>
        <v>750000</v>
      </c>
      <c r="H20" s="303">
        <f t="shared" si="1"/>
        <v>750000</v>
      </c>
    </row>
    <row r="21" spans="2:8" s="16" customFormat="1" ht="15" x14ac:dyDescent="0.5">
      <c r="B21" s="304"/>
      <c r="C21" s="15" t="s">
        <v>284</v>
      </c>
      <c r="D21" s="309">
        <v>78</v>
      </c>
      <c r="E21" s="310">
        <v>80</v>
      </c>
      <c r="F21" s="309">
        <v>82</v>
      </c>
      <c r="G21" s="310">
        <v>84</v>
      </c>
      <c r="H21" s="309">
        <v>86</v>
      </c>
    </row>
    <row r="22" spans="2:8" s="16" customFormat="1" ht="15" x14ac:dyDescent="0.5">
      <c r="B22" s="304"/>
      <c r="C22" s="15" t="s">
        <v>285</v>
      </c>
      <c r="D22" s="303">
        <f>D20*D21</f>
        <v>34125000</v>
      </c>
      <c r="E22" s="303">
        <f t="shared" ref="E22:H22" si="2">E20*E21</f>
        <v>48000000</v>
      </c>
      <c r="F22" s="303">
        <f t="shared" si="2"/>
        <v>55350000</v>
      </c>
      <c r="G22" s="303">
        <f t="shared" si="2"/>
        <v>63000000</v>
      </c>
      <c r="H22" s="303">
        <f t="shared" si="2"/>
        <v>64500000</v>
      </c>
    </row>
    <row r="23" spans="2:8" s="16" customFormat="1" ht="15" x14ac:dyDescent="0.5">
      <c r="B23" s="304"/>
      <c r="C23" s="15"/>
      <c r="D23" s="303"/>
      <c r="E23" s="305"/>
      <c r="F23" s="303"/>
      <c r="G23" s="305"/>
      <c r="H23" s="303"/>
    </row>
    <row r="24" spans="2:8" s="16" customFormat="1" ht="15" x14ac:dyDescent="0.5">
      <c r="B24" s="304">
        <v>2</v>
      </c>
      <c r="C24" s="307" t="s">
        <v>286</v>
      </c>
      <c r="D24" s="303"/>
      <c r="E24" s="305"/>
      <c r="F24" s="303"/>
      <c r="G24" s="305"/>
      <c r="H24" s="303"/>
    </row>
    <row r="25" spans="2:8" s="16" customFormat="1" ht="30" x14ac:dyDescent="0.5">
      <c r="B25" s="304"/>
      <c r="C25" s="308" t="s">
        <v>281</v>
      </c>
      <c r="D25" s="303">
        <v>12500</v>
      </c>
      <c r="E25" s="303">
        <v>12500</v>
      </c>
      <c r="F25" s="303">
        <v>12500</v>
      </c>
      <c r="G25" s="303">
        <v>12500</v>
      </c>
      <c r="H25" s="303">
        <v>12500</v>
      </c>
    </row>
    <row r="26" spans="2:8" s="16" customFormat="1" ht="15" x14ac:dyDescent="0.5">
      <c r="B26" s="304"/>
      <c r="C26" s="308"/>
      <c r="D26" s="303"/>
      <c r="E26" s="305"/>
      <c r="F26" s="303"/>
      <c r="G26" s="305"/>
      <c r="H26" s="303"/>
    </row>
    <row r="27" spans="2:8" s="16" customFormat="1" ht="30" x14ac:dyDescent="0.5">
      <c r="B27" s="304"/>
      <c r="C27" s="308" t="s">
        <v>282</v>
      </c>
      <c r="D27" s="303">
        <f>+D25*D10*D11</f>
        <v>3125000</v>
      </c>
      <c r="E27" s="303">
        <f t="shared" ref="E27:H27" si="3">+E25*E10*E11</f>
        <v>3750000</v>
      </c>
      <c r="F27" s="303">
        <f t="shared" si="3"/>
        <v>3750000</v>
      </c>
      <c r="G27" s="303">
        <f t="shared" si="3"/>
        <v>3750000</v>
      </c>
      <c r="H27" s="303">
        <f t="shared" si="3"/>
        <v>3750000</v>
      </c>
    </row>
    <row r="28" spans="2:8" s="16" customFormat="1" ht="30" x14ac:dyDescent="0.5">
      <c r="B28" s="304"/>
      <c r="C28" s="308" t="s">
        <v>283</v>
      </c>
      <c r="D28" s="303">
        <f>+D25*D10*D11*D12</f>
        <v>2187500</v>
      </c>
      <c r="E28" s="303">
        <f t="shared" ref="E28:H28" si="4">+E25*E10*E11*E12</f>
        <v>3000000</v>
      </c>
      <c r="F28" s="303">
        <f t="shared" si="4"/>
        <v>3375000</v>
      </c>
      <c r="G28" s="303">
        <f t="shared" si="4"/>
        <v>3750000</v>
      </c>
      <c r="H28" s="303">
        <f t="shared" si="4"/>
        <v>3750000</v>
      </c>
    </row>
    <row r="29" spans="2:8" s="16" customFormat="1" ht="15" x14ac:dyDescent="0.5">
      <c r="B29" s="304"/>
      <c r="C29" s="15" t="s">
        <v>284</v>
      </c>
      <c r="D29" s="309">
        <v>8</v>
      </c>
      <c r="E29" s="310">
        <v>8.5</v>
      </c>
      <c r="F29" s="309">
        <v>9</v>
      </c>
      <c r="G29" s="310">
        <v>9.5</v>
      </c>
      <c r="H29" s="309">
        <v>10</v>
      </c>
    </row>
    <row r="30" spans="2:8" s="16" customFormat="1" ht="15" x14ac:dyDescent="0.5">
      <c r="B30" s="304"/>
      <c r="C30" s="15" t="s">
        <v>285</v>
      </c>
      <c r="D30" s="303">
        <f>+D28*D29</f>
        <v>17500000</v>
      </c>
      <c r="E30" s="303">
        <f t="shared" ref="E30:H30" si="5">+E28*E29</f>
        <v>25500000</v>
      </c>
      <c r="F30" s="303">
        <f t="shared" si="5"/>
        <v>30375000</v>
      </c>
      <c r="G30" s="303">
        <f t="shared" si="5"/>
        <v>35625000</v>
      </c>
      <c r="H30" s="303">
        <f t="shared" si="5"/>
        <v>37500000</v>
      </c>
    </row>
    <row r="31" spans="2:8" s="16" customFormat="1" ht="15" x14ac:dyDescent="0.5">
      <c r="B31" s="304"/>
      <c r="C31" s="15"/>
      <c r="D31" s="303"/>
      <c r="E31" s="303"/>
      <c r="F31" s="303"/>
      <c r="G31" s="303"/>
      <c r="H31" s="303"/>
    </row>
    <row r="32" spans="2:8" s="16" customFormat="1" ht="15" x14ac:dyDescent="0.5">
      <c r="B32" s="304">
        <v>3</v>
      </c>
      <c r="C32" s="307" t="s">
        <v>52</v>
      </c>
      <c r="D32" s="303"/>
      <c r="E32" s="303"/>
      <c r="F32" s="303"/>
      <c r="G32" s="303"/>
      <c r="H32" s="303"/>
    </row>
    <row r="33" spans="2:8" s="16" customFormat="1" ht="15" x14ac:dyDescent="0.5">
      <c r="B33" s="304"/>
      <c r="C33" s="15" t="s">
        <v>287</v>
      </c>
      <c r="D33" s="303">
        <f>+D19+D27</f>
        <v>3750000</v>
      </c>
      <c r="E33" s="303">
        <f t="shared" ref="E33:H34" si="6">+E19+E27</f>
        <v>4500000</v>
      </c>
      <c r="F33" s="303">
        <f t="shared" si="6"/>
        <v>4500000</v>
      </c>
      <c r="G33" s="303">
        <f t="shared" si="6"/>
        <v>4500000</v>
      </c>
      <c r="H33" s="303">
        <f t="shared" si="6"/>
        <v>4500000</v>
      </c>
    </row>
    <row r="34" spans="2:8" s="16" customFormat="1" ht="15" x14ac:dyDescent="0.5">
      <c r="B34" s="304"/>
      <c r="C34" s="15" t="s">
        <v>288</v>
      </c>
      <c r="D34" s="303">
        <f>+D20+D28</f>
        <v>2625000</v>
      </c>
      <c r="E34" s="303">
        <f t="shared" si="6"/>
        <v>3600000</v>
      </c>
      <c r="F34" s="303">
        <f t="shared" si="6"/>
        <v>4050000</v>
      </c>
      <c r="G34" s="303">
        <f t="shared" si="6"/>
        <v>4500000</v>
      </c>
      <c r="H34" s="303">
        <f t="shared" si="6"/>
        <v>4500000</v>
      </c>
    </row>
    <row r="35" spans="2:8" s="16" customFormat="1" ht="15" x14ac:dyDescent="0.5">
      <c r="B35" s="304"/>
      <c r="C35" s="15" t="s">
        <v>289</v>
      </c>
      <c r="D35" s="303">
        <f>+D30+D22</f>
        <v>51625000</v>
      </c>
      <c r="E35" s="303">
        <f t="shared" ref="E35:H35" si="7">+E30+E22</f>
        <v>73500000</v>
      </c>
      <c r="F35" s="303">
        <f t="shared" si="7"/>
        <v>85725000</v>
      </c>
      <c r="G35" s="303">
        <f t="shared" si="7"/>
        <v>98625000</v>
      </c>
      <c r="H35" s="303">
        <f t="shared" si="7"/>
        <v>102000000</v>
      </c>
    </row>
    <row r="36" spans="2:8" s="16" customFormat="1" ht="15" x14ac:dyDescent="0.5">
      <c r="B36" s="304"/>
      <c r="C36" s="15" t="s">
        <v>290</v>
      </c>
      <c r="D36" s="311">
        <f>+D35/D34</f>
        <v>19.666666666666668</v>
      </c>
      <c r="E36" s="311">
        <f t="shared" ref="E36:H36" si="8">+E35/E34</f>
        <v>20.416666666666668</v>
      </c>
      <c r="F36" s="311">
        <f t="shared" si="8"/>
        <v>21.166666666666668</v>
      </c>
      <c r="G36" s="311">
        <f t="shared" si="8"/>
        <v>21.916666666666668</v>
      </c>
      <c r="H36" s="311">
        <f t="shared" si="8"/>
        <v>22.666666666666668</v>
      </c>
    </row>
    <row r="37" spans="2:8" s="16" customFormat="1" ht="15" x14ac:dyDescent="0.5">
      <c r="B37" s="304"/>
      <c r="C37" s="15"/>
      <c r="D37" s="303"/>
      <c r="E37" s="305"/>
      <c r="F37" s="303"/>
      <c r="G37" s="305"/>
      <c r="H37" s="303"/>
    </row>
    <row r="38" spans="2:8" s="16" customFormat="1" ht="15" x14ac:dyDescent="0.5">
      <c r="B38" s="304"/>
      <c r="C38" s="15"/>
      <c r="D38" s="303"/>
      <c r="E38" s="305"/>
      <c r="F38" s="303"/>
      <c r="G38" s="305"/>
      <c r="H38" s="303"/>
    </row>
    <row r="39" spans="2:8" s="16" customFormat="1" ht="30" x14ac:dyDescent="0.5">
      <c r="B39" s="304"/>
      <c r="C39" s="308" t="s">
        <v>282</v>
      </c>
      <c r="D39" s="303">
        <v>4350000</v>
      </c>
      <c r="E39" s="303">
        <f>D39</f>
        <v>4350000</v>
      </c>
      <c r="F39" s="303">
        <f t="shared" ref="F39:H39" si="9">E39</f>
        <v>4350000</v>
      </c>
      <c r="G39" s="303">
        <f t="shared" si="9"/>
        <v>4350000</v>
      </c>
      <c r="H39" s="303">
        <f t="shared" si="9"/>
        <v>4350000</v>
      </c>
    </row>
    <row r="40" spans="2:8" s="16" customFormat="1" x14ac:dyDescent="0.55000000000000004">
      <c r="B40" s="304"/>
      <c r="C40" s="15" t="s">
        <v>279</v>
      </c>
      <c r="D40" s="227">
        <v>0.7</v>
      </c>
      <c r="E40" s="306">
        <v>0.8</v>
      </c>
      <c r="F40" s="227">
        <v>0.9</v>
      </c>
      <c r="G40" s="306">
        <v>1</v>
      </c>
      <c r="H40" s="227">
        <v>1</v>
      </c>
    </row>
    <row r="41" spans="2:8" s="16" customFormat="1" x14ac:dyDescent="0.55000000000000004">
      <c r="B41" s="304"/>
      <c r="C41" s="15" t="s">
        <v>291</v>
      </c>
      <c r="D41" s="226">
        <v>10</v>
      </c>
      <c r="E41" s="283">
        <v>12</v>
      </c>
      <c r="F41" s="226">
        <v>12</v>
      </c>
      <c r="G41" s="283">
        <v>12</v>
      </c>
      <c r="H41" s="226">
        <v>12</v>
      </c>
    </row>
    <row r="42" spans="2:8" s="16" customFormat="1" x14ac:dyDescent="0.55000000000000004">
      <c r="B42" s="304"/>
      <c r="C42" s="15" t="s">
        <v>292</v>
      </c>
      <c r="D42" s="226">
        <f>+D39*D40*D41/12</f>
        <v>2537500</v>
      </c>
      <c r="E42" s="226">
        <f t="shared" ref="E42:H42" si="10">+E39*E40*E41/12</f>
        <v>3480000</v>
      </c>
      <c r="F42" s="226">
        <f t="shared" si="10"/>
        <v>3915000</v>
      </c>
      <c r="G42" s="226">
        <f t="shared" si="10"/>
        <v>4350000</v>
      </c>
      <c r="H42" s="226">
        <f t="shared" si="10"/>
        <v>4350000</v>
      </c>
    </row>
    <row r="43" spans="2:8" s="16" customFormat="1" x14ac:dyDescent="0.55000000000000004">
      <c r="B43" s="312"/>
      <c r="C43" s="299"/>
      <c r="D43" s="313"/>
      <c r="E43" s="314"/>
      <c r="F43" s="313"/>
      <c r="G43" s="314"/>
      <c r="H43" s="313"/>
    </row>
  </sheetData>
  <mergeCells count="2">
    <mergeCell ref="B2:K2"/>
    <mergeCell ref="B3:K3"/>
  </mergeCells>
  <printOptions horizontalCentered="1"/>
  <pageMargins left="0" right="0" top="0.74803149606299213" bottom="0.74803149606299213" header="0.31496062992125984" footer="0.31496062992125984"/>
  <pageSetup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53"/>
  <sheetViews>
    <sheetView topLeftCell="A27" workbookViewId="0">
      <selection activeCell="B13" sqref="B13:H13"/>
    </sheetView>
  </sheetViews>
  <sheetFormatPr defaultColWidth="9.15625" defaultRowHeight="14.4" x14ac:dyDescent="0.55000000000000004"/>
  <cols>
    <col min="3" max="3" width="37" bestFit="1" customWidth="1"/>
    <col min="4" max="4" width="17.26171875" customWidth="1"/>
    <col min="5" max="5" width="15.26171875" bestFit="1" customWidth="1"/>
    <col min="6" max="6" width="18" bestFit="1" customWidth="1"/>
    <col min="7" max="7" width="13.26171875" bestFit="1" customWidth="1"/>
    <col min="8" max="8" width="15.15625" bestFit="1" customWidth="1"/>
    <col min="9" max="9" width="14.26171875" bestFit="1" customWidth="1"/>
    <col min="10" max="11" width="15.41796875" bestFit="1" customWidth="1"/>
  </cols>
  <sheetData>
    <row r="1" spans="3:4" x14ac:dyDescent="0.55000000000000004">
      <c r="C1" s="315" t="s">
        <v>293</v>
      </c>
    </row>
    <row r="3" spans="3:4" x14ac:dyDescent="0.55000000000000004">
      <c r="C3" s="315" t="s">
        <v>294</v>
      </c>
    </row>
    <row r="4" spans="3:4" x14ac:dyDescent="0.55000000000000004">
      <c r="C4" t="s">
        <v>295</v>
      </c>
      <c r="D4" t="s">
        <v>296</v>
      </c>
    </row>
    <row r="5" spans="3:4" x14ac:dyDescent="0.55000000000000004">
      <c r="C5" t="s">
        <v>297</v>
      </c>
      <c r="D5" t="s">
        <v>298</v>
      </c>
    </row>
    <row r="6" spans="3:4" x14ac:dyDescent="0.55000000000000004">
      <c r="C6" t="s">
        <v>299</v>
      </c>
      <c r="D6" t="s">
        <v>300</v>
      </c>
    </row>
    <row r="8" spans="3:4" x14ac:dyDescent="0.55000000000000004">
      <c r="C8" s="315" t="s">
        <v>301</v>
      </c>
    </row>
    <row r="9" spans="3:4" x14ac:dyDescent="0.55000000000000004">
      <c r="C9" t="s">
        <v>302</v>
      </c>
    </row>
    <row r="11" spans="3:4" x14ac:dyDescent="0.55000000000000004">
      <c r="C11" t="s">
        <v>303</v>
      </c>
      <c r="D11" s="316">
        <v>0.1</v>
      </c>
    </row>
    <row r="12" spans="3:4" x14ac:dyDescent="0.55000000000000004">
      <c r="C12" t="s">
        <v>304</v>
      </c>
      <c r="D12" t="s">
        <v>305</v>
      </c>
    </row>
    <row r="14" spans="3:4" x14ac:dyDescent="0.55000000000000004">
      <c r="C14" t="s">
        <v>306</v>
      </c>
      <c r="D14" s="317">
        <v>45658</v>
      </c>
    </row>
    <row r="15" spans="3:4" x14ac:dyDescent="0.55000000000000004">
      <c r="D15" s="317"/>
    </row>
    <row r="16" spans="3:4" x14ac:dyDescent="0.55000000000000004">
      <c r="C16" s="315" t="s">
        <v>307</v>
      </c>
    </row>
    <row r="17" spans="3:11" x14ac:dyDescent="0.55000000000000004">
      <c r="C17" t="s">
        <v>308</v>
      </c>
      <c r="D17" t="s">
        <v>309</v>
      </c>
    </row>
    <row r="19" spans="3:11" x14ac:dyDescent="0.55000000000000004">
      <c r="C19" t="s">
        <v>310</v>
      </c>
    </row>
    <row r="20" spans="3:11" s="315" customFormat="1" x14ac:dyDescent="0.55000000000000004">
      <c r="C20" s="315" t="s">
        <v>38</v>
      </c>
      <c r="D20" s="315" t="s">
        <v>311</v>
      </c>
      <c r="E20" s="315" t="s">
        <v>312</v>
      </c>
      <c r="F20" s="315" t="s">
        <v>313</v>
      </c>
      <c r="H20" s="315" t="s">
        <v>314</v>
      </c>
      <c r="I20" s="315" t="s">
        <v>315</v>
      </c>
    </row>
    <row r="21" spans="3:11" x14ac:dyDescent="0.55000000000000004">
      <c r="C21" t="s">
        <v>316</v>
      </c>
      <c r="D21" s="318">
        <v>9150000</v>
      </c>
      <c r="E21" s="318">
        <v>1136900</v>
      </c>
      <c r="F21" s="318">
        <f>D21+E21</f>
        <v>10286900</v>
      </c>
      <c r="H21" s="318">
        <f>D21/118*100</f>
        <v>7754237.2881355928</v>
      </c>
      <c r="I21" s="318">
        <f>H21*18%</f>
        <v>1395762.7118644067</v>
      </c>
      <c r="J21" s="318">
        <f>H21+I21</f>
        <v>9150000</v>
      </c>
    </row>
    <row r="22" spans="3:11" x14ac:dyDescent="0.55000000000000004">
      <c r="C22" t="s">
        <v>317</v>
      </c>
      <c r="D22" s="318">
        <v>27970000</v>
      </c>
      <c r="E22" s="318">
        <v>99250</v>
      </c>
      <c r="F22" s="318">
        <f t="shared" ref="F22:F26" si="0">D22+E22</f>
        <v>28069250</v>
      </c>
      <c r="H22" s="318">
        <f t="shared" ref="H22:H25" si="1">D22/118*100</f>
        <v>23703389.830508474</v>
      </c>
      <c r="I22" s="318">
        <f t="shared" ref="I22:I25" si="2">H22*18%</f>
        <v>4266610.1694915248</v>
      </c>
      <c r="J22" s="318">
        <f t="shared" ref="J22:J25" si="3">H22+I22</f>
        <v>27970000</v>
      </c>
    </row>
    <row r="23" spans="3:11" x14ac:dyDescent="0.55000000000000004">
      <c r="C23" t="s">
        <v>318</v>
      </c>
      <c r="D23" s="318">
        <v>12420000</v>
      </c>
      <c r="E23" s="318">
        <v>242980</v>
      </c>
      <c r="F23" s="318">
        <f t="shared" si="0"/>
        <v>12662980</v>
      </c>
      <c r="H23" s="318">
        <f t="shared" si="1"/>
        <v>10525423.728813561</v>
      </c>
      <c r="I23" s="318">
        <f t="shared" si="2"/>
        <v>1894576.271186441</v>
      </c>
      <c r="J23" s="318">
        <f t="shared" si="3"/>
        <v>12420000.000000002</v>
      </c>
    </row>
    <row r="24" spans="3:11" x14ac:dyDescent="0.55000000000000004">
      <c r="C24" t="s">
        <v>319</v>
      </c>
      <c r="D24" s="318">
        <v>10620000</v>
      </c>
      <c r="E24" s="318">
        <v>100450</v>
      </c>
      <c r="F24" s="318">
        <f t="shared" si="0"/>
        <v>10720450</v>
      </c>
      <c r="H24" s="318">
        <f t="shared" si="1"/>
        <v>9000000</v>
      </c>
      <c r="I24" s="318">
        <f t="shared" si="2"/>
        <v>1620000</v>
      </c>
      <c r="J24" s="318">
        <f t="shared" si="3"/>
        <v>10620000</v>
      </c>
    </row>
    <row r="25" spans="3:11" x14ac:dyDescent="0.55000000000000004">
      <c r="C25" t="s">
        <v>320</v>
      </c>
      <c r="D25" s="318">
        <v>4450000</v>
      </c>
      <c r="E25" s="318">
        <v>228000</v>
      </c>
      <c r="F25" s="318">
        <f t="shared" si="0"/>
        <v>4678000</v>
      </c>
      <c r="H25" s="318">
        <f t="shared" si="1"/>
        <v>3771186.4406779665</v>
      </c>
      <c r="I25" s="318">
        <f t="shared" si="2"/>
        <v>678813.55932203389</v>
      </c>
      <c r="J25" s="318">
        <f t="shared" si="3"/>
        <v>4450000</v>
      </c>
    </row>
    <row r="26" spans="3:11" s="315" customFormat="1" x14ac:dyDescent="0.55000000000000004">
      <c r="C26" s="315" t="s">
        <v>52</v>
      </c>
      <c r="D26" s="319">
        <f>SUM(D21:D25)</f>
        <v>64610000</v>
      </c>
      <c r="E26" s="319">
        <f>SUM(E21:E25)</f>
        <v>1807580</v>
      </c>
      <c r="F26" s="319">
        <f t="shared" si="0"/>
        <v>66417580</v>
      </c>
      <c r="J26" s="319">
        <f>SUM(J21:J25)</f>
        <v>64610000</v>
      </c>
      <c r="K26" s="319">
        <f>J26-1800000</f>
        <v>62810000</v>
      </c>
    </row>
    <row r="27" spans="3:11" s="315" customFormat="1" x14ac:dyDescent="0.55000000000000004">
      <c r="D27" s="319"/>
      <c r="E27" s="319"/>
      <c r="F27" s="319"/>
    </row>
    <row r="28" spans="3:11" x14ac:dyDescent="0.55000000000000004">
      <c r="C28" s="315" t="s">
        <v>321</v>
      </c>
    </row>
    <row r="29" spans="3:11" x14ac:dyDescent="0.55000000000000004">
      <c r="C29" t="s">
        <v>322</v>
      </c>
      <c r="D29" s="318">
        <f>D26*25%</f>
        <v>16152500</v>
      </c>
      <c r="E29" s="318">
        <f>E26*25%</f>
        <v>451895</v>
      </c>
      <c r="F29" t="s">
        <v>323</v>
      </c>
    </row>
    <row r="30" spans="3:11" x14ac:dyDescent="0.55000000000000004">
      <c r="C30" t="s">
        <v>324</v>
      </c>
      <c r="D30" s="318">
        <f>D26*75%</f>
        <v>48457500</v>
      </c>
      <c r="E30" s="318">
        <f>E26*75%</f>
        <v>1355685</v>
      </c>
      <c r="F30" t="s">
        <v>325</v>
      </c>
    </row>
    <row r="33" spans="3:10" x14ac:dyDescent="0.55000000000000004">
      <c r="C33" t="s">
        <v>326</v>
      </c>
      <c r="D33" t="s">
        <v>327</v>
      </c>
    </row>
    <row r="34" spans="3:10" x14ac:dyDescent="0.55000000000000004">
      <c r="C34" t="s">
        <v>13</v>
      </c>
      <c r="D34" t="s">
        <v>64</v>
      </c>
    </row>
    <row r="35" spans="3:10" x14ac:dyDescent="0.55000000000000004">
      <c r="D35" t="s">
        <v>328</v>
      </c>
    </row>
    <row r="37" spans="3:10" x14ac:dyDescent="0.55000000000000004">
      <c r="D37" t="s">
        <v>329</v>
      </c>
    </row>
    <row r="39" spans="3:10" x14ac:dyDescent="0.55000000000000004">
      <c r="C39" t="s">
        <v>330</v>
      </c>
      <c r="D39" s="316">
        <v>0.05</v>
      </c>
    </row>
    <row r="43" spans="3:10" x14ac:dyDescent="0.55000000000000004">
      <c r="D43" t="s">
        <v>331</v>
      </c>
      <c r="E43" t="s">
        <v>332</v>
      </c>
      <c r="F43" t="s">
        <v>333</v>
      </c>
      <c r="G43" t="s">
        <v>319</v>
      </c>
      <c r="H43" t="s">
        <v>334</v>
      </c>
      <c r="I43" t="s">
        <v>52</v>
      </c>
    </row>
    <row r="44" spans="3:10" x14ac:dyDescent="0.55000000000000004">
      <c r="C44" t="s">
        <v>335</v>
      </c>
      <c r="D44" s="318">
        <v>840000</v>
      </c>
      <c r="F44" s="318"/>
      <c r="I44" s="320">
        <f>+SUM(D44:H44)</f>
        <v>840000</v>
      </c>
      <c r="J44">
        <f>+I44*12</f>
        <v>10080000</v>
      </c>
    </row>
    <row r="45" spans="3:10" x14ac:dyDescent="0.55000000000000004">
      <c r="C45" t="s">
        <v>336</v>
      </c>
      <c r="D45" s="318">
        <v>45000</v>
      </c>
      <c r="E45" s="318">
        <v>27000</v>
      </c>
      <c r="F45" s="318">
        <v>45000</v>
      </c>
      <c r="H45" s="318">
        <v>44000</v>
      </c>
      <c r="I45" s="320">
        <f t="shared" ref="I45:I52" si="4">+SUM(D45:H45)</f>
        <v>161000</v>
      </c>
      <c r="J45">
        <f t="shared" ref="J45:J51" si="5">+I45*12</f>
        <v>1932000</v>
      </c>
    </row>
    <row r="46" spans="3:10" x14ac:dyDescent="0.55000000000000004">
      <c r="C46" t="s">
        <v>337</v>
      </c>
      <c r="D46" s="318"/>
      <c r="E46" s="318"/>
      <c r="F46" s="318"/>
      <c r="H46" s="318"/>
      <c r="I46" s="320">
        <v>150000</v>
      </c>
      <c r="J46">
        <f t="shared" si="5"/>
        <v>1800000</v>
      </c>
    </row>
    <row r="47" spans="3:10" x14ac:dyDescent="0.55000000000000004">
      <c r="C47" t="s">
        <v>338</v>
      </c>
      <c r="D47" s="318">
        <v>126900</v>
      </c>
      <c r="E47" s="318">
        <v>20250</v>
      </c>
      <c r="F47" s="318">
        <v>127980</v>
      </c>
      <c r="G47" s="318">
        <v>90450</v>
      </c>
      <c r="H47" s="318">
        <v>140000</v>
      </c>
      <c r="I47" s="320">
        <f t="shared" si="4"/>
        <v>505580</v>
      </c>
      <c r="J47">
        <f t="shared" si="5"/>
        <v>6066960</v>
      </c>
    </row>
    <row r="48" spans="3:10" x14ac:dyDescent="0.55000000000000004">
      <c r="C48" t="s">
        <v>339</v>
      </c>
      <c r="D48" s="318"/>
      <c r="E48" s="318"/>
      <c r="F48" s="318"/>
      <c r="G48" s="318"/>
      <c r="H48" s="318"/>
      <c r="I48" s="320">
        <v>400000</v>
      </c>
      <c r="J48">
        <f t="shared" si="5"/>
        <v>4800000</v>
      </c>
    </row>
    <row r="49" spans="3:10" x14ac:dyDescent="0.55000000000000004">
      <c r="C49" t="s">
        <v>340</v>
      </c>
      <c r="D49" s="318">
        <v>10000</v>
      </c>
      <c r="E49" s="318">
        <v>25000</v>
      </c>
      <c r="F49" s="318">
        <v>40000</v>
      </c>
      <c r="G49" s="318">
        <v>10000</v>
      </c>
      <c r="I49" s="320">
        <f t="shared" si="4"/>
        <v>85000</v>
      </c>
      <c r="J49">
        <f t="shared" si="5"/>
        <v>1020000</v>
      </c>
    </row>
    <row r="50" spans="3:10" x14ac:dyDescent="0.55000000000000004">
      <c r="C50" t="s">
        <v>341</v>
      </c>
      <c r="D50" s="318">
        <v>100000</v>
      </c>
      <c r="I50" s="320">
        <f t="shared" si="4"/>
        <v>100000</v>
      </c>
      <c r="J50">
        <f t="shared" si="5"/>
        <v>1200000</v>
      </c>
    </row>
    <row r="51" spans="3:10" x14ac:dyDescent="0.55000000000000004">
      <c r="C51" t="s">
        <v>342</v>
      </c>
      <c r="D51" s="318"/>
      <c r="I51" s="320">
        <v>600000</v>
      </c>
      <c r="J51">
        <f t="shared" si="5"/>
        <v>7200000</v>
      </c>
    </row>
    <row r="52" spans="3:10" s="315" customFormat="1" x14ac:dyDescent="0.55000000000000004">
      <c r="C52" s="315" t="s">
        <v>343</v>
      </c>
      <c r="D52" s="319">
        <f>SUM(D44:D50)</f>
        <v>1121900</v>
      </c>
      <c r="E52" s="319">
        <f>SUM(E44:E50)</f>
        <v>72250</v>
      </c>
      <c r="F52" s="319">
        <f t="shared" ref="F52:H52" si="6">SUM(F44:F50)</f>
        <v>212980</v>
      </c>
      <c r="G52" s="319">
        <f t="shared" si="6"/>
        <v>100450</v>
      </c>
      <c r="H52" s="319">
        <f t="shared" si="6"/>
        <v>184000</v>
      </c>
      <c r="I52" s="320">
        <f t="shared" si="4"/>
        <v>1691580</v>
      </c>
      <c r="J52" s="320">
        <f>SUM(J44:J50)</f>
        <v>26898960</v>
      </c>
    </row>
    <row r="53" spans="3:10" s="315" customFormat="1" x14ac:dyDescent="0.55000000000000004">
      <c r="C53" s="315" t="s">
        <v>344</v>
      </c>
      <c r="D53" s="321">
        <f>+D52*12</f>
        <v>13462800</v>
      </c>
      <c r="E53" s="321">
        <f t="shared" ref="E53:H53" si="7">+E52*12</f>
        <v>867000</v>
      </c>
      <c r="F53" s="321">
        <f t="shared" si="7"/>
        <v>2555760</v>
      </c>
      <c r="G53" s="321">
        <f t="shared" si="7"/>
        <v>1205400</v>
      </c>
      <c r="H53" s="321">
        <f t="shared" si="7"/>
        <v>2208000</v>
      </c>
      <c r="I53" s="320">
        <f>+SUM(D53:H53)</f>
        <v>20298960</v>
      </c>
      <c r="J53" s="315">
        <f>+J52/12*9</f>
        <v>20174220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Cover Page</vt:lpstr>
      <vt:lpstr>Project Heighlights</vt:lpstr>
      <vt:lpstr>Cap Assumptions</vt:lpstr>
      <vt:lpstr>BS PL CF</vt:lpstr>
      <vt:lpstr>FA</vt:lpstr>
      <vt:lpstr>repayment sch</vt:lpstr>
      <vt:lpstr>BEP</vt:lpstr>
      <vt:lpstr>Production detaiils</vt:lpstr>
      <vt:lpstr>Cost</vt:lpstr>
      <vt:lpstr>REVENUE DETAILS</vt:lpstr>
      <vt:lpstr>SUMMARY</vt:lpstr>
      <vt:lpstr>BEP!Print_Area</vt:lpstr>
      <vt:lpstr>'BS PL CF'!Print_Area</vt:lpstr>
      <vt:lpstr>'Cap Assumptions'!Print_Area</vt:lpstr>
      <vt:lpstr>'Cover Page'!Print_Area</vt:lpstr>
      <vt:lpstr>FA!Print_Area</vt:lpstr>
      <vt:lpstr>'Production detaiils'!Print_Area</vt:lpstr>
      <vt:lpstr>'Project Heighlights'!Print_Area</vt:lpstr>
      <vt:lpstr>'repayment sch'!Print_Area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 Talluri</dc:creator>
  <cp:lastModifiedBy>Ram Talluri</cp:lastModifiedBy>
  <dcterms:created xsi:type="dcterms:W3CDTF">2025-01-31T12:01:00Z</dcterms:created>
  <dcterms:modified xsi:type="dcterms:W3CDTF">2025-01-31T12:02:20Z</dcterms:modified>
</cp:coreProperties>
</file>