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In Progress Files\Mohd. Umair\TEV reports\Echo Tech Group\Working\Financial Model\Bikana Renewables 2 Private Limited\"/>
    </mc:Choice>
  </mc:AlternateContent>
  <xr:revisionPtr revIDLastSave="0" documentId="13_ncr:1_{74794A59-4998-456E-8F8E-51A7DA5200CD}" xr6:coauthVersionLast="47" xr6:coauthVersionMax="47" xr10:uidLastSave="{00000000-0000-0000-0000-000000000000}"/>
  <bookViews>
    <workbookView xWindow="-120" yWindow="-120" windowWidth="24240" windowHeight="13020" tabRatio="795" xr2:uid="{00000000-000D-0000-FFFF-FFFF00000000}"/>
  </bookViews>
  <sheets>
    <sheet name="PC &amp; MoF" sheetId="1" r:id="rId1"/>
    <sheet name="Revenue &amp; Expenses Modeling" sheetId="4" r:id="rId2"/>
    <sheet name="Assumptions" sheetId="2" r:id="rId3"/>
    <sheet name="IS" sheetId="5" r:id="rId4"/>
    <sheet name="BS" sheetId="6" r:id="rId5"/>
    <sheet name="CFS" sheetId="7" r:id="rId6"/>
    <sheet name="Loan Schedule" sheetId="8" r:id="rId7"/>
    <sheet name="Dep Schedule" sheetId="9" r:id="rId8"/>
    <sheet name="Ratio" sheetId="11" r:id="rId9"/>
    <sheet name="Tax Schedule" sheetId="12" r:id="rId10"/>
  </sheets>
  <externalReferences>
    <externalReference r:id="rId11"/>
    <externalReference r:id="rId12"/>
  </externalReferences>
  <definedNames>
    <definedName name="Company" localSheetId="9">'[1]PC &amp; MoF'!$B$1</definedName>
    <definedName name="Company">'PC &amp; MoF'!$B$1</definedName>
    <definedName name="Full_Print">#REF!</definedName>
    <definedName name="Project" localSheetId="9">'[1]PC &amp; MoF'!$B$3</definedName>
    <definedName name="Project">'PC &amp; MoF'!$B$3</definedName>
    <definedName name="Total_Cost">#REF!</definedName>
    <definedName name="Total_Interest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2" l="1"/>
  <c r="G36" i="2"/>
  <c r="G43" i="4"/>
  <c r="U113" i="11"/>
  <c r="G68" i="9"/>
  <c r="AE23" i="12"/>
  <c r="G23" i="12"/>
  <c r="F23" i="12"/>
  <c r="F68" i="9"/>
  <c r="F42" i="9"/>
  <c r="F67" i="9"/>
  <c r="B78" i="9"/>
  <c r="B77" i="9"/>
  <c r="B75" i="9"/>
  <c r="F74" i="9"/>
  <c r="B74" i="9"/>
  <c r="F73" i="9"/>
  <c r="B72" i="9"/>
  <c r="B71" i="9"/>
  <c r="F70" i="9"/>
  <c r="F71" i="9" s="1"/>
  <c r="B69" i="9"/>
  <c r="B68" i="9"/>
  <c r="B66" i="9"/>
  <c r="F65" i="9"/>
  <c r="B65" i="9"/>
  <c r="F64" i="9"/>
  <c r="F66" i="9" s="1"/>
  <c r="G64" i="9" s="1"/>
  <c r="B63" i="9"/>
  <c r="B62" i="9"/>
  <c r="F61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AE22" i="12"/>
  <c r="AE8" i="12"/>
  <c r="AE10" i="12"/>
  <c r="C17" i="12"/>
  <c r="F42" i="12"/>
  <c r="F26" i="12"/>
  <c r="F25" i="12"/>
  <c r="AE19" i="12"/>
  <c r="AE35" i="12" s="1"/>
  <c r="F14" i="12"/>
  <c r="G14" i="12" s="1"/>
  <c r="H14" i="12" s="1"/>
  <c r="I14" i="12" s="1"/>
  <c r="J14" i="12" s="1"/>
  <c r="K14" i="12" s="1"/>
  <c r="L14" i="12" s="1"/>
  <c r="M14" i="12" s="1"/>
  <c r="N14" i="12" s="1"/>
  <c r="O14" i="12" s="1"/>
  <c r="P14" i="12" s="1"/>
  <c r="Q14" i="12" s="1"/>
  <c r="R14" i="12" s="1"/>
  <c r="S14" i="12" s="1"/>
  <c r="T14" i="12" s="1"/>
  <c r="U14" i="12" s="1"/>
  <c r="V14" i="12" s="1"/>
  <c r="W14" i="12" s="1"/>
  <c r="X14" i="12" s="1"/>
  <c r="Y14" i="12" s="1"/>
  <c r="Z14" i="12" s="1"/>
  <c r="AA14" i="12" s="1"/>
  <c r="AB14" i="12" s="1"/>
  <c r="AC14" i="12" s="1"/>
  <c r="AD14" i="12" s="1"/>
  <c r="AE14" i="12" s="1"/>
  <c r="G9" i="12"/>
  <c r="H9" i="12" s="1"/>
  <c r="I9" i="12" s="1"/>
  <c r="J9" i="12" s="1"/>
  <c r="K9" i="12" s="1"/>
  <c r="L9" i="12" s="1"/>
  <c r="M9" i="12" s="1"/>
  <c r="N9" i="12" s="1"/>
  <c r="O9" i="12" s="1"/>
  <c r="P9" i="12" s="1"/>
  <c r="Q9" i="12" s="1"/>
  <c r="R9" i="12" s="1"/>
  <c r="S9" i="12" s="1"/>
  <c r="T9" i="12" s="1"/>
  <c r="U9" i="12" s="1"/>
  <c r="V9" i="12" s="1"/>
  <c r="W9" i="12" s="1"/>
  <c r="X9" i="12" s="1"/>
  <c r="Y9" i="12" s="1"/>
  <c r="Z9" i="12" s="1"/>
  <c r="AA9" i="12" s="1"/>
  <c r="AB9" i="12" s="1"/>
  <c r="AC9" i="12" s="1"/>
  <c r="AD9" i="12" s="1"/>
  <c r="AE9" i="12" s="1"/>
  <c r="F69" i="9" l="1"/>
  <c r="G67" i="9" s="1"/>
  <c r="G69" i="9" s="1"/>
  <c r="H67" i="9" s="1"/>
  <c r="H68" i="9" s="1"/>
  <c r="H23" i="12" s="1"/>
  <c r="G65" i="9"/>
  <c r="G66" i="9" s="1"/>
  <c r="H64" i="9" s="1"/>
  <c r="F72" i="9"/>
  <c r="G70" i="9" s="1"/>
  <c r="F62" i="9"/>
  <c r="F75" i="9"/>
  <c r="G73" i="9" s="1"/>
  <c r="AE38" i="12"/>
  <c r="AE24" i="12"/>
  <c r="H69" i="9" l="1"/>
  <c r="I67" i="9" s="1"/>
  <c r="I68" i="9" s="1"/>
  <c r="I23" i="12" s="1"/>
  <c r="H65" i="9"/>
  <c r="H66" i="9"/>
  <c r="I64" i="9" s="1"/>
  <c r="G74" i="9"/>
  <c r="G75" i="9" s="1"/>
  <c r="H73" i="9" s="1"/>
  <c r="F63" i="9"/>
  <c r="G72" i="9"/>
  <c r="H70" i="9" s="1"/>
  <c r="G71" i="9"/>
  <c r="I69" i="9" l="1"/>
  <c r="J67" i="9" s="1"/>
  <c r="J68" i="9" s="1"/>
  <c r="J23" i="12" s="1"/>
  <c r="H74" i="9"/>
  <c r="H75" i="9"/>
  <c r="I73" i="9" s="1"/>
  <c r="H71" i="9"/>
  <c r="H72" i="9" s="1"/>
  <c r="I70" i="9" s="1"/>
  <c r="I65" i="9"/>
  <c r="I66" i="9" s="1"/>
  <c r="J64" i="9" s="1"/>
  <c r="G61" i="9"/>
  <c r="J65" i="9" l="1"/>
  <c r="J66" i="9" s="1"/>
  <c r="K64" i="9" s="1"/>
  <c r="I71" i="9"/>
  <c r="I72" i="9"/>
  <c r="J70" i="9" s="1"/>
  <c r="J69" i="9"/>
  <c r="K67" i="9" s="1"/>
  <c r="K68" i="9" s="1"/>
  <c r="K23" i="12" s="1"/>
  <c r="G62" i="9"/>
  <c r="I74" i="9"/>
  <c r="I75" i="9" s="1"/>
  <c r="J73" i="9" s="1"/>
  <c r="J74" i="9" l="1"/>
  <c r="J75" i="9" s="1"/>
  <c r="K73" i="9" s="1"/>
  <c r="K65" i="9"/>
  <c r="K66" i="9" s="1"/>
  <c r="L64" i="9" s="1"/>
  <c r="G63" i="9"/>
  <c r="K69" i="9"/>
  <c r="L67" i="9" s="1"/>
  <c r="L68" i="9" s="1"/>
  <c r="L23" i="12" s="1"/>
  <c r="J71" i="9"/>
  <c r="J72" i="9"/>
  <c r="K70" i="9" s="1"/>
  <c r="L65" i="9" l="1"/>
  <c r="L66" i="9" s="1"/>
  <c r="M64" i="9" s="1"/>
  <c r="K74" i="9"/>
  <c r="K75" i="9" s="1"/>
  <c r="L73" i="9" s="1"/>
  <c r="H61" i="9"/>
  <c r="L69" i="9"/>
  <c r="M67" i="9" s="1"/>
  <c r="M68" i="9" s="1"/>
  <c r="M23" i="12" s="1"/>
  <c r="K71" i="9"/>
  <c r="K72" i="9" s="1"/>
  <c r="L70" i="9" s="1"/>
  <c r="M69" i="9" l="1"/>
  <c r="N67" i="9" s="1"/>
  <c r="N68" i="9" s="1"/>
  <c r="N23" i="12" s="1"/>
  <c r="L71" i="9"/>
  <c r="L72" i="9" s="1"/>
  <c r="M70" i="9" s="1"/>
  <c r="L74" i="9"/>
  <c r="L75" i="9"/>
  <c r="M73" i="9" s="1"/>
  <c r="M65" i="9"/>
  <c r="M66" i="9" s="1"/>
  <c r="N64" i="9" s="1"/>
  <c r="H62" i="9"/>
  <c r="H63" i="9"/>
  <c r="M71" i="9" l="1"/>
  <c r="M72" i="9"/>
  <c r="N70" i="9" s="1"/>
  <c r="N65" i="9"/>
  <c r="N66" i="9" s="1"/>
  <c r="O64" i="9" s="1"/>
  <c r="N69" i="9"/>
  <c r="O67" i="9" s="1"/>
  <c r="O68" i="9" s="1"/>
  <c r="O23" i="12" s="1"/>
  <c r="I61" i="9"/>
  <c r="M74" i="9"/>
  <c r="M75" i="9" s="1"/>
  <c r="N73" i="9" s="1"/>
  <c r="O65" i="9" l="1"/>
  <c r="O66" i="9"/>
  <c r="P64" i="9" s="1"/>
  <c r="N74" i="9"/>
  <c r="N75" i="9" s="1"/>
  <c r="O73" i="9" s="1"/>
  <c r="I62" i="9"/>
  <c r="I63" i="9"/>
  <c r="O69" i="9"/>
  <c r="P67" i="9" s="1"/>
  <c r="P68" i="9" s="1"/>
  <c r="P23" i="12" s="1"/>
  <c r="N71" i="9"/>
  <c r="N72" i="9"/>
  <c r="O70" i="9" s="1"/>
  <c r="O74" i="9" l="1"/>
  <c r="O75" i="9" s="1"/>
  <c r="P73" i="9" s="1"/>
  <c r="O71" i="9"/>
  <c r="O72" i="9" s="1"/>
  <c r="P70" i="9" s="1"/>
  <c r="P69" i="9"/>
  <c r="Q67" i="9" s="1"/>
  <c r="Q68" i="9" s="1"/>
  <c r="Q23" i="12" s="1"/>
  <c r="J61" i="9"/>
  <c r="P65" i="9"/>
  <c r="P66" i="9"/>
  <c r="Q64" i="9" s="1"/>
  <c r="Q69" i="9" l="1"/>
  <c r="R67" i="9" s="1"/>
  <c r="R68" i="9" s="1"/>
  <c r="R23" i="12" s="1"/>
  <c r="P71" i="9"/>
  <c r="P72" i="9" s="1"/>
  <c r="Q70" i="9" s="1"/>
  <c r="P74" i="9"/>
  <c r="P75" i="9"/>
  <c r="Q73" i="9" s="1"/>
  <c r="Q65" i="9"/>
  <c r="Q66" i="9"/>
  <c r="R64" i="9" s="1"/>
  <c r="J62" i="9"/>
  <c r="Q71" i="9" l="1"/>
  <c r="Q72" i="9"/>
  <c r="R70" i="9" s="1"/>
  <c r="R69" i="9"/>
  <c r="S67" i="9" s="1"/>
  <c r="S68" i="9" s="1"/>
  <c r="S23" i="12" s="1"/>
  <c r="Q74" i="9"/>
  <c r="Q75" i="9" s="1"/>
  <c r="R73" i="9" s="1"/>
  <c r="J63" i="9"/>
  <c r="R65" i="9"/>
  <c r="R66" i="9" s="1"/>
  <c r="S64" i="9" s="1"/>
  <c r="S65" i="9" l="1"/>
  <c r="S66" i="9" s="1"/>
  <c r="T64" i="9" s="1"/>
  <c r="R74" i="9"/>
  <c r="R75" i="9" s="1"/>
  <c r="S73" i="9" s="1"/>
  <c r="S69" i="9"/>
  <c r="T67" i="9" s="1"/>
  <c r="T68" i="9" s="1"/>
  <c r="T23" i="12" s="1"/>
  <c r="R71" i="9"/>
  <c r="R72" i="9"/>
  <c r="S70" i="9" s="1"/>
  <c r="K61" i="9"/>
  <c r="T69" i="9" l="1"/>
  <c r="U67" i="9" s="1"/>
  <c r="U68" i="9" s="1"/>
  <c r="U23" i="12" s="1"/>
  <c r="S74" i="9"/>
  <c r="S75" i="9" s="1"/>
  <c r="T73" i="9" s="1"/>
  <c r="T65" i="9"/>
  <c r="T66" i="9"/>
  <c r="U64" i="9" s="1"/>
  <c r="K62" i="9"/>
  <c r="S71" i="9"/>
  <c r="S72" i="9" s="1"/>
  <c r="T70" i="9" s="1"/>
  <c r="T71" i="9" l="1"/>
  <c r="T72" i="9" s="1"/>
  <c r="U70" i="9" s="1"/>
  <c r="T74" i="9"/>
  <c r="T75" i="9"/>
  <c r="U73" i="9" s="1"/>
  <c r="U69" i="9"/>
  <c r="V67" i="9" s="1"/>
  <c r="V68" i="9" s="1"/>
  <c r="V23" i="12" s="1"/>
  <c r="U65" i="9"/>
  <c r="U66" i="9" s="1"/>
  <c r="V64" i="9" s="1"/>
  <c r="K63" i="9"/>
  <c r="V65" i="9" l="1"/>
  <c r="V66" i="9" s="1"/>
  <c r="W64" i="9" s="1"/>
  <c r="V69" i="9"/>
  <c r="W67" i="9" s="1"/>
  <c r="W68" i="9" s="1"/>
  <c r="W23" i="12" s="1"/>
  <c r="U71" i="9"/>
  <c r="U72" i="9"/>
  <c r="V70" i="9" s="1"/>
  <c r="U74" i="9"/>
  <c r="U75" i="9" s="1"/>
  <c r="V73" i="9" s="1"/>
  <c r="L61" i="9"/>
  <c r="V74" i="9" l="1"/>
  <c r="V75" i="9" s="1"/>
  <c r="W73" i="9" s="1"/>
  <c r="W65" i="9"/>
  <c r="W66" i="9"/>
  <c r="X64" i="9" s="1"/>
  <c r="L62" i="9"/>
  <c r="W69" i="9"/>
  <c r="X67" i="9" s="1"/>
  <c r="X68" i="9" s="1"/>
  <c r="X23" i="12" s="1"/>
  <c r="V71" i="9"/>
  <c r="V72" i="9"/>
  <c r="W70" i="9" s="1"/>
  <c r="W74" i="9" l="1"/>
  <c r="W75" i="9" s="1"/>
  <c r="X73" i="9" s="1"/>
  <c r="X69" i="9"/>
  <c r="Y67" i="9" s="1"/>
  <c r="Y68" i="9" s="1"/>
  <c r="Y23" i="12" s="1"/>
  <c r="X65" i="9"/>
  <c r="X66" i="9"/>
  <c r="Y64" i="9" s="1"/>
  <c r="W71" i="9"/>
  <c r="W72" i="9" s="1"/>
  <c r="X70" i="9" s="1"/>
  <c r="L63" i="9"/>
  <c r="Y69" i="9" l="1"/>
  <c r="Z67" i="9" s="1"/>
  <c r="Z68" i="9" s="1"/>
  <c r="Z23" i="12" s="1"/>
  <c r="X71" i="9"/>
  <c r="X72" i="9" s="1"/>
  <c r="Y70" i="9" s="1"/>
  <c r="X74" i="9"/>
  <c r="X75" i="9"/>
  <c r="Y73" i="9" s="1"/>
  <c r="Y65" i="9"/>
  <c r="Y66" i="9" s="1"/>
  <c r="Z64" i="9" s="1"/>
  <c r="M61" i="9"/>
  <c r="Z65" i="9" l="1"/>
  <c r="Z66" i="9" s="1"/>
  <c r="AA64" i="9" s="1"/>
  <c r="Y71" i="9"/>
  <c r="Y72" i="9"/>
  <c r="Z70" i="9" s="1"/>
  <c r="Z69" i="9"/>
  <c r="AA67" i="9" s="1"/>
  <c r="AA68" i="9" s="1"/>
  <c r="AA23" i="12" s="1"/>
  <c r="Y74" i="9"/>
  <c r="Y75" i="9" s="1"/>
  <c r="Z73" i="9" s="1"/>
  <c r="M62" i="9"/>
  <c r="M63" i="9"/>
  <c r="Z74" i="9" l="1"/>
  <c r="Z75" i="9" s="1"/>
  <c r="AA73" i="9" s="1"/>
  <c r="AA65" i="9"/>
  <c r="AA66" i="9" s="1"/>
  <c r="AB64" i="9" s="1"/>
  <c r="Z71" i="9"/>
  <c r="Z72" i="9"/>
  <c r="AA70" i="9" s="1"/>
  <c r="N61" i="9"/>
  <c r="AA69" i="9"/>
  <c r="AB67" i="9" s="1"/>
  <c r="AB68" i="9" s="1"/>
  <c r="AB23" i="12" s="1"/>
  <c r="AB69" i="9" l="1"/>
  <c r="AC67" i="9" s="1"/>
  <c r="AC68" i="9" s="1"/>
  <c r="AC23" i="12" s="1"/>
  <c r="AB65" i="9"/>
  <c r="AB66" i="9"/>
  <c r="AC64" i="9" s="1"/>
  <c r="AA74" i="9"/>
  <c r="AA75" i="9" s="1"/>
  <c r="AB73" i="9" s="1"/>
  <c r="AA71" i="9"/>
  <c r="AA72" i="9" s="1"/>
  <c r="AB70" i="9" s="1"/>
  <c r="N62" i="9"/>
  <c r="AB71" i="9" l="1"/>
  <c r="AB72" i="9" s="1"/>
  <c r="AC70" i="9" s="1"/>
  <c r="AB74" i="9"/>
  <c r="AB75" i="9"/>
  <c r="AC73" i="9" s="1"/>
  <c r="AC69" i="9"/>
  <c r="AD67" i="9" s="1"/>
  <c r="AD68" i="9" s="1"/>
  <c r="AD23" i="12" s="1"/>
  <c r="N63" i="9"/>
  <c r="AC65" i="9"/>
  <c r="AC66" i="9" s="1"/>
  <c r="AD64" i="9" s="1"/>
  <c r="AD65" i="9" l="1"/>
  <c r="AD66" i="9" s="1"/>
  <c r="AC71" i="9"/>
  <c r="AC72" i="9"/>
  <c r="AD70" i="9" s="1"/>
  <c r="AD69" i="9"/>
  <c r="AC74" i="9"/>
  <c r="AC75" i="9" s="1"/>
  <c r="AD73" i="9" s="1"/>
  <c r="O61" i="9"/>
  <c r="AD74" i="9" l="1"/>
  <c r="AD75" i="9" s="1"/>
  <c r="O62" i="9"/>
  <c r="AD71" i="9"/>
  <c r="AD72" i="9"/>
  <c r="O63" i="9" l="1"/>
  <c r="P61" i="9" l="1"/>
  <c r="P62" i="9" l="1"/>
  <c r="P63" i="9"/>
  <c r="Q61" i="9" l="1"/>
  <c r="Q62" i="9" l="1"/>
  <c r="Q63" i="9"/>
  <c r="R61" i="9" l="1"/>
  <c r="R63" i="9" l="1"/>
  <c r="R62" i="9"/>
  <c r="S61" i="9" l="1"/>
  <c r="S62" i="9" l="1"/>
  <c r="S63" i="9" l="1"/>
  <c r="T61" i="9" l="1"/>
  <c r="T62" i="9" l="1"/>
  <c r="T63" i="9" l="1"/>
  <c r="U61" i="9" l="1"/>
  <c r="U62" i="9" l="1"/>
  <c r="U63" i="9"/>
  <c r="V61" i="9" l="1"/>
  <c r="V62" i="9" l="1"/>
  <c r="V63" i="9" l="1"/>
  <c r="W61" i="9" l="1"/>
  <c r="W62" i="9" l="1"/>
  <c r="W63" i="9" l="1"/>
  <c r="X61" i="9" l="1"/>
  <c r="X62" i="9" l="1"/>
  <c r="X63" i="9" l="1"/>
  <c r="Y61" i="9" l="1"/>
  <c r="Y62" i="9" l="1"/>
  <c r="Y63" i="9" l="1"/>
  <c r="Z61" i="9" l="1"/>
  <c r="Z62" i="9" l="1"/>
  <c r="Z63" i="9" l="1"/>
  <c r="AA61" i="9" l="1"/>
  <c r="AA63" i="9" l="1"/>
  <c r="AA62" i="9"/>
  <c r="AB61" i="9" l="1"/>
  <c r="AB62" i="9" l="1"/>
  <c r="AB63" i="9" l="1"/>
  <c r="AC61" i="9" l="1"/>
  <c r="AC62" i="9" l="1"/>
  <c r="AC63" i="9"/>
  <c r="AD61" i="9" l="1"/>
  <c r="AD62" i="9" l="1"/>
  <c r="AD63" i="9" l="1"/>
  <c r="D234" i="8" l="1"/>
  <c r="D235" i="8" s="1"/>
  <c r="D236" i="8" s="1"/>
  <c r="D237" i="8" s="1"/>
  <c r="D238" i="8" s="1"/>
  <c r="D239" i="8" s="1"/>
  <c r="D240" i="8" s="1"/>
  <c r="D241" i="8" s="1"/>
  <c r="D242" i="8" s="1"/>
  <c r="D243" i="8" s="1"/>
  <c r="D244" i="8" s="1"/>
  <c r="D246" i="8" s="1"/>
  <c r="D247" i="8" s="1"/>
  <c r="D248" i="8" s="1"/>
  <c r="D249" i="8" s="1"/>
  <c r="D250" i="8" s="1"/>
  <c r="D251" i="8" s="1"/>
  <c r="D252" i="8" s="1"/>
  <c r="D253" i="8" s="1"/>
  <c r="D254" i="8" s="1"/>
  <c r="D255" i="8" s="1"/>
  <c r="D256" i="8" s="1"/>
  <c r="D257" i="8" s="1"/>
  <c r="D259" i="8" s="1"/>
  <c r="D260" i="8" s="1"/>
  <c r="D261" i="8" s="1"/>
  <c r="D262" i="8" s="1"/>
  <c r="D263" i="8" s="1"/>
  <c r="D264" i="8" s="1"/>
  <c r="D265" i="8" s="1"/>
  <c r="D266" i="8" s="1"/>
  <c r="D267" i="8" s="1"/>
  <c r="D268" i="8" s="1"/>
  <c r="D269" i="8" s="1"/>
  <c r="F17" i="1"/>
  <c r="K8" i="1" s="1"/>
  <c r="A24" i="5"/>
  <c r="C40" i="11" s="1"/>
  <c r="D221" i="8"/>
  <c r="D222" i="8" s="1"/>
  <c r="D223" i="8" s="1"/>
  <c r="D224" i="8" s="1"/>
  <c r="D225" i="8" s="1"/>
  <c r="D226" i="8" s="1"/>
  <c r="D227" i="8" s="1"/>
  <c r="D228" i="8" s="1"/>
  <c r="D229" i="8" s="1"/>
  <c r="D230" i="8" s="1"/>
  <c r="D231" i="8" s="1"/>
  <c r="D52" i="8"/>
  <c r="D53" i="8" s="1"/>
  <c r="D54" i="8" s="1"/>
  <c r="D55" i="8" s="1"/>
  <c r="D56" i="8" s="1"/>
  <c r="D57" i="8" s="1"/>
  <c r="D58" i="8" s="1"/>
  <c r="D59" i="8" s="1"/>
  <c r="D60" i="8" s="1"/>
  <c r="D61" i="8" s="1"/>
  <c r="D62" i="8" s="1"/>
  <c r="D64" i="8" s="1"/>
  <c r="D65" i="8" s="1"/>
  <c r="D66" i="8" s="1"/>
  <c r="D67" i="8" s="1"/>
  <c r="D68" i="8" s="1"/>
  <c r="D69" i="8" s="1"/>
  <c r="D70" i="8" s="1"/>
  <c r="D71" i="8" s="1"/>
  <c r="D72" i="8" s="1"/>
  <c r="D73" i="8" s="1"/>
  <c r="D74" i="8" s="1"/>
  <c r="D75" i="8" s="1"/>
  <c r="D77" i="8" s="1"/>
  <c r="D78" i="8" s="1"/>
  <c r="D79" i="8" s="1"/>
  <c r="D80" i="8" s="1"/>
  <c r="D81" i="8" s="1"/>
  <c r="D82" i="8" s="1"/>
  <c r="D83" i="8" s="1"/>
  <c r="D84" i="8" s="1"/>
  <c r="D85" i="8" s="1"/>
  <c r="D86" i="8" s="1"/>
  <c r="D87" i="8" s="1"/>
  <c r="D88" i="8" s="1"/>
  <c r="D90" i="8" s="1"/>
  <c r="D91" i="8" s="1"/>
  <c r="D92" i="8" s="1"/>
  <c r="D93" i="8" s="1"/>
  <c r="D94" i="8" s="1"/>
  <c r="D95" i="8" s="1"/>
  <c r="D96" i="8" s="1"/>
  <c r="D97" i="8" s="1"/>
  <c r="D98" i="8" s="1"/>
  <c r="D99" i="8" s="1"/>
  <c r="D100" i="8" s="1"/>
  <c r="D101" i="8" s="1"/>
  <c r="D103" i="8" s="1"/>
  <c r="D104" i="8" s="1"/>
  <c r="D105" i="8" s="1"/>
  <c r="D106" i="8" s="1"/>
  <c r="D107" i="8" s="1"/>
  <c r="D108" i="8" s="1"/>
  <c r="D109" i="8" s="1"/>
  <c r="D110" i="8" s="1"/>
  <c r="D111" i="8" s="1"/>
  <c r="D112" i="8" s="1"/>
  <c r="D113" i="8" s="1"/>
  <c r="D114" i="8" s="1"/>
  <c r="D116" i="8" s="1"/>
  <c r="D117" i="8" s="1"/>
  <c r="D118" i="8" s="1"/>
  <c r="D119" i="8" s="1"/>
  <c r="D120" i="8" s="1"/>
  <c r="D121" i="8" s="1"/>
  <c r="D122" i="8" s="1"/>
  <c r="D123" i="8" s="1"/>
  <c r="D124" i="8" s="1"/>
  <c r="D125" i="8" s="1"/>
  <c r="D126" i="8" s="1"/>
  <c r="D127" i="8" s="1"/>
  <c r="D32" i="2"/>
  <c r="G31" i="2"/>
  <c r="D13" i="8"/>
  <c r="D40" i="2"/>
  <c r="F51" i="4" s="1"/>
  <c r="L28" i="8"/>
  <c r="F20" i="4"/>
  <c r="K35" i="2"/>
  <c r="K34" i="2"/>
  <c r="K9" i="1"/>
  <c r="P43" i="1"/>
  <c r="R39" i="1"/>
  <c r="R41" i="1" s="1"/>
  <c r="X15" i="1"/>
  <c r="X14" i="1"/>
  <c r="X13" i="1"/>
  <c r="X12" i="1"/>
  <c r="X11" i="1"/>
  <c r="X10" i="1"/>
  <c r="Y12" i="1" s="1"/>
  <c r="V8" i="1"/>
  <c r="AC52" i="4"/>
  <c r="Z52" i="4"/>
  <c r="W52" i="4"/>
  <c r="T52" i="4"/>
  <c r="Q52" i="4"/>
  <c r="N52" i="4"/>
  <c r="K52" i="4"/>
  <c r="H52" i="4"/>
  <c r="A23" i="11" l="1"/>
  <c r="G13" i="8"/>
  <c r="I13" i="8"/>
  <c r="H13" i="8"/>
  <c r="V13" i="8"/>
  <c r="R43" i="1"/>
  <c r="R42" i="1"/>
  <c r="G51" i="4"/>
  <c r="H51" i="4" s="1"/>
  <c r="I51" i="4" l="1"/>
  <c r="J51" i="4" l="1"/>
  <c r="K51" i="4" l="1"/>
  <c r="L51" i="4" l="1"/>
  <c r="M51" i="4" l="1"/>
  <c r="N51" i="4" s="1"/>
  <c r="O51" i="4" l="1"/>
  <c r="P51" i="4" l="1"/>
  <c r="Q51" i="4" l="1"/>
  <c r="R51" i="4" l="1"/>
  <c r="S51" i="4" l="1"/>
  <c r="T51" i="4" l="1"/>
  <c r="U51" i="4" l="1"/>
  <c r="V51" i="4" l="1"/>
  <c r="W51" i="4" l="1"/>
  <c r="X51" i="4" l="1"/>
  <c r="Y51" i="4" l="1"/>
  <c r="Z51" i="4" l="1"/>
  <c r="AA51" i="4" l="1"/>
  <c r="AB51" i="4" l="1"/>
  <c r="AC51" i="4" l="1"/>
  <c r="AD51" i="4" l="1"/>
  <c r="AE51" i="4" l="1"/>
  <c r="AE53" i="4" s="1"/>
  <c r="E10" i="2" l="1"/>
  <c r="E15" i="2" s="1"/>
  <c r="E11" i="2" l="1"/>
  <c r="E12" i="2" s="1"/>
  <c r="G28" i="4"/>
  <c r="AC16" i="6"/>
  <c r="AC22" i="5" l="1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C13" i="6"/>
  <c r="D10" i="5"/>
  <c r="C10" i="6" s="1"/>
  <c r="D10" i="7" s="1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G23" i="4"/>
  <c r="F22" i="4"/>
  <c r="G22" i="4" l="1"/>
  <c r="K10" i="1"/>
  <c r="K11" i="1"/>
  <c r="K12" i="1"/>
  <c r="D33" i="2"/>
  <c r="AA111" i="11" l="1"/>
  <c r="AB111" i="11"/>
  <c r="AC111" i="11"/>
  <c r="AD111" i="11"/>
  <c r="B61" i="11" l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3" i="5" l="1"/>
  <c r="B1" i="5"/>
  <c r="F50" i="11" l="1"/>
  <c r="C39" i="11"/>
  <c r="C38" i="11"/>
  <c r="E24" i="11" l="1"/>
  <c r="E23" i="11"/>
  <c r="E22" i="11"/>
  <c r="C41" i="11"/>
  <c r="A76" i="8"/>
  <c r="A89" i="8" s="1"/>
  <c r="A102" i="8" s="1"/>
  <c r="A115" i="8" s="1"/>
  <c r="A128" i="8" s="1"/>
  <c r="A141" i="8" s="1"/>
  <c r="A154" i="8" s="1"/>
  <c r="A167" i="8" s="1"/>
  <c r="A180" i="8" s="1"/>
  <c r="A193" i="8" s="1"/>
  <c r="A206" i="8" s="1"/>
  <c r="A219" i="8" s="1"/>
  <c r="A232" i="8" s="1"/>
  <c r="A245" i="8" s="1"/>
  <c r="A258" i="8" s="1"/>
  <c r="H271" i="8"/>
  <c r="B3" i="11"/>
  <c r="B3" i="12" s="1"/>
  <c r="B1" i="11"/>
  <c r="B1" i="12" s="1"/>
  <c r="G9" i="11"/>
  <c r="AC32" i="5"/>
  <c r="AB32" i="5"/>
  <c r="AA32" i="5"/>
  <c r="Z32" i="5"/>
  <c r="H9" i="11" l="1"/>
  <c r="G50" i="11"/>
  <c r="E25" i="11"/>
  <c r="I9" i="11" l="1"/>
  <c r="H50" i="11"/>
  <c r="F29" i="1" l="1"/>
  <c r="J9" i="11"/>
  <c r="I50" i="11"/>
  <c r="D69" i="2"/>
  <c r="D68" i="2"/>
  <c r="D67" i="2"/>
  <c r="K9" i="11" l="1"/>
  <c r="J50" i="11"/>
  <c r="B3" i="9"/>
  <c r="B1" i="9"/>
  <c r="B52" i="9"/>
  <c r="B51" i="9"/>
  <c r="B49" i="9"/>
  <c r="B48" i="9"/>
  <c r="B46" i="9"/>
  <c r="B45" i="9"/>
  <c r="B43" i="9"/>
  <c r="B42" i="9"/>
  <c r="B40" i="9"/>
  <c r="B39" i="9"/>
  <c r="B37" i="9"/>
  <c r="B36" i="9"/>
  <c r="B29" i="9"/>
  <c r="B27" i="9"/>
  <c r="B25" i="9"/>
  <c r="B23" i="9"/>
  <c r="B21" i="9"/>
  <c r="F14" i="9"/>
  <c r="G14" i="9" s="1"/>
  <c r="H14" i="9" s="1"/>
  <c r="I14" i="9" s="1"/>
  <c r="J14" i="9" s="1"/>
  <c r="K14" i="9" s="1"/>
  <c r="L14" i="9" s="1"/>
  <c r="M14" i="9" s="1"/>
  <c r="N14" i="9" s="1"/>
  <c r="O14" i="9" s="1"/>
  <c r="P14" i="9" s="1"/>
  <c r="Q14" i="9" s="1"/>
  <c r="R14" i="9" s="1"/>
  <c r="S14" i="9" s="1"/>
  <c r="T14" i="9" s="1"/>
  <c r="U14" i="9" s="1"/>
  <c r="V14" i="9" s="1"/>
  <c r="W14" i="9" s="1"/>
  <c r="X14" i="9" s="1"/>
  <c r="Y14" i="9" s="1"/>
  <c r="Z14" i="9" s="1"/>
  <c r="AA14" i="9" s="1"/>
  <c r="AB14" i="9" s="1"/>
  <c r="AC14" i="9" s="1"/>
  <c r="AD14" i="9" s="1"/>
  <c r="G9" i="9"/>
  <c r="H9" i="9" s="1"/>
  <c r="I9" i="9" s="1"/>
  <c r="J9" i="9" s="1"/>
  <c r="K9" i="9" s="1"/>
  <c r="L9" i="9" s="1"/>
  <c r="M9" i="9" s="1"/>
  <c r="N9" i="9" s="1"/>
  <c r="O9" i="9" s="1"/>
  <c r="P9" i="9" s="1"/>
  <c r="Q9" i="9" s="1"/>
  <c r="R9" i="9" s="1"/>
  <c r="S9" i="9" s="1"/>
  <c r="T9" i="9" s="1"/>
  <c r="U9" i="9" s="1"/>
  <c r="V9" i="9" s="1"/>
  <c r="W9" i="9" s="1"/>
  <c r="X9" i="9" s="1"/>
  <c r="Y9" i="9" s="1"/>
  <c r="Z9" i="9" s="1"/>
  <c r="AA9" i="9" s="1"/>
  <c r="AB9" i="9" s="1"/>
  <c r="AC9" i="9" s="1"/>
  <c r="AD9" i="9" s="1"/>
  <c r="L9" i="11" l="1"/>
  <c r="K50" i="11"/>
  <c r="AA17" i="6"/>
  <c r="Z17" i="6"/>
  <c r="Y17" i="6"/>
  <c r="X17" i="6"/>
  <c r="AC22" i="7"/>
  <c r="AB22" i="7"/>
  <c r="AA22" i="7"/>
  <c r="Z22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AC21" i="5"/>
  <c r="AB21" i="5"/>
  <c r="AA21" i="5"/>
  <c r="Z21" i="5"/>
  <c r="Y21" i="5"/>
  <c r="C22" i="8"/>
  <c r="B3" i="8"/>
  <c r="B1" i="8"/>
  <c r="C29" i="8"/>
  <c r="E29" i="8" s="1"/>
  <c r="F29" i="8" s="1"/>
  <c r="D11" i="8"/>
  <c r="G9" i="8"/>
  <c r="H9" i="8" s="1"/>
  <c r="I9" i="8" s="1"/>
  <c r="J9" i="8" s="1"/>
  <c r="K9" i="8" s="1"/>
  <c r="L9" i="8" s="1"/>
  <c r="M9" i="8" s="1"/>
  <c r="N9" i="8" s="1"/>
  <c r="O9" i="8" s="1"/>
  <c r="P9" i="8" s="1"/>
  <c r="Q9" i="8" s="1"/>
  <c r="R9" i="8" s="1"/>
  <c r="S9" i="8" s="1"/>
  <c r="T9" i="8" s="1"/>
  <c r="U9" i="8" s="1"/>
  <c r="V9" i="8" s="1"/>
  <c r="W9" i="8" s="1"/>
  <c r="D15" i="7"/>
  <c r="D12" i="7"/>
  <c r="B3" i="7"/>
  <c r="B1" i="7"/>
  <c r="B3" i="6"/>
  <c r="B1" i="6"/>
  <c r="B1" i="4"/>
  <c r="B3" i="4"/>
  <c r="H28" i="4"/>
  <c r="I28" i="4" s="1"/>
  <c r="J28" i="4" s="1"/>
  <c r="K28" i="4" s="1"/>
  <c r="L28" i="4" s="1"/>
  <c r="M28" i="4" s="1"/>
  <c r="N28" i="4" s="1"/>
  <c r="O28" i="4" s="1"/>
  <c r="P28" i="4" s="1"/>
  <c r="Q28" i="4" s="1"/>
  <c r="R28" i="4" s="1"/>
  <c r="S28" i="4" s="1"/>
  <c r="T28" i="4" s="1"/>
  <c r="U28" i="4" s="1"/>
  <c r="V28" i="4" s="1"/>
  <c r="W28" i="4" s="1"/>
  <c r="X28" i="4" s="1"/>
  <c r="Y28" i="4" s="1"/>
  <c r="Z28" i="4" s="1"/>
  <c r="AA28" i="4" s="1"/>
  <c r="AB28" i="4" s="1"/>
  <c r="AC28" i="4" s="1"/>
  <c r="AD28" i="4" s="1"/>
  <c r="F27" i="4"/>
  <c r="G27" i="4" s="1"/>
  <c r="C25" i="4"/>
  <c r="F23" i="4"/>
  <c r="H23" i="4"/>
  <c r="I23" i="4" l="1"/>
  <c r="J23" i="4" s="1"/>
  <c r="K23" i="4" s="1"/>
  <c r="L23" i="4" s="1"/>
  <c r="M23" i="4" s="1"/>
  <c r="N23" i="4" s="1"/>
  <c r="O23" i="4" s="1"/>
  <c r="P23" i="4" s="1"/>
  <c r="Q23" i="4" s="1"/>
  <c r="R23" i="4" s="1"/>
  <c r="S23" i="4" s="1"/>
  <c r="T23" i="4" s="1"/>
  <c r="U23" i="4" s="1"/>
  <c r="V23" i="4" s="1"/>
  <c r="W23" i="4" s="1"/>
  <c r="X23" i="4" s="1"/>
  <c r="Y23" i="4" s="1"/>
  <c r="Z23" i="4" s="1"/>
  <c r="AA23" i="4" s="1"/>
  <c r="AB23" i="4" s="1"/>
  <c r="AC23" i="4" s="1"/>
  <c r="AD23" i="4" s="1"/>
  <c r="H22" i="4"/>
  <c r="M9" i="11"/>
  <c r="L50" i="11"/>
  <c r="H27" i="4"/>
  <c r="I27" i="4" s="1"/>
  <c r="J27" i="4" s="1"/>
  <c r="K27" i="4" s="1"/>
  <c r="L27" i="4" s="1"/>
  <c r="M27" i="4" s="1"/>
  <c r="N27" i="4" s="1"/>
  <c r="O27" i="4" s="1"/>
  <c r="P27" i="4" s="1"/>
  <c r="Q27" i="4" s="1"/>
  <c r="R27" i="4" s="1"/>
  <c r="S27" i="4" s="1"/>
  <c r="T27" i="4" s="1"/>
  <c r="U27" i="4" s="1"/>
  <c r="V27" i="4" s="1"/>
  <c r="W27" i="4" s="1"/>
  <c r="X27" i="4" s="1"/>
  <c r="Y27" i="4" s="1"/>
  <c r="Z27" i="4" s="1"/>
  <c r="AA27" i="4" s="1"/>
  <c r="AB27" i="4" s="1"/>
  <c r="AC27" i="4" s="1"/>
  <c r="AD27" i="4" s="1"/>
  <c r="B3" i="2"/>
  <c r="B1" i="2"/>
  <c r="C24" i="1"/>
  <c r="G27" i="1" s="1"/>
  <c r="I22" i="4" l="1"/>
  <c r="I31" i="1"/>
  <c r="J33" i="1"/>
  <c r="J22" i="4"/>
  <c r="K22" i="4" s="1"/>
  <c r="L22" i="4" s="1"/>
  <c r="M22" i="4" s="1"/>
  <c r="N22" i="4" s="1"/>
  <c r="O22" i="4" s="1"/>
  <c r="P22" i="4" s="1"/>
  <c r="Q22" i="4" s="1"/>
  <c r="R22" i="4" s="1"/>
  <c r="S22" i="4" s="1"/>
  <c r="T22" i="4" s="1"/>
  <c r="U22" i="4" s="1"/>
  <c r="V22" i="4" s="1"/>
  <c r="W22" i="4" s="1"/>
  <c r="X22" i="4" s="1"/>
  <c r="Y22" i="4" s="1"/>
  <c r="Z22" i="4" s="1"/>
  <c r="AA22" i="4" s="1"/>
  <c r="AB22" i="4" s="1"/>
  <c r="AC22" i="4" s="1"/>
  <c r="AD22" i="4" s="1"/>
  <c r="N9" i="11"/>
  <c r="M50" i="11"/>
  <c r="F19" i="4"/>
  <c r="F21" i="4" l="1"/>
  <c r="G20" i="4"/>
  <c r="O9" i="11"/>
  <c r="N50" i="11"/>
  <c r="E28" i="1"/>
  <c r="E8" i="4"/>
  <c r="F8" i="4" s="1"/>
  <c r="G19" i="4"/>
  <c r="E13" i="2"/>
  <c r="E20" i="1"/>
  <c r="D20" i="1"/>
  <c r="E8" i="8" l="1"/>
  <c r="H20" i="4"/>
  <c r="P9" i="11"/>
  <c r="O50" i="11"/>
  <c r="E8" i="11"/>
  <c r="E8" i="9"/>
  <c r="F8" i="9" s="1"/>
  <c r="F10" i="9" s="1"/>
  <c r="D8" i="5"/>
  <c r="D8" i="7"/>
  <c r="C8" i="6"/>
  <c r="G21" i="4"/>
  <c r="H19" i="4"/>
  <c r="F8" i="11" l="1"/>
  <c r="F8" i="12" s="1"/>
  <c r="F12" i="12" s="1"/>
  <c r="E8" i="12"/>
  <c r="E22" i="5"/>
  <c r="I20" i="4"/>
  <c r="Q9" i="11"/>
  <c r="P50" i="11"/>
  <c r="E34" i="9"/>
  <c r="E17" i="9"/>
  <c r="E8" i="5"/>
  <c r="E10" i="5" s="1"/>
  <c r="F8" i="8"/>
  <c r="F10" i="8" s="1"/>
  <c r="D8" i="6"/>
  <c r="D10" i="6" s="1"/>
  <c r="E8" i="7"/>
  <c r="E10" i="7" s="1"/>
  <c r="I19" i="4"/>
  <c r="H21" i="4"/>
  <c r="F12" i="4"/>
  <c r="G8" i="4"/>
  <c r="F10" i="4"/>
  <c r="F43" i="4" s="1"/>
  <c r="F45" i="4" l="1"/>
  <c r="F46" i="4" s="1"/>
  <c r="F48" i="4" s="1"/>
  <c r="E14" i="5" s="1"/>
  <c r="F53" i="4"/>
  <c r="E17" i="5" s="1"/>
  <c r="F94" i="11" s="1"/>
  <c r="F24" i="4"/>
  <c r="F31" i="4" s="1"/>
  <c r="J20" i="4"/>
  <c r="R9" i="11"/>
  <c r="Q50" i="11"/>
  <c r="F10" i="11"/>
  <c r="F10" i="12" s="1"/>
  <c r="G8" i="11"/>
  <c r="G8" i="12" s="1"/>
  <c r="G12" i="12" s="1"/>
  <c r="G8" i="9"/>
  <c r="F34" i="9"/>
  <c r="F12" i="9"/>
  <c r="F17" i="9"/>
  <c r="F8" i="5"/>
  <c r="F10" i="5" s="1"/>
  <c r="E8" i="6"/>
  <c r="E10" i="6" s="1"/>
  <c r="F8" i="7"/>
  <c r="F10" i="7" s="1"/>
  <c r="G8" i="8"/>
  <c r="G10" i="8" s="1"/>
  <c r="G12" i="4"/>
  <c r="H8" i="4"/>
  <c r="H12" i="4" s="1"/>
  <c r="H53" i="4" s="1"/>
  <c r="G17" i="5" s="1"/>
  <c r="H94" i="11" s="1"/>
  <c r="G10" i="4"/>
  <c r="J19" i="4"/>
  <c r="I21" i="4"/>
  <c r="H43" i="4" l="1"/>
  <c r="G45" i="4"/>
  <c r="G46" i="4" s="1"/>
  <c r="G48" i="4" s="1"/>
  <c r="F14" i="5" s="1"/>
  <c r="G53" i="4"/>
  <c r="F17" i="5" s="1"/>
  <c r="G94" i="11" s="1"/>
  <c r="G24" i="4"/>
  <c r="G31" i="4" s="1"/>
  <c r="K20" i="4"/>
  <c r="H24" i="4"/>
  <c r="S9" i="11"/>
  <c r="R50" i="11"/>
  <c r="F25" i="4"/>
  <c r="F32" i="4" s="1"/>
  <c r="G10" i="11"/>
  <c r="G10" i="12" s="1"/>
  <c r="H8" i="11"/>
  <c r="H8" i="12" s="1"/>
  <c r="H12" i="12" s="1"/>
  <c r="G34" i="9"/>
  <c r="G12" i="9"/>
  <c r="H8" i="9"/>
  <c r="G17" i="9"/>
  <c r="G10" i="9"/>
  <c r="G8" i="5"/>
  <c r="G10" i="5" s="1"/>
  <c r="G8" i="7"/>
  <c r="G10" i="7" s="1"/>
  <c r="F8" i="6"/>
  <c r="F10" i="6" s="1"/>
  <c r="H8" i="8"/>
  <c r="H10" i="8" s="1"/>
  <c r="K19" i="4"/>
  <c r="J21" i="4"/>
  <c r="H10" i="4"/>
  <c r="I8" i="4"/>
  <c r="H31" i="4" l="1"/>
  <c r="H25" i="4"/>
  <c r="H26" i="4" s="1"/>
  <c r="I43" i="4"/>
  <c r="H45" i="4"/>
  <c r="H46" i="4" s="1"/>
  <c r="H48" i="4" s="1"/>
  <c r="G14" i="5" s="1"/>
  <c r="L20" i="4"/>
  <c r="T9" i="11"/>
  <c r="S50" i="11"/>
  <c r="G25" i="4"/>
  <c r="G32" i="4" s="1"/>
  <c r="F26" i="4"/>
  <c r="H10" i="11"/>
  <c r="H10" i="12" s="1"/>
  <c r="I8" i="11"/>
  <c r="I8" i="12" s="1"/>
  <c r="I12" i="12" s="1"/>
  <c r="H34" i="9"/>
  <c r="I8" i="9"/>
  <c r="H17" i="9"/>
  <c r="H12" i="9"/>
  <c r="H10" i="9"/>
  <c r="H8" i="5"/>
  <c r="H10" i="5" s="1"/>
  <c r="H8" i="7"/>
  <c r="H10" i="7" s="1"/>
  <c r="I8" i="8"/>
  <c r="I10" i="8" s="1"/>
  <c r="G8" i="6"/>
  <c r="I12" i="4"/>
  <c r="I53" i="4" s="1"/>
  <c r="H17" i="5" s="1"/>
  <c r="I94" i="11" s="1"/>
  <c r="I10" i="4"/>
  <c r="J8" i="4"/>
  <c r="K21" i="4"/>
  <c r="L19" i="4"/>
  <c r="J43" i="4" l="1"/>
  <c r="I45" i="4"/>
  <c r="I46" i="4" s="1"/>
  <c r="I48" i="4" s="1"/>
  <c r="H14" i="5" s="1"/>
  <c r="F33" i="4"/>
  <c r="M20" i="4"/>
  <c r="U9" i="11"/>
  <c r="T50" i="11"/>
  <c r="H32" i="4"/>
  <c r="G26" i="4"/>
  <c r="F29" i="4"/>
  <c r="D33" i="6" s="1"/>
  <c r="I10" i="11"/>
  <c r="I10" i="12" s="1"/>
  <c r="J8" i="11"/>
  <c r="J8" i="12" s="1"/>
  <c r="J12" i="12" s="1"/>
  <c r="I10" i="9"/>
  <c r="I17" i="9"/>
  <c r="I34" i="9"/>
  <c r="I12" i="9"/>
  <c r="J8" i="9"/>
  <c r="I8" i="5"/>
  <c r="I10" i="5" s="1"/>
  <c r="J8" i="8"/>
  <c r="J10" i="8" s="1"/>
  <c r="H8" i="6"/>
  <c r="H10" i="6" s="1"/>
  <c r="I8" i="7"/>
  <c r="I10" i="7" s="1"/>
  <c r="G10" i="6"/>
  <c r="L21" i="4"/>
  <c r="M19" i="4"/>
  <c r="J12" i="4"/>
  <c r="J53" i="4" s="1"/>
  <c r="I17" i="5" s="1"/>
  <c r="J94" i="11" s="1"/>
  <c r="J10" i="4"/>
  <c r="K8" i="4"/>
  <c r="I24" i="4"/>
  <c r="I31" i="4" l="1"/>
  <c r="I25" i="4"/>
  <c r="K43" i="4"/>
  <c r="J45" i="4"/>
  <c r="J46" i="4" s="1"/>
  <c r="J48" i="4" s="1"/>
  <c r="I14" i="5" s="1"/>
  <c r="G33" i="4"/>
  <c r="E23" i="7"/>
  <c r="N20" i="4"/>
  <c r="V9" i="11"/>
  <c r="U50" i="11"/>
  <c r="I32" i="4"/>
  <c r="G29" i="4"/>
  <c r="E33" i="6" s="1"/>
  <c r="J10" i="11"/>
  <c r="J10" i="12" s="1"/>
  <c r="K8" i="11"/>
  <c r="K8" i="12" s="1"/>
  <c r="K12" i="12" s="1"/>
  <c r="J12" i="9"/>
  <c r="J17" i="9"/>
  <c r="J10" i="9"/>
  <c r="J34" i="9"/>
  <c r="K8" i="9"/>
  <c r="J8" i="5"/>
  <c r="J10" i="5" s="1"/>
  <c r="I8" i="6"/>
  <c r="I10" i="6" s="1"/>
  <c r="J8" i="7"/>
  <c r="J10" i="7" s="1"/>
  <c r="K8" i="8"/>
  <c r="K10" i="8" s="1"/>
  <c r="J24" i="4"/>
  <c r="J31" i="4" s="1"/>
  <c r="K12" i="4"/>
  <c r="K53" i="4" s="1"/>
  <c r="J17" i="5" s="1"/>
  <c r="K94" i="11" s="1"/>
  <c r="K10" i="4"/>
  <c r="L8" i="4"/>
  <c r="M21" i="4"/>
  <c r="N19" i="4"/>
  <c r="L43" i="4" l="1"/>
  <c r="K45" i="4"/>
  <c r="K46" i="4" s="1"/>
  <c r="K48" i="4" s="1"/>
  <c r="J14" i="5" s="1"/>
  <c r="H33" i="4"/>
  <c r="F23" i="7"/>
  <c r="O20" i="4"/>
  <c r="W9" i="11"/>
  <c r="V50" i="11"/>
  <c r="H29" i="4"/>
  <c r="F33" i="6" s="1"/>
  <c r="J25" i="4"/>
  <c r="J32" i="4" s="1"/>
  <c r="I26" i="4"/>
  <c r="K10" i="11"/>
  <c r="K10" i="12" s="1"/>
  <c r="L8" i="11"/>
  <c r="L8" i="12" s="1"/>
  <c r="L12" i="12" s="1"/>
  <c r="L8" i="9"/>
  <c r="K34" i="9"/>
  <c r="K12" i="9"/>
  <c r="K17" i="9"/>
  <c r="K10" i="9"/>
  <c r="K8" i="5"/>
  <c r="K10" i="5" s="1"/>
  <c r="K8" i="7"/>
  <c r="K10" i="7" s="1"/>
  <c r="L8" i="8"/>
  <c r="L10" i="8" s="1"/>
  <c r="J8" i="6"/>
  <c r="J10" i="6" s="1"/>
  <c r="L12" i="4"/>
  <c r="L53" i="4" s="1"/>
  <c r="K17" i="5" s="1"/>
  <c r="L94" i="11" s="1"/>
  <c r="M8" i="4"/>
  <c r="L10" i="4"/>
  <c r="N21" i="4"/>
  <c r="O19" i="4"/>
  <c r="K24" i="4"/>
  <c r="K31" i="4" s="1"/>
  <c r="M43" i="4" l="1"/>
  <c r="L45" i="4"/>
  <c r="L46" i="4" s="1"/>
  <c r="L48" i="4" s="1"/>
  <c r="K14" i="5" s="1"/>
  <c r="I33" i="4"/>
  <c r="G23" i="7"/>
  <c r="P20" i="4"/>
  <c r="X9" i="11"/>
  <c r="W50" i="11"/>
  <c r="I29" i="4"/>
  <c r="G33" i="6" s="1"/>
  <c r="J26" i="4"/>
  <c r="K25" i="4"/>
  <c r="K32" i="4" s="1"/>
  <c r="L10" i="11"/>
  <c r="L10" i="12" s="1"/>
  <c r="M8" i="11"/>
  <c r="M8" i="12" s="1"/>
  <c r="M12" i="12" s="1"/>
  <c r="L10" i="9"/>
  <c r="L17" i="9"/>
  <c r="M8" i="9"/>
  <c r="L12" i="9"/>
  <c r="L34" i="9"/>
  <c r="L8" i="5"/>
  <c r="L10" i="5" s="1"/>
  <c r="L8" i="7"/>
  <c r="L10" i="7" s="1"/>
  <c r="M8" i="8"/>
  <c r="M10" i="8" s="1"/>
  <c r="K8" i="6"/>
  <c r="M12" i="4"/>
  <c r="M53" i="4" s="1"/>
  <c r="L17" i="5" s="1"/>
  <c r="M94" i="11" s="1"/>
  <c r="N8" i="4"/>
  <c r="M10" i="4"/>
  <c r="L24" i="4"/>
  <c r="L31" i="4" s="1"/>
  <c r="O21" i="4"/>
  <c r="P19" i="4"/>
  <c r="P21" i="4" s="1"/>
  <c r="N43" i="4" l="1"/>
  <c r="M45" i="4"/>
  <c r="M46" i="4" s="1"/>
  <c r="M48" i="4" s="1"/>
  <c r="L14" i="5" s="1"/>
  <c r="J33" i="4"/>
  <c r="H23" i="7"/>
  <c r="Q20" i="4"/>
  <c r="Y9" i="11"/>
  <c r="X50" i="11"/>
  <c r="J29" i="4"/>
  <c r="H33" i="6" s="1"/>
  <c r="L25" i="4"/>
  <c r="L32" i="4" s="1"/>
  <c r="K26" i="4"/>
  <c r="K33" i="4" s="1"/>
  <c r="M10" i="11"/>
  <c r="M10" i="12" s="1"/>
  <c r="N8" i="11"/>
  <c r="N8" i="12" s="1"/>
  <c r="N12" i="12" s="1"/>
  <c r="M34" i="9"/>
  <c r="M10" i="9"/>
  <c r="M12" i="9"/>
  <c r="M17" i="9"/>
  <c r="N8" i="9"/>
  <c r="K10" i="6"/>
  <c r="M8" i="5"/>
  <c r="M10" i="5" s="1"/>
  <c r="N8" i="8"/>
  <c r="N10" i="8" s="1"/>
  <c r="L8" i="6"/>
  <c r="L10" i="6" s="1"/>
  <c r="M8" i="7"/>
  <c r="M10" i="7" s="1"/>
  <c r="N12" i="4"/>
  <c r="N53" i="4" s="1"/>
  <c r="M17" i="5" s="1"/>
  <c r="N94" i="11" s="1"/>
  <c r="N10" i="4"/>
  <c r="O8" i="4"/>
  <c r="Q19" i="4"/>
  <c r="M24" i="4"/>
  <c r="M31" i="4" s="1"/>
  <c r="O43" i="4" l="1"/>
  <c r="N45" i="4"/>
  <c r="N46" i="4" s="1"/>
  <c r="N48" i="4" s="1"/>
  <c r="M14" i="5" s="1"/>
  <c r="I23" i="7"/>
  <c r="R20" i="4"/>
  <c r="K29" i="4"/>
  <c r="I33" i="6" s="1"/>
  <c r="Z9" i="11"/>
  <c r="Y50" i="11"/>
  <c r="M25" i="4"/>
  <c r="M32" i="4" s="1"/>
  <c r="L26" i="4"/>
  <c r="L33" i="4" s="1"/>
  <c r="N10" i="11"/>
  <c r="N10" i="12" s="1"/>
  <c r="O8" i="11"/>
  <c r="O8" i="12" s="1"/>
  <c r="O12" i="12" s="1"/>
  <c r="N34" i="9"/>
  <c r="O8" i="9"/>
  <c r="N17" i="9"/>
  <c r="N12" i="9"/>
  <c r="N10" i="9"/>
  <c r="N8" i="5"/>
  <c r="N10" i="5" s="1"/>
  <c r="M8" i="6"/>
  <c r="M10" i="6" s="1"/>
  <c r="N8" i="7"/>
  <c r="N10" i="7" s="1"/>
  <c r="O8" i="8"/>
  <c r="O10" i="8" s="1"/>
  <c r="O12" i="4"/>
  <c r="O53" i="4" s="1"/>
  <c r="N17" i="5" s="1"/>
  <c r="O94" i="11" s="1"/>
  <c r="O10" i="4"/>
  <c r="P8" i="4"/>
  <c r="R19" i="4"/>
  <c r="Q21" i="4"/>
  <c r="N24" i="4"/>
  <c r="N31" i="4" s="1"/>
  <c r="P43" i="4" l="1"/>
  <c r="O45" i="4"/>
  <c r="O46" i="4" s="1"/>
  <c r="O48" i="4" s="1"/>
  <c r="N14" i="5" s="1"/>
  <c r="J23" i="7"/>
  <c r="L29" i="4"/>
  <c r="J33" i="6" s="1"/>
  <c r="S20" i="4"/>
  <c r="AA9" i="11"/>
  <c r="Z50" i="11"/>
  <c r="N25" i="4"/>
  <c r="N32" i="4" s="1"/>
  <c r="M26" i="4"/>
  <c r="O10" i="11"/>
  <c r="O10" i="12" s="1"/>
  <c r="P8" i="11"/>
  <c r="P8" i="12" s="1"/>
  <c r="P12" i="12" s="1"/>
  <c r="O34" i="9"/>
  <c r="P8" i="9"/>
  <c r="O17" i="9"/>
  <c r="O12" i="9"/>
  <c r="O10" i="9"/>
  <c r="O8" i="5"/>
  <c r="O10" i="5" s="1"/>
  <c r="O8" i="7"/>
  <c r="O10" i="7" s="1"/>
  <c r="N8" i="6"/>
  <c r="N10" i="6" s="1"/>
  <c r="P8" i="8"/>
  <c r="P10" i="8" s="1"/>
  <c r="P12" i="4"/>
  <c r="P53" i="4" s="1"/>
  <c r="O17" i="5" s="1"/>
  <c r="P94" i="11" s="1"/>
  <c r="P10" i="4"/>
  <c r="Q8" i="4"/>
  <c r="O24" i="4"/>
  <c r="O31" i="4" s="1"/>
  <c r="S19" i="4"/>
  <c r="R21" i="4"/>
  <c r="Q43" i="4" l="1"/>
  <c r="P45" i="4"/>
  <c r="P46" i="4" s="1"/>
  <c r="P48" i="4" s="1"/>
  <c r="O14" i="5" s="1"/>
  <c r="M33" i="4"/>
  <c r="K23" i="7"/>
  <c r="T20" i="4"/>
  <c r="AB9" i="11"/>
  <c r="AA50" i="11"/>
  <c r="O25" i="4"/>
  <c r="O32" i="4" s="1"/>
  <c r="M29" i="4"/>
  <c r="K33" i="6" s="1"/>
  <c r="N26" i="4"/>
  <c r="P10" i="11"/>
  <c r="P10" i="12" s="1"/>
  <c r="Q8" i="11"/>
  <c r="Q8" i="12" s="1"/>
  <c r="Q12" i="12" s="1"/>
  <c r="P10" i="9"/>
  <c r="P17" i="9"/>
  <c r="Q8" i="9"/>
  <c r="P12" i="9"/>
  <c r="P34" i="9"/>
  <c r="P8" i="5"/>
  <c r="P10" i="5" s="1"/>
  <c r="P8" i="7"/>
  <c r="P10" i="7" s="1"/>
  <c r="Q8" i="8"/>
  <c r="Q10" i="8" s="1"/>
  <c r="O8" i="6"/>
  <c r="Q12" i="4"/>
  <c r="Q53" i="4" s="1"/>
  <c r="P17" i="5" s="1"/>
  <c r="Q94" i="11" s="1"/>
  <c r="R8" i="4"/>
  <c r="Q10" i="4"/>
  <c r="S21" i="4"/>
  <c r="T19" i="4"/>
  <c r="P24" i="4"/>
  <c r="P31" i="4" s="1"/>
  <c r="R43" i="4" l="1"/>
  <c r="Q45" i="4"/>
  <c r="Q46" i="4" s="1"/>
  <c r="Q48" i="4" s="1"/>
  <c r="P14" i="5" s="1"/>
  <c r="N33" i="4"/>
  <c r="L23" i="7"/>
  <c r="U20" i="4"/>
  <c r="AC9" i="11"/>
  <c r="AB50" i="11"/>
  <c r="P25" i="4"/>
  <c r="P32" i="4" s="1"/>
  <c r="N29" i="4"/>
  <c r="L33" i="6" s="1"/>
  <c r="O26" i="4"/>
  <c r="Q10" i="11"/>
  <c r="Q10" i="12" s="1"/>
  <c r="R8" i="11"/>
  <c r="R8" i="12" s="1"/>
  <c r="R12" i="12" s="1"/>
  <c r="R8" i="9"/>
  <c r="Q34" i="9"/>
  <c r="Q10" i="9"/>
  <c r="Q17" i="9"/>
  <c r="Q12" i="9"/>
  <c r="O10" i="6"/>
  <c r="Q8" i="5"/>
  <c r="Q10" i="5" s="1"/>
  <c r="R8" i="8"/>
  <c r="R10" i="8" s="1"/>
  <c r="P8" i="6"/>
  <c r="P10" i="6" s="1"/>
  <c r="Q8" i="7"/>
  <c r="Q10" i="7" s="1"/>
  <c r="R12" i="4"/>
  <c r="R53" i="4" s="1"/>
  <c r="Q17" i="5" s="1"/>
  <c r="R94" i="11" s="1"/>
  <c r="R10" i="4"/>
  <c r="S8" i="4"/>
  <c r="U19" i="4"/>
  <c r="T21" i="4"/>
  <c r="Q24" i="4"/>
  <c r="Q31" i="4" s="1"/>
  <c r="S43" i="4" l="1"/>
  <c r="R45" i="4"/>
  <c r="R46" i="4" s="1"/>
  <c r="R48" i="4" s="1"/>
  <c r="Q14" i="5" s="1"/>
  <c r="O33" i="4"/>
  <c r="M23" i="7"/>
  <c r="V20" i="4"/>
  <c r="AD9" i="11"/>
  <c r="AC50" i="11"/>
  <c r="Q25" i="4"/>
  <c r="Q32" i="4" s="1"/>
  <c r="O29" i="4"/>
  <c r="M33" i="6" s="1"/>
  <c r="P26" i="4"/>
  <c r="P29" i="4" s="1"/>
  <c r="N33" i="6" s="1"/>
  <c r="R10" i="11"/>
  <c r="R10" i="12" s="1"/>
  <c r="S8" i="11"/>
  <c r="S8" i="12" s="1"/>
  <c r="S12" i="12" s="1"/>
  <c r="R17" i="9"/>
  <c r="R34" i="9"/>
  <c r="R12" i="9"/>
  <c r="R10" i="9"/>
  <c r="S8" i="9"/>
  <c r="R8" i="5"/>
  <c r="R10" i="5" s="1"/>
  <c r="Q8" i="6"/>
  <c r="Q10" i="6" s="1"/>
  <c r="R8" i="7"/>
  <c r="R10" i="7" s="1"/>
  <c r="S8" i="8"/>
  <c r="S10" i="8" s="1"/>
  <c r="V19" i="4"/>
  <c r="U21" i="4"/>
  <c r="R24" i="4"/>
  <c r="R31" i="4" s="1"/>
  <c r="S12" i="4"/>
  <c r="S53" i="4" s="1"/>
  <c r="R17" i="5" s="1"/>
  <c r="S94" i="11" s="1"/>
  <c r="T8" i="4"/>
  <c r="S10" i="4"/>
  <c r="T43" i="4" l="1"/>
  <c r="S45" i="4"/>
  <c r="S46" i="4" s="1"/>
  <c r="S48" i="4" s="1"/>
  <c r="R14" i="5" s="1"/>
  <c r="P33" i="4"/>
  <c r="N23" i="7"/>
  <c r="W20" i="4"/>
  <c r="AD50" i="11"/>
  <c r="R25" i="4"/>
  <c r="R32" i="4" s="1"/>
  <c r="Q26" i="4"/>
  <c r="S10" i="11"/>
  <c r="S10" i="12" s="1"/>
  <c r="T8" i="11"/>
  <c r="T8" i="12" s="1"/>
  <c r="T12" i="12" s="1"/>
  <c r="T8" i="9"/>
  <c r="S34" i="9"/>
  <c r="S12" i="9"/>
  <c r="S17" i="9"/>
  <c r="S10" i="9"/>
  <c r="S8" i="5"/>
  <c r="S10" i="5" s="1"/>
  <c r="S8" i="7"/>
  <c r="S10" i="7" s="1"/>
  <c r="R8" i="6"/>
  <c r="R10" i="6" s="1"/>
  <c r="T8" i="8"/>
  <c r="T10" i="8" s="1"/>
  <c r="W19" i="4"/>
  <c r="V21" i="4"/>
  <c r="T12" i="4"/>
  <c r="T53" i="4" s="1"/>
  <c r="S17" i="5" s="1"/>
  <c r="T94" i="11" s="1"/>
  <c r="U8" i="4"/>
  <c r="T10" i="4"/>
  <c r="S24" i="4"/>
  <c r="S31" i="4" s="1"/>
  <c r="U43" i="4" l="1"/>
  <c r="T45" i="4"/>
  <c r="T46" i="4" s="1"/>
  <c r="T48" i="4" s="1"/>
  <c r="S14" i="5" s="1"/>
  <c r="Q33" i="4"/>
  <c r="O23" i="7"/>
  <c r="X20" i="4"/>
  <c r="R26" i="4"/>
  <c r="Q29" i="4"/>
  <c r="O33" i="6" s="1"/>
  <c r="S25" i="4"/>
  <c r="S32" i="4" s="1"/>
  <c r="T10" i="11"/>
  <c r="T10" i="12" s="1"/>
  <c r="U8" i="11"/>
  <c r="U8" i="12" s="1"/>
  <c r="U12" i="12" s="1"/>
  <c r="U8" i="9"/>
  <c r="T17" i="9"/>
  <c r="T10" i="9"/>
  <c r="T12" i="9"/>
  <c r="T34" i="9"/>
  <c r="T8" i="5"/>
  <c r="T10" i="5" s="1"/>
  <c r="T8" i="7"/>
  <c r="T10" i="7" s="1"/>
  <c r="U8" i="8"/>
  <c r="U10" i="8" s="1"/>
  <c r="S8" i="6"/>
  <c r="U12" i="4"/>
  <c r="U53" i="4" s="1"/>
  <c r="T17" i="5" s="1"/>
  <c r="U94" i="11" s="1"/>
  <c r="V8" i="4"/>
  <c r="U10" i="4"/>
  <c r="W21" i="4"/>
  <c r="X19" i="4"/>
  <c r="T24" i="4"/>
  <c r="T31" i="4" s="1"/>
  <c r="V43" i="4" l="1"/>
  <c r="U45" i="4"/>
  <c r="U46" i="4" s="1"/>
  <c r="U48" i="4" s="1"/>
  <c r="T14" i="5" s="1"/>
  <c r="R33" i="4"/>
  <c r="P23" i="7"/>
  <c r="Y20" i="4"/>
  <c r="T25" i="4"/>
  <c r="T32" i="4" s="1"/>
  <c r="R29" i="4"/>
  <c r="P33" i="6" s="1"/>
  <c r="S26" i="4"/>
  <c r="U10" i="11"/>
  <c r="U10" i="12" s="1"/>
  <c r="V8" i="11"/>
  <c r="V8" i="12" s="1"/>
  <c r="V12" i="12" s="1"/>
  <c r="U10" i="9"/>
  <c r="U12" i="9"/>
  <c r="U17" i="9"/>
  <c r="U34" i="9"/>
  <c r="V8" i="9"/>
  <c r="S10" i="6"/>
  <c r="U8" i="5"/>
  <c r="U10" i="5" s="1"/>
  <c r="V8" i="8"/>
  <c r="V10" i="8" s="1"/>
  <c r="T8" i="6"/>
  <c r="T10" i="6" s="1"/>
  <c r="U8" i="7"/>
  <c r="U10" i="7" s="1"/>
  <c r="V12" i="4"/>
  <c r="V53" i="4" s="1"/>
  <c r="U17" i="5" s="1"/>
  <c r="V94" i="11" s="1"/>
  <c r="W8" i="4"/>
  <c r="V10" i="4"/>
  <c r="Y19" i="4"/>
  <c r="X21" i="4"/>
  <c r="U24" i="4"/>
  <c r="U31" i="4" s="1"/>
  <c r="W43" i="4" l="1"/>
  <c r="V45" i="4"/>
  <c r="V46" i="4" s="1"/>
  <c r="V48" i="4" s="1"/>
  <c r="U14" i="5" s="1"/>
  <c r="S33" i="4"/>
  <c r="Q23" i="7"/>
  <c r="Z20" i="4"/>
  <c r="U25" i="4"/>
  <c r="U32" i="4" s="1"/>
  <c r="S29" i="4"/>
  <c r="Q33" i="6" s="1"/>
  <c r="T26" i="4"/>
  <c r="V10" i="11"/>
  <c r="V10" i="12" s="1"/>
  <c r="W8" i="11"/>
  <c r="W8" i="12" s="1"/>
  <c r="W12" i="12" s="1"/>
  <c r="W8" i="9"/>
  <c r="V34" i="9"/>
  <c r="V12" i="9"/>
  <c r="V17" i="9"/>
  <c r="V10" i="9"/>
  <c r="V8" i="5"/>
  <c r="V10" i="5" s="1"/>
  <c r="U8" i="6"/>
  <c r="U10" i="6" s="1"/>
  <c r="V8" i="7"/>
  <c r="V10" i="7" s="1"/>
  <c r="W8" i="8"/>
  <c r="W10" i="8" s="1"/>
  <c r="W12" i="4"/>
  <c r="W53" i="4" s="1"/>
  <c r="V17" i="5" s="1"/>
  <c r="W94" i="11" s="1"/>
  <c r="X8" i="4"/>
  <c r="W10" i="4"/>
  <c r="V24" i="4"/>
  <c r="V31" i="4" s="1"/>
  <c r="Y21" i="4"/>
  <c r="Z19" i="4"/>
  <c r="X43" i="4" l="1"/>
  <c r="W45" i="4"/>
  <c r="W46" i="4" s="1"/>
  <c r="W48" i="4" s="1"/>
  <c r="V14" i="5" s="1"/>
  <c r="T33" i="4"/>
  <c r="R23" i="7"/>
  <c r="AA20" i="4"/>
  <c r="T29" i="4"/>
  <c r="R33" i="6" s="1"/>
  <c r="V25" i="4"/>
  <c r="V32" i="4" s="1"/>
  <c r="U26" i="4"/>
  <c r="W10" i="11"/>
  <c r="W10" i="12" s="1"/>
  <c r="X8" i="11"/>
  <c r="X8" i="12" s="1"/>
  <c r="X12" i="12" s="1"/>
  <c r="W34" i="9"/>
  <c r="W12" i="9"/>
  <c r="W17" i="9"/>
  <c r="W10" i="9"/>
  <c r="X8" i="9"/>
  <c r="W8" i="5"/>
  <c r="W10" i="5" s="1"/>
  <c r="V8" i="6"/>
  <c r="V10" i="6" s="1"/>
  <c r="W8" i="7"/>
  <c r="W10" i="7" s="1"/>
  <c r="X12" i="4"/>
  <c r="X53" i="4" s="1"/>
  <c r="W17" i="5" s="1"/>
  <c r="X94" i="11" s="1"/>
  <c r="X10" i="4"/>
  <c r="Y8" i="4"/>
  <c r="W24" i="4"/>
  <c r="W31" i="4" s="1"/>
  <c r="Z21" i="4"/>
  <c r="AA19" i="4"/>
  <c r="Y43" i="4" l="1"/>
  <c r="X45" i="4"/>
  <c r="X46" i="4" s="1"/>
  <c r="X48" i="4" s="1"/>
  <c r="W14" i="5" s="1"/>
  <c r="U33" i="4"/>
  <c r="S23" i="7"/>
  <c r="AB20" i="4"/>
  <c r="V26" i="4"/>
  <c r="U29" i="4"/>
  <c r="S33" i="6" s="1"/>
  <c r="W25" i="4"/>
  <c r="W32" i="4" s="1"/>
  <c r="X10" i="11"/>
  <c r="X10" i="12" s="1"/>
  <c r="Y8" i="11"/>
  <c r="Y8" i="12" s="1"/>
  <c r="Y12" i="12" s="1"/>
  <c r="X10" i="9"/>
  <c r="X34" i="9"/>
  <c r="Y8" i="9"/>
  <c r="X17" i="9"/>
  <c r="X12" i="9"/>
  <c r="X8" i="5"/>
  <c r="X10" i="5" s="1"/>
  <c r="X8" i="7"/>
  <c r="X10" i="7" s="1"/>
  <c r="W8" i="6"/>
  <c r="Y12" i="4"/>
  <c r="Y53" i="4" s="1"/>
  <c r="X17" i="5" s="1"/>
  <c r="Y94" i="11" s="1"/>
  <c r="Z8" i="4"/>
  <c r="Y10" i="4"/>
  <c r="AB19" i="4"/>
  <c r="AA21" i="4"/>
  <c r="X24" i="4"/>
  <c r="X31" i="4" s="1"/>
  <c r="Z43" i="4" l="1"/>
  <c r="Y45" i="4"/>
  <c r="Y46" i="4" s="1"/>
  <c r="Y48" i="4" s="1"/>
  <c r="X14" i="5" s="1"/>
  <c r="V33" i="4"/>
  <c r="T23" i="7"/>
  <c r="AC20" i="4"/>
  <c r="W26" i="4"/>
  <c r="X25" i="4"/>
  <c r="X32" i="4" s="1"/>
  <c r="V29" i="4"/>
  <c r="T33" i="6" s="1"/>
  <c r="Y10" i="11"/>
  <c r="Y10" i="12" s="1"/>
  <c r="Z8" i="11"/>
  <c r="Z8" i="12" s="1"/>
  <c r="Z12" i="12" s="1"/>
  <c r="Z8" i="9"/>
  <c r="Y17" i="9"/>
  <c r="Y10" i="9"/>
  <c r="Y34" i="9"/>
  <c r="Y12" i="9"/>
  <c r="W10" i="6"/>
  <c r="Y8" i="5"/>
  <c r="Y10" i="5" s="1"/>
  <c r="X8" i="6"/>
  <c r="X10" i="6" s="1"/>
  <c r="Y8" i="7"/>
  <c r="Y10" i="7" s="1"/>
  <c r="AB21" i="4"/>
  <c r="AC19" i="4"/>
  <c r="Y24" i="4"/>
  <c r="Y31" i="4" s="1"/>
  <c r="Z12" i="4"/>
  <c r="Z53" i="4" s="1"/>
  <c r="Y17" i="5" s="1"/>
  <c r="Z94" i="11" s="1"/>
  <c r="AA8" i="4"/>
  <c r="Z10" i="4"/>
  <c r="AA43" i="4" l="1"/>
  <c r="Z45" i="4"/>
  <c r="Z46" i="4" s="1"/>
  <c r="Z48" i="4" s="1"/>
  <c r="Y14" i="5" s="1"/>
  <c r="W33" i="4"/>
  <c r="U23" i="7"/>
  <c r="AD20" i="4"/>
  <c r="X26" i="4"/>
  <c r="Y25" i="4"/>
  <c r="Y32" i="4" s="1"/>
  <c r="W29" i="4"/>
  <c r="U33" i="6" s="1"/>
  <c r="AA8" i="11"/>
  <c r="AA8" i="12" s="1"/>
  <c r="AA12" i="12" s="1"/>
  <c r="Z10" i="11"/>
  <c r="Z10" i="12" s="1"/>
  <c r="Z34" i="9"/>
  <c r="Z17" i="9"/>
  <c r="Z12" i="9"/>
  <c r="Z10" i="9"/>
  <c r="AA8" i="9"/>
  <c r="Z8" i="5"/>
  <c r="Z10" i="5" s="1"/>
  <c r="Y8" i="6"/>
  <c r="Y10" i="6" s="1"/>
  <c r="Z8" i="7"/>
  <c r="Z10" i="7" s="1"/>
  <c r="AA12" i="4"/>
  <c r="AA53" i="4" s="1"/>
  <c r="Z17" i="5" s="1"/>
  <c r="AA94" i="11" s="1"/>
  <c r="AA10" i="4"/>
  <c r="AB8" i="4"/>
  <c r="AC21" i="4"/>
  <c r="AD19" i="4"/>
  <c r="Z24" i="4"/>
  <c r="Z31" i="4" s="1"/>
  <c r="AB43" i="4" l="1"/>
  <c r="AA45" i="4"/>
  <c r="AA46" i="4" s="1"/>
  <c r="AA48" i="4" s="1"/>
  <c r="Z14" i="5" s="1"/>
  <c r="X33" i="4"/>
  <c r="V23" i="7"/>
  <c r="Y26" i="4"/>
  <c r="Z25" i="4"/>
  <c r="Z32" i="4" s="1"/>
  <c r="X29" i="4"/>
  <c r="V33" i="6" s="1"/>
  <c r="AB8" i="11"/>
  <c r="AB8" i="12" s="1"/>
  <c r="AB12" i="12" s="1"/>
  <c r="AA10" i="11"/>
  <c r="AA10" i="12" s="1"/>
  <c r="AA34" i="9"/>
  <c r="AA12" i="9"/>
  <c r="AA17" i="9"/>
  <c r="AA10" i="9"/>
  <c r="AB8" i="9"/>
  <c r="AA8" i="5"/>
  <c r="AA10" i="5" s="1"/>
  <c r="AA8" i="7"/>
  <c r="AA10" i="7" s="1"/>
  <c r="Z8" i="6"/>
  <c r="Z10" i="6" s="1"/>
  <c r="AB12" i="4"/>
  <c r="AB53" i="4" s="1"/>
  <c r="AA17" i="5" s="1"/>
  <c r="AB94" i="11" s="1"/>
  <c r="AC8" i="4"/>
  <c r="AB10" i="4"/>
  <c r="AD21" i="4"/>
  <c r="AA24" i="4"/>
  <c r="AA31" i="4" s="1"/>
  <c r="AC43" i="4" l="1"/>
  <c r="AB45" i="4"/>
  <c r="AB46" i="4" s="1"/>
  <c r="AB48" i="4" s="1"/>
  <c r="AA14" i="5" s="1"/>
  <c r="Y33" i="4"/>
  <c r="W23" i="7"/>
  <c r="Z26" i="4"/>
  <c r="AA25" i="4"/>
  <c r="AA32" i="4" s="1"/>
  <c r="Y29" i="4"/>
  <c r="W33" i="6" s="1"/>
  <c r="AC8" i="11"/>
  <c r="AC8" i="12" s="1"/>
  <c r="AC12" i="12" s="1"/>
  <c r="AB10" i="11"/>
  <c r="AB10" i="12" s="1"/>
  <c r="AB17" i="9"/>
  <c r="AC8" i="9"/>
  <c r="AB12" i="9"/>
  <c r="AB34" i="9"/>
  <c r="AB10" i="9"/>
  <c r="AB8" i="5"/>
  <c r="AB10" i="5" s="1"/>
  <c r="AB8" i="7"/>
  <c r="AB10" i="7" s="1"/>
  <c r="AA8" i="6"/>
  <c r="AC12" i="4"/>
  <c r="AC53" i="4" s="1"/>
  <c r="AB17" i="5" s="1"/>
  <c r="AC94" i="11" s="1"/>
  <c r="AC10" i="4"/>
  <c r="AD8" i="4"/>
  <c r="AB24" i="4"/>
  <c r="AB31" i="4" s="1"/>
  <c r="AD43" i="4" l="1"/>
  <c r="AD45" i="4" s="1"/>
  <c r="AD46" i="4" s="1"/>
  <c r="AD48" i="4" s="1"/>
  <c r="AC14" i="5" s="1"/>
  <c r="AC45" i="4"/>
  <c r="AC46" i="4" s="1"/>
  <c r="AC48" i="4" s="1"/>
  <c r="AB14" i="5" s="1"/>
  <c r="Z33" i="4"/>
  <c r="X23" i="7"/>
  <c r="AA26" i="4"/>
  <c r="AB25" i="4"/>
  <c r="AB32" i="4" s="1"/>
  <c r="Z29" i="4"/>
  <c r="X33" i="6" s="1"/>
  <c r="AD8" i="11"/>
  <c r="AD8" i="12" s="1"/>
  <c r="AC10" i="11"/>
  <c r="AC10" i="12" s="1"/>
  <c r="AC34" i="9"/>
  <c r="AC10" i="9"/>
  <c r="AC17" i="9"/>
  <c r="AD8" i="9"/>
  <c r="AC12" i="9"/>
  <c r="AC8" i="5"/>
  <c r="AC10" i="5" s="1"/>
  <c r="AB8" i="6"/>
  <c r="AB10" i="6" s="1"/>
  <c r="AC8" i="7"/>
  <c r="AC10" i="7" s="1"/>
  <c r="AA10" i="6"/>
  <c r="AD12" i="4"/>
  <c r="AD53" i="4" s="1"/>
  <c r="AC17" i="5" s="1"/>
  <c r="AD94" i="11" s="1"/>
  <c r="AD10" i="4"/>
  <c r="AC24" i="4"/>
  <c r="AC31" i="4" s="1"/>
  <c r="AD12" i="12" l="1"/>
  <c r="AE12" i="12"/>
  <c r="AA33" i="4"/>
  <c r="Y23" i="7"/>
  <c r="AB26" i="4"/>
  <c r="AC25" i="4"/>
  <c r="AC32" i="4" s="1"/>
  <c r="AA29" i="4"/>
  <c r="Y33" i="6" s="1"/>
  <c r="AD10" i="11"/>
  <c r="AD10" i="12" s="1"/>
  <c r="AD17" i="9"/>
  <c r="AD34" i="9"/>
  <c r="AD12" i="9"/>
  <c r="AD10" i="9"/>
  <c r="AD24" i="4"/>
  <c r="AD31" i="4" s="1"/>
  <c r="AB33" i="4" l="1"/>
  <c r="Z23" i="7"/>
  <c r="D60" i="11" a="1"/>
  <c r="AB29" i="4"/>
  <c r="Z33" i="6" s="1"/>
  <c r="AD25" i="4"/>
  <c r="AD32" i="4" s="1"/>
  <c r="AC26" i="4"/>
  <c r="AC33" i="4" l="1"/>
  <c r="AA23" i="7"/>
  <c r="D60" i="11"/>
  <c r="D83" i="11"/>
  <c r="D67" i="11"/>
  <c r="D74" i="11"/>
  <c r="D85" i="11"/>
  <c r="D69" i="11"/>
  <c r="D80" i="11"/>
  <c r="D64" i="11"/>
  <c r="D79" i="11"/>
  <c r="D63" i="11"/>
  <c r="D70" i="11"/>
  <c r="D81" i="11"/>
  <c r="D65" i="11"/>
  <c r="D76" i="11"/>
  <c r="D75" i="11"/>
  <c r="D82" i="11"/>
  <c r="D66" i="11"/>
  <c r="D77" i="11"/>
  <c r="D61" i="11"/>
  <c r="D72" i="11"/>
  <c r="D71" i="11"/>
  <c r="D78" i="11"/>
  <c r="D62" i="11"/>
  <c r="D73" i="11"/>
  <c r="D84" i="11"/>
  <c r="D68" i="11"/>
  <c r="AD26" i="4"/>
  <c r="AC29" i="4"/>
  <c r="AA33" i="6" s="1"/>
  <c r="AD33" i="4" l="1"/>
  <c r="AB23" i="7"/>
  <c r="AD29" i="4"/>
  <c r="AB33" i="6" s="1"/>
  <c r="AC23" i="7" l="1"/>
  <c r="C42" i="11" l="1"/>
  <c r="C44" i="11" l="1"/>
  <c r="C46" i="11" s="1"/>
  <c r="H8" i="1" l="1"/>
  <c r="F20" i="9" s="1"/>
  <c r="G20" i="9" s="1"/>
  <c r="G21" i="9" l="1"/>
  <c r="H20" i="9"/>
  <c r="F21" i="9"/>
  <c r="F38" i="9"/>
  <c r="F39" i="9" l="1"/>
  <c r="F40" i="9" s="1"/>
  <c r="G38" i="9" s="1"/>
  <c r="H21" i="9"/>
  <c r="I20" i="9"/>
  <c r="G39" i="9" l="1"/>
  <c r="G40" i="9" s="1"/>
  <c r="H38" i="9" s="1"/>
  <c r="I21" i="9"/>
  <c r="J20" i="9"/>
  <c r="K20" i="9" l="1"/>
  <c r="J21" i="9"/>
  <c r="H39" i="9"/>
  <c r="H40" i="9" s="1"/>
  <c r="I38" i="9" s="1"/>
  <c r="I39" i="9" l="1"/>
  <c r="I40" i="9" s="1"/>
  <c r="J38" i="9" s="1"/>
  <c r="K21" i="9"/>
  <c r="L20" i="9"/>
  <c r="J39" i="9" l="1"/>
  <c r="J40" i="9" s="1"/>
  <c r="K38" i="9" s="1"/>
  <c r="M20" i="9"/>
  <c r="L21" i="9"/>
  <c r="K39" i="9" l="1"/>
  <c r="K40" i="9" s="1"/>
  <c r="L38" i="9" s="1"/>
  <c r="M21" i="9"/>
  <c r="N20" i="9"/>
  <c r="L39" i="9" l="1"/>
  <c r="L40" i="9" s="1"/>
  <c r="M38" i="9" s="1"/>
  <c r="O20" i="9"/>
  <c r="N21" i="9"/>
  <c r="M39" i="9" l="1"/>
  <c r="M40" i="9" s="1"/>
  <c r="N38" i="9" s="1"/>
  <c r="O21" i="9"/>
  <c r="P20" i="9"/>
  <c r="N39" i="9" l="1"/>
  <c r="N40" i="9" s="1"/>
  <c r="O38" i="9" s="1"/>
  <c r="Q20" i="9"/>
  <c r="P21" i="9"/>
  <c r="Q21" i="9" l="1"/>
  <c r="R20" i="9"/>
  <c r="O39" i="9"/>
  <c r="O40" i="9" s="1"/>
  <c r="P38" i="9" s="1"/>
  <c r="P39" i="9" l="1"/>
  <c r="P40" i="9" s="1"/>
  <c r="Q38" i="9" s="1"/>
  <c r="S20" i="9"/>
  <c r="R21" i="9"/>
  <c r="Q39" i="9" l="1"/>
  <c r="Q40" i="9" s="1"/>
  <c r="R38" i="9" s="1"/>
  <c r="T20" i="9"/>
  <c r="S21" i="9"/>
  <c r="U20" i="9" l="1"/>
  <c r="T21" i="9"/>
  <c r="R39" i="9"/>
  <c r="R40" i="9" s="1"/>
  <c r="S38" i="9" s="1"/>
  <c r="S39" i="9" l="1"/>
  <c r="S40" i="9" s="1"/>
  <c r="T38" i="9" s="1"/>
  <c r="U21" i="9"/>
  <c r="V20" i="9"/>
  <c r="T39" i="9" l="1"/>
  <c r="T40" i="9" s="1"/>
  <c r="U38" i="9" s="1"/>
  <c r="W20" i="9"/>
  <c r="V21" i="9"/>
  <c r="U39" i="9" l="1"/>
  <c r="U40" i="9" s="1"/>
  <c r="V38" i="9" s="1"/>
  <c r="X20" i="9"/>
  <c r="W21" i="9"/>
  <c r="X21" i="9" l="1"/>
  <c r="Y20" i="9"/>
  <c r="V39" i="9"/>
  <c r="V40" i="9" s="1"/>
  <c r="W38" i="9" s="1"/>
  <c r="W39" i="9" l="1"/>
  <c r="W40" i="9" s="1"/>
  <c r="X38" i="9" s="1"/>
  <c r="Y21" i="9"/>
  <c r="Z20" i="9"/>
  <c r="X39" i="9" l="1"/>
  <c r="X40" i="9" s="1"/>
  <c r="Y38" i="9" s="1"/>
  <c r="Z21" i="9"/>
  <c r="AA20" i="9"/>
  <c r="Y39" i="9" l="1"/>
  <c r="Y40" i="9" s="1"/>
  <c r="Z38" i="9" s="1"/>
  <c r="AA21" i="9"/>
  <c r="AB20" i="9"/>
  <c r="AB21" i="9" l="1"/>
  <c r="AC20" i="9"/>
  <c r="Z39" i="9"/>
  <c r="Z40" i="9" s="1"/>
  <c r="AA38" i="9" s="1"/>
  <c r="AA39" i="9" l="1"/>
  <c r="AA40" i="9" s="1"/>
  <c r="AB38" i="9" s="1"/>
  <c r="AD20" i="9"/>
  <c r="AC21" i="9"/>
  <c r="AB39" i="9" l="1"/>
  <c r="AB40" i="9" s="1"/>
  <c r="AC38" i="9" s="1"/>
  <c r="AD21" i="9"/>
  <c r="AC39" i="9" l="1"/>
  <c r="AC40" i="9" s="1"/>
  <c r="AD38" i="9" s="1"/>
  <c r="AD39" i="9" l="1"/>
  <c r="AD40" i="9" s="1"/>
  <c r="Y32" i="5" l="1"/>
  <c r="W32" i="5"/>
  <c r="X32" i="5"/>
  <c r="U17" i="6" l="1"/>
  <c r="W22" i="7"/>
  <c r="Y22" i="7"/>
  <c r="F13" i="8"/>
  <c r="C17" i="6" s="1"/>
  <c r="V17" i="6"/>
  <c r="X22" i="7"/>
  <c r="W17" i="6"/>
  <c r="E22" i="7" l="1"/>
  <c r="F16" i="11" s="1"/>
  <c r="E32" i="5"/>
  <c r="E33" i="8"/>
  <c r="F33" i="8" l="1"/>
  <c r="E36" i="8" l="1"/>
  <c r="D14" i="8" l="1"/>
  <c r="E11" i="8" s="1"/>
  <c r="F36" i="8"/>
  <c r="D22" i="7" l="1"/>
  <c r="D16" i="8"/>
  <c r="D17" i="8" s="1"/>
  <c r="W21" i="5" l="1"/>
  <c r="X21" i="5" l="1"/>
  <c r="Y111" i="11" l="1"/>
  <c r="Z111" i="11" l="1"/>
  <c r="K13" i="1"/>
  <c r="K17" i="1" s="1"/>
  <c r="L20" i="1" s="1"/>
  <c r="L22" i="1" l="1"/>
  <c r="F14" i="1" s="1"/>
  <c r="L21" i="1"/>
  <c r="L23" i="1"/>
  <c r="K18" i="1"/>
  <c r="L24" i="1" l="1"/>
  <c r="L25" i="1" s="1"/>
  <c r="M26" i="1" s="1"/>
  <c r="F13" i="1"/>
  <c r="F15" i="1" l="1"/>
  <c r="H15" i="1" s="1"/>
  <c r="G9" i="1"/>
  <c r="H9" i="1" s="1"/>
  <c r="D26" i="7"/>
  <c r="AB36" i="6" s="1"/>
  <c r="F22" i="9" l="1"/>
  <c r="C23" i="6"/>
  <c r="Z36" i="6"/>
  <c r="AC37" i="4" s="1"/>
  <c r="AC38" i="4" s="1"/>
  <c r="AB12" i="5" s="1"/>
  <c r="AB38" i="5" s="1"/>
  <c r="F18" i="1"/>
  <c r="F20" i="1" s="1"/>
  <c r="G10" i="1"/>
  <c r="H10" i="1" s="1"/>
  <c r="F24" i="9" s="1"/>
  <c r="G11" i="1"/>
  <c r="H11" i="1" s="1"/>
  <c r="F26" i="9" s="1"/>
  <c r="G26" i="9" s="1"/>
  <c r="U36" i="6"/>
  <c r="X37" i="4" s="1"/>
  <c r="X38" i="4" s="1"/>
  <c r="W12" i="5" s="1"/>
  <c r="W38" i="5" s="1"/>
  <c r="Q36" i="6"/>
  <c r="T37" i="4" s="1"/>
  <c r="T38" i="4" s="1"/>
  <c r="S12" i="5" s="1"/>
  <c r="S38" i="5" s="1"/>
  <c r="X36" i="6"/>
  <c r="AA37" i="4" s="1"/>
  <c r="AA38" i="4" s="1"/>
  <c r="Z12" i="5" s="1"/>
  <c r="AA93" i="11" s="1"/>
  <c r="AA95" i="11" s="1"/>
  <c r="R36" i="6"/>
  <c r="U37" i="4" s="1"/>
  <c r="U38" i="4" s="1"/>
  <c r="T12" i="5" s="1"/>
  <c r="T38" i="5" s="1"/>
  <c r="C36" i="6"/>
  <c r="G7" i="1"/>
  <c r="H7" i="1" s="1"/>
  <c r="T36" i="6"/>
  <c r="W37" i="4" s="1"/>
  <c r="W38" i="4" s="1"/>
  <c r="V12" i="5" s="1"/>
  <c r="V38" i="5" s="1"/>
  <c r="AA36" i="6"/>
  <c r="AD37" i="4" s="1"/>
  <c r="AD38" i="4" s="1"/>
  <c r="AC12" i="5" s="1"/>
  <c r="AC38" i="5" s="1"/>
  <c r="V36" i="6"/>
  <c r="Y37" i="4" s="1"/>
  <c r="Y38" i="4" s="1"/>
  <c r="X12" i="5" s="1"/>
  <c r="X38" i="5" s="1"/>
  <c r="P36" i="6"/>
  <c r="S37" i="4" s="1"/>
  <c r="S38" i="4" s="1"/>
  <c r="R12" i="5" s="1"/>
  <c r="R38" i="5" s="1"/>
  <c r="G12" i="1"/>
  <c r="H12" i="1" s="1"/>
  <c r="F28" i="9" s="1"/>
  <c r="F29" i="9" s="1"/>
  <c r="W36" i="6"/>
  <c r="Z37" i="4" s="1"/>
  <c r="Z38" i="4" s="1"/>
  <c r="Y12" i="5" s="1"/>
  <c r="Z93" i="11" s="1"/>
  <c r="Z95" i="11" s="1"/>
  <c r="Y36" i="6"/>
  <c r="AB37" i="4" s="1"/>
  <c r="AB38" i="4" s="1"/>
  <c r="AA12" i="5" s="1"/>
  <c r="AA38" i="5" s="1"/>
  <c r="S36" i="6"/>
  <c r="V37" i="4" s="1"/>
  <c r="V38" i="4" s="1"/>
  <c r="U12" i="5" s="1"/>
  <c r="V93" i="11" s="1"/>
  <c r="V95" i="11" s="1"/>
  <c r="H36" i="6"/>
  <c r="K37" i="4" s="1"/>
  <c r="K38" i="4" s="1"/>
  <c r="J12" i="5" s="1"/>
  <c r="K93" i="11" s="1"/>
  <c r="K95" i="11" s="1"/>
  <c r="G36" i="6"/>
  <c r="J37" i="4" s="1"/>
  <c r="J38" i="4" s="1"/>
  <c r="I12" i="5" s="1"/>
  <c r="J93" i="11" s="1"/>
  <c r="J95" i="11" s="1"/>
  <c r="O36" i="6"/>
  <c r="R37" i="4" s="1"/>
  <c r="R38" i="4" s="1"/>
  <c r="Q12" i="5" s="1"/>
  <c r="R93" i="11" s="1"/>
  <c r="R95" i="11" s="1"/>
  <c r="L36" i="6"/>
  <c r="O37" i="4" s="1"/>
  <c r="O38" i="4" s="1"/>
  <c r="N12" i="5" s="1"/>
  <c r="N38" i="5" s="1"/>
  <c r="J36" i="6"/>
  <c r="M37" i="4" s="1"/>
  <c r="M38" i="4" s="1"/>
  <c r="L12" i="5" s="1"/>
  <c r="L38" i="5" s="1"/>
  <c r="F36" i="6"/>
  <c r="I37" i="4" s="1"/>
  <c r="I38" i="4" s="1"/>
  <c r="H12" i="5" s="1"/>
  <c r="I93" i="11" s="1"/>
  <c r="I95" i="11" s="1"/>
  <c r="K36" i="6"/>
  <c r="N37" i="4" s="1"/>
  <c r="N38" i="4" s="1"/>
  <c r="M12" i="5" s="1"/>
  <c r="M38" i="5" s="1"/>
  <c r="E36" i="6"/>
  <c r="H37" i="4" s="1"/>
  <c r="H38" i="4" s="1"/>
  <c r="G12" i="5" s="1"/>
  <c r="G38" i="5" s="1"/>
  <c r="N36" i="6"/>
  <c r="Q37" i="4" s="1"/>
  <c r="Q38" i="4" s="1"/>
  <c r="P12" i="5" s="1"/>
  <c r="Q93" i="11" s="1"/>
  <c r="Q95" i="11" s="1"/>
  <c r="D36" i="6"/>
  <c r="G37" i="4" s="1"/>
  <c r="G38" i="4" s="1"/>
  <c r="F12" i="5" s="1"/>
  <c r="F38" i="5" s="1"/>
  <c r="I36" i="6"/>
  <c r="L37" i="4" s="1"/>
  <c r="L38" i="4" s="1"/>
  <c r="K12" i="5" s="1"/>
  <c r="L93" i="11" s="1"/>
  <c r="L95" i="11" s="1"/>
  <c r="M36" i="6"/>
  <c r="P37" i="4" s="1"/>
  <c r="P38" i="4" s="1"/>
  <c r="O12" i="5" s="1"/>
  <c r="P93" i="11" s="1"/>
  <c r="P95" i="11" s="1"/>
  <c r="F25" i="9"/>
  <c r="G24" i="9"/>
  <c r="F44" i="9"/>
  <c r="F25" i="1"/>
  <c r="F24" i="1" s="1"/>
  <c r="F23" i="9"/>
  <c r="F41" i="9"/>
  <c r="G22" i="9"/>
  <c r="W93" i="11"/>
  <c r="W95" i="11" s="1"/>
  <c r="J38" i="5"/>
  <c r="F37" i="4" l="1"/>
  <c r="F38" i="4" s="1"/>
  <c r="E12" i="5" s="1"/>
  <c r="E38" i="5" s="1"/>
  <c r="C43" i="6"/>
  <c r="C44" i="6" s="1"/>
  <c r="E27" i="11" s="1"/>
  <c r="AC93" i="11"/>
  <c r="AC95" i="11" s="1"/>
  <c r="AC98" i="11" s="1"/>
  <c r="N93" i="11"/>
  <c r="N95" i="11" s="1"/>
  <c r="N98" i="11" s="1"/>
  <c r="T93" i="11"/>
  <c r="T95" i="11" s="1"/>
  <c r="T98" i="11" s="1"/>
  <c r="O38" i="5"/>
  <c r="F50" i="9"/>
  <c r="H38" i="5"/>
  <c r="G93" i="11"/>
  <c r="G95" i="11" s="1"/>
  <c r="G98" i="11" s="1"/>
  <c r="F27" i="9"/>
  <c r="U93" i="11"/>
  <c r="U95" i="11" s="1"/>
  <c r="U98" i="11" s="1"/>
  <c r="I38" i="5"/>
  <c r="AD93" i="11"/>
  <c r="AD95" i="11" s="1"/>
  <c r="AD98" i="11" s="1"/>
  <c r="Y38" i="5"/>
  <c r="F47" i="9"/>
  <c r="Q38" i="5"/>
  <c r="K38" i="5"/>
  <c r="Y93" i="11"/>
  <c r="Y95" i="11" s="1"/>
  <c r="Y98" i="11" s="1"/>
  <c r="X93" i="11"/>
  <c r="X95" i="11" s="1"/>
  <c r="X98" i="11" s="1"/>
  <c r="S93" i="11"/>
  <c r="S95" i="11" s="1"/>
  <c r="S98" i="11" s="1"/>
  <c r="O93" i="11"/>
  <c r="O95" i="11" s="1"/>
  <c r="O98" i="11" s="1"/>
  <c r="AB93" i="11"/>
  <c r="AB95" i="11" s="1"/>
  <c r="AB98" i="11" s="1"/>
  <c r="U38" i="5"/>
  <c r="H93" i="11"/>
  <c r="H95" i="11" s="1"/>
  <c r="H98" i="11" s="1"/>
  <c r="P38" i="5"/>
  <c r="G28" i="9"/>
  <c r="M93" i="11"/>
  <c r="M95" i="11" s="1"/>
  <c r="M98" i="11" s="1"/>
  <c r="Z38" i="5"/>
  <c r="G18" i="1"/>
  <c r="F30" i="9"/>
  <c r="I29" i="1"/>
  <c r="F26" i="1"/>
  <c r="G32" i="1" s="1"/>
  <c r="D13" i="7"/>
  <c r="AA98" i="11"/>
  <c r="R98" i="11"/>
  <c r="I98" i="11"/>
  <c r="F48" i="9"/>
  <c r="F49" i="9" s="1"/>
  <c r="G47" i="9" s="1"/>
  <c r="Q98" i="11"/>
  <c r="Z98" i="11"/>
  <c r="W98" i="11"/>
  <c r="J98" i="11"/>
  <c r="G23" i="9"/>
  <c r="H22" i="9"/>
  <c r="G27" i="9"/>
  <c r="H26" i="9"/>
  <c r="V98" i="11"/>
  <c r="F51" i="9"/>
  <c r="F52" i="9" s="1"/>
  <c r="G50" i="9" s="1"/>
  <c r="E33" i="1"/>
  <c r="G31" i="1"/>
  <c r="C21" i="8"/>
  <c r="D14" i="7"/>
  <c r="C14" i="6" s="1"/>
  <c r="F45" i="9"/>
  <c r="F46" i="9" s="1"/>
  <c r="G44" i="9" s="1"/>
  <c r="P98" i="11"/>
  <c r="L98" i="11"/>
  <c r="K98" i="11"/>
  <c r="F43" i="9"/>
  <c r="G41" i="9" s="1"/>
  <c r="F18" i="9"/>
  <c r="H18" i="1"/>
  <c r="G29" i="9"/>
  <c r="H28" i="9"/>
  <c r="G25" i="9"/>
  <c r="H24" i="9"/>
  <c r="F93" i="11" l="1"/>
  <c r="F95" i="11" s="1"/>
  <c r="F98" i="11" s="1"/>
  <c r="G42" i="9"/>
  <c r="G43" i="9" s="1"/>
  <c r="H41" i="9" s="1"/>
  <c r="G51" i="9"/>
  <c r="G52" i="9" s="1"/>
  <c r="H50" i="9" s="1"/>
  <c r="G45" i="9"/>
  <c r="G46" i="9" s="1"/>
  <c r="H44" i="9" s="1"/>
  <c r="G48" i="9"/>
  <c r="G49" i="9" s="1"/>
  <c r="H47" i="9" s="1"/>
  <c r="F31" i="9"/>
  <c r="G18" i="9"/>
  <c r="F35" i="9"/>
  <c r="H25" i="9"/>
  <c r="I24" i="9"/>
  <c r="I18" i="1"/>
  <c r="H20" i="1"/>
  <c r="F53" i="11" s="1"/>
  <c r="H27" i="9"/>
  <c r="I26" i="9"/>
  <c r="H23" i="9"/>
  <c r="I22" i="9"/>
  <c r="D18" i="7"/>
  <c r="C12" i="6"/>
  <c r="G30" i="9"/>
  <c r="H29" i="9"/>
  <c r="I28" i="9"/>
  <c r="E35" i="1"/>
  <c r="F22" i="8"/>
  <c r="C34" i="8"/>
  <c r="E12" i="8"/>
  <c r="E14" i="8" s="1"/>
  <c r="C30" i="8"/>
  <c r="C38" i="8"/>
  <c r="D132" i="8" l="1"/>
  <c r="D136" i="8"/>
  <c r="D140" i="8"/>
  <c r="D145" i="8"/>
  <c r="D149" i="8"/>
  <c r="D153" i="8"/>
  <c r="D158" i="8"/>
  <c r="D162" i="8"/>
  <c r="D166" i="8"/>
  <c r="D171" i="8"/>
  <c r="D175" i="8"/>
  <c r="D179" i="8"/>
  <c r="D184" i="8"/>
  <c r="D188" i="8"/>
  <c r="D192" i="8"/>
  <c r="D194" i="8" s="1"/>
  <c r="D195" i="8" s="1"/>
  <c r="D196" i="8" s="1"/>
  <c r="D197" i="8" s="1"/>
  <c r="D198" i="8" s="1"/>
  <c r="D199" i="8" s="1"/>
  <c r="D200" i="8" s="1"/>
  <c r="D201" i="8" s="1"/>
  <c r="D202" i="8" s="1"/>
  <c r="D203" i="8" s="1"/>
  <c r="D204" i="8" s="1"/>
  <c r="D205" i="8" s="1"/>
  <c r="D207" i="8" s="1"/>
  <c r="D208" i="8" s="1"/>
  <c r="D209" i="8" s="1"/>
  <c r="D210" i="8" s="1"/>
  <c r="D211" i="8" s="1"/>
  <c r="D212" i="8" s="1"/>
  <c r="D213" i="8" s="1"/>
  <c r="D214" i="8" s="1"/>
  <c r="D215" i="8" s="1"/>
  <c r="D216" i="8" s="1"/>
  <c r="D217" i="8" s="1"/>
  <c r="D218" i="8" s="1"/>
  <c r="D161" i="8"/>
  <c r="D183" i="8"/>
  <c r="D129" i="8"/>
  <c r="D133" i="8"/>
  <c r="D137" i="8"/>
  <c r="D142" i="8"/>
  <c r="D146" i="8"/>
  <c r="D150" i="8"/>
  <c r="D155" i="8"/>
  <c r="D159" i="8"/>
  <c r="D163" i="8"/>
  <c r="D168" i="8"/>
  <c r="D172" i="8"/>
  <c r="D176" i="8"/>
  <c r="D181" i="8"/>
  <c r="D185" i="8"/>
  <c r="D189" i="8"/>
  <c r="D152" i="8"/>
  <c r="D174" i="8"/>
  <c r="D191" i="8"/>
  <c r="D130" i="8"/>
  <c r="D134" i="8"/>
  <c r="D138" i="8"/>
  <c r="D143" i="8"/>
  <c r="D147" i="8"/>
  <c r="D151" i="8"/>
  <c r="D156" i="8"/>
  <c r="D160" i="8"/>
  <c r="D164" i="8"/>
  <c r="D169" i="8"/>
  <c r="D173" i="8"/>
  <c r="D177" i="8"/>
  <c r="D182" i="8"/>
  <c r="D186" i="8"/>
  <c r="D190" i="8"/>
  <c r="D131" i="8"/>
  <c r="D135" i="8"/>
  <c r="D139" i="8"/>
  <c r="D144" i="8"/>
  <c r="D148" i="8"/>
  <c r="D157" i="8"/>
  <c r="D165" i="8"/>
  <c r="D170" i="8"/>
  <c r="D178" i="8"/>
  <c r="D187" i="8"/>
  <c r="H30" i="9"/>
  <c r="H51" i="9"/>
  <c r="H52" i="9" s="1"/>
  <c r="I50" i="9" s="1"/>
  <c r="H48" i="9"/>
  <c r="H49" i="9" s="1"/>
  <c r="I47" i="9" s="1"/>
  <c r="E38" i="8"/>
  <c r="C39" i="8" s="1"/>
  <c r="I23" i="9"/>
  <c r="J22" i="9"/>
  <c r="C27" i="6"/>
  <c r="C29" i="6" s="1"/>
  <c r="C31" i="6" s="1"/>
  <c r="D21" i="7"/>
  <c r="D23" i="6"/>
  <c r="E87" i="11"/>
  <c r="F36" i="9"/>
  <c r="F54" i="9" s="1"/>
  <c r="E30" i="8"/>
  <c r="C31" i="8" s="1"/>
  <c r="E15" i="8"/>
  <c r="F11" i="8"/>
  <c r="F14" i="8" s="1"/>
  <c r="G11" i="8" s="1"/>
  <c r="C19" i="6"/>
  <c r="D12" i="6"/>
  <c r="I27" i="9"/>
  <c r="J26" i="9"/>
  <c r="G31" i="9"/>
  <c r="H18" i="9"/>
  <c r="H45" i="9"/>
  <c r="H46" i="9" s="1"/>
  <c r="I44" i="9" s="1"/>
  <c r="H42" i="9"/>
  <c r="H43" i="9" s="1"/>
  <c r="I41" i="9" s="1"/>
  <c r="E34" i="8"/>
  <c r="C35" i="8" s="1"/>
  <c r="I29" i="9"/>
  <c r="J28" i="9"/>
  <c r="I25" i="9"/>
  <c r="J24" i="9"/>
  <c r="E16" i="5" l="1"/>
  <c r="F22" i="12" s="1"/>
  <c r="J13" i="8"/>
  <c r="R13" i="8"/>
  <c r="O13" i="8"/>
  <c r="K13" i="8"/>
  <c r="U13" i="8"/>
  <c r="Q13" i="8"/>
  <c r="P13" i="8"/>
  <c r="L13" i="8"/>
  <c r="T13" i="8"/>
  <c r="M13" i="8"/>
  <c r="S13" i="8"/>
  <c r="R22" i="7" s="1"/>
  <c r="S16" i="11" s="1"/>
  <c r="N13" i="8"/>
  <c r="F34" i="8"/>
  <c r="F30" i="8"/>
  <c r="G22" i="7"/>
  <c r="H16" i="11" s="1"/>
  <c r="F38" i="8"/>
  <c r="I48" i="9"/>
  <c r="I49" i="9" s="1"/>
  <c r="J47" i="9" s="1"/>
  <c r="I42" i="9"/>
  <c r="I43" i="9" s="1"/>
  <c r="J41" i="9" s="1"/>
  <c r="I45" i="9"/>
  <c r="I46" i="9" s="1"/>
  <c r="J44" i="9" s="1"/>
  <c r="J29" i="9"/>
  <c r="K28" i="9"/>
  <c r="H31" i="9"/>
  <c r="I18" i="9"/>
  <c r="E13" i="7"/>
  <c r="E12" i="6"/>
  <c r="E31" i="8"/>
  <c r="C32" i="8" s="1"/>
  <c r="J23" i="9"/>
  <c r="K22" i="9"/>
  <c r="G14" i="8"/>
  <c r="H11" i="8" s="1"/>
  <c r="J25" i="9"/>
  <c r="K24" i="9"/>
  <c r="E35" i="8"/>
  <c r="F35" i="8" s="1"/>
  <c r="J27" i="9"/>
  <c r="K26" i="9"/>
  <c r="F37" i="9"/>
  <c r="D27" i="6"/>
  <c r="E21" i="7"/>
  <c r="E23" i="6"/>
  <c r="I30" i="9"/>
  <c r="E39" i="8"/>
  <c r="C40" i="8" s="1"/>
  <c r="I51" i="9"/>
  <c r="I52" i="9" s="1"/>
  <c r="J50" i="9" s="1"/>
  <c r="E16" i="8"/>
  <c r="E17" i="8" s="1"/>
  <c r="E26" i="11"/>
  <c r="E29" i="11" s="1"/>
  <c r="D27" i="7"/>
  <c r="D29" i="7" s="1"/>
  <c r="D30" i="7" s="1"/>
  <c r="F77" i="9" l="1"/>
  <c r="F80" i="9" s="1"/>
  <c r="E17" i="6"/>
  <c r="P17" i="6"/>
  <c r="R32" i="5"/>
  <c r="G32" i="5"/>
  <c r="H14" i="8"/>
  <c r="I11" i="8" s="1"/>
  <c r="I14" i="8" s="1"/>
  <c r="J11" i="8" s="1"/>
  <c r="J14" i="8" s="1"/>
  <c r="K11" i="8" s="1"/>
  <c r="K14" i="8" s="1"/>
  <c r="L11" i="8" s="1"/>
  <c r="L14" i="8" s="1"/>
  <c r="M11" i="8" s="1"/>
  <c r="M14" i="8" s="1"/>
  <c r="N11" i="8" s="1"/>
  <c r="N14" i="8" s="1"/>
  <c r="O11" i="8" s="1"/>
  <c r="O14" i="8" s="1"/>
  <c r="P11" i="8" s="1"/>
  <c r="P14" i="8" s="1"/>
  <c r="Q11" i="8" s="1"/>
  <c r="Q14" i="8" s="1"/>
  <c r="R11" i="8" s="1"/>
  <c r="R14" i="8" s="1"/>
  <c r="S11" i="8" s="1"/>
  <c r="S14" i="8" s="1"/>
  <c r="T11" i="8" s="1"/>
  <c r="T14" i="8" s="1"/>
  <c r="U11" i="8" s="1"/>
  <c r="U14" i="8" s="1"/>
  <c r="V11" i="8" s="1"/>
  <c r="V14" i="8" s="1"/>
  <c r="W11" i="8" s="1"/>
  <c r="F31" i="8"/>
  <c r="F39" i="8"/>
  <c r="J30" i="9"/>
  <c r="J45" i="9"/>
  <c r="J46" i="9" s="1"/>
  <c r="K44" i="9" s="1"/>
  <c r="J51" i="9"/>
  <c r="J52" i="9" s="1"/>
  <c r="K50" i="9" s="1"/>
  <c r="J42" i="9"/>
  <c r="J43" i="9" s="1"/>
  <c r="K41" i="9" s="1"/>
  <c r="N17" i="6"/>
  <c r="P22" i="7"/>
  <c r="Q16" i="11" s="1"/>
  <c r="P32" i="5"/>
  <c r="C35" i="6"/>
  <c r="C37" i="6" s="1"/>
  <c r="C38" i="6" s="1"/>
  <c r="C40" i="6" s="1"/>
  <c r="E28" i="7"/>
  <c r="H32" i="5"/>
  <c r="F17" i="6"/>
  <c r="H22" i="7"/>
  <c r="I16" i="11" s="1"/>
  <c r="F21" i="7"/>
  <c r="E27" i="6"/>
  <c r="F23" i="6"/>
  <c r="Q17" i="6"/>
  <c r="S22" i="7"/>
  <c r="T16" i="11" s="1"/>
  <c r="S32" i="5"/>
  <c r="K23" i="9"/>
  <c r="L22" i="9"/>
  <c r="J32" i="5"/>
  <c r="H17" i="6"/>
  <c r="J22" i="7"/>
  <c r="K16" i="11" s="1"/>
  <c r="K29" i="9"/>
  <c r="L28" i="9"/>
  <c r="E27" i="7"/>
  <c r="F26" i="11"/>
  <c r="K27" i="9"/>
  <c r="L26" i="9"/>
  <c r="K25" i="9"/>
  <c r="L24" i="9"/>
  <c r="S17" i="6"/>
  <c r="U22" i="7"/>
  <c r="V16" i="11" s="1"/>
  <c r="U32" i="5"/>
  <c r="I32" i="5"/>
  <c r="I22" i="7"/>
  <c r="J16" i="11" s="1"/>
  <c r="G17" i="6"/>
  <c r="T22" i="7"/>
  <c r="U16" i="11" s="1"/>
  <c r="R17" i="6"/>
  <c r="T32" i="5"/>
  <c r="I17" i="6"/>
  <c r="K32" i="5"/>
  <c r="K22" i="7"/>
  <c r="L16" i="11" s="1"/>
  <c r="F53" i="9"/>
  <c r="G35" i="9"/>
  <c r="O17" i="6"/>
  <c r="Q22" i="7"/>
  <c r="R16" i="11" s="1"/>
  <c r="Q32" i="5"/>
  <c r="E40" i="8"/>
  <c r="C41" i="8" s="1"/>
  <c r="O22" i="7"/>
  <c r="P16" i="11" s="1"/>
  <c r="O32" i="5"/>
  <c r="M17" i="6"/>
  <c r="F22" i="7"/>
  <c r="G16" i="11" s="1"/>
  <c r="D17" i="6"/>
  <c r="D14" i="6" s="1"/>
  <c r="F32" i="5"/>
  <c r="E32" i="8"/>
  <c r="F32" i="8" s="1"/>
  <c r="J17" i="6"/>
  <c r="L32" i="5"/>
  <c r="L22" i="7"/>
  <c r="M16" i="11" s="1"/>
  <c r="I31" i="9"/>
  <c r="J18" i="9"/>
  <c r="J48" i="9"/>
  <c r="J49" i="9" s="1"/>
  <c r="K47" i="9" s="1"/>
  <c r="N22" i="7"/>
  <c r="O16" i="11" s="1"/>
  <c r="L17" i="6"/>
  <c r="N32" i="5"/>
  <c r="M22" i="7"/>
  <c r="N16" i="11" s="1"/>
  <c r="K17" i="6"/>
  <c r="M32" i="5"/>
  <c r="F13" i="7"/>
  <c r="F12" i="6"/>
  <c r="F78" i="9" l="1"/>
  <c r="F40" i="8"/>
  <c r="K30" i="9"/>
  <c r="K51" i="9"/>
  <c r="K52" i="9" s="1"/>
  <c r="L50" i="9" s="1"/>
  <c r="G13" i="7"/>
  <c r="G12" i="6"/>
  <c r="K48" i="9"/>
  <c r="K49" i="9" s="1"/>
  <c r="L47" i="9" s="1"/>
  <c r="J31" i="9"/>
  <c r="K18" i="9"/>
  <c r="E14" i="6"/>
  <c r="F115" i="11"/>
  <c r="E41" i="8"/>
  <c r="C42" i="8" s="1"/>
  <c r="L23" i="9"/>
  <c r="M22" i="9"/>
  <c r="F27" i="7"/>
  <c r="G26" i="11"/>
  <c r="K42" i="9"/>
  <c r="K43" i="9" s="1"/>
  <c r="L41" i="9" s="1"/>
  <c r="K45" i="9"/>
  <c r="K46" i="9" s="1"/>
  <c r="L44" i="9" s="1"/>
  <c r="G21" i="7"/>
  <c r="F27" i="6"/>
  <c r="G23" i="6"/>
  <c r="G36" i="9"/>
  <c r="G54" i="9" s="1"/>
  <c r="F16" i="5" s="1"/>
  <c r="G22" i="12" s="1"/>
  <c r="L27" i="9"/>
  <c r="M26" i="9"/>
  <c r="L25" i="9"/>
  <c r="M24" i="9"/>
  <c r="L29" i="9"/>
  <c r="M28" i="9"/>
  <c r="G77" i="9" l="1"/>
  <c r="F79" i="9"/>
  <c r="F41" i="8"/>
  <c r="L42" i="9"/>
  <c r="L43" i="9" s="1"/>
  <c r="M41" i="9" s="1"/>
  <c r="L48" i="9"/>
  <c r="L49" i="9" s="1"/>
  <c r="M47" i="9" s="1"/>
  <c r="M29" i="9"/>
  <c r="N28" i="9"/>
  <c r="L45" i="9"/>
  <c r="L46" i="9" s="1"/>
  <c r="M44" i="9" s="1"/>
  <c r="G27" i="7"/>
  <c r="H26" i="11"/>
  <c r="M27" i="9"/>
  <c r="N26" i="9"/>
  <c r="M23" i="9"/>
  <c r="N22" i="9"/>
  <c r="G115" i="11"/>
  <c r="F14" i="6"/>
  <c r="G27" i="6"/>
  <c r="H21" i="7"/>
  <c r="H23" i="6"/>
  <c r="L30" i="9"/>
  <c r="K31" i="9"/>
  <c r="L18" i="9"/>
  <c r="H13" i="7"/>
  <c r="H12" i="6"/>
  <c r="L51" i="9"/>
  <c r="L52" i="9" s="1"/>
  <c r="M50" i="9" s="1"/>
  <c r="M25" i="9"/>
  <c r="N24" i="9"/>
  <c r="G37" i="9"/>
  <c r="E42" i="8"/>
  <c r="C43" i="8" s="1"/>
  <c r="G78" i="9" l="1"/>
  <c r="G80" i="9"/>
  <c r="F42" i="8"/>
  <c r="M48" i="9"/>
  <c r="M49" i="9" s="1"/>
  <c r="N47" i="9" s="1"/>
  <c r="M45" i="9"/>
  <c r="M46" i="9" s="1"/>
  <c r="N44" i="9" s="1"/>
  <c r="G53" i="9"/>
  <c r="H35" i="9"/>
  <c r="N25" i="9"/>
  <c r="O24" i="9"/>
  <c r="N23" i="9"/>
  <c r="O22" i="9"/>
  <c r="M51" i="9"/>
  <c r="M52" i="9" s="1"/>
  <c r="N50" i="9" s="1"/>
  <c r="I21" i="7"/>
  <c r="H27" i="6"/>
  <c r="I23" i="6"/>
  <c r="H115" i="11"/>
  <c r="G14" i="6"/>
  <c r="M30" i="9"/>
  <c r="E43" i="8"/>
  <c r="C44" i="8" s="1"/>
  <c r="L31" i="9"/>
  <c r="M18" i="9"/>
  <c r="I26" i="11"/>
  <c r="H27" i="7"/>
  <c r="N27" i="9"/>
  <c r="O26" i="9"/>
  <c r="N29" i="9"/>
  <c r="O28" i="9"/>
  <c r="M42" i="9"/>
  <c r="M43" i="9" s="1"/>
  <c r="N41" i="9" s="1"/>
  <c r="I13" i="7"/>
  <c r="I12" i="6"/>
  <c r="H77" i="9" l="1"/>
  <c r="G79" i="9"/>
  <c r="N48" i="9"/>
  <c r="N49" i="9" s="1"/>
  <c r="O47" i="9" s="1"/>
  <c r="N42" i="9"/>
  <c r="N43" i="9" s="1"/>
  <c r="O41" i="9" s="1"/>
  <c r="N51" i="9"/>
  <c r="N52" i="9" s="1"/>
  <c r="O50" i="9" s="1"/>
  <c r="N45" i="9"/>
  <c r="N46" i="9" s="1"/>
  <c r="O44" i="9" s="1"/>
  <c r="J21" i="7"/>
  <c r="I27" i="6"/>
  <c r="J23" i="6"/>
  <c r="O29" i="9"/>
  <c r="P28" i="9"/>
  <c r="I115" i="11"/>
  <c r="H14" i="6"/>
  <c r="O23" i="9"/>
  <c r="P22" i="9"/>
  <c r="I27" i="7"/>
  <c r="J26" i="11"/>
  <c r="J13" i="7"/>
  <c r="J12" i="6"/>
  <c r="E44" i="8"/>
  <c r="C45" i="8" s="1"/>
  <c r="N30" i="9"/>
  <c r="O27" i="9"/>
  <c r="P26" i="9"/>
  <c r="M31" i="9"/>
  <c r="N18" i="9"/>
  <c r="F43" i="8"/>
  <c r="O25" i="9"/>
  <c r="P24" i="9"/>
  <c r="H36" i="9"/>
  <c r="H54" i="9" s="1"/>
  <c r="G16" i="5" s="1"/>
  <c r="H22" i="12" s="1"/>
  <c r="H78" i="9" l="1"/>
  <c r="H80" i="9"/>
  <c r="O48" i="9"/>
  <c r="O49" i="9" s="1"/>
  <c r="P47" i="9" s="1"/>
  <c r="O45" i="9"/>
  <c r="O46" i="9" s="1"/>
  <c r="P44" i="9" s="1"/>
  <c r="O51" i="9"/>
  <c r="O52" i="9" s="1"/>
  <c r="P50" i="9" s="1"/>
  <c r="O42" i="9"/>
  <c r="O43" i="9" s="1"/>
  <c r="P41" i="9" s="1"/>
  <c r="P25" i="9"/>
  <c r="Q24" i="9"/>
  <c r="N31" i="9"/>
  <c r="O18" i="9"/>
  <c r="F44" i="8"/>
  <c r="O30" i="9"/>
  <c r="J115" i="11"/>
  <c r="I14" i="6"/>
  <c r="J27" i="7"/>
  <c r="K26" i="11"/>
  <c r="K13" i="7"/>
  <c r="K12" i="6"/>
  <c r="L12" i="6" s="1"/>
  <c r="H37" i="9"/>
  <c r="P27" i="9"/>
  <c r="Q26" i="9"/>
  <c r="E45" i="8"/>
  <c r="C46" i="8" s="1"/>
  <c r="P23" i="9"/>
  <c r="Q22" i="9"/>
  <c r="P29" i="9"/>
  <c r="Q28" i="9"/>
  <c r="K21" i="7"/>
  <c r="J27" i="6"/>
  <c r="K23" i="6"/>
  <c r="H79" i="9" l="1"/>
  <c r="P48" i="9"/>
  <c r="P49" i="9" s="1"/>
  <c r="Q47" i="9" s="1"/>
  <c r="P42" i="9"/>
  <c r="P43" i="9" s="1"/>
  <c r="Q41" i="9" s="1"/>
  <c r="P51" i="9"/>
  <c r="P52" i="9" s="1"/>
  <c r="Q50" i="9" s="1"/>
  <c r="P45" i="9"/>
  <c r="P46" i="9" s="1"/>
  <c r="Q44" i="9" s="1"/>
  <c r="L26" i="11"/>
  <c r="K27" i="7"/>
  <c r="P30" i="9"/>
  <c r="H53" i="9"/>
  <c r="I35" i="9"/>
  <c r="Q25" i="9"/>
  <c r="R24" i="9"/>
  <c r="Q29" i="9"/>
  <c r="R28" i="9"/>
  <c r="L13" i="7"/>
  <c r="E46" i="8"/>
  <c r="C47" i="8" s="1"/>
  <c r="K27" i="6"/>
  <c r="L21" i="7"/>
  <c r="L23" i="6"/>
  <c r="F45" i="8"/>
  <c r="Q27" i="9"/>
  <c r="R26" i="9"/>
  <c r="K115" i="11"/>
  <c r="J14" i="6"/>
  <c r="O31" i="9"/>
  <c r="P18" i="9"/>
  <c r="Q23" i="9"/>
  <c r="R22" i="9"/>
  <c r="I77" i="9" l="1"/>
  <c r="I80" i="9" s="1"/>
  <c r="I78" i="9"/>
  <c r="Q30" i="9"/>
  <c r="Q48" i="9"/>
  <c r="Q49" i="9" s="1"/>
  <c r="R47" i="9" s="1"/>
  <c r="Q45" i="9"/>
  <c r="Q46" i="9" s="1"/>
  <c r="R44" i="9" s="1"/>
  <c r="Q51" i="9"/>
  <c r="Q52" i="9" s="1"/>
  <c r="R50" i="9" s="1"/>
  <c r="Q42" i="9"/>
  <c r="Q43" i="9" s="1"/>
  <c r="R41" i="9" s="1"/>
  <c r="M21" i="7"/>
  <c r="L27" i="6"/>
  <c r="M23" i="6"/>
  <c r="R23" i="9"/>
  <c r="S22" i="9"/>
  <c r="R27" i="9"/>
  <c r="S26" i="9"/>
  <c r="M26" i="11"/>
  <c r="L27" i="7"/>
  <c r="R29" i="9"/>
  <c r="S28" i="9"/>
  <c r="L115" i="11"/>
  <c r="K14" i="6"/>
  <c r="E47" i="8"/>
  <c r="C48" i="8" s="1"/>
  <c r="M13" i="7"/>
  <c r="M12" i="6"/>
  <c r="R25" i="9"/>
  <c r="S24" i="9"/>
  <c r="P31" i="9"/>
  <c r="Q18" i="9"/>
  <c r="F46" i="8"/>
  <c r="I36" i="9"/>
  <c r="I54" i="9" s="1"/>
  <c r="H16" i="5" s="1"/>
  <c r="I22" i="12" s="1"/>
  <c r="I79" i="9" l="1"/>
  <c r="I37" i="9"/>
  <c r="J35" i="9" s="1"/>
  <c r="R48" i="9"/>
  <c r="R49" i="9" s="1"/>
  <c r="S47" i="9" s="1"/>
  <c r="R42" i="9"/>
  <c r="R43" i="9" s="1"/>
  <c r="S41" i="9" s="1"/>
  <c r="R51" i="9"/>
  <c r="R52" i="9" s="1"/>
  <c r="S50" i="9" s="1"/>
  <c r="R45" i="9"/>
  <c r="R46" i="9" s="1"/>
  <c r="S44" i="9" s="1"/>
  <c r="Q31" i="9"/>
  <c r="R18" i="9"/>
  <c r="S25" i="9"/>
  <c r="T24" i="9"/>
  <c r="E48" i="8"/>
  <c r="C49" i="8" s="1"/>
  <c r="S29" i="9"/>
  <c r="T28" i="9"/>
  <c r="S23" i="9"/>
  <c r="T22" i="9"/>
  <c r="M27" i="7"/>
  <c r="N26" i="11"/>
  <c r="N13" i="7"/>
  <c r="N12" i="6"/>
  <c r="F47" i="8"/>
  <c r="L14" i="6"/>
  <c r="M115" i="11"/>
  <c r="R30" i="9"/>
  <c r="I53" i="9"/>
  <c r="S27" i="9"/>
  <c r="T26" i="9"/>
  <c r="M27" i="6"/>
  <c r="N21" i="7"/>
  <c r="N23" i="6"/>
  <c r="J77" i="9" l="1"/>
  <c r="J80" i="9" s="1"/>
  <c r="F48" i="8"/>
  <c r="S48" i="9"/>
  <c r="S49" i="9" s="1"/>
  <c r="T47" i="9" s="1"/>
  <c r="S45" i="9"/>
  <c r="S46" i="9" s="1"/>
  <c r="T44" i="9" s="1"/>
  <c r="S51" i="9"/>
  <c r="S52" i="9" s="1"/>
  <c r="T50" i="9" s="1"/>
  <c r="S42" i="9"/>
  <c r="S43" i="9" s="1"/>
  <c r="T41" i="9" s="1"/>
  <c r="O13" i="7"/>
  <c r="O12" i="6"/>
  <c r="T27" i="9"/>
  <c r="U26" i="9"/>
  <c r="J36" i="9"/>
  <c r="J54" i="9" s="1"/>
  <c r="I16" i="5" s="1"/>
  <c r="J22" i="12" s="1"/>
  <c r="T29" i="9"/>
  <c r="U28" i="9"/>
  <c r="O21" i="7"/>
  <c r="N27" i="6"/>
  <c r="O23" i="6"/>
  <c r="N115" i="11"/>
  <c r="M14" i="6"/>
  <c r="O26" i="11"/>
  <c r="N27" i="7"/>
  <c r="T23" i="9"/>
  <c r="U22" i="9"/>
  <c r="E49" i="8"/>
  <c r="C51" i="8" s="1"/>
  <c r="E51" i="8" s="1"/>
  <c r="S30" i="9"/>
  <c r="T25" i="9"/>
  <c r="U24" i="9"/>
  <c r="R31" i="9"/>
  <c r="S18" i="9"/>
  <c r="J78" i="9" l="1"/>
  <c r="F49" i="8"/>
  <c r="F15" i="8" s="1"/>
  <c r="F17" i="8" s="1"/>
  <c r="E21" i="5" s="1"/>
  <c r="F13" i="11" s="1"/>
  <c r="T45" i="9"/>
  <c r="T46" i="9" s="1"/>
  <c r="U44" i="9" s="1"/>
  <c r="T48" i="9"/>
  <c r="T49" i="9" s="1"/>
  <c r="U47" i="9" s="1"/>
  <c r="T30" i="9"/>
  <c r="P21" i="7"/>
  <c r="O27" i="6"/>
  <c r="P23" i="6"/>
  <c r="J37" i="9"/>
  <c r="S31" i="9"/>
  <c r="T18" i="9"/>
  <c r="O115" i="11"/>
  <c r="N14" i="6"/>
  <c r="P13" i="7"/>
  <c r="P12" i="6"/>
  <c r="T51" i="9"/>
  <c r="T52" i="9" s="1"/>
  <c r="U50" i="9" s="1"/>
  <c r="P26" i="11"/>
  <c r="O27" i="7"/>
  <c r="U25" i="9"/>
  <c r="V24" i="9"/>
  <c r="U23" i="9"/>
  <c r="V22" i="9"/>
  <c r="U29" i="9"/>
  <c r="V28" i="9"/>
  <c r="U27" i="9"/>
  <c r="V26" i="9"/>
  <c r="T42" i="9"/>
  <c r="T43" i="9" s="1"/>
  <c r="U41" i="9" s="1"/>
  <c r="K77" i="9" l="1"/>
  <c r="J79" i="9"/>
  <c r="U42" i="9"/>
  <c r="U43" i="9" s="1"/>
  <c r="V41" i="9" s="1"/>
  <c r="V29" i="9"/>
  <c r="W28" i="9"/>
  <c r="V25" i="9"/>
  <c r="W24" i="9"/>
  <c r="U51" i="9"/>
  <c r="U52" i="9" s="1"/>
  <c r="V50" i="9" s="1"/>
  <c r="Q13" i="7"/>
  <c r="Q12" i="6"/>
  <c r="Q26" i="11"/>
  <c r="P27" i="7"/>
  <c r="T31" i="9"/>
  <c r="U18" i="9"/>
  <c r="J53" i="9"/>
  <c r="K35" i="9"/>
  <c r="U48" i="9"/>
  <c r="U49" i="9" s="1"/>
  <c r="V47" i="9" s="1"/>
  <c r="F15" i="11"/>
  <c r="O14" i="6"/>
  <c r="P115" i="11"/>
  <c r="Q21" i="7"/>
  <c r="P27" i="6"/>
  <c r="Q23" i="6"/>
  <c r="U45" i="9"/>
  <c r="U46" i="9" s="1"/>
  <c r="V44" i="9" s="1"/>
  <c r="V27" i="9"/>
  <c r="W26" i="9"/>
  <c r="V23" i="9"/>
  <c r="W22" i="9"/>
  <c r="U30" i="9"/>
  <c r="K78" i="9" l="1"/>
  <c r="K80" i="9"/>
  <c r="V30" i="9"/>
  <c r="V42" i="9"/>
  <c r="V43" i="9" s="1"/>
  <c r="W41" i="9" s="1"/>
  <c r="V45" i="9"/>
  <c r="V46" i="9" s="1"/>
  <c r="W44" i="9" s="1"/>
  <c r="V48" i="9"/>
  <c r="V49" i="9" s="1"/>
  <c r="W47" i="9" s="1"/>
  <c r="V51" i="9"/>
  <c r="V52" i="9" s="1"/>
  <c r="W50" i="9" s="1"/>
  <c r="W27" i="9"/>
  <c r="X26" i="9"/>
  <c r="R21" i="7"/>
  <c r="R23" i="6"/>
  <c r="Q27" i="6"/>
  <c r="K36" i="9"/>
  <c r="K54" i="9" s="1"/>
  <c r="J16" i="5" s="1"/>
  <c r="K22" i="12" s="1"/>
  <c r="X28" i="9"/>
  <c r="W29" i="9"/>
  <c r="Q115" i="11"/>
  <c r="P14" i="6"/>
  <c r="R13" i="7"/>
  <c r="R12" i="6"/>
  <c r="W23" i="9"/>
  <c r="X22" i="9"/>
  <c r="R26" i="11"/>
  <c r="Q27" i="7"/>
  <c r="F17" i="11"/>
  <c r="U31" i="9"/>
  <c r="V18" i="9"/>
  <c r="W25" i="9"/>
  <c r="X24" i="9"/>
  <c r="L77" i="9" l="1"/>
  <c r="K79" i="9"/>
  <c r="W30" i="9"/>
  <c r="W51" i="9"/>
  <c r="W52" i="9" s="1"/>
  <c r="X50" i="9" s="1"/>
  <c r="W48" i="9"/>
  <c r="W49" i="9" s="1"/>
  <c r="X47" i="9" s="1"/>
  <c r="W45" i="9"/>
  <c r="W46" i="9" s="1"/>
  <c r="X44" i="9" s="1"/>
  <c r="W42" i="9"/>
  <c r="W43" i="9" s="1"/>
  <c r="X41" i="9" s="1"/>
  <c r="V31" i="9"/>
  <c r="W18" i="9"/>
  <c r="X25" i="9"/>
  <c r="Y24" i="9"/>
  <c r="X23" i="9"/>
  <c r="Y22" i="9"/>
  <c r="X27" i="9"/>
  <c r="Y26" i="9"/>
  <c r="S13" i="7"/>
  <c r="S12" i="6"/>
  <c r="K37" i="9"/>
  <c r="R115" i="11"/>
  <c r="Q14" i="6"/>
  <c r="R27" i="7"/>
  <c r="S26" i="11"/>
  <c r="X29" i="9"/>
  <c r="Y28" i="9"/>
  <c r="S21" i="7"/>
  <c r="R27" i="6"/>
  <c r="S23" i="6"/>
  <c r="L78" i="9" l="1"/>
  <c r="L80" i="9"/>
  <c r="X48" i="9"/>
  <c r="X49" i="9" s="1"/>
  <c r="Y47" i="9" s="1"/>
  <c r="X42" i="9"/>
  <c r="X43" i="9" s="1"/>
  <c r="Y41" i="9" s="1"/>
  <c r="Y29" i="9"/>
  <c r="Z28" i="9"/>
  <c r="K53" i="9"/>
  <c r="L35" i="9"/>
  <c r="Y27" i="9"/>
  <c r="Z26" i="9"/>
  <c r="X30" i="9"/>
  <c r="W31" i="9"/>
  <c r="X18" i="9"/>
  <c r="S27" i="6"/>
  <c r="T23" i="6"/>
  <c r="T21" i="7"/>
  <c r="S115" i="11"/>
  <c r="R14" i="6"/>
  <c r="T13" i="7"/>
  <c r="T12" i="6"/>
  <c r="X45" i="9"/>
  <c r="X46" i="9" s="1"/>
  <c r="Y44" i="9" s="1"/>
  <c r="X51" i="9"/>
  <c r="X52" i="9" s="1"/>
  <c r="Y50" i="9" s="1"/>
  <c r="S27" i="7"/>
  <c r="T26" i="11"/>
  <c r="Y23" i="9"/>
  <c r="Z22" i="9"/>
  <c r="Y25" i="9"/>
  <c r="Z24" i="9"/>
  <c r="L79" i="9" l="1"/>
  <c r="Y30" i="9"/>
  <c r="Y42" i="9"/>
  <c r="Y43" i="9" s="1"/>
  <c r="Z41" i="9" s="1"/>
  <c r="Y51" i="9"/>
  <c r="Y52" i="9" s="1"/>
  <c r="Z50" i="9" s="1"/>
  <c r="Y45" i="9"/>
  <c r="Y46" i="9" s="1"/>
  <c r="Z44" i="9" s="1"/>
  <c r="U13" i="7"/>
  <c r="U12" i="6"/>
  <c r="T27" i="7"/>
  <c r="U26" i="11"/>
  <c r="L36" i="9"/>
  <c r="L54" i="9" s="1"/>
  <c r="K16" i="5" s="1"/>
  <c r="L22" i="12" s="1"/>
  <c r="Z23" i="9"/>
  <c r="AA22" i="9"/>
  <c r="S14" i="6"/>
  <c r="T115" i="11"/>
  <c r="U21" i="7"/>
  <c r="T27" i="6"/>
  <c r="U23" i="6"/>
  <c r="Z25" i="9"/>
  <c r="AA24" i="9"/>
  <c r="AA26" i="9"/>
  <c r="Z27" i="9"/>
  <c r="Z29" i="9"/>
  <c r="AA28" i="9"/>
  <c r="Y48" i="9"/>
  <c r="Y49" i="9" s="1"/>
  <c r="Z47" i="9" s="1"/>
  <c r="X31" i="9"/>
  <c r="Y18" i="9"/>
  <c r="M77" i="9" l="1"/>
  <c r="M80" i="9" s="1"/>
  <c r="Z51" i="9"/>
  <c r="Z52" i="9" s="1"/>
  <c r="AA50" i="9" s="1"/>
  <c r="Z42" i="9"/>
  <c r="Z43" i="9" s="1"/>
  <c r="AA41" i="9" s="1"/>
  <c r="AA29" i="9"/>
  <c r="AB28" i="9"/>
  <c r="Y31" i="9"/>
  <c r="Z18" i="9"/>
  <c r="U115" i="11"/>
  <c r="AA23" i="9"/>
  <c r="AB22" i="9"/>
  <c r="AA25" i="9"/>
  <c r="AB24" i="9"/>
  <c r="V26" i="11"/>
  <c r="U27" i="7"/>
  <c r="Z30" i="9"/>
  <c r="Z45" i="9"/>
  <c r="Z46" i="9" s="1"/>
  <c r="AA44" i="9" s="1"/>
  <c r="Z48" i="9"/>
  <c r="Z49" i="9" s="1"/>
  <c r="AA47" i="9" s="1"/>
  <c r="AB26" i="9"/>
  <c r="AA27" i="9"/>
  <c r="L37" i="9"/>
  <c r="V13" i="7"/>
  <c r="V12" i="6"/>
  <c r="V21" i="7"/>
  <c r="V23" i="6"/>
  <c r="U27" i="6"/>
  <c r="M78" i="9" l="1"/>
  <c r="AA48" i="9"/>
  <c r="AA49" i="9" s="1"/>
  <c r="AB47" i="9" s="1"/>
  <c r="AA42" i="9"/>
  <c r="AA43" i="9" s="1"/>
  <c r="AB41" i="9" s="1"/>
  <c r="AA45" i="9"/>
  <c r="AA46" i="9" s="1"/>
  <c r="AB44" i="9" s="1"/>
  <c r="W26" i="11"/>
  <c r="AB27" i="9"/>
  <c r="AC26" i="9"/>
  <c r="AB25" i="9"/>
  <c r="AC24" i="9"/>
  <c r="AB29" i="9"/>
  <c r="AC28" i="9"/>
  <c r="L53" i="9"/>
  <c r="M35" i="9"/>
  <c r="AB23" i="9"/>
  <c r="AC22" i="9"/>
  <c r="AA51" i="9"/>
  <c r="AA52" i="9" s="1"/>
  <c r="AB50" i="9" s="1"/>
  <c r="V27" i="6"/>
  <c r="W23" i="6"/>
  <c r="W21" i="7"/>
  <c r="W12" i="6"/>
  <c r="W13" i="7"/>
  <c r="AA30" i="9"/>
  <c r="Z31" i="9"/>
  <c r="AA18" i="9"/>
  <c r="M79" i="9" l="1"/>
  <c r="AB30" i="9"/>
  <c r="AB51" i="9"/>
  <c r="AB52" i="9" s="1"/>
  <c r="AC50" i="9" s="1"/>
  <c r="AB45" i="9"/>
  <c r="AB46" i="9" s="1"/>
  <c r="AC44" i="9" s="1"/>
  <c r="W27" i="7"/>
  <c r="X26" i="11"/>
  <c r="AB42" i="9"/>
  <c r="AB43" i="9" s="1"/>
  <c r="AC41" i="9" s="1"/>
  <c r="X13" i="7"/>
  <c r="X12" i="6"/>
  <c r="AA31" i="9"/>
  <c r="AB18" i="9"/>
  <c r="X21" i="7"/>
  <c r="X23" i="6"/>
  <c r="W27" i="6"/>
  <c r="AC23" i="9"/>
  <c r="AD22" i="9"/>
  <c r="AD23" i="9" s="1"/>
  <c r="M36" i="9"/>
  <c r="M54" i="9" s="1"/>
  <c r="L16" i="5" s="1"/>
  <c r="M22" i="12" s="1"/>
  <c r="AC29" i="9"/>
  <c r="AD28" i="9"/>
  <c r="AD29" i="9" s="1"/>
  <c r="AD24" i="9"/>
  <c r="AD25" i="9" s="1"/>
  <c r="AC25" i="9"/>
  <c r="AD26" i="9"/>
  <c r="AD27" i="9" s="1"/>
  <c r="AC27" i="9"/>
  <c r="AB48" i="9"/>
  <c r="AB49" i="9" s="1"/>
  <c r="AC47" i="9" s="1"/>
  <c r="N77" i="9" l="1"/>
  <c r="N80" i="9" s="1"/>
  <c r="AC45" i="9"/>
  <c r="AC46" i="9" s="1"/>
  <c r="AD44" i="9" s="1"/>
  <c r="AC48" i="9"/>
  <c r="AC49" i="9" s="1"/>
  <c r="AD47" i="9" s="1"/>
  <c r="AC42" i="9"/>
  <c r="AC43" i="9" s="1"/>
  <c r="AD41" i="9" s="1"/>
  <c r="M37" i="9"/>
  <c r="Y21" i="7"/>
  <c r="X27" i="6"/>
  <c r="Y23" i="6"/>
  <c r="AD30" i="9"/>
  <c r="Y26" i="11"/>
  <c r="X27" i="7"/>
  <c r="AC51" i="9"/>
  <c r="AC52" i="9" s="1"/>
  <c r="AD50" i="9" s="1"/>
  <c r="AC30" i="9"/>
  <c r="AB31" i="9"/>
  <c r="AC18" i="9"/>
  <c r="Y12" i="6"/>
  <c r="Y13" i="7"/>
  <c r="N78" i="9" l="1"/>
  <c r="AD42" i="9"/>
  <c r="AD43" i="9" s="1"/>
  <c r="AD51" i="9"/>
  <c r="AD52" i="9" s="1"/>
  <c r="AD48" i="9"/>
  <c r="AD49" i="9" s="1"/>
  <c r="Y27" i="6"/>
  <c r="Z23" i="6"/>
  <c r="Z21" i="7"/>
  <c r="AC31" i="9"/>
  <c r="AD18" i="9"/>
  <c r="AD31" i="9" s="1"/>
  <c r="M53" i="9"/>
  <c r="N35" i="9"/>
  <c r="Z13" i="7"/>
  <c r="Z12" i="6"/>
  <c r="Y27" i="7"/>
  <c r="Z26" i="11"/>
  <c r="AD45" i="9"/>
  <c r="AD46" i="9" s="1"/>
  <c r="O77" i="9" l="1"/>
  <c r="N79" i="9"/>
  <c r="AA23" i="6"/>
  <c r="Z27" i="6"/>
  <c r="AA21" i="7"/>
  <c r="N36" i="9"/>
  <c r="N54" i="9" s="1"/>
  <c r="M16" i="5" s="1"/>
  <c r="N22" i="12" s="1"/>
  <c r="AA12" i="6"/>
  <c r="AA13" i="7"/>
  <c r="Z27" i="7"/>
  <c r="AA26" i="11"/>
  <c r="O78" i="9" l="1"/>
  <c r="O80" i="9"/>
  <c r="AA27" i="7"/>
  <c r="AB26" i="11"/>
  <c r="N37" i="9"/>
  <c r="AB21" i="7"/>
  <c r="AA27" i="6"/>
  <c r="AB23" i="6"/>
  <c r="AB13" i="7"/>
  <c r="AB12" i="6"/>
  <c r="P77" i="9" l="1"/>
  <c r="O79" i="9"/>
  <c r="AC21" i="7"/>
  <c r="AB27" i="6"/>
  <c r="AC13" i="7"/>
  <c r="AB27" i="7"/>
  <c r="AC26" i="11"/>
  <c r="N53" i="9"/>
  <c r="O35" i="9"/>
  <c r="P78" i="9" l="1"/>
  <c r="P80" i="9"/>
  <c r="O36" i="9"/>
  <c r="O54" i="9" s="1"/>
  <c r="N16" i="5" s="1"/>
  <c r="O22" i="12" s="1"/>
  <c r="AC27" i="7"/>
  <c r="AD26" i="11"/>
  <c r="P79" i="9" l="1"/>
  <c r="O37" i="9"/>
  <c r="Q77" i="9" l="1"/>
  <c r="Q80" i="9" s="1"/>
  <c r="Q78" i="9"/>
  <c r="O53" i="9"/>
  <c r="P35" i="9"/>
  <c r="R77" i="9" l="1"/>
  <c r="Q79" i="9"/>
  <c r="P36" i="9"/>
  <c r="P54" i="9" s="1"/>
  <c r="O16" i="5" s="1"/>
  <c r="P22" i="12" s="1"/>
  <c r="R78" i="9" l="1"/>
  <c r="R80" i="9"/>
  <c r="D28" i="6"/>
  <c r="D29" i="6" s="1"/>
  <c r="F24" i="11"/>
  <c r="E15" i="7"/>
  <c r="E30" i="5"/>
  <c r="P37" i="9"/>
  <c r="S77" i="9" l="1"/>
  <c r="R79" i="9"/>
  <c r="F58" i="4"/>
  <c r="D31" i="6"/>
  <c r="F113" i="11"/>
  <c r="P53" i="9"/>
  <c r="Q35" i="9"/>
  <c r="S78" i="9" l="1"/>
  <c r="S80" i="9"/>
  <c r="F59" i="4"/>
  <c r="F60" i="4" s="1"/>
  <c r="Q36" i="9"/>
  <c r="Q54" i="9" s="1"/>
  <c r="P16" i="5" s="1"/>
  <c r="Q22" i="12" s="1"/>
  <c r="T77" i="9" l="1"/>
  <c r="S79" i="9"/>
  <c r="E15" i="5"/>
  <c r="E18" i="5" s="1"/>
  <c r="F96" i="11" s="1"/>
  <c r="F62" i="4"/>
  <c r="G24" i="11"/>
  <c r="F30" i="5"/>
  <c r="F15" i="7"/>
  <c r="E28" i="6"/>
  <c r="E29" i="6" s="1"/>
  <c r="Q37" i="9"/>
  <c r="Q53" i="9" s="1"/>
  <c r="T78" i="9" l="1"/>
  <c r="T80" i="9"/>
  <c r="D16" i="6"/>
  <c r="E19" i="5"/>
  <c r="E39" i="5" s="1"/>
  <c r="G58" i="4"/>
  <c r="E31" i="6"/>
  <c r="G113" i="11"/>
  <c r="F22" i="11"/>
  <c r="F23" i="11" s="1"/>
  <c r="F97" i="11"/>
  <c r="F99" i="11"/>
  <c r="F100" i="11" s="1"/>
  <c r="R35" i="9"/>
  <c r="R36" i="9" s="1"/>
  <c r="R54" i="9" s="1"/>
  <c r="Q16" i="5" s="1"/>
  <c r="R22" i="12" s="1"/>
  <c r="T79" i="9" l="1"/>
  <c r="E23" i="5"/>
  <c r="E40" i="5"/>
  <c r="E45" i="5" s="1"/>
  <c r="E16" i="7"/>
  <c r="D43" i="6"/>
  <c r="D44" i="6" s="1"/>
  <c r="F27" i="11" s="1"/>
  <c r="G59" i="4"/>
  <c r="G60" i="4" s="1"/>
  <c r="F25" i="11"/>
  <c r="G30" i="5"/>
  <c r="G15" i="7"/>
  <c r="H24" i="11"/>
  <c r="F28" i="6"/>
  <c r="F29" i="6" s="1"/>
  <c r="E43" i="5"/>
  <c r="F112" i="11"/>
  <c r="R37" i="9"/>
  <c r="F19" i="12" l="1"/>
  <c r="U77" i="9"/>
  <c r="U80" i="9" s="1"/>
  <c r="F29" i="11"/>
  <c r="G62" i="4"/>
  <c r="F15" i="5"/>
  <c r="F18" i="5" s="1"/>
  <c r="F19" i="5" s="1"/>
  <c r="F106" i="11"/>
  <c r="F31" i="6"/>
  <c r="H58" i="4"/>
  <c r="H113" i="11"/>
  <c r="F105" i="11"/>
  <c r="S35" i="9"/>
  <c r="R53" i="9"/>
  <c r="U78" i="9" l="1"/>
  <c r="F35" i="12"/>
  <c r="F24" i="12"/>
  <c r="G96" i="11"/>
  <c r="G97" i="11" s="1"/>
  <c r="E16" i="6"/>
  <c r="E43" i="6" s="1"/>
  <c r="E44" i="6" s="1"/>
  <c r="G27" i="11" s="1"/>
  <c r="H59" i="4"/>
  <c r="H60" i="4" s="1"/>
  <c r="G22" i="11"/>
  <c r="G23" i="11" s="1"/>
  <c r="F39" i="5"/>
  <c r="F40" i="5"/>
  <c r="S36" i="9"/>
  <c r="S54" i="9" s="1"/>
  <c r="R16" i="5" s="1"/>
  <c r="S22" i="12" s="1"/>
  <c r="F28" i="12" l="1"/>
  <c r="G25" i="12" s="1"/>
  <c r="F29" i="12"/>
  <c r="G26" i="12" s="1"/>
  <c r="F27" i="12"/>
  <c r="F31" i="12" s="1"/>
  <c r="F36" i="12" s="1"/>
  <c r="F39" i="12" s="1"/>
  <c r="F44" i="12" s="1"/>
  <c r="U79" i="9"/>
  <c r="F16" i="7"/>
  <c r="G99" i="11"/>
  <c r="G100" i="11" s="1"/>
  <c r="G15" i="5"/>
  <c r="G18" i="5" s="1"/>
  <c r="H96" i="11" s="1"/>
  <c r="H62" i="4"/>
  <c r="F43" i="5"/>
  <c r="F45" i="5"/>
  <c r="H15" i="7"/>
  <c r="G28" i="6"/>
  <c r="G29" i="6" s="1"/>
  <c r="I24" i="11"/>
  <c r="H30" i="5"/>
  <c r="S37" i="9"/>
  <c r="S53" i="9" s="1"/>
  <c r="F38" i="12" l="1"/>
  <c r="F43" i="12"/>
  <c r="F45" i="12" s="1"/>
  <c r="G42" i="12" s="1"/>
  <c r="V77" i="9"/>
  <c r="V80" i="9" s="1"/>
  <c r="V78" i="9"/>
  <c r="F40" i="12"/>
  <c r="E24" i="5" s="1"/>
  <c r="E26" i="5" s="1"/>
  <c r="F16" i="6"/>
  <c r="G19" i="5"/>
  <c r="G31" i="6"/>
  <c r="I113" i="11"/>
  <c r="I58" i="4"/>
  <c r="G105" i="11"/>
  <c r="H99" i="11"/>
  <c r="H100" i="11" s="1"/>
  <c r="H97" i="11"/>
  <c r="G106" i="11"/>
  <c r="T35" i="9"/>
  <c r="T36" i="9" s="1"/>
  <c r="T54" i="9" s="1"/>
  <c r="S16" i="5" s="1"/>
  <c r="T22" i="12" s="1"/>
  <c r="E12" i="7" l="1"/>
  <c r="E18" i="7" s="1"/>
  <c r="E29" i="7" s="1"/>
  <c r="E30" i="7" s="1"/>
  <c r="F109" i="11"/>
  <c r="D13" i="6"/>
  <c r="E29" i="5"/>
  <c r="E31" i="5" s="1"/>
  <c r="E41" i="5"/>
  <c r="E47" i="5" s="1"/>
  <c r="F107" i="11" s="1"/>
  <c r="W77" i="9"/>
  <c r="V79" i="9"/>
  <c r="H22" i="11"/>
  <c r="H23" i="11" s="1"/>
  <c r="G40" i="5"/>
  <c r="G45" i="5" s="1"/>
  <c r="H106" i="11" s="1"/>
  <c r="G39" i="5"/>
  <c r="G16" i="7"/>
  <c r="F43" i="6"/>
  <c r="F44" i="6" s="1"/>
  <c r="H27" i="11" s="1"/>
  <c r="I59" i="4"/>
  <c r="I60" i="4" s="1"/>
  <c r="G43" i="5"/>
  <c r="J24" i="11"/>
  <c r="I30" i="5"/>
  <c r="H28" i="6"/>
  <c r="H29" i="6" s="1"/>
  <c r="I15" i="7"/>
  <c r="T37" i="9"/>
  <c r="F110" i="11" l="1"/>
  <c r="F108" i="11"/>
  <c r="F114" i="11"/>
  <c r="D19" i="6"/>
  <c r="F12" i="11"/>
  <c r="F14" i="11" s="1"/>
  <c r="F18" i="11" s="1"/>
  <c r="F111" i="11" s="1"/>
  <c r="E33" i="5"/>
  <c r="F28" i="7"/>
  <c r="D35" i="6"/>
  <c r="D37" i="6" s="1"/>
  <c r="D38" i="6" s="1"/>
  <c r="W78" i="9"/>
  <c r="W80" i="9"/>
  <c r="H15" i="5"/>
  <c r="H18" i="5" s="1"/>
  <c r="I96" i="11" s="1"/>
  <c r="I62" i="4"/>
  <c r="J58" i="4"/>
  <c r="H31" i="6"/>
  <c r="J113" i="11"/>
  <c r="H105" i="11"/>
  <c r="T53" i="9"/>
  <c r="U35" i="9"/>
  <c r="D40" i="6" l="1"/>
  <c r="E34" i="5"/>
  <c r="F51" i="11"/>
  <c r="F52" i="11" s="1"/>
  <c r="X77" i="9"/>
  <c r="W79" i="9"/>
  <c r="H19" i="5"/>
  <c r="I22" i="11" s="1"/>
  <c r="I23" i="11" s="1"/>
  <c r="G16" i="6"/>
  <c r="G43" i="6" s="1"/>
  <c r="G44" i="6" s="1"/>
  <c r="I27" i="11" s="1"/>
  <c r="J59" i="4"/>
  <c r="J60" i="4" s="1"/>
  <c r="I97" i="11"/>
  <c r="I99" i="11"/>
  <c r="I100" i="11" s="1"/>
  <c r="U36" i="9"/>
  <c r="U54" i="9" s="1"/>
  <c r="T16" i="5" s="1"/>
  <c r="U22" i="12" s="1"/>
  <c r="X78" i="9" l="1"/>
  <c r="X80" i="9"/>
  <c r="H16" i="7"/>
  <c r="T30" i="5"/>
  <c r="T15" i="7"/>
  <c r="U24" i="11"/>
  <c r="H40" i="5"/>
  <c r="H45" i="5" s="1"/>
  <c r="I106" i="11" s="1"/>
  <c r="H39" i="5"/>
  <c r="H43" i="5" s="1"/>
  <c r="I105" i="11" s="1"/>
  <c r="J62" i="4"/>
  <c r="I15" i="5"/>
  <c r="I18" i="5" s="1"/>
  <c r="I19" i="5" s="1"/>
  <c r="J30" i="5"/>
  <c r="K24" i="11"/>
  <c r="I28" i="6"/>
  <c r="I29" i="6" s="1"/>
  <c r="J15" i="7"/>
  <c r="U37" i="9"/>
  <c r="X79" i="9" l="1"/>
  <c r="H16" i="6"/>
  <c r="J96" i="11"/>
  <c r="J99" i="11" s="1"/>
  <c r="J100" i="11" s="1"/>
  <c r="I39" i="5"/>
  <c r="I43" i="5" s="1"/>
  <c r="J22" i="11"/>
  <c r="J23" i="11" s="1"/>
  <c r="I40" i="5"/>
  <c r="I45" i="5" s="1"/>
  <c r="K58" i="4"/>
  <c r="I31" i="6"/>
  <c r="K113" i="11"/>
  <c r="V35" i="9"/>
  <c r="U53" i="9"/>
  <c r="Y77" i="9" l="1"/>
  <c r="Y80" i="9" s="1"/>
  <c r="Y78" i="9"/>
  <c r="I16" i="7"/>
  <c r="H43" i="6"/>
  <c r="H44" i="6" s="1"/>
  <c r="J27" i="11" s="1"/>
  <c r="J97" i="11"/>
  <c r="K59" i="4"/>
  <c r="K60" i="4" s="1"/>
  <c r="J106" i="11"/>
  <c r="J105" i="11"/>
  <c r="V36" i="9"/>
  <c r="V54" i="9" s="1"/>
  <c r="U16" i="5" s="1"/>
  <c r="V22" i="12" s="1"/>
  <c r="Y79" i="9" l="1"/>
  <c r="V24" i="11"/>
  <c r="U30" i="5"/>
  <c r="U15" i="7"/>
  <c r="J15" i="5"/>
  <c r="J18" i="5" s="1"/>
  <c r="K96" i="11" s="1"/>
  <c r="K62" i="4"/>
  <c r="L24" i="11"/>
  <c r="K30" i="5"/>
  <c r="K15" i="7"/>
  <c r="J28" i="6"/>
  <c r="J29" i="6" s="1"/>
  <c r="V37" i="9"/>
  <c r="Z77" i="9" l="1"/>
  <c r="Z80" i="9" s="1"/>
  <c r="I16" i="6"/>
  <c r="J19" i="5"/>
  <c r="J39" i="5" s="1"/>
  <c r="J43" i="5" s="1"/>
  <c r="K105" i="11" s="1"/>
  <c r="L58" i="4"/>
  <c r="J31" i="6"/>
  <c r="L113" i="11"/>
  <c r="K97" i="11"/>
  <c r="K99" i="11"/>
  <c r="K100" i="11" s="1"/>
  <c r="V53" i="9"/>
  <c r="W35" i="9"/>
  <c r="Z78" i="9" l="1"/>
  <c r="J40" i="5"/>
  <c r="J45" i="5" s="1"/>
  <c r="K106" i="11" s="1"/>
  <c r="K22" i="11"/>
  <c r="K23" i="11" s="1"/>
  <c r="J16" i="7"/>
  <c r="I43" i="6"/>
  <c r="I44" i="6" s="1"/>
  <c r="K27" i="11" s="1"/>
  <c r="L59" i="4"/>
  <c r="L60" i="4" s="1"/>
  <c r="K15" i="5" s="1"/>
  <c r="K18" i="5" s="1"/>
  <c r="W36" i="9"/>
  <c r="W54" i="9" s="1"/>
  <c r="V16" i="5" s="1"/>
  <c r="W22" i="12" s="1"/>
  <c r="AA77" i="9" l="1"/>
  <c r="Z79" i="9"/>
  <c r="V30" i="5"/>
  <c r="W24" i="11"/>
  <c r="V15" i="7"/>
  <c r="L62" i="4"/>
  <c r="M24" i="11"/>
  <c r="L15" i="7"/>
  <c r="L30" i="5"/>
  <c r="K28" i="6"/>
  <c r="K29" i="6" s="1"/>
  <c r="L96" i="11"/>
  <c r="K19" i="5"/>
  <c r="J16" i="6"/>
  <c r="W37" i="9"/>
  <c r="W53" i="9" s="1"/>
  <c r="AA78" i="9" l="1"/>
  <c r="AA80" i="9"/>
  <c r="K16" i="7"/>
  <c r="J43" i="6"/>
  <c r="J44" i="6" s="1"/>
  <c r="L27" i="11" s="1"/>
  <c r="K31" i="6"/>
  <c r="M58" i="4"/>
  <c r="M113" i="11"/>
  <c r="K40" i="5"/>
  <c r="K45" i="5" s="1"/>
  <c r="L106" i="11" s="1"/>
  <c r="K39" i="5"/>
  <c r="K43" i="5" s="1"/>
  <c r="L105" i="11" s="1"/>
  <c r="L22" i="11"/>
  <c r="L23" i="11" s="1"/>
  <c r="L99" i="11"/>
  <c r="L100" i="11" s="1"/>
  <c r="L97" i="11"/>
  <c r="X35" i="9"/>
  <c r="X36" i="9" s="1"/>
  <c r="X54" i="9" s="1"/>
  <c r="W16" i="5" s="1"/>
  <c r="X22" i="12" s="1"/>
  <c r="AB77" i="9" l="1"/>
  <c r="AA79" i="9"/>
  <c r="W15" i="7"/>
  <c r="W30" i="5"/>
  <c r="X24" i="11"/>
  <c r="M59" i="4"/>
  <c r="M60" i="4" s="1"/>
  <c r="L15" i="5" s="1"/>
  <c r="L18" i="5" s="1"/>
  <c r="L28" i="6"/>
  <c r="L29" i="6" s="1"/>
  <c r="N24" i="11"/>
  <c r="M30" i="5"/>
  <c r="M15" i="7"/>
  <c r="X37" i="9"/>
  <c r="AB78" i="9" l="1"/>
  <c r="AB80" i="9"/>
  <c r="M62" i="4"/>
  <c r="L31" i="6"/>
  <c r="N58" i="4"/>
  <c r="N113" i="11"/>
  <c r="M96" i="11"/>
  <c r="L19" i="5"/>
  <c r="K16" i="6"/>
  <c r="X53" i="9"/>
  <c r="Y35" i="9"/>
  <c r="AB79" i="9" l="1"/>
  <c r="L16" i="7"/>
  <c r="K43" i="6"/>
  <c r="K44" i="6" s="1"/>
  <c r="M27" i="11" s="1"/>
  <c r="N59" i="4"/>
  <c r="N60" i="4" s="1"/>
  <c r="M97" i="11"/>
  <c r="M99" i="11"/>
  <c r="M100" i="11" s="1"/>
  <c r="L39" i="5"/>
  <c r="L43" i="5" s="1"/>
  <c r="M105" i="11" s="1"/>
  <c r="L40" i="5"/>
  <c r="L45" i="5" s="1"/>
  <c r="M106" i="11" s="1"/>
  <c r="M22" i="11"/>
  <c r="M23" i="11" s="1"/>
  <c r="Y36" i="9"/>
  <c r="Y54" i="9" s="1"/>
  <c r="X16" i="5" s="1"/>
  <c r="Y22" i="12" s="1"/>
  <c r="AC77" i="9" l="1"/>
  <c r="AC80" i="9" s="1"/>
  <c r="AC78" i="9"/>
  <c r="X30" i="5"/>
  <c r="X15" i="7"/>
  <c r="Y24" i="11"/>
  <c r="M15" i="5"/>
  <c r="M18" i="5" s="1"/>
  <c r="N96" i="11" s="1"/>
  <c r="N62" i="4"/>
  <c r="O24" i="11"/>
  <c r="N30" i="5"/>
  <c r="M28" i="6"/>
  <c r="M29" i="6" s="1"/>
  <c r="N15" i="7"/>
  <c r="Y37" i="9"/>
  <c r="AC79" i="9" l="1"/>
  <c r="L16" i="6"/>
  <c r="M19" i="5"/>
  <c r="M39" i="5" s="1"/>
  <c r="M43" i="5" s="1"/>
  <c r="N105" i="11" s="1"/>
  <c r="M31" i="6"/>
  <c r="O58" i="4"/>
  <c r="O113" i="11"/>
  <c r="N99" i="11"/>
  <c r="N100" i="11" s="1"/>
  <c r="N97" i="11"/>
  <c r="Y53" i="9"/>
  <c r="Z35" i="9"/>
  <c r="AD77" i="9" l="1"/>
  <c r="AD80" i="9" s="1"/>
  <c r="AD78" i="9"/>
  <c r="AD79" i="9" s="1"/>
  <c r="M16" i="7"/>
  <c r="L43" i="6"/>
  <c r="L44" i="6" s="1"/>
  <c r="N27" i="11" s="1"/>
  <c r="M40" i="5"/>
  <c r="M45" i="5" s="1"/>
  <c r="N106" i="11" s="1"/>
  <c r="N22" i="11"/>
  <c r="N23" i="11" s="1"/>
  <c r="O59" i="4"/>
  <c r="O60" i="4" s="1"/>
  <c r="Z36" i="9"/>
  <c r="Z54" i="9" s="1"/>
  <c r="Y16" i="5" s="1"/>
  <c r="Z22" i="12" s="1"/>
  <c r="Y15" i="7" l="1"/>
  <c r="Y30" i="5"/>
  <c r="Z24" i="11"/>
  <c r="O62" i="4"/>
  <c r="N15" i="5"/>
  <c r="N18" i="5" s="1"/>
  <c r="N19" i="5" s="1"/>
  <c r="O30" i="5"/>
  <c r="P24" i="11"/>
  <c r="N28" i="6"/>
  <c r="O15" i="7"/>
  <c r="Z37" i="9"/>
  <c r="M16" i="6" l="1"/>
  <c r="O96" i="11"/>
  <c r="O99" i="11" s="1"/>
  <c r="O100" i="11" s="1"/>
  <c r="N29" i="6"/>
  <c r="N40" i="5"/>
  <c r="N45" i="5" s="1"/>
  <c r="O106" i="11" s="1"/>
  <c r="O22" i="11"/>
  <c r="O23" i="11" s="1"/>
  <c r="N39" i="5"/>
  <c r="N43" i="5" s="1"/>
  <c r="O105" i="11" s="1"/>
  <c r="Z53" i="9"/>
  <c r="AA35" i="9"/>
  <c r="O97" i="11" l="1"/>
  <c r="N16" i="7"/>
  <c r="M43" i="6"/>
  <c r="M44" i="6" s="1"/>
  <c r="O27" i="11" s="1"/>
  <c r="P58" i="4"/>
  <c r="N31" i="6"/>
  <c r="P113" i="11"/>
  <c r="AA36" i="9"/>
  <c r="AA54" i="9" s="1"/>
  <c r="Z16" i="5" s="1"/>
  <c r="AA22" i="12" s="1"/>
  <c r="AA24" i="11" l="1"/>
  <c r="Z30" i="5"/>
  <c r="Z15" i="7"/>
  <c r="P59" i="4"/>
  <c r="P60" i="4" s="1"/>
  <c r="Q24" i="11"/>
  <c r="P30" i="5"/>
  <c r="P15" i="7"/>
  <c r="O28" i="6"/>
  <c r="O29" i="6" s="1"/>
  <c r="AA37" i="9"/>
  <c r="O15" i="5" l="1"/>
  <c r="O18" i="5" s="1"/>
  <c r="P96" i="11" s="1"/>
  <c r="P62" i="4"/>
  <c r="O31" i="6"/>
  <c r="Q58" i="4"/>
  <c r="Q113" i="11"/>
  <c r="AB35" i="9"/>
  <c r="AA53" i="9"/>
  <c r="Q59" i="4" l="1"/>
  <c r="Q60" i="4" s="1"/>
  <c r="N16" i="6"/>
  <c r="O19" i="5"/>
  <c r="O39" i="5" s="1"/>
  <c r="O43" i="5" s="1"/>
  <c r="P105" i="11" s="1"/>
  <c r="P99" i="11"/>
  <c r="P100" i="11" s="1"/>
  <c r="P97" i="11"/>
  <c r="AB36" i="9"/>
  <c r="AB54" i="9" s="1"/>
  <c r="AA16" i="5" s="1"/>
  <c r="AB22" i="12" s="1"/>
  <c r="O16" i="7" l="1"/>
  <c r="N43" i="6"/>
  <c r="N44" i="6" s="1"/>
  <c r="P27" i="11" s="1"/>
  <c r="AB24" i="11"/>
  <c r="AA30" i="5"/>
  <c r="AA15" i="7"/>
  <c r="O40" i="5"/>
  <c r="O45" i="5" s="1"/>
  <c r="P106" i="11" s="1"/>
  <c r="Q62" i="4"/>
  <c r="P15" i="5"/>
  <c r="P18" i="5" s="1"/>
  <c r="O16" i="6" s="1"/>
  <c r="P22" i="11"/>
  <c r="P23" i="11" s="1"/>
  <c r="P28" i="6"/>
  <c r="P29" i="6" s="1"/>
  <c r="R24" i="11"/>
  <c r="Q30" i="5"/>
  <c r="Q15" i="7"/>
  <c r="AB37" i="9"/>
  <c r="P16" i="7" l="1"/>
  <c r="O43" i="6"/>
  <c r="O44" i="6" s="1"/>
  <c r="Q27" i="11" s="1"/>
  <c r="Q96" i="11"/>
  <c r="Q97" i="11" s="1"/>
  <c r="P19" i="5"/>
  <c r="Q22" i="11" s="1"/>
  <c r="Q23" i="11" s="1"/>
  <c r="P31" i="6"/>
  <c r="R58" i="4"/>
  <c r="R113" i="11"/>
  <c r="AB53" i="9"/>
  <c r="AC35" i="9"/>
  <c r="P40" i="5" l="1"/>
  <c r="P45" i="5" s="1"/>
  <c r="Q106" i="11" s="1"/>
  <c r="P39" i="5"/>
  <c r="P43" i="5" s="1"/>
  <c r="Q105" i="11" s="1"/>
  <c r="Q99" i="11"/>
  <c r="Q100" i="11" s="1"/>
  <c r="R59" i="4"/>
  <c r="R60" i="4" s="1"/>
  <c r="AC36" i="9"/>
  <c r="AC54" i="9" s="1"/>
  <c r="AB16" i="5" s="1"/>
  <c r="AC22" i="12" s="1"/>
  <c r="AC24" i="11" l="1"/>
  <c r="AB15" i="7"/>
  <c r="AB30" i="5"/>
  <c r="Q15" i="5"/>
  <c r="Q18" i="5" s="1"/>
  <c r="R96" i="11" s="1"/>
  <c r="R62" i="4"/>
  <c r="Q28" i="6"/>
  <c r="Q29" i="6" s="1"/>
  <c r="S24" i="11"/>
  <c r="R15" i="7"/>
  <c r="R30" i="5"/>
  <c r="AC37" i="9"/>
  <c r="P16" i="6" l="1"/>
  <c r="Q19" i="5"/>
  <c r="Q40" i="5" s="1"/>
  <c r="Q45" i="5" s="1"/>
  <c r="R106" i="11" s="1"/>
  <c r="R99" i="11"/>
  <c r="R100" i="11" s="1"/>
  <c r="R97" i="11"/>
  <c r="S58" i="4"/>
  <c r="Q31" i="6"/>
  <c r="S113" i="11"/>
  <c r="AC53" i="9"/>
  <c r="AD35" i="9"/>
  <c r="Q16" i="7" l="1"/>
  <c r="P43" i="6"/>
  <c r="P44" i="6" s="1"/>
  <c r="R27" i="11" s="1"/>
  <c r="Q39" i="5"/>
  <c r="Q43" i="5" s="1"/>
  <c r="R105" i="11" s="1"/>
  <c r="R22" i="11"/>
  <c r="R23" i="11" s="1"/>
  <c r="S59" i="4"/>
  <c r="S60" i="4" s="1"/>
  <c r="S62" i="4" s="1"/>
  <c r="AD36" i="9"/>
  <c r="AD54" i="9" s="1"/>
  <c r="AC16" i="5" s="1"/>
  <c r="AD22" i="12" s="1"/>
  <c r="AD24" i="11" l="1"/>
  <c r="AC30" i="5"/>
  <c r="AC15" i="7"/>
  <c r="R15" i="5"/>
  <c r="R18" i="5" s="1"/>
  <c r="S96" i="11" s="1"/>
  <c r="T24" i="11"/>
  <c r="S30" i="5"/>
  <c r="R28" i="6"/>
  <c r="S15" i="7"/>
  <c r="AD37" i="9"/>
  <c r="AD53" i="9" s="1"/>
  <c r="Q16" i="6" l="1"/>
  <c r="R19" i="5"/>
  <c r="R39" i="5" s="1"/>
  <c r="R43" i="5" s="1"/>
  <c r="S105" i="11" s="1"/>
  <c r="S28" i="6"/>
  <c r="R29" i="6"/>
  <c r="S99" i="11"/>
  <c r="S100" i="11" s="1"/>
  <c r="S97" i="11"/>
  <c r="R16" i="7" l="1"/>
  <c r="Q43" i="6"/>
  <c r="Q44" i="6" s="1"/>
  <c r="S27" i="11" s="1"/>
  <c r="S22" i="11"/>
  <c r="S23" i="11" s="1"/>
  <c r="R40" i="5"/>
  <c r="R45" i="5" s="1"/>
  <c r="S106" i="11" s="1"/>
  <c r="T58" i="4"/>
  <c r="R31" i="6"/>
  <c r="T113" i="11"/>
  <c r="T28" i="6"/>
  <c r="S29" i="6"/>
  <c r="T59" i="4" l="1"/>
  <c r="T60" i="4" s="1"/>
  <c r="U28" i="6"/>
  <c r="T29" i="6"/>
  <c r="U58" i="4"/>
  <c r="S31" i="6"/>
  <c r="S15" i="5" l="1"/>
  <c r="S18" i="5" s="1"/>
  <c r="R16" i="6" s="1"/>
  <c r="T62" i="4"/>
  <c r="U59" i="4"/>
  <c r="U60" i="4" s="1"/>
  <c r="T31" i="6"/>
  <c r="V58" i="4"/>
  <c r="V28" i="6"/>
  <c r="U29" i="6"/>
  <c r="S16" i="7" l="1"/>
  <c r="R43" i="6"/>
  <c r="R44" i="6" s="1"/>
  <c r="T27" i="11" s="1"/>
  <c r="S19" i="5"/>
  <c r="S40" i="5" s="1"/>
  <c r="S45" i="5" s="1"/>
  <c r="T106" i="11" s="1"/>
  <c r="T96" i="11"/>
  <c r="T97" i="11" s="1"/>
  <c r="U62" i="4"/>
  <c r="T15" i="5"/>
  <c r="T18" i="5" s="1"/>
  <c r="U96" i="11" s="1"/>
  <c r="V59" i="4"/>
  <c r="V60" i="4" s="1"/>
  <c r="W28" i="6"/>
  <c r="V29" i="6"/>
  <c r="U31" i="6"/>
  <c r="W58" i="4"/>
  <c r="T99" i="11" l="1"/>
  <c r="T100" i="11" s="1"/>
  <c r="S39" i="5"/>
  <c r="S43" i="5" s="1"/>
  <c r="T105" i="11" s="1"/>
  <c r="T22" i="11"/>
  <c r="T23" i="11" s="1"/>
  <c r="T19" i="5"/>
  <c r="T40" i="5" s="1"/>
  <c r="T45" i="5" s="1"/>
  <c r="U106" i="11" s="1"/>
  <c r="S16" i="6"/>
  <c r="U15" i="5"/>
  <c r="U18" i="5" s="1"/>
  <c r="V96" i="11" s="1"/>
  <c r="V62" i="4"/>
  <c r="W59" i="4"/>
  <c r="W60" i="4" s="1"/>
  <c r="X28" i="6"/>
  <c r="W29" i="6"/>
  <c r="V31" i="6"/>
  <c r="X58" i="4"/>
  <c r="U99" i="11"/>
  <c r="U100" i="11" s="1"/>
  <c r="U97" i="11"/>
  <c r="T16" i="7" l="1"/>
  <c r="S43" i="6"/>
  <c r="S44" i="6" s="1"/>
  <c r="U27" i="11" s="1"/>
  <c r="T39" i="5"/>
  <c r="T43" i="5" s="1"/>
  <c r="U105" i="11" s="1"/>
  <c r="U22" i="11"/>
  <c r="U23" i="11" s="1"/>
  <c r="T16" i="6"/>
  <c r="U19" i="5"/>
  <c r="U39" i="5" s="1"/>
  <c r="U43" i="5" s="1"/>
  <c r="V105" i="11" s="1"/>
  <c r="V15" i="5"/>
  <c r="V18" i="5" s="1"/>
  <c r="V19" i="5" s="1"/>
  <c r="W62" i="4"/>
  <c r="X59" i="4"/>
  <c r="X60" i="4" s="1"/>
  <c r="V99" i="11"/>
  <c r="V100" i="11" s="1"/>
  <c r="V97" i="11"/>
  <c r="Y58" i="4"/>
  <c r="W31" i="6"/>
  <c r="Y28" i="6"/>
  <c r="X29" i="6"/>
  <c r="U40" i="5" l="1"/>
  <c r="U45" i="5" s="1"/>
  <c r="V106" i="11" s="1"/>
  <c r="V22" i="11"/>
  <c r="V23" i="11" s="1"/>
  <c r="U16" i="7"/>
  <c r="T43" i="6"/>
  <c r="T44" i="6" s="1"/>
  <c r="V27" i="11" s="1"/>
  <c r="W96" i="11"/>
  <c r="W99" i="11" s="1"/>
  <c r="W100" i="11" s="1"/>
  <c r="U16" i="6"/>
  <c r="W15" i="5"/>
  <c r="W18" i="5" s="1"/>
  <c r="X96" i="11" s="1"/>
  <c r="X62" i="4"/>
  <c r="Y59" i="4"/>
  <c r="Y60" i="4" s="1"/>
  <c r="V40" i="5"/>
  <c r="V45" i="5" s="1"/>
  <c r="W106" i="11" s="1"/>
  <c r="W22" i="11"/>
  <c r="W23" i="11" s="1"/>
  <c r="V39" i="5"/>
  <c r="V43" i="5" s="1"/>
  <c r="W105" i="11" s="1"/>
  <c r="X31" i="6"/>
  <c r="Z58" i="4"/>
  <c r="Z28" i="6"/>
  <c r="Y29" i="6"/>
  <c r="V16" i="7" l="1"/>
  <c r="U43" i="6"/>
  <c r="U44" i="6" s="1"/>
  <c r="W27" i="11" s="1"/>
  <c r="W19" i="5"/>
  <c r="X22" i="11" s="1"/>
  <c r="X23" i="11" s="1"/>
  <c r="W97" i="11"/>
  <c r="V16" i="6"/>
  <c r="Y62" i="4"/>
  <c r="X15" i="5"/>
  <c r="X18" i="5" s="1"/>
  <c r="Y96" i="11" s="1"/>
  <c r="Z59" i="4"/>
  <c r="Z60" i="4" s="1"/>
  <c r="Y31" i="6"/>
  <c r="AA58" i="4"/>
  <c r="X97" i="11"/>
  <c r="X99" i="11"/>
  <c r="X100" i="11" s="1"/>
  <c r="AA28" i="6"/>
  <c r="Z29" i="6"/>
  <c r="W40" i="5" l="1"/>
  <c r="W45" i="5" s="1"/>
  <c r="X106" i="11" s="1"/>
  <c r="W39" i="5"/>
  <c r="W23" i="5"/>
  <c r="W16" i="7"/>
  <c r="V43" i="6"/>
  <c r="V44" i="6" s="1"/>
  <c r="X27" i="11" s="1"/>
  <c r="X19" i="5"/>
  <c r="X40" i="5" s="1"/>
  <c r="X45" i="5" s="1"/>
  <c r="Y106" i="11" s="1"/>
  <c r="W16" i="6"/>
  <c r="Z62" i="4"/>
  <c r="Y15" i="5"/>
  <c r="Y18" i="5" s="1"/>
  <c r="Y19" i="5" s="1"/>
  <c r="AA59" i="4"/>
  <c r="AA60" i="4" s="1"/>
  <c r="AB28" i="6"/>
  <c r="AB29" i="6" s="1"/>
  <c r="AD28" i="11" s="1"/>
  <c r="AA29" i="6"/>
  <c r="X25" i="11"/>
  <c r="X29" i="11" s="1"/>
  <c r="X39" i="5"/>
  <c r="AB58" i="4"/>
  <c r="Z31" i="6"/>
  <c r="X112" i="11"/>
  <c r="W43" i="5"/>
  <c r="X105" i="11" s="1"/>
  <c r="Y97" i="11"/>
  <c r="Y99" i="11"/>
  <c r="Y100" i="11" s="1"/>
  <c r="X19" i="12" l="1"/>
  <c r="Y22" i="11"/>
  <c r="Y23" i="11" s="1"/>
  <c r="X16" i="7"/>
  <c r="W43" i="6"/>
  <c r="W44" i="6" s="1"/>
  <c r="Y27" i="11" s="1"/>
  <c r="X23" i="5"/>
  <c r="X16" i="6"/>
  <c r="Z96" i="11"/>
  <c r="Z99" i="11" s="1"/>
  <c r="Z100" i="11" s="1"/>
  <c r="Z15" i="5"/>
  <c r="Z18" i="5" s="1"/>
  <c r="Y16" i="6" s="1"/>
  <c r="AA62" i="4"/>
  <c r="AB59" i="4"/>
  <c r="AB60" i="4" s="1"/>
  <c r="AA31" i="6"/>
  <c r="AC58" i="4"/>
  <c r="Z22" i="11"/>
  <c r="Z23" i="11" s="1"/>
  <c r="Y23" i="5"/>
  <c r="Y39" i="5"/>
  <c r="Y43" i="5" s="1"/>
  <c r="Z105" i="11" s="1"/>
  <c r="Y40" i="5"/>
  <c r="Y45" i="5" s="1"/>
  <c r="Z106" i="11" s="1"/>
  <c r="X43" i="5"/>
  <c r="Y105" i="11" s="1"/>
  <c r="Y112" i="11"/>
  <c r="AB31" i="6"/>
  <c r="AD58" i="4"/>
  <c r="Y19" i="12" l="1"/>
  <c r="X35" i="12"/>
  <c r="X24" i="12"/>
  <c r="Z19" i="12"/>
  <c r="Z97" i="11"/>
  <c r="Y25" i="11"/>
  <c r="Y29" i="11" s="1"/>
  <c r="Y16" i="7"/>
  <c r="X43" i="6"/>
  <c r="X44" i="6" s="1"/>
  <c r="Z27" i="11" s="1"/>
  <c r="Z16" i="7"/>
  <c r="Y43" i="6"/>
  <c r="Z19" i="5"/>
  <c r="AA22" i="11" s="1"/>
  <c r="AA23" i="11" s="1"/>
  <c r="AA96" i="11"/>
  <c r="AA99" i="11" s="1"/>
  <c r="AA100" i="11" s="1"/>
  <c r="AA15" i="5"/>
  <c r="AA18" i="5" s="1"/>
  <c r="Z16" i="6" s="1"/>
  <c r="AB62" i="4"/>
  <c r="AD59" i="4"/>
  <c r="AD60" i="4" s="1"/>
  <c r="AC59" i="4"/>
  <c r="AC60" i="4" s="1"/>
  <c r="AC62" i="4" s="1"/>
  <c r="Z25" i="11"/>
  <c r="Z40" i="5" l="1"/>
  <c r="Z45" i="5" s="1"/>
  <c r="AA106" i="11" s="1"/>
  <c r="Z39" i="5"/>
  <c r="Z43" i="5" s="1"/>
  <c r="AA105" i="11" s="1"/>
  <c r="Z23" i="5"/>
  <c r="AA19" i="12"/>
  <c r="Z35" i="12"/>
  <c r="Z24" i="12"/>
  <c r="Y35" i="12"/>
  <c r="Y24" i="12"/>
  <c r="Z29" i="11"/>
  <c r="AA97" i="11"/>
  <c r="Y44" i="6"/>
  <c r="AA27" i="11" s="1"/>
  <c r="AA16" i="7"/>
  <c r="Z43" i="6"/>
  <c r="Z44" i="6" s="1"/>
  <c r="AB27" i="11" s="1"/>
  <c r="AA19" i="5"/>
  <c r="AA23" i="5" s="1"/>
  <c r="AB96" i="11"/>
  <c r="AB99" i="11" s="1"/>
  <c r="AB100" i="11" s="1"/>
  <c r="AB15" i="5"/>
  <c r="AB18" i="5" s="1"/>
  <c r="AC96" i="11" s="1"/>
  <c r="AC15" i="5"/>
  <c r="AC18" i="5" s="1"/>
  <c r="AB16" i="6" s="1"/>
  <c r="AB43" i="6" s="1"/>
  <c r="AD62" i="4"/>
  <c r="AA25" i="11"/>
  <c r="AB19" i="12" l="1"/>
  <c r="AA35" i="12"/>
  <c r="AA24" i="12"/>
  <c r="AA29" i="11"/>
  <c r="AB22" i="11"/>
  <c r="AB23" i="11" s="1"/>
  <c r="AB97" i="11"/>
  <c r="AC19" i="5"/>
  <c r="AC40" i="5" s="1"/>
  <c r="AC45" i="5" s="1"/>
  <c r="AA39" i="5"/>
  <c r="AA43" i="5" s="1"/>
  <c r="AB105" i="11" s="1"/>
  <c r="AA40" i="5"/>
  <c r="AA45" i="5" s="1"/>
  <c r="AB106" i="11" s="1"/>
  <c r="AA16" i="6"/>
  <c r="AD96" i="11"/>
  <c r="AD97" i="11" s="1"/>
  <c r="AB19" i="5"/>
  <c r="AB23" i="5" s="1"/>
  <c r="AC97" i="11"/>
  <c r="AC99" i="11"/>
  <c r="AC100" i="11" s="1"/>
  <c r="AB35" i="12" l="1"/>
  <c r="AB24" i="12"/>
  <c r="AC19" i="12"/>
  <c r="AC23" i="5"/>
  <c r="AB25" i="11"/>
  <c r="AB29" i="11" s="1"/>
  <c r="AD99" i="11"/>
  <c r="AD100" i="11" s="1"/>
  <c r="AC39" i="5"/>
  <c r="AC43" i="5" s="1"/>
  <c r="AD105" i="11" s="1"/>
  <c r="AD22" i="11"/>
  <c r="AD23" i="11" s="1"/>
  <c r="AB39" i="5"/>
  <c r="AB43" i="5" s="1"/>
  <c r="AC105" i="11" s="1"/>
  <c r="AB16" i="7"/>
  <c r="AA43" i="6"/>
  <c r="AC16" i="7"/>
  <c r="AC22" i="11"/>
  <c r="AC23" i="11" s="1"/>
  <c r="AB40" i="5"/>
  <c r="AB45" i="5" s="1"/>
  <c r="AC106" i="11" s="1"/>
  <c r="AD106" i="11"/>
  <c r="AD19" i="12" l="1"/>
  <c r="AC35" i="12"/>
  <c r="AC24" i="12"/>
  <c r="AC25" i="11"/>
  <c r="AD25" i="11"/>
  <c r="E46" i="5"/>
  <c r="E44" i="5"/>
  <c r="AA44" i="6"/>
  <c r="AC27" i="11" s="1"/>
  <c r="AB44" i="6"/>
  <c r="AD27" i="11" s="1"/>
  <c r="AC29" i="11" l="1"/>
  <c r="AD35" i="12"/>
  <c r="AD24" i="12"/>
  <c r="AD29" i="11"/>
  <c r="C52" i="8" l="1"/>
  <c r="E52" i="8" s="1"/>
  <c r="C53" i="8" s="1"/>
  <c r="F51" i="8"/>
  <c r="F52" i="8" l="1"/>
  <c r="E53" i="8"/>
  <c r="C54" i="8" s="1"/>
  <c r="F53" i="8" l="1"/>
  <c r="E54" i="8"/>
  <c r="C55" i="8" s="1"/>
  <c r="F54" i="8" l="1"/>
  <c r="E55" i="8"/>
  <c r="C56" i="8" s="1"/>
  <c r="F55" i="8" l="1"/>
  <c r="E56" i="8"/>
  <c r="C57" i="8" s="1"/>
  <c r="E57" i="8" l="1"/>
  <c r="C58" i="8" s="1"/>
  <c r="F56" i="8"/>
  <c r="F57" i="8" l="1"/>
  <c r="E58" i="8"/>
  <c r="C59" i="8" s="1"/>
  <c r="E59" i="8" l="1"/>
  <c r="C60" i="8" s="1"/>
  <c r="F58" i="8"/>
  <c r="F59" i="8" l="1"/>
  <c r="E60" i="8"/>
  <c r="C61" i="8" s="1"/>
  <c r="E61" i="8" l="1"/>
  <c r="C62" i="8" s="1"/>
  <c r="F60" i="8"/>
  <c r="F61" i="8" l="1"/>
  <c r="E62" i="8"/>
  <c r="C64" i="8" s="1"/>
  <c r="E64" i="8" l="1"/>
  <c r="C65" i="8" s="1"/>
  <c r="F62" i="8"/>
  <c r="F64" i="8" l="1"/>
  <c r="G15" i="8"/>
  <c r="G17" i="8" s="1"/>
  <c r="F21" i="5" s="1"/>
  <c r="E65" i="8"/>
  <c r="C66" i="8" s="1"/>
  <c r="F65" i="8" l="1"/>
  <c r="G13" i="11"/>
  <c r="F23" i="5"/>
  <c r="G112" i="11"/>
  <c r="E66" i="8"/>
  <c r="C67" i="8" s="1"/>
  <c r="G19" i="12" l="1"/>
  <c r="G15" i="11"/>
  <c r="G25" i="11"/>
  <c r="G29" i="11" s="1"/>
  <c r="E67" i="8"/>
  <c r="C68" i="8" s="1"/>
  <c r="F66" i="8"/>
  <c r="G35" i="12" l="1"/>
  <c r="G24" i="12"/>
  <c r="E68" i="8"/>
  <c r="C69" i="8" s="1"/>
  <c r="F67" i="8"/>
  <c r="G17" i="11"/>
  <c r="G28" i="12" l="1"/>
  <c r="H25" i="12" s="1"/>
  <c r="G29" i="12"/>
  <c r="H26" i="12" s="1"/>
  <c r="G27" i="12"/>
  <c r="G31" i="12" s="1"/>
  <c r="G36" i="12" s="1"/>
  <c r="G39" i="12" s="1"/>
  <c r="G44" i="12" s="1"/>
  <c r="F68" i="8"/>
  <c r="E69" i="8"/>
  <c r="C70" i="8" s="1"/>
  <c r="G38" i="12" l="1"/>
  <c r="G40" i="12" s="1"/>
  <c r="F24" i="5" s="1"/>
  <c r="F26" i="5" s="1"/>
  <c r="G43" i="12"/>
  <c r="G45" i="12" s="1"/>
  <c r="H42" i="12" s="1"/>
  <c r="E70" i="8"/>
  <c r="C71" i="8" s="1"/>
  <c r="F69" i="8"/>
  <c r="F12" i="7" l="1"/>
  <c r="F18" i="7" s="1"/>
  <c r="F29" i="7" s="1"/>
  <c r="F30" i="7" s="1"/>
  <c r="F41" i="5"/>
  <c r="F47" i="5" s="1"/>
  <c r="G107" i="11" s="1"/>
  <c r="G109" i="11"/>
  <c r="F29" i="5"/>
  <c r="F31" i="5" s="1"/>
  <c r="E13" i="6"/>
  <c r="E71" i="8"/>
  <c r="C72" i="8" s="1"/>
  <c r="F70" i="8"/>
  <c r="F33" i="5" l="1"/>
  <c r="G12" i="11"/>
  <c r="G14" i="11" s="1"/>
  <c r="G18" i="11" s="1"/>
  <c r="G111" i="11" s="1"/>
  <c r="E19" i="6"/>
  <c r="G108" i="11"/>
  <c r="G110" i="11"/>
  <c r="G114" i="11"/>
  <c r="E35" i="6"/>
  <c r="E37" i="6" s="1"/>
  <c r="E38" i="6" s="1"/>
  <c r="G28" i="7"/>
  <c r="E72" i="8"/>
  <c r="C73" i="8" s="1"/>
  <c r="F71" i="8"/>
  <c r="E40" i="6" l="1"/>
  <c r="F34" i="5"/>
  <c r="G51" i="11"/>
  <c r="G52" i="11" s="1"/>
  <c r="E73" i="8"/>
  <c r="C74" i="8" s="1"/>
  <c r="F72" i="8"/>
  <c r="E74" i="8" l="1"/>
  <c r="C75" i="8" s="1"/>
  <c r="F73" i="8"/>
  <c r="F74" i="8" l="1"/>
  <c r="E75" i="8"/>
  <c r="C77" i="8" s="1"/>
  <c r="E77" i="8" l="1"/>
  <c r="C78" i="8" s="1"/>
  <c r="F75" i="8"/>
  <c r="H15" i="8" s="1"/>
  <c r="H17" i="8" s="1"/>
  <c r="G21" i="5" s="1"/>
  <c r="G23" i="5" s="1"/>
  <c r="H19" i="12" s="1"/>
  <c r="H35" i="12" l="1"/>
  <c r="H24" i="12"/>
  <c r="F77" i="8"/>
  <c r="H13" i="11"/>
  <c r="H112" i="11"/>
  <c r="E78" i="8"/>
  <c r="C79" i="8" s="1"/>
  <c r="H29" i="12" l="1"/>
  <c r="I26" i="12" s="1"/>
  <c r="H27" i="12"/>
  <c r="H31" i="12" s="1"/>
  <c r="H36" i="12" s="1"/>
  <c r="H39" i="12" s="1"/>
  <c r="H44" i="12" s="1"/>
  <c r="H28" i="12"/>
  <c r="I25" i="12" s="1"/>
  <c r="H43" i="12"/>
  <c r="E79" i="8"/>
  <c r="C80" i="8" s="1"/>
  <c r="H25" i="11"/>
  <c r="H29" i="11" s="1"/>
  <c r="F78" i="8"/>
  <c r="H15" i="11"/>
  <c r="H45" i="12" l="1"/>
  <c r="I42" i="12" s="1"/>
  <c r="H38" i="12"/>
  <c r="H40" i="12" s="1"/>
  <c r="G24" i="5" s="1"/>
  <c r="G26" i="5" s="1"/>
  <c r="G29" i="5" s="1"/>
  <c r="G31" i="5" s="1"/>
  <c r="F79" i="8"/>
  <c r="H17" i="11"/>
  <c r="E80" i="8"/>
  <c r="C81" i="8" s="1"/>
  <c r="F80" i="8" l="1"/>
  <c r="G12" i="7"/>
  <c r="G18" i="7" s="1"/>
  <c r="G29" i="7" s="1"/>
  <c r="G30" i="7" s="1"/>
  <c r="F35" i="6" s="1"/>
  <c r="F37" i="6" s="1"/>
  <c r="F38" i="6" s="1"/>
  <c r="H109" i="11"/>
  <c r="G41" i="5"/>
  <c r="G47" i="5" s="1"/>
  <c r="H107" i="11" s="1"/>
  <c r="F13" i="6"/>
  <c r="H110" i="11" s="1"/>
  <c r="E81" i="8"/>
  <c r="C82" i="8" s="1"/>
  <c r="G33" i="5"/>
  <c r="H12" i="11"/>
  <c r="H114" i="11" l="1"/>
  <c r="H108" i="11"/>
  <c r="H28" i="7"/>
  <c r="F19" i="6"/>
  <c r="F40" i="6" s="1"/>
  <c r="E82" i="8"/>
  <c r="C83" i="8" s="1"/>
  <c r="F81" i="8"/>
  <c r="H51" i="11"/>
  <c r="G34" i="5"/>
  <c r="H14" i="11"/>
  <c r="H18" i="11" s="1"/>
  <c r="H111" i="11" l="1"/>
  <c r="E83" i="8"/>
  <c r="C84" i="8" s="1"/>
  <c r="H52" i="11"/>
  <c r="F82" i="8"/>
  <c r="E84" i="8" l="1"/>
  <c r="C85" i="8" s="1"/>
  <c r="F83" i="8"/>
  <c r="E85" i="8" l="1"/>
  <c r="C86" i="8" s="1"/>
  <c r="F84" i="8"/>
  <c r="E86" i="8" l="1"/>
  <c r="C87" i="8" s="1"/>
  <c r="F85" i="8"/>
  <c r="E87" i="8" l="1"/>
  <c r="C88" i="8" s="1"/>
  <c r="F86" i="8"/>
  <c r="E88" i="8" l="1"/>
  <c r="C90" i="8" s="1"/>
  <c r="F87" i="8"/>
  <c r="F88" i="8" l="1"/>
  <c r="I15" i="8" s="1"/>
  <c r="I17" i="8" s="1"/>
  <c r="H21" i="5" s="1"/>
  <c r="E90" i="8"/>
  <c r="C91" i="8" s="1"/>
  <c r="F90" i="8" l="1"/>
  <c r="E91" i="8"/>
  <c r="C92" i="8" s="1"/>
  <c r="I13" i="11"/>
  <c r="H23" i="5"/>
  <c r="I112" i="11"/>
  <c r="I19" i="12" l="1"/>
  <c r="E92" i="8"/>
  <c r="C93" i="8" s="1"/>
  <c r="F91" i="8"/>
  <c r="I15" i="11"/>
  <c r="I25" i="11"/>
  <c r="I29" i="11" s="1"/>
  <c r="I35" i="12" l="1"/>
  <c r="I24" i="12"/>
  <c r="I17" i="11"/>
  <c r="E93" i="8"/>
  <c r="C94" i="8" s="1"/>
  <c r="F92" i="8"/>
  <c r="I29" i="12" l="1"/>
  <c r="J26" i="12" s="1"/>
  <c r="I28" i="12"/>
  <c r="J25" i="12" s="1"/>
  <c r="I27" i="12"/>
  <c r="I31" i="12" s="1"/>
  <c r="I36" i="12" s="1"/>
  <c r="I39" i="12" s="1"/>
  <c r="I44" i="12" s="1"/>
  <c r="F93" i="8"/>
  <c r="E94" i="8"/>
  <c r="C95" i="8" s="1"/>
  <c r="I43" i="12" l="1"/>
  <c r="I45" i="12" s="1"/>
  <c r="J42" i="12" s="1"/>
  <c r="I38" i="12"/>
  <c r="I40" i="12" s="1"/>
  <c r="H24" i="5" s="1"/>
  <c r="H26" i="5" s="1"/>
  <c r="F94" i="8"/>
  <c r="E95" i="8"/>
  <c r="C96" i="8" s="1"/>
  <c r="I109" i="11" l="1"/>
  <c r="H41" i="5"/>
  <c r="H47" i="5" s="1"/>
  <c r="I107" i="11" s="1"/>
  <c r="H29" i="5"/>
  <c r="H31" i="5" s="1"/>
  <c r="H12" i="7"/>
  <c r="H18" i="7" s="1"/>
  <c r="H29" i="7" s="1"/>
  <c r="H30" i="7" s="1"/>
  <c r="G13" i="6"/>
  <c r="E96" i="8"/>
  <c r="C97" i="8" s="1"/>
  <c r="F95" i="8"/>
  <c r="G35" i="6" l="1"/>
  <c r="G37" i="6" s="1"/>
  <c r="G38" i="6" s="1"/>
  <c r="I28" i="7"/>
  <c r="H33" i="5"/>
  <c r="I12" i="11"/>
  <c r="I14" i="11" s="1"/>
  <c r="I18" i="11" s="1"/>
  <c r="I111" i="11" s="1"/>
  <c r="I110" i="11"/>
  <c r="G19" i="6"/>
  <c r="G40" i="6" s="1"/>
  <c r="I114" i="11"/>
  <c r="I108" i="11"/>
  <c r="E97" i="8"/>
  <c r="C98" i="8" s="1"/>
  <c r="F96" i="8"/>
  <c r="I51" i="11" l="1"/>
  <c r="I52" i="11" s="1"/>
  <c r="H34" i="5"/>
  <c r="E98" i="8"/>
  <c r="C99" i="8" s="1"/>
  <c r="F97" i="8"/>
  <c r="E99" i="8" l="1"/>
  <c r="C100" i="8" s="1"/>
  <c r="F98" i="8"/>
  <c r="F99" i="8" l="1"/>
  <c r="E100" i="8"/>
  <c r="C101" i="8" s="1"/>
  <c r="E101" i="8" l="1"/>
  <c r="C103" i="8" s="1"/>
  <c r="F100" i="8"/>
  <c r="E103" i="8" l="1"/>
  <c r="C104" i="8" s="1"/>
  <c r="F101" i="8"/>
  <c r="J15" i="8" s="1"/>
  <c r="J17" i="8" s="1"/>
  <c r="I21" i="5" s="1"/>
  <c r="F103" i="8" l="1"/>
  <c r="J13" i="11"/>
  <c r="J112" i="11"/>
  <c r="I23" i="5"/>
  <c r="E104" i="8"/>
  <c r="C105" i="8" s="1"/>
  <c r="J19" i="12" l="1"/>
  <c r="F104" i="8"/>
  <c r="J25" i="11"/>
  <c r="J29" i="11" s="1"/>
  <c r="E105" i="8"/>
  <c r="C106" i="8" s="1"/>
  <c r="J15" i="11"/>
  <c r="J35" i="12" l="1"/>
  <c r="J24" i="12"/>
  <c r="E106" i="8"/>
  <c r="C107" i="8" s="1"/>
  <c r="F105" i="8"/>
  <c r="J17" i="11"/>
  <c r="J28" i="12" l="1"/>
  <c r="K25" i="12" s="1"/>
  <c r="J27" i="12"/>
  <c r="J31" i="12" s="1"/>
  <c r="J36" i="12" s="1"/>
  <c r="J39" i="12" s="1"/>
  <c r="J44" i="12" s="1"/>
  <c r="J29" i="12"/>
  <c r="K26" i="12" s="1"/>
  <c r="E107" i="8"/>
  <c r="C108" i="8" s="1"/>
  <c r="F106" i="8"/>
  <c r="J43" i="12" l="1"/>
  <c r="J45" i="12"/>
  <c r="K42" i="12" s="1"/>
  <c r="J38" i="12"/>
  <c r="J40" i="12" s="1"/>
  <c r="I24" i="5" s="1"/>
  <c r="I26" i="5" s="1"/>
  <c r="E108" i="8"/>
  <c r="C109" i="8" s="1"/>
  <c r="F107" i="8"/>
  <c r="J109" i="11" l="1"/>
  <c r="I12" i="7"/>
  <c r="I18" i="7" s="1"/>
  <c r="I29" i="7" s="1"/>
  <c r="I30" i="7" s="1"/>
  <c r="I29" i="5"/>
  <c r="I31" i="5" s="1"/>
  <c r="H13" i="6"/>
  <c r="I41" i="5"/>
  <c r="I47" i="5" s="1"/>
  <c r="J107" i="11" s="1"/>
  <c r="F108" i="8"/>
  <c r="E109" i="8"/>
  <c r="C110" i="8" s="1"/>
  <c r="J28" i="7" l="1"/>
  <c r="H35" i="6"/>
  <c r="H37" i="6" s="1"/>
  <c r="H38" i="6" s="1"/>
  <c r="H19" i="6"/>
  <c r="J114" i="11"/>
  <c r="J108" i="11"/>
  <c r="I33" i="5"/>
  <c r="J12" i="11"/>
  <c r="J14" i="11" s="1"/>
  <c r="J18" i="11" s="1"/>
  <c r="J111" i="11" s="1"/>
  <c r="J110" i="11"/>
  <c r="E110" i="8"/>
  <c r="C111" i="8" s="1"/>
  <c r="F109" i="8"/>
  <c r="J51" i="11" l="1"/>
  <c r="J52" i="11" s="1"/>
  <c r="I34" i="5"/>
  <c r="H40" i="6"/>
  <c r="F110" i="8"/>
  <c r="E111" i="8"/>
  <c r="C112" i="8" s="1"/>
  <c r="F111" i="8" l="1"/>
  <c r="E112" i="8"/>
  <c r="C113" i="8" s="1"/>
  <c r="E113" i="8" l="1"/>
  <c r="C114" i="8" s="1"/>
  <c r="F112" i="8"/>
  <c r="E114" i="8" l="1"/>
  <c r="C116" i="8" s="1"/>
  <c r="F113" i="8"/>
  <c r="F114" i="8" l="1"/>
  <c r="K15" i="8" s="1"/>
  <c r="K17" i="8" s="1"/>
  <c r="J21" i="5" s="1"/>
  <c r="E116" i="8"/>
  <c r="C117" i="8" s="1"/>
  <c r="F116" i="8" l="1"/>
  <c r="E117" i="8"/>
  <c r="C118" i="8" s="1"/>
  <c r="K13" i="11"/>
  <c r="J23" i="5"/>
  <c r="K112" i="11"/>
  <c r="K19" i="12" l="1"/>
  <c r="E118" i="8"/>
  <c r="C119" i="8" s="1"/>
  <c r="K15" i="11"/>
  <c r="K25" i="11"/>
  <c r="K29" i="11" s="1"/>
  <c r="F117" i="8"/>
  <c r="K35" i="12" l="1"/>
  <c r="K24" i="12"/>
  <c r="K17" i="11"/>
  <c r="E119" i="8"/>
  <c r="C120" i="8" s="1"/>
  <c r="F118" i="8"/>
  <c r="K29" i="12" l="1"/>
  <c r="L26" i="12" s="1"/>
  <c r="K28" i="12"/>
  <c r="L25" i="12" s="1"/>
  <c r="K27" i="12"/>
  <c r="K31" i="12" s="1"/>
  <c r="K36" i="12" s="1"/>
  <c r="K39" i="12" s="1"/>
  <c r="K44" i="12" s="1"/>
  <c r="E120" i="8"/>
  <c r="C121" i="8" s="1"/>
  <c r="F119" i="8"/>
  <c r="K38" i="12" l="1"/>
  <c r="K40" i="12"/>
  <c r="J24" i="5" s="1"/>
  <c r="J26" i="5" s="1"/>
  <c r="K43" i="12"/>
  <c r="K45" i="12" s="1"/>
  <c r="L42" i="12" s="1"/>
  <c r="E121" i="8"/>
  <c r="C122" i="8" s="1"/>
  <c r="F120" i="8"/>
  <c r="J41" i="5" l="1"/>
  <c r="J47" i="5" s="1"/>
  <c r="K107" i="11" s="1"/>
  <c r="J12" i="7"/>
  <c r="J18" i="7" s="1"/>
  <c r="J29" i="7" s="1"/>
  <c r="J30" i="7" s="1"/>
  <c r="J29" i="5"/>
  <c r="J31" i="5" s="1"/>
  <c r="K109" i="11"/>
  <c r="I13" i="6"/>
  <c r="E122" i="8"/>
  <c r="C123" i="8" s="1"/>
  <c r="F121" i="8"/>
  <c r="K12" i="11" l="1"/>
  <c r="K14" i="11" s="1"/>
  <c r="K18" i="11" s="1"/>
  <c r="K111" i="11" s="1"/>
  <c r="J33" i="5"/>
  <c r="I35" i="6"/>
  <c r="I37" i="6" s="1"/>
  <c r="I38" i="6" s="1"/>
  <c r="K28" i="7"/>
  <c r="K110" i="11"/>
  <c r="K108" i="11"/>
  <c r="K114" i="11"/>
  <c r="I19" i="6"/>
  <c r="F122" i="8"/>
  <c r="E123" i="8"/>
  <c r="C124" i="8" s="1"/>
  <c r="I40" i="6" l="1"/>
  <c r="K51" i="11"/>
  <c r="K52" i="11" s="1"/>
  <c r="J34" i="5"/>
  <c r="E124" i="8"/>
  <c r="C125" i="8" s="1"/>
  <c r="F123" i="8"/>
  <c r="E125" i="8" l="1"/>
  <c r="C126" i="8" s="1"/>
  <c r="F124" i="8"/>
  <c r="F125" i="8" l="1"/>
  <c r="E126" i="8"/>
  <c r="C127" i="8" s="1"/>
  <c r="E127" i="8" l="1"/>
  <c r="C129" i="8" s="1"/>
  <c r="F126" i="8"/>
  <c r="E129" i="8" l="1"/>
  <c r="C130" i="8" s="1"/>
  <c r="F127" i="8"/>
  <c r="L15" i="8" s="1"/>
  <c r="L17" i="8" s="1"/>
  <c r="K21" i="5" s="1"/>
  <c r="L112" i="11" l="1"/>
  <c r="L13" i="11"/>
  <c r="L15" i="11" s="1"/>
  <c r="L17" i="11" s="1"/>
  <c r="K23" i="5"/>
  <c r="E130" i="8"/>
  <c r="C131" i="8" s="1"/>
  <c r="F129" i="8"/>
  <c r="L19" i="12" l="1"/>
  <c r="E131" i="8"/>
  <c r="C132" i="8" s="1"/>
  <c r="L25" i="11"/>
  <c r="L29" i="11" s="1"/>
  <c r="F130" i="8"/>
  <c r="L35" i="12" l="1"/>
  <c r="L24" i="12"/>
  <c r="E132" i="8"/>
  <c r="C133" i="8" s="1"/>
  <c r="F131" i="8"/>
  <c r="L29" i="12" l="1"/>
  <c r="M26" i="12" s="1"/>
  <c r="L27" i="12"/>
  <c r="L31" i="12" s="1"/>
  <c r="L36" i="12" s="1"/>
  <c r="L39" i="12" s="1"/>
  <c r="L44" i="12" s="1"/>
  <c r="L28" i="12"/>
  <c r="M25" i="12" s="1"/>
  <c r="F132" i="8"/>
  <c r="E133" i="8"/>
  <c r="C134" i="8" s="1"/>
  <c r="L43" i="12" l="1"/>
  <c r="L45" i="12"/>
  <c r="M42" i="12" s="1"/>
  <c r="L38" i="12"/>
  <c r="L40" i="12" s="1"/>
  <c r="K24" i="5" s="1"/>
  <c r="K26" i="5" s="1"/>
  <c r="F133" i="8"/>
  <c r="E134" i="8"/>
  <c r="C135" i="8" s="1"/>
  <c r="K12" i="7" l="1"/>
  <c r="K18" i="7" s="1"/>
  <c r="K29" i="7" s="1"/>
  <c r="K30" i="7" s="1"/>
  <c r="J13" i="6"/>
  <c r="L109" i="11"/>
  <c r="K29" i="5"/>
  <c r="K31" i="5" s="1"/>
  <c r="K41" i="5"/>
  <c r="K47" i="5" s="1"/>
  <c r="L107" i="11" s="1"/>
  <c r="F134" i="8"/>
  <c r="E135" i="8"/>
  <c r="C136" i="8" s="1"/>
  <c r="L110" i="11" l="1"/>
  <c r="L108" i="11"/>
  <c r="J19" i="6"/>
  <c r="L114" i="11"/>
  <c r="K33" i="5"/>
  <c r="L12" i="11"/>
  <c r="L14" i="11" s="1"/>
  <c r="L18" i="11" s="1"/>
  <c r="L111" i="11" s="1"/>
  <c r="L28" i="7"/>
  <c r="J35" i="6"/>
  <c r="J37" i="6" s="1"/>
  <c r="J38" i="6" s="1"/>
  <c r="F135" i="8"/>
  <c r="E136" i="8"/>
  <c r="C137" i="8" s="1"/>
  <c r="J40" i="6" l="1"/>
  <c r="L51" i="11"/>
  <c r="L52" i="11" s="1"/>
  <c r="K34" i="5"/>
  <c r="F136" i="8"/>
  <c r="E137" i="8"/>
  <c r="C138" i="8" s="1"/>
  <c r="E138" i="8" l="1"/>
  <c r="C139" i="8" s="1"/>
  <c r="F137" i="8"/>
  <c r="E139" i="8" l="1"/>
  <c r="C140" i="8" s="1"/>
  <c r="F138" i="8"/>
  <c r="E140" i="8" l="1"/>
  <c r="C142" i="8" s="1"/>
  <c r="F139" i="8"/>
  <c r="F140" i="8" l="1"/>
  <c r="M15" i="8" s="1"/>
  <c r="M17" i="8" s="1"/>
  <c r="L21" i="5" s="1"/>
  <c r="E142" i="8"/>
  <c r="C143" i="8" s="1"/>
  <c r="F142" i="8" l="1"/>
  <c r="E143" i="8"/>
  <c r="C144" i="8" s="1"/>
  <c r="M13" i="11"/>
  <c r="M15" i="11" s="1"/>
  <c r="M17" i="11" s="1"/>
  <c r="L23" i="5"/>
  <c r="M112" i="11"/>
  <c r="M19" i="12" l="1"/>
  <c r="F143" i="8"/>
  <c r="E144" i="8"/>
  <c r="C145" i="8" s="1"/>
  <c r="M25" i="11"/>
  <c r="M29" i="11" s="1"/>
  <c r="M35" i="12" l="1"/>
  <c r="M24" i="12"/>
  <c r="E145" i="8"/>
  <c r="C146" i="8" s="1"/>
  <c r="F144" i="8"/>
  <c r="M27" i="12" l="1"/>
  <c r="M31" i="12" s="1"/>
  <c r="M36" i="12" s="1"/>
  <c r="M39" i="12" s="1"/>
  <c r="M44" i="12" s="1"/>
  <c r="M28" i="12"/>
  <c r="N25" i="12" s="1"/>
  <c r="M29" i="12"/>
  <c r="N26" i="12" s="1"/>
  <c r="M43" i="12"/>
  <c r="M45" i="12" s="1"/>
  <c r="N42" i="12" s="1"/>
  <c r="M38" i="12"/>
  <c r="M40" i="12" s="1"/>
  <c r="L24" i="5" s="1"/>
  <c r="L26" i="5" s="1"/>
  <c r="L29" i="5" s="1"/>
  <c r="L31" i="5" s="1"/>
  <c r="K13" i="6"/>
  <c r="M110" i="11" s="1"/>
  <c r="E146" i="8"/>
  <c r="C147" i="8" s="1"/>
  <c r="F145" i="8"/>
  <c r="L12" i="7" l="1"/>
  <c r="L18" i="7" s="1"/>
  <c r="L29" i="7" s="1"/>
  <c r="L30" i="7" s="1"/>
  <c r="K35" i="6" s="1"/>
  <c r="K37" i="6" s="1"/>
  <c r="K38" i="6" s="1"/>
  <c r="M109" i="11"/>
  <c r="L41" i="5"/>
  <c r="L47" i="5" s="1"/>
  <c r="M107" i="11" s="1"/>
  <c r="F146" i="8"/>
  <c r="M28" i="7"/>
  <c r="L33" i="5"/>
  <c r="M12" i="11"/>
  <c r="M14" i="11" s="1"/>
  <c r="M18" i="11" s="1"/>
  <c r="M111" i="11" s="1"/>
  <c r="K19" i="6"/>
  <c r="M114" i="11"/>
  <c r="M108" i="11"/>
  <c r="E147" i="8"/>
  <c r="C148" i="8" s="1"/>
  <c r="M51" i="11" l="1"/>
  <c r="L34" i="5"/>
  <c r="E148" i="8"/>
  <c r="C149" i="8" s="1"/>
  <c r="F147" i="8"/>
  <c r="K40" i="6"/>
  <c r="F148" i="8" l="1"/>
  <c r="E149" i="8"/>
  <c r="C150" i="8" s="1"/>
  <c r="M52" i="11"/>
  <c r="E150" i="8" l="1"/>
  <c r="C151" i="8" s="1"/>
  <c r="F149" i="8"/>
  <c r="E151" i="8" l="1"/>
  <c r="C152" i="8" s="1"/>
  <c r="F150" i="8"/>
  <c r="E152" i="8" l="1"/>
  <c r="C153" i="8" s="1"/>
  <c r="F151" i="8"/>
  <c r="E153" i="8" l="1"/>
  <c r="C155" i="8" s="1"/>
  <c r="F152" i="8"/>
  <c r="E155" i="8" l="1"/>
  <c r="C156" i="8" s="1"/>
  <c r="F153" i="8"/>
  <c r="N15" i="8" s="1"/>
  <c r="N17" i="8" s="1"/>
  <c r="M21" i="5" s="1"/>
  <c r="N13" i="11" l="1"/>
  <c r="N15" i="11" s="1"/>
  <c r="N17" i="11" s="1"/>
  <c r="N112" i="11"/>
  <c r="M23" i="5"/>
  <c r="E156" i="8"/>
  <c r="C157" i="8" s="1"/>
  <c r="F155" i="8"/>
  <c r="N19" i="12" l="1"/>
  <c r="F156" i="8"/>
  <c r="N25" i="11"/>
  <c r="N29" i="11" s="1"/>
  <c r="E157" i="8"/>
  <c r="C158" i="8" s="1"/>
  <c r="N35" i="12" l="1"/>
  <c r="N24" i="12"/>
  <c r="E158" i="8"/>
  <c r="C159" i="8" s="1"/>
  <c r="F157" i="8"/>
  <c r="N29" i="12" l="1"/>
  <c r="O26" i="12" s="1"/>
  <c r="N28" i="12"/>
  <c r="O25" i="12" s="1"/>
  <c r="N27" i="12"/>
  <c r="N31" i="12" s="1"/>
  <c r="N36" i="12" s="1"/>
  <c r="N39" i="12" s="1"/>
  <c r="N44" i="12" s="1"/>
  <c r="E159" i="8"/>
  <c r="C160" i="8" s="1"/>
  <c r="F158" i="8"/>
  <c r="N38" i="12" l="1"/>
  <c r="N40" i="12" s="1"/>
  <c r="M24" i="5" s="1"/>
  <c r="M26" i="5" s="1"/>
  <c r="N43" i="12"/>
  <c r="N45" i="12" s="1"/>
  <c r="O42" i="12" s="1"/>
  <c r="E160" i="8"/>
  <c r="C161" i="8" s="1"/>
  <c r="F159" i="8"/>
  <c r="N109" i="11" l="1"/>
  <c r="M12" i="7"/>
  <c r="M18" i="7" s="1"/>
  <c r="M29" i="7" s="1"/>
  <c r="M30" i="7" s="1"/>
  <c r="M41" i="5"/>
  <c r="M47" i="5" s="1"/>
  <c r="N107" i="11" s="1"/>
  <c r="M29" i="5"/>
  <c r="M31" i="5" s="1"/>
  <c r="L13" i="6"/>
  <c r="E161" i="8"/>
  <c r="C162" i="8" s="1"/>
  <c r="F160" i="8"/>
  <c r="M33" i="5" l="1"/>
  <c r="N12" i="11"/>
  <c r="N14" i="11" s="1"/>
  <c r="N18" i="11" s="1"/>
  <c r="N111" i="11" s="1"/>
  <c r="N28" i="7"/>
  <c r="L35" i="6"/>
  <c r="L37" i="6" s="1"/>
  <c r="L38" i="6" s="1"/>
  <c r="L40" i="6" s="1"/>
  <c r="L19" i="6"/>
  <c r="N108" i="11"/>
  <c r="N114" i="11"/>
  <c r="N110" i="11"/>
  <c r="E162" i="8"/>
  <c r="C163" i="8" s="1"/>
  <c r="F161" i="8"/>
  <c r="N51" i="11" l="1"/>
  <c r="N52" i="11" s="1"/>
  <c r="M34" i="5"/>
  <c r="F162" i="8"/>
  <c r="E163" i="8"/>
  <c r="C164" i="8" s="1"/>
  <c r="E164" i="8" l="1"/>
  <c r="C165" i="8" s="1"/>
  <c r="F163" i="8"/>
  <c r="E165" i="8" l="1"/>
  <c r="C166" i="8" s="1"/>
  <c r="F164" i="8"/>
  <c r="E166" i="8" l="1"/>
  <c r="C168" i="8" s="1"/>
  <c r="F165" i="8"/>
  <c r="F166" i="8" l="1"/>
  <c r="O15" i="8" s="1"/>
  <c r="O17" i="8" s="1"/>
  <c r="N21" i="5" s="1"/>
  <c r="E168" i="8"/>
  <c r="C169" i="8" s="1"/>
  <c r="F168" i="8" l="1"/>
  <c r="E169" i="8"/>
  <c r="C170" i="8" s="1"/>
  <c r="O13" i="11"/>
  <c r="O15" i="11" s="1"/>
  <c r="O17" i="11" s="1"/>
  <c r="O112" i="11"/>
  <c r="N23" i="5"/>
  <c r="O19" i="12" l="1"/>
  <c r="F169" i="8"/>
  <c r="E170" i="8"/>
  <c r="C171" i="8" s="1"/>
  <c r="O25" i="11"/>
  <c r="O29" i="11" s="1"/>
  <c r="O35" i="12" l="1"/>
  <c r="O24" i="12"/>
  <c r="F170" i="8"/>
  <c r="E171" i="8"/>
  <c r="C172" i="8" s="1"/>
  <c r="O28" i="12" l="1"/>
  <c r="P25" i="12" s="1"/>
  <c r="O29" i="12"/>
  <c r="P26" i="12" s="1"/>
  <c r="O27" i="12"/>
  <c r="O31" i="12" s="1"/>
  <c r="O36" i="12" s="1"/>
  <c r="O39" i="12" s="1"/>
  <c r="O44" i="12" s="1"/>
  <c r="F171" i="8"/>
  <c r="E172" i="8"/>
  <c r="C173" i="8" s="1"/>
  <c r="O43" i="12" l="1"/>
  <c r="O45" i="12" s="1"/>
  <c r="P42" i="12" s="1"/>
  <c r="O38" i="12"/>
  <c r="O40" i="12" s="1"/>
  <c r="N24" i="5" s="1"/>
  <c r="N26" i="5" s="1"/>
  <c r="F172" i="8"/>
  <c r="E173" i="8"/>
  <c r="C174" i="8" s="1"/>
  <c r="F173" i="8"/>
  <c r="N29" i="5" l="1"/>
  <c r="N31" i="5" s="1"/>
  <c r="M13" i="6"/>
  <c r="O109" i="11"/>
  <c r="N12" i="7"/>
  <c r="N18" i="7" s="1"/>
  <c r="N29" i="7" s="1"/>
  <c r="N30" i="7" s="1"/>
  <c r="N41" i="5"/>
  <c r="N47" i="5" s="1"/>
  <c r="O107" i="11" s="1"/>
  <c r="E174" i="8"/>
  <c r="C175" i="8" s="1"/>
  <c r="O108" i="11" l="1"/>
  <c r="O114" i="11"/>
  <c r="O110" i="11"/>
  <c r="M19" i="6"/>
  <c r="M40" i="6" s="1"/>
  <c r="M35" i="6"/>
  <c r="M37" i="6" s="1"/>
  <c r="M38" i="6" s="1"/>
  <c r="O28" i="7"/>
  <c r="O12" i="11"/>
  <c r="O14" i="11" s="1"/>
  <c r="O18" i="11" s="1"/>
  <c r="O111" i="11" s="1"/>
  <c r="N33" i="5"/>
  <c r="E175" i="8"/>
  <c r="C176" i="8" s="1"/>
  <c r="F174" i="8"/>
  <c r="O51" i="11" l="1"/>
  <c r="O52" i="11" s="1"/>
  <c r="N34" i="5"/>
  <c r="E176" i="8"/>
  <c r="C177" i="8" s="1"/>
  <c r="F175" i="8"/>
  <c r="F54" i="11"/>
  <c r="E88" i="11" s="1"/>
  <c r="E177" i="8" l="1"/>
  <c r="C178" i="8" s="1"/>
  <c r="F176" i="8"/>
  <c r="E178" i="8" l="1"/>
  <c r="C179" i="8" s="1"/>
  <c r="F177" i="8"/>
  <c r="E179" i="8" l="1"/>
  <c r="C181" i="8" s="1"/>
  <c r="F178" i="8"/>
  <c r="F179" i="8" l="1"/>
  <c r="P15" i="8" s="1"/>
  <c r="P17" i="8" s="1"/>
  <c r="O21" i="5" s="1"/>
  <c r="E181" i="8"/>
  <c r="C182" i="8" s="1"/>
  <c r="F181" i="8" l="1"/>
  <c r="E182" i="8"/>
  <c r="C183" i="8" s="1"/>
  <c r="P13" i="11"/>
  <c r="P15" i="11" s="1"/>
  <c r="P17" i="11" s="1"/>
  <c r="P112" i="11"/>
  <c r="O23" i="5"/>
  <c r="P19" i="12" l="1"/>
  <c r="E183" i="8"/>
  <c r="C184" i="8" s="1"/>
  <c r="P25" i="11"/>
  <c r="P29" i="11" s="1"/>
  <c r="F182" i="8"/>
  <c r="P35" i="12" l="1"/>
  <c r="P24" i="12"/>
  <c r="E184" i="8"/>
  <c r="C185" i="8" s="1"/>
  <c r="F183" i="8"/>
  <c r="P27" i="12" l="1"/>
  <c r="P31" i="12" s="1"/>
  <c r="P36" i="12" s="1"/>
  <c r="P39" i="12" s="1"/>
  <c r="P44" i="12" s="1"/>
  <c r="P29" i="12"/>
  <c r="Q26" i="12" s="1"/>
  <c r="P28" i="12"/>
  <c r="Q25" i="12" s="1"/>
  <c r="E185" i="8"/>
  <c r="C186" i="8" s="1"/>
  <c r="F184" i="8"/>
  <c r="P43" i="12" l="1"/>
  <c r="P45" i="12" s="1"/>
  <c r="Q42" i="12" s="1"/>
  <c r="P38" i="12"/>
  <c r="P40" i="12" s="1"/>
  <c r="O24" i="5" s="1"/>
  <c r="O26" i="5" s="1"/>
  <c r="E186" i="8"/>
  <c r="C187" i="8" s="1"/>
  <c r="F185" i="8"/>
  <c r="O29" i="5" l="1"/>
  <c r="O31" i="5" s="1"/>
  <c r="P109" i="11"/>
  <c r="O41" i="5"/>
  <c r="O47" i="5" s="1"/>
  <c r="P107" i="11" s="1"/>
  <c r="N13" i="6"/>
  <c r="O12" i="7"/>
  <c r="O18" i="7" s="1"/>
  <c r="O29" i="7" s="1"/>
  <c r="O30" i="7" s="1"/>
  <c r="E187" i="8"/>
  <c r="C188" i="8" s="1"/>
  <c r="F186" i="8"/>
  <c r="P108" i="11" l="1"/>
  <c r="N19" i="6"/>
  <c r="N40" i="6" s="1"/>
  <c r="P114" i="11"/>
  <c r="P110" i="11"/>
  <c r="N35" i="6"/>
  <c r="N37" i="6" s="1"/>
  <c r="N38" i="6" s="1"/>
  <c r="P28" i="7"/>
  <c r="O33" i="5"/>
  <c r="P12" i="11"/>
  <c r="P14" i="11" s="1"/>
  <c r="P18" i="11" s="1"/>
  <c r="P111" i="11" s="1"/>
  <c r="E188" i="8"/>
  <c r="C189" i="8" s="1"/>
  <c r="F187" i="8"/>
  <c r="P51" i="11" l="1"/>
  <c r="P52" i="11" s="1"/>
  <c r="O34" i="5"/>
  <c r="E189" i="8"/>
  <c r="C190" i="8" s="1"/>
  <c r="F188" i="8"/>
  <c r="E190" i="8" l="1"/>
  <c r="C191" i="8" s="1"/>
  <c r="F189" i="8"/>
  <c r="F190" i="8" l="1"/>
  <c r="E191" i="8"/>
  <c r="C192" i="8" s="1"/>
  <c r="E192" i="8" l="1"/>
  <c r="C194" i="8" s="1"/>
  <c r="F191" i="8"/>
  <c r="E194" i="8" l="1"/>
  <c r="C195" i="8" s="1"/>
  <c r="F192" i="8"/>
  <c r="Q15" i="8" s="1"/>
  <c r="Q17" i="8" s="1"/>
  <c r="P21" i="5" s="1"/>
  <c r="F194" i="8" l="1"/>
  <c r="Q13" i="11"/>
  <c r="Q15" i="11" s="1"/>
  <c r="Q17" i="11" s="1"/>
  <c r="P23" i="5"/>
  <c r="Q112" i="11"/>
  <c r="E195" i="8"/>
  <c r="C196" i="8" s="1"/>
  <c r="Q19" i="12" l="1"/>
  <c r="E196" i="8"/>
  <c r="C197" i="8" s="1"/>
  <c r="Q25" i="11"/>
  <c r="Q29" i="11" s="1"/>
  <c r="F195" i="8"/>
  <c r="Q35" i="12" l="1"/>
  <c r="Q24" i="12"/>
  <c r="F196" i="8"/>
  <c r="E197" i="8"/>
  <c r="C198" i="8" s="1"/>
  <c r="Q29" i="12" l="1"/>
  <c r="R26" i="12" s="1"/>
  <c r="Q28" i="12"/>
  <c r="R25" i="12" s="1"/>
  <c r="Q27" i="12"/>
  <c r="Q31" i="12" s="1"/>
  <c r="Q36" i="12" s="1"/>
  <c r="Q39" i="12" s="1"/>
  <c r="Q44" i="12" s="1"/>
  <c r="F197" i="8"/>
  <c r="E198" i="8"/>
  <c r="C199" i="8" s="1"/>
  <c r="Q38" i="12" l="1"/>
  <c r="Q40" i="12" s="1"/>
  <c r="P24" i="5" s="1"/>
  <c r="P26" i="5" s="1"/>
  <c r="Q43" i="12"/>
  <c r="Q45" i="12" s="1"/>
  <c r="R42" i="12" s="1"/>
  <c r="F198" i="8"/>
  <c r="E199" i="8"/>
  <c r="C200" i="8" s="1"/>
  <c r="P41" i="5" l="1"/>
  <c r="P47" i="5" s="1"/>
  <c r="Q107" i="11" s="1"/>
  <c r="P12" i="7"/>
  <c r="P18" i="7" s="1"/>
  <c r="P29" i="7" s="1"/>
  <c r="P30" i="7" s="1"/>
  <c r="Q109" i="11"/>
  <c r="P29" i="5"/>
  <c r="P31" i="5" s="1"/>
  <c r="O13" i="6"/>
  <c r="E200" i="8"/>
  <c r="C201" i="8" s="1"/>
  <c r="F199" i="8"/>
  <c r="P33" i="5" l="1"/>
  <c r="Q12" i="11"/>
  <c r="Q14" i="11" s="1"/>
  <c r="Q18" i="11" s="1"/>
  <c r="Q111" i="11" s="1"/>
  <c r="Q28" i="7"/>
  <c r="O35" i="6"/>
  <c r="O37" i="6" s="1"/>
  <c r="O38" i="6" s="1"/>
  <c r="Q108" i="11"/>
  <c r="O19" i="6"/>
  <c r="Q114" i="11"/>
  <c r="Q110" i="11"/>
  <c r="E201" i="8"/>
  <c r="C202" i="8" s="1"/>
  <c r="F200" i="8"/>
  <c r="O40" i="6" l="1"/>
  <c r="Q51" i="11"/>
  <c r="Q52" i="11" s="1"/>
  <c r="P34" i="5"/>
  <c r="F201" i="8"/>
  <c r="E202" i="8"/>
  <c r="C203" i="8" s="1"/>
  <c r="F202" i="8" l="1"/>
  <c r="E203" i="8"/>
  <c r="C204" i="8" s="1"/>
  <c r="F203" i="8" l="1"/>
  <c r="E204" i="8"/>
  <c r="C205" i="8" s="1"/>
  <c r="F204" i="8" l="1"/>
  <c r="E205" i="8"/>
  <c r="C207" i="8" s="1"/>
  <c r="F205" i="8" l="1"/>
  <c r="R15" i="8" s="1"/>
  <c r="R17" i="8" s="1"/>
  <c r="Q21" i="5" s="1"/>
  <c r="R13" i="11" s="1"/>
  <c r="R15" i="11" s="1"/>
  <c r="R17" i="11" s="1"/>
  <c r="E207" i="8"/>
  <c r="C208" i="8" s="1"/>
  <c r="R112" i="11" l="1"/>
  <c r="Q23" i="5"/>
  <c r="R19" i="12" s="1"/>
  <c r="F207" i="8"/>
  <c r="E208" i="8"/>
  <c r="C209" i="8" s="1"/>
  <c r="R35" i="12" l="1"/>
  <c r="R24" i="12"/>
  <c r="R25" i="11"/>
  <c r="R29" i="11" s="1"/>
  <c r="F208" i="8"/>
  <c r="E209" i="8"/>
  <c r="C210" i="8" s="1"/>
  <c r="R27" i="12" l="1"/>
  <c r="R31" i="12" s="1"/>
  <c r="R36" i="12" s="1"/>
  <c r="R39" i="12" s="1"/>
  <c r="R44" i="12" s="1"/>
  <c r="R29" i="12"/>
  <c r="S26" i="12" s="1"/>
  <c r="R28" i="12"/>
  <c r="S25" i="12" s="1"/>
  <c r="F209" i="8"/>
  <c r="E210" i="8"/>
  <c r="C211" i="8" s="1"/>
  <c r="R38" i="12" l="1"/>
  <c r="R40" i="12" s="1"/>
  <c r="Q24" i="5" s="1"/>
  <c r="Q26" i="5" s="1"/>
  <c r="R43" i="12"/>
  <c r="R45" i="12" s="1"/>
  <c r="S42" i="12" s="1"/>
  <c r="F210" i="8"/>
  <c r="E211" i="8"/>
  <c r="C212" i="8" s="1"/>
  <c r="Q29" i="5" l="1"/>
  <c r="Q31" i="5" s="1"/>
  <c r="P13" i="6"/>
  <c r="Q12" i="7"/>
  <c r="Q18" i="7" s="1"/>
  <c r="Q29" i="7" s="1"/>
  <c r="Q30" i="7" s="1"/>
  <c r="Q41" i="5"/>
  <c r="Q47" i="5" s="1"/>
  <c r="R107" i="11" s="1"/>
  <c r="R109" i="11"/>
  <c r="E212" i="8"/>
  <c r="C213" i="8" s="1"/>
  <c r="F211" i="8"/>
  <c r="P35" i="6" l="1"/>
  <c r="P37" i="6" s="1"/>
  <c r="P38" i="6" s="1"/>
  <c r="R28" i="7"/>
  <c r="R110" i="11"/>
  <c r="R108" i="11"/>
  <c r="P19" i="6"/>
  <c r="P40" i="6" s="1"/>
  <c r="R114" i="11"/>
  <c r="Q33" i="5"/>
  <c r="R12" i="11"/>
  <c r="R14" i="11" s="1"/>
  <c r="R18" i="11" s="1"/>
  <c r="R111" i="11" s="1"/>
  <c r="F212" i="8"/>
  <c r="E213" i="8"/>
  <c r="C214" i="8" s="1"/>
  <c r="R51" i="11" l="1"/>
  <c r="R52" i="11" s="1"/>
  <c r="Q34" i="5"/>
  <c r="F213" i="8"/>
  <c r="E214" i="8"/>
  <c r="C215" i="8" s="1"/>
  <c r="E215" i="8" l="1"/>
  <c r="C216" i="8" s="1"/>
  <c r="F214" i="8"/>
  <c r="E216" i="8" l="1"/>
  <c r="C217" i="8" s="1"/>
  <c r="F215" i="8"/>
  <c r="F216" i="8" l="1"/>
  <c r="E217" i="8"/>
  <c r="C218" i="8" s="1"/>
  <c r="E218" i="8" l="1"/>
  <c r="C220" i="8" s="1"/>
  <c r="F217" i="8"/>
  <c r="E220" i="8" l="1"/>
  <c r="C221" i="8" s="1"/>
  <c r="F218" i="8"/>
  <c r="S15" i="8" s="1"/>
  <c r="S17" i="8" s="1"/>
  <c r="R21" i="5" s="1"/>
  <c r="F220" i="8" l="1"/>
  <c r="R23" i="5"/>
  <c r="S13" i="11"/>
  <c r="S15" i="11" s="1"/>
  <c r="S17" i="11" s="1"/>
  <c r="S112" i="11"/>
  <c r="E221" i="8"/>
  <c r="C222" i="8" s="1"/>
  <c r="S19" i="12" l="1"/>
  <c r="F221" i="8"/>
  <c r="E222" i="8"/>
  <c r="C223" i="8" s="1"/>
  <c r="S25" i="11"/>
  <c r="S29" i="11" s="1"/>
  <c r="S35" i="12" l="1"/>
  <c r="S24" i="12"/>
  <c r="F222" i="8"/>
  <c r="E223" i="8"/>
  <c r="C224" i="8" s="1"/>
  <c r="S28" i="12" l="1"/>
  <c r="T25" i="12" s="1"/>
  <c r="S27" i="12"/>
  <c r="S29" i="12"/>
  <c r="T26" i="12" s="1"/>
  <c r="F223" i="8"/>
  <c r="E224" i="8"/>
  <c r="C225" i="8" s="1"/>
  <c r="S31" i="12" l="1"/>
  <c r="S36" i="12" s="1"/>
  <c r="E225" i="8"/>
  <c r="C226" i="8" s="1"/>
  <c r="F224" i="8"/>
  <c r="S39" i="12" l="1"/>
  <c r="S44" i="12" s="1"/>
  <c r="S43" i="12"/>
  <c r="S45" i="12" s="1"/>
  <c r="T42" i="12" s="1"/>
  <c r="S38" i="12"/>
  <c r="S40" i="12" s="1"/>
  <c r="R24" i="5" s="1"/>
  <c r="R26" i="5" s="1"/>
  <c r="E226" i="8"/>
  <c r="C227" i="8" s="1"/>
  <c r="F225" i="8"/>
  <c r="R12" i="7" l="1"/>
  <c r="R18" i="7" s="1"/>
  <c r="R29" i="7" s="1"/>
  <c r="R30" i="7" s="1"/>
  <c r="R29" i="5"/>
  <c r="R31" i="5" s="1"/>
  <c r="Q13" i="6"/>
  <c r="S110" i="11" s="1"/>
  <c r="S109" i="11"/>
  <c r="R41" i="5"/>
  <c r="R47" i="5" s="1"/>
  <c r="S107" i="11" s="1"/>
  <c r="E227" i="8"/>
  <c r="C228" i="8" s="1"/>
  <c r="F226" i="8"/>
  <c r="S12" i="11" l="1"/>
  <c r="S14" i="11" s="1"/>
  <c r="S18" i="11" s="1"/>
  <c r="S111" i="11" s="1"/>
  <c r="R33" i="5"/>
  <c r="Q19" i="6"/>
  <c r="S114" i="11"/>
  <c r="S108" i="11"/>
  <c r="Q35" i="6"/>
  <c r="Q37" i="6" s="1"/>
  <c r="Q38" i="6" s="1"/>
  <c r="S28" i="7"/>
  <c r="F227" i="8"/>
  <c r="E228" i="8"/>
  <c r="C229" i="8" s="1"/>
  <c r="Q40" i="6" l="1"/>
  <c r="R34" i="5"/>
  <c r="S51" i="11"/>
  <c r="S52" i="11" s="1"/>
  <c r="E229" i="8"/>
  <c r="C230" i="8" s="1"/>
  <c r="F228" i="8"/>
  <c r="E230" i="8" l="1"/>
  <c r="C231" i="8" s="1"/>
  <c r="F229" i="8"/>
  <c r="F230" i="8" l="1"/>
  <c r="E231" i="8"/>
  <c r="C233" i="8" s="1"/>
  <c r="E233" i="8" l="1"/>
  <c r="C234" i="8" s="1"/>
  <c r="F231" i="8"/>
  <c r="T15" i="8" s="1"/>
  <c r="T17" i="8" s="1"/>
  <c r="S21" i="5" s="1"/>
  <c r="F233" i="8" l="1"/>
  <c r="S23" i="5"/>
  <c r="T13" i="11"/>
  <c r="T15" i="11" s="1"/>
  <c r="T17" i="11" s="1"/>
  <c r="T112" i="11"/>
  <c r="E234" i="8"/>
  <c r="C235" i="8" s="1"/>
  <c r="T19" i="12" l="1"/>
  <c r="E235" i="8"/>
  <c r="C236" i="8" s="1"/>
  <c r="F234" i="8"/>
  <c r="T25" i="11"/>
  <c r="T29" i="11" s="1"/>
  <c r="T35" i="12" l="1"/>
  <c r="T24" i="12"/>
  <c r="E236" i="8"/>
  <c r="C237" i="8" s="1"/>
  <c r="F235" i="8"/>
  <c r="T29" i="12" l="1"/>
  <c r="U26" i="12" s="1"/>
  <c r="T27" i="12"/>
  <c r="T31" i="12" s="1"/>
  <c r="T36" i="12" s="1"/>
  <c r="T39" i="12" s="1"/>
  <c r="T44" i="12" s="1"/>
  <c r="T28" i="12"/>
  <c r="U25" i="12" s="1"/>
  <c r="E237" i="8"/>
  <c r="C238" i="8" s="1"/>
  <c r="F236" i="8"/>
  <c r="T38" i="12" l="1"/>
  <c r="T40" i="12" s="1"/>
  <c r="S24" i="5" s="1"/>
  <c r="S26" i="5" s="1"/>
  <c r="T43" i="12"/>
  <c r="T45" i="12" s="1"/>
  <c r="U42" i="12" s="1"/>
  <c r="F237" i="8"/>
  <c r="E238" i="8"/>
  <c r="C239" i="8" s="1"/>
  <c r="T109" i="11" l="1"/>
  <c r="S12" i="7"/>
  <c r="S18" i="7" s="1"/>
  <c r="S29" i="7" s="1"/>
  <c r="S30" i="7" s="1"/>
  <c r="R13" i="6"/>
  <c r="S29" i="5"/>
  <c r="S31" i="5" s="1"/>
  <c r="S41" i="5"/>
  <c r="S47" i="5" s="1"/>
  <c r="T107" i="11" s="1"/>
  <c r="F238" i="8"/>
  <c r="E239" i="8"/>
  <c r="C240" i="8" s="1"/>
  <c r="T28" i="7" l="1"/>
  <c r="R35" i="6"/>
  <c r="R37" i="6" s="1"/>
  <c r="R38" i="6" s="1"/>
  <c r="S33" i="5"/>
  <c r="T12" i="11"/>
  <c r="T14" i="11" s="1"/>
  <c r="T18" i="11" s="1"/>
  <c r="T111" i="11" s="1"/>
  <c r="T110" i="11"/>
  <c r="T114" i="11"/>
  <c r="T108" i="11"/>
  <c r="R19" i="6"/>
  <c r="R40" i="6" s="1"/>
  <c r="F239" i="8"/>
  <c r="E240" i="8"/>
  <c r="C241" i="8" s="1"/>
  <c r="T51" i="11" l="1"/>
  <c r="T52" i="11" s="1"/>
  <c r="S34" i="5"/>
  <c r="F240" i="8"/>
  <c r="E241" i="8"/>
  <c r="C242" i="8" s="1"/>
  <c r="E242" i="8" l="1"/>
  <c r="C243" i="8" s="1"/>
  <c r="F241" i="8"/>
  <c r="F242" i="8" l="1"/>
  <c r="E243" i="8"/>
  <c r="C244" i="8" s="1"/>
  <c r="E244" i="8" l="1"/>
  <c r="C246" i="8" s="1"/>
  <c r="F243" i="8"/>
  <c r="E246" i="8" l="1"/>
  <c r="C247" i="8" s="1"/>
  <c r="F244" i="8"/>
  <c r="U15" i="8" s="1"/>
  <c r="U17" i="8" s="1"/>
  <c r="T21" i="5" s="1"/>
  <c r="F246" i="8" l="1"/>
  <c r="T23" i="5"/>
  <c r="U112" i="11"/>
  <c r="U13" i="11"/>
  <c r="U15" i="11" s="1"/>
  <c r="U17" i="11" s="1"/>
  <c r="E247" i="8"/>
  <c r="C248" i="8" s="1"/>
  <c r="U19" i="12" l="1"/>
  <c r="E248" i="8"/>
  <c r="C249" i="8" s="1"/>
  <c r="F247" i="8"/>
  <c r="U25" i="11"/>
  <c r="U29" i="11" s="1"/>
  <c r="U35" i="12" l="1"/>
  <c r="U24" i="12"/>
  <c r="F248" i="8"/>
  <c r="E249" i="8"/>
  <c r="C250" i="8" s="1"/>
  <c r="U28" i="12" l="1"/>
  <c r="V25" i="12" s="1"/>
  <c r="U27" i="12"/>
  <c r="U31" i="12" s="1"/>
  <c r="U36" i="12" s="1"/>
  <c r="U39" i="12" s="1"/>
  <c r="U44" i="12" s="1"/>
  <c r="U29" i="12"/>
  <c r="V26" i="12" s="1"/>
  <c r="F249" i="8"/>
  <c r="E250" i="8"/>
  <c r="C251" i="8" s="1"/>
  <c r="U38" i="12" l="1"/>
  <c r="U40" i="12"/>
  <c r="T24" i="5" s="1"/>
  <c r="T26" i="5" s="1"/>
  <c r="U43" i="12"/>
  <c r="U45" i="12" s="1"/>
  <c r="V42" i="12" s="1"/>
  <c r="F250" i="8"/>
  <c r="E251" i="8"/>
  <c r="C252" i="8" s="1"/>
  <c r="U109" i="11" l="1"/>
  <c r="T41" i="5"/>
  <c r="T47" i="5" s="1"/>
  <c r="U107" i="11" s="1"/>
  <c r="S13" i="6"/>
  <c r="T29" i="5"/>
  <c r="T31" i="5" s="1"/>
  <c r="T12" i="7"/>
  <c r="T18" i="7" s="1"/>
  <c r="T29" i="7" s="1"/>
  <c r="T30" i="7" s="1"/>
  <c r="F251" i="8"/>
  <c r="E252" i="8"/>
  <c r="C253" i="8" s="1"/>
  <c r="U12" i="11" l="1"/>
  <c r="U14" i="11" s="1"/>
  <c r="U18" i="11" s="1"/>
  <c r="U111" i="11" s="1"/>
  <c r="T33" i="5"/>
  <c r="S19" i="6"/>
  <c r="U110" i="11"/>
  <c r="U114" i="11"/>
  <c r="U108" i="11"/>
  <c r="U28" i="7"/>
  <c r="S35" i="6"/>
  <c r="S37" i="6" s="1"/>
  <c r="S38" i="6" s="1"/>
  <c r="S40" i="6" s="1"/>
  <c r="F252" i="8"/>
  <c r="E253" i="8"/>
  <c r="C254" i="8" s="1"/>
  <c r="T34" i="5" l="1"/>
  <c r="U51" i="11"/>
  <c r="U52" i="11" s="1"/>
  <c r="E254" i="8"/>
  <c r="C255" i="8" s="1"/>
  <c r="F253" i="8"/>
  <c r="E255" i="8" l="1"/>
  <c r="C256" i="8" s="1"/>
  <c r="F254" i="8"/>
  <c r="E256" i="8" l="1"/>
  <c r="C257" i="8" s="1"/>
  <c r="F255" i="8"/>
  <c r="E257" i="8" l="1"/>
  <c r="C259" i="8" s="1"/>
  <c r="F256" i="8"/>
  <c r="F257" i="8" l="1"/>
  <c r="V15" i="8" s="1"/>
  <c r="V17" i="8" s="1"/>
  <c r="U21" i="5" s="1"/>
  <c r="E259" i="8"/>
  <c r="C260" i="8" s="1"/>
  <c r="E260" i="8" l="1"/>
  <c r="C261" i="8" s="1"/>
  <c r="F259" i="8"/>
  <c r="V13" i="11"/>
  <c r="V15" i="11" s="1"/>
  <c r="V17" i="11" s="1"/>
  <c r="V112" i="11"/>
  <c r="U23" i="5"/>
  <c r="V19" i="12" l="1"/>
  <c r="V25" i="11"/>
  <c r="V29" i="11" s="1"/>
  <c r="E261" i="8"/>
  <c r="C262" i="8" s="1"/>
  <c r="F260" i="8"/>
  <c r="V35" i="12" l="1"/>
  <c r="V24" i="12"/>
  <c r="E262" i="8"/>
  <c r="C263" i="8" s="1"/>
  <c r="F261" i="8"/>
  <c r="V29" i="12" l="1"/>
  <c r="W26" i="12" s="1"/>
  <c r="V28" i="12"/>
  <c r="W25" i="12" s="1"/>
  <c r="V27" i="12"/>
  <c r="V31" i="12" s="1"/>
  <c r="V36" i="12" s="1"/>
  <c r="V39" i="12" s="1"/>
  <c r="V44" i="12" s="1"/>
  <c r="E263" i="8"/>
  <c r="C264" i="8" s="1"/>
  <c r="F262" i="8"/>
  <c r="V43" i="12" l="1"/>
  <c r="V45" i="12" s="1"/>
  <c r="W42" i="12" s="1"/>
  <c r="V38" i="12"/>
  <c r="V40" i="12" s="1"/>
  <c r="U24" i="5" s="1"/>
  <c r="U26" i="5" s="1"/>
  <c r="F263" i="8"/>
  <c r="E264" i="8"/>
  <c r="C265" i="8" s="1"/>
  <c r="V109" i="11" l="1"/>
  <c r="T13" i="6"/>
  <c r="V110" i="11" s="1"/>
  <c r="U41" i="5"/>
  <c r="U47" i="5" s="1"/>
  <c r="V107" i="11" s="1"/>
  <c r="U12" i="7"/>
  <c r="U18" i="7" s="1"/>
  <c r="U29" i="7" s="1"/>
  <c r="U30" i="7" s="1"/>
  <c r="U29" i="5"/>
  <c r="U31" i="5" s="1"/>
  <c r="F264" i="8"/>
  <c r="E265" i="8"/>
  <c r="C266" i="8" s="1"/>
  <c r="V28" i="7" l="1"/>
  <c r="T35" i="6"/>
  <c r="T37" i="6" s="1"/>
  <c r="T38" i="6" s="1"/>
  <c r="U33" i="5"/>
  <c r="V12" i="11"/>
  <c r="V14" i="11" s="1"/>
  <c r="V18" i="11" s="1"/>
  <c r="V111" i="11" s="1"/>
  <c r="E266" i="8"/>
  <c r="C267" i="8" s="1"/>
  <c r="F265" i="8"/>
  <c r="V51" i="11" l="1"/>
  <c r="V52" i="11" s="1"/>
  <c r="U34" i="5"/>
  <c r="E267" i="8"/>
  <c r="C268" i="8" s="1"/>
  <c r="F266" i="8"/>
  <c r="E268" i="8" l="1"/>
  <c r="C269" i="8" s="1"/>
  <c r="F267" i="8"/>
  <c r="F268" i="8" l="1"/>
  <c r="E269" i="8"/>
  <c r="F269" i="8" s="1"/>
  <c r="C270" i="8" l="1"/>
  <c r="D270" i="8"/>
  <c r="D271" i="8" l="1"/>
  <c r="D272" i="8" s="1"/>
  <c r="W13" i="8"/>
  <c r="E270" i="8"/>
  <c r="F270" i="8" s="1"/>
  <c r="F271" i="8" l="1"/>
  <c r="W15" i="8"/>
  <c r="W17" i="8" s="1"/>
  <c r="V21" i="5" s="1"/>
  <c r="W14" i="8"/>
  <c r="V32" i="5"/>
  <c r="V22" i="7"/>
  <c r="T17" i="6"/>
  <c r="T14" i="6" s="1"/>
  <c r="V115" i="11" l="1"/>
  <c r="V114" i="11"/>
  <c r="V113" i="11"/>
  <c r="U14" i="6"/>
  <c r="V108" i="11"/>
  <c r="T19" i="6"/>
  <c r="T40" i="6" s="1"/>
  <c r="W112" i="11"/>
  <c r="V23" i="5"/>
  <c r="W13" i="11"/>
  <c r="W16" i="11"/>
  <c r="X16" i="11" s="1"/>
  <c r="V27" i="7"/>
  <c r="W19" i="12" l="1"/>
  <c r="W113" i="11"/>
  <c r="W115" i="11"/>
  <c r="V14" i="6"/>
  <c r="W25" i="11"/>
  <c r="W29" i="11" s="1"/>
  <c r="W15" i="11"/>
  <c r="X13" i="11"/>
  <c r="W35" i="12" l="1"/>
  <c r="W24" i="12"/>
  <c r="X113" i="11"/>
  <c r="W14" i="6"/>
  <c r="X115" i="11"/>
  <c r="W17" i="11"/>
  <c r="X15" i="11"/>
  <c r="X17" i="11" s="1"/>
  <c r="D35" i="11"/>
  <c r="D33" i="11"/>
  <c r="W27" i="12" l="1"/>
  <c r="W31" i="12" s="1"/>
  <c r="W36" i="12" s="1"/>
  <c r="W39" i="12" s="1"/>
  <c r="W44" i="12" s="1"/>
  <c r="W28" i="12"/>
  <c r="X25" i="12" s="1"/>
  <c r="W29" i="12"/>
  <c r="X26" i="12" s="1"/>
  <c r="W43" i="12"/>
  <c r="W38" i="12"/>
  <c r="W40" i="12" s="1"/>
  <c r="V24" i="5" s="1"/>
  <c r="V26" i="5" s="1"/>
  <c r="W109" i="11" s="1"/>
  <c r="Y115" i="11"/>
  <c r="X14" i="6"/>
  <c r="V41" i="5" l="1"/>
  <c r="V47" i="5" s="1"/>
  <c r="V12" i="7"/>
  <c r="V18" i="7" s="1"/>
  <c r="V29" i="7" s="1"/>
  <c r="V30" i="7" s="1"/>
  <c r="U35" i="6" s="1"/>
  <c r="U37" i="6" s="1"/>
  <c r="U38" i="6" s="1"/>
  <c r="U13" i="6"/>
  <c r="W110" i="11" s="1"/>
  <c r="V29" i="5"/>
  <c r="V31" i="5" s="1"/>
  <c r="W12" i="11" s="1"/>
  <c r="X28" i="12"/>
  <c r="Y25" i="12" s="1"/>
  <c r="X29" i="12"/>
  <c r="Y26" i="12" s="1"/>
  <c r="X27" i="12"/>
  <c r="X31" i="12" s="1"/>
  <c r="X36" i="12" s="1"/>
  <c r="W45" i="12"/>
  <c r="X42" i="12" s="1"/>
  <c r="Z115" i="11"/>
  <c r="Y14" i="6"/>
  <c r="U19" i="6"/>
  <c r="W107" i="11"/>
  <c r="W28" i="7" l="1"/>
  <c r="W114" i="11"/>
  <c r="W108" i="11"/>
  <c r="V33" i="5"/>
  <c r="V34" i="5" s="1"/>
  <c r="X39" i="12"/>
  <c r="X44" i="12" s="1"/>
  <c r="X38" i="12"/>
  <c r="X43" i="12"/>
  <c r="Y29" i="12"/>
  <c r="Z26" i="12" s="1"/>
  <c r="Y27" i="12"/>
  <c r="Y31" i="12" s="1"/>
  <c r="Y36" i="12" s="1"/>
  <c r="Y28" i="12"/>
  <c r="Z25" i="12" s="1"/>
  <c r="U40" i="6"/>
  <c r="W51" i="11"/>
  <c r="W14" i="11"/>
  <c r="W18" i="11" s="1"/>
  <c r="W111" i="11" s="1"/>
  <c r="X12" i="11"/>
  <c r="X14" i="11" s="1"/>
  <c r="X18" i="11" s="1"/>
  <c r="Z14" i="6"/>
  <c r="AA115" i="11"/>
  <c r="X40" i="12" l="1"/>
  <c r="W24" i="5" s="1"/>
  <c r="W26" i="5" s="1"/>
  <c r="X109" i="11" s="1"/>
  <c r="W12" i="7"/>
  <c r="W18" i="7" s="1"/>
  <c r="W29" i="7" s="1"/>
  <c r="W30" i="7" s="1"/>
  <c r="W41" i="5"/>
  <c r="W47" i="5" s="1"/>
  <c r="W29" i="5"/>
  <c r="W31" i="5" s="1"/>
  <c r="W33" i="5" s="1"/>
  <c r="X51" i="11" s="1"/>
  <c r="V13" i="6"/>
  <c r="Z29" i="12"/>
  <c r="AA26" i="12" s="1"/>
  <c r="Z27" i="12"/>
  <c r="Z31" i="12" s="1"/>
  <c r="Z36" i="12" s="1"/>
  <c r="Z28" i="12"/>
  <c r="AA25" i="12" s="1"/>
  <c r="Y38" i="12"/>
  <c r="Y43" i="12"/>
  <c r="X45" i="12"/>
  <c r="Y42" i="12" s="1"/>
  <c r="X111" i="11"/>
  <c r="F19" i="11"/>
  <c r="F20" i="11"/>
  <c r="AA14" i="6"/>
  <c r="AB115" i="11"/>
  <c r="W52" i="11"/>
  <c r="Y39" i="12" l="1"/>
  <c r="Y44" i="12" s="1"/>
  <c r="X107" i="11"/>
  <c r="W34" i="5"/>
  <c r="X28" i="7"/>
  <c r="V35" i="6"/>
  <c r="V37" i="6" s="1"/>
  <c r="V38" i="6" s="1"/>
  <c r="X52" i="11"/>
  <c r="V19" i="6"/>
  <c r="V40" i="6" s="1"/>
  <c r="X110" i="11"/>
  <c r="X108" i="11"/>
  <c r="X114" i="11"/>
  <c r="Y45" i="12"/>
  <c r="Z42" i="12" s="1"/>
  <c r="AA27" i="12"/>
  <c r="AA31" i="12" s="1"/>
  <c r="AA36" i="12" s="1"/>
  <c r="AA29" i="12"/>
  <c r="AB26" i="12" s="1"/>
  <c r="AA28" i="12"/>
  <c r="AB25" i="12" s="1"/>
  <c r="Z39" i="12"/>
  <c r="Z44" i="12" s="1"/>
  <c r="Z43" i="12"/>
  <c r="Z38" i="12"/>
  <c r="Y40" i="12"/>
  <c r="X24" i="5" s="1"/>
  <c r="X26" i="5" s="1"/>
  <c r="AB14" i="6"/>
  <c r="AC115" i="11"/>
  <c r="Z40" i="12" l="1"/>
  <c r="Y24" i="5" s="1"/>
  <c r="Y26" i="5" s="1"/>
  <c r="X41" i="5"/>
  <c r="X47" i="5" s="1"/>
  <c r="X12" i="7"/>
  <c r="X18" i="7" s="1"/>
  <c r="X29" i="7" s="1"/>
  <c r="X30" i="7" s="1"/>
  <c r="Y109" i="11"/>
  <c r="X29" i="5"/>
  <c r="X31" i="5" s="1"/>
  <c r="X33" i="5" s="1"/>
  <c r="Y51" i="11" s="1"/>
  <c r="Y52" i="11" s="1"/>
  <c r="Y12" i="7"/>
  <c r="Y18" i="7" s="1"/>
  <c r="Y29" i="7" s="1"/>
  <c r="Z109" i="11"/>
  <c r="Y41" i="5"/>
  <c r="Y47" i="5" s="1"/>
  <c r="Z107" i="11" s="1"/>
  <c r="Y29" i="5"/>
  <c r="Y31" i="5" s="1"/>
  <c r="Y33" i="5" s="1"/>
  <c r="Z51" i="11" s="1"/>
  <c r="Z45" i="12"/>
  <c r="AA42" i="12" s="1"/>
  <c r="W13" i="6"/>
  <c r="X34" i="5"/>
  <c r="AB27" i="12"/>
  <c r="AB31" i="12" s="1"/>
  <c r="AB36" i="12" s="1"/>
  <c r="AB28" i="12"/>
  <c r="AC25" i="12" s="1"/>
  <c r="AB29" i="12"/>
  <c r="AC26" i="12" s="1"/>
  <c r="AA43" i="12"/>
  <c r="AA38" i="12"/>
  <c r="AD115" i="11"/>
  <c r="AA39" i="12" l="1"/>
  <c r="AA44" i="12" s="1"/>
  <c r="AA45" i="12" s="1"/>
  <c r="X13" i="6"/>
  <c r="Y114" i="11"/>
  <c r="Y108" i="11"/>
  <c r="W19" i="6"/>
  <c r="W35" i="6"/>
  <c r="W37" i="6" s="1"/>
  <c r="W38" i="6" s="1"/>
  <c r="Y28" i="7"/>
  <c r="Y30" i="7" s="1"/>
  <c r="Z52" i="11"/>
  <c r="AA40" i="12"/>
  <c r="Z24" i="5" s="1"/>
  <c r="Z26" i="5" s="1"/>
  <c r="Y34" i="5"/>
  <c r="Y110" i="11"/>
  <c r="Y107" i="11"/>
  <c r="AC28" i="12"/>
  <c r="AD25" i="12" s="1"/>
  <c r="AC27" i="12"/>
  <c r="AC31" i="12" s="1"/>
  <c r="AC36" i="12" s="1"/>
  <c r="AC29" i="12"/>
  <c r="AD26" i="12" s="1"/>
  <c r="AB38" i="12"/>
  <c r="AB43" i="12"/>
  <c r="AB42" i="12" l="1"/>
  <c r="AB39" i="12"/>
  <c r="AB44" i="12" s="1"/>
  <c r="AB45" i="12" s="1"/>
  <c r="AC42" i="12" s="1"/>
  <c r="W40" i="6"/>
  <c r="Z29" i="5"/>
  <c r="Z31" i="5" s="1"/>
  <c r="Z33" i="5" s="1"/>
  <c r="AA51" i="11" s="1"/>
  <c r="AA52" i="11" s="1"/>
  <c r="Z12" i="7"/>
  <c r="Z18" i="7" s="1"/>
  <c r="Z29" i="7" s="1"/>
  <c r="Z41" i="5"/>
  <c r="Z47" i="5" s="1"/>
  <c r="AA109" i="11"/>
  <c r="Z28" i="7"/>
  <c r="Z30" i="7" s="1"/>
  <c r="X35" i="6"/>
  <c r="X37" i="6" s="1"/>
  <c r="X38" i="6" s="1"/>
  <c r="Y13" i="6"/>
  <c r="Z114" i="11"/>
  <c r="Z108" i="11"/>
  <c r="X19" i="6"/>
  <c r="Z110" i="11"/>
  <c r="AC39" i="12"/>
  <c r="AC44" i="12" s="1"/>
  <c r="AC43" i="12"/>
  <c r="AC38" i="12"/>
  <c r="AB40" i="12"/>
  <c r="AA24" i="5" s="1"/>
  <c r="AA26" i="5" s="1"/>
  <c r="AD29" i="12"/>
  <c r="AE26" i="12" s="1"/>
  <c r="AD27" i="12"/>
  <c r="AD31" i="12" s="1"/>
  <c r="AD36" i="12" s="1"/>
  <c r="AD28" i="12"/>
  <c r="AE25" i="12" s="1"/>
  <c r="Y35" i="6" l="1"/>
  <c r="Y37" i="6" s="1"/>
  <c r="Y38" i="6" s="1"/>
  <c r="AA28" i="7"/>
  <c r="AA107" i="11"/>
  <c r="AA12" i="7"/>
  <c r="AA18" i="7" s="1"/>
  <c r="AA29" i="7" s="1"/>
  <c r="AA41" i="5"/>
  <c r="AA47" i="5" s="1"/>
  <c r="AB107" i="11" s="1"/>
  <c r="AB109" i="11"/>
  <c r="AA29" i="5"/>
  <c r="AA31" i="5" s="1"/>
  <c r="AA33" i="5" s="1"/>
  <c r="AB51" i="11" s="1"/>
  <c r="AB52" i="11" s="1"/>
  <c r="AA114" i="11"/>
  <c r="AA108" i="11"/>
  <c r="Y19" i="6"/>
  <c r="Y40" i="6" s="1"/>
  <c r="Z13" i="6"/>
  <c r="AA110" i="11"/>
  <c r="AC40" i="12"/>
  <c r="AB24" i="5" s="1"/>
  <c r="AB26" i="5" s="1"/>
  <c r="X40" i="6"/>
  <c r="Z34" i="5"/>
  <c r="AA34" i="5" s="1"/>
  <c r="AC45" i="12"/>
  <c r="AD42" i="12" s="1"/>
  <c r="AE27" i="12"/>
  <c r="AE31" i="12" s="1"/>
  <c r="AE36" i="12" s="1"/>
  <c r="AE29" i="12"/>
  <c r="AE28" i="12"/>
  <c r="AD39" i="12"/>
  <c r="AD44" i="12" s="1"/>
  <c r="AD38" i="12"/>
  <c r="AD43" i="12"/>
  <c r="AA30" i="7" l="1"/>
  <c r="AB28" i="7"/>
  <c r="Z35" i="6"/>
  <c r="Z37" i="6" s="1"/>
  <c r="Z38" i="6" s="1"/>
  <c r="AB114" i="11"/>
  <c r="AB108" i="11"/>
  <c r="Z19" i="6"/>
  <c r="AA13" i="6"/>
  <c r="AB110" i="11"/>
  <c r="AB29" i="5"/>
  <c r="AB31" i="5" s="1"/>
  <c r="AB33" i="5" s="1"/>
  <c r="AC51" i="11" s="1"/>
  <c r="AC52" i="11" s="1"/>
  <c r="AB12" i="7"/>
  <c r="AB18" i="7" s="1"/>
  <c r="AB29" i="7" s="1"/>
  <c r="AC109" i="11"/>
  <c r="AB41" i="5"/>
  <c r="AB47" i="5" s="1"/>
  <c r="AC107" i="11" s="1"/>
  <c r="AD45" i="12"/>
  <c r="AE42" i="12" s="1"/>
  <c r="AD40" i="12"/>
  <c r="AC24" i="5" s="1"/>
  <c r="AC26" i="5" s="1"/>
  <c r="AE43" i="12"/>
  <c r="AE39" i="12"/>
  <c r="Z40" i="6" l="1"/>
  <c r="AB34" i="5"/>
  <c r="AB30" i="7"/>
  <c r="AC108" i="11"/>
  <c r="AC114" i="11"/>
  <c r="AA19" i="6"/>
  <c r="AB13" i="6"/>
  <c r="AE45" i="12"/>
  <c r="AC110" i="11"/>
  <c r="AC41" i="5"/>
  <c r="AC47" i="5" s="1"/>
  <c r="AD109" i="11"/>
  <c r="AC12" i="7"/>
  <c r="AC18" i="7" s="1"/>
  <c r="AC29" i="7" s="1"/>
  <c r="AC29" i="5"/>
  <c r="AC31" i="5" s="1"/>
  <c r="AC33" i="5" s="1"/>
  <c r="AD51" i="11" s="1"/>
  <c r="E60" i="11" s="1" a="1"/>
  <c r="AE44" i="12"/>
  <c r="AE40" i="12"/>
  <c r="AD108" i="11" l="1"/>
  <c r="AD114" i="11"/>
  <c r="AB19" i="6"/>
  <c r="AC28" i="7"/>
  <c r="AC30" i="7" s="1"/>
  <c r="AB35" i="6" s="1"/>
  <c r="AB37" i="6" s="1"/>
  <c r="AB38" i="6" s="1"/>
  <c r="AA35" i="6"/>
  <c r="AA37" i="6" s="1"/>
  <c r="AA38" i="6" s="1"/>
  <c r="AD110" i="11"/>
  <c r="AD107" i="11"/>
  <c r="E48" i="5"/>
  <c r="AA40" i="6"/>
  <c r="AC34" i="5"/>
  <c r="E83" i="11"/>
  <c r="E60" i="11"/>
  <c r="E62" i="11"/>
  <c r="E66" i="11"/>
  <c r="E70" i="11"/>
  <c r="E74" i="11"/>
  <c r="E77" i="11"/>
  <c r="E64" i="11"/>
  <c r="E78" i="11"/>
  <c r="E80" i="11"/>
  <c r="E63" i="11"/>
  <c r="E67" i="11"/>
  <c r="E71" i="11"/>
  <c r="E75" i="11"/>
  <c r="E81" i="11"/>
  <c r="E82" i="11"/>
  <c r="E84" i="11"/>
  <c r="E68" i="11"/>
  <c r="E72" i="11"/>
  <c r="E76" i="11"/>
  <c r="E79" i="11"/>
  <c r="E65" i="11"/>
  <c r="E73" i="11"/>
  <c r="E85" i="11"/>
  <c r="E61" i="11"/>
  <c r="E69" i="11"/>
  <c r="AD52" i="11"/>
  <c r="F60" i="11" l="1"/>
  <c r="F61" i="11" s="1"/>
  <c r="F62" i="11" s="1"/>
  <c r="F63" i="11" s="1"/>
  <c r="F64" i="11" s="1"/>
  <c r="F65" i="11" s="1"/>
  <c r="F66" i="11" s="1"/>
  <c r="F67" i="11" s="1"/>
  <c r="F68" i="11" s="1"/>
  <c r="F69" i="11" s="1"/>
  <c r="F70" i="11" s="1"/>
  <c r="F71" i="11" s="1"/>
  <c r="F72" i="11" s="1"/>
  <c r="F73" i="11" s="1"/>
  <c r="F74" i="11" s="1"/>
  <c r="F75" i="11" s="1"/>
  <c r="F76" i="11" s="1"/>
  <c r="F77" i="11" s="1"/>
  <c r="F78" i="11" s="1"/>
  <c r="F79" i="11" s="1"/>
  <c r="F80" i="11" s="1"/>
  <c r="F81" i="11" s="1"/>
  <c r="F82" i="11" s="1"/>
  <c r="F83" i="11" s="1"/>
  <c r="F84" i="11" s="1"/>
  <c r="F85" i="11" s="1"/>
  <c r="E86" i="11"/>
  <c r="AB40" i="6"/>
</calcChain>
</file>

<file path=xl/sharedStrings.xml><?xml version="1.0" encoding="utf-8"?>
<sst xmlns="http://schemas.openxmlformats.org/spreadsheetml/2006/main" count="802" uniqueCount="417">
  <si>
    <t>Particular</t>
  </si>
  <si>
    <t>Land Development Cost</t>
  </si>
  <si>
    <t>Building &amp; Civil Works</t>
  </si>
  <si>
    <t xml:space="preserve">Plant &amp; Machinery </t>
  </si>
  <si>
    <t>Electricity Infrastructure</t>
  </si>
  <si>
    <t>Vehicles</t>
  </si>
  <si>
    <t>Office equipment &amp; Furniture</t>
  </si>
  <si>
    <t>Sub Total</t>
  </si>
  <si>
    <t>Solar Plant</t>
  </si>
  <si>
    <t>Loan from Banks/FIs</t>
  </si>
  <si>
    <t>Ratio</t>
  </si>
  <si>
    <t>Promoter Contribution</t>
  </si>
  <si>
    <t>Means of Finance (Amount INR Crore)</t>
  </si>
  <si>
    <t>Grand Total (PC)</t>
  </si>
  <si>
    <t>Grand Total (MoF)</t>
  </si>
  <si>
    <t>Input</t>
  </si>
  <si>
    <t>Date of Assessment</t>
  </si>
  <si>
    <t>Assessment_Date</t>
  </si>
  <si>
    <t>Start of Construction</t>
  </si>
  <si>
    <t>start_date</t>
  </si>
  <si>
    <t>Construction Period</t>
  </si>
  <si>
    <t>construction_period</t>
  </si>
  <si>
    <t>Completion Date</t>
  </si>
  <si>
    <t>Completion_date</t>
  </si>
  <si>
    <t>SCOD</t>
  </si>
  <si>
    <t>commerical</t>
  </si>
  <si>
    <t>Total Analysis Period</t>
  </si>
  <si>
    <t>Projection</t>
  </si>
  <si>
    <t>Model End Date</t>
  </si>
  <si>
    <t>end_date</t>
  </si>
  <si>
    <t>Operating  Assumptions</t>
  </si>
  <si>
    <t>Value</t>
  </si>
  <si>
    <t>Unit</t>
  </si>
  <si>
    <t>No. of daily Operation Hours</t>
  </si>
  <si>
    <t>hours</t>
  </si>
  <si>
    <t>No. of days per Annum</t>
  </si>
  <si>
    <t>Days</t>
  </si>
  <si>
    <t xml:space="preserve">No. of Working days Per Annum </t>
  </si>
  <si>
    <t>Key Products</t>
  </si>
  <si>
    <t>MW</t>
  </si>
  <si>
    <t>KW</t>
  </si>
  <si>
    <t>Plant load factor (PLF)</t>
  </si>
  <si>
    <t>%</t>
  </si>
  <si>
    <t xml:space="preserve">Transmission loss </t>
  </si>
  <si>
    <t>Selling Price</t>
  </si>
  <si>
    <t>INR/Unit</t>
  </si>
  <si>
    <t>O &amp; M Expenses</t>
  </si>
  <si>
    <t>Insurance Expenses</t>
  </si>
  <si>
    <t>Escalation on O &amp; M Cost</t>
  </si>
  <si>
    <t>Yearly</t>
  </si>
  <si>
    <t>Plant and Administrative Overhead Expenses</t>
  </si>
  <si>
    <t>of Revenue</t>
  </si>
  <si>
    <t>Other Operating expenses</t>
  </si>
  <si>
    <t>Loan Schedule</t>
  </si>
  <si>
    <t xml:space="preserve">Interest on TL </t>
  </si>
  <si>
    <t>Percentage</t>
  </si>
  <si>
    <t>Door to Door Tenure</t>
  </si>
  <si>
    <t>Years</t>
  </si>
  <si>
    <t>Moratorium before after SCOD</t>
  </si>
  <si>
    <t>months</t>
  </si>
  <si>
    <t>Moratorium period after SCOD</t>
  </si>
  <si>
    <t>Taxation</t>
  </si>
  <si>
    <t>MAT</t>
  </si>
  <si>
    <t>years</t>
  </si>
  <si>
    <t xml:space="preserve">Corporate Tax Rate </t>
  </si>
  <si>
    <t>Surcharge</t>
  </si>
  <si>
    <t>Cess</t>
  </si>
  <si>
    <t>Applicable Tax Rate (%)</t>
  </si>
  <si>
    <t>PROJECT COST (Amount INR Crore)</t>
  </si>
  <si>
    <t>(ASSUMPTIONS/VARIABLES)</t>
  </si>
  <si>
    <t>Modeling Assumptions</t>
  </si>
  <si>
    <t>SOLAR PLANT</t>
  </si>
  <si>
    <t>Degradation in PLF in First Year</t>
  </si>
  <si>
    <t>Degradation in PLF in Second Year and onwards</t>
  </si>
  <si>
    <t>(COMMON ASSUMPTIONS)</t>
  </si>
  <si>
    <t>(Revenue &amp; Expense Modelling)</t>
  </si>
  <si>
    <t>Operational Years</t>
  </si>
  <si>
    <t>Year Ending (INR Crore)</t>
  </si>
  <si>
    <t>FY</t>
  </si>
  <si>
    <t>Year Counter</t>
  </si>
  <si>
    <t>Months Counter</t>
  </si>
  <si>
    <t>Number of day</t>
  </si>
  <si>
    <t>Number of Hours per day</t>
  </si>
  <si>
    <t>Revenue from Solar power plant</t>
  </si>
  <si>
    <t>Running Capacity (KW)</t>
  </si>
  <si>
    <t>Plant load factor</t>
  </si>
  <si>
    <t>(Degradation y-o-y)</t>
  </si>
  <si>
    <t>No. of units Producion (Yearly)</t>
  </si>
  <si>
    <t xml:space="preserve">Escalation </t>
  </si>
  <si>
    <t>Total Charges</t>
  </si>
  <si>
    <t>Per Unit Revenue in the form of savings</t>
  </si>
  <si>
    <t>Net Revenue from Solar Power</t>
  </si>
  <si>
    <t>Total O &amp; M expenses - Solar Power</t>
  </si>
  <si>
    <t>O &amp; M Expenses - Solar Power</t>
  </si>
  <si>
    <t>Operating Expenses</t>
  </si>
  <si>
    <t>A.</t>
  </si>
  <si>
    <t>B.</t>
  </si>
  <si>
    <t>C.</t>
  </si>
  <si>
    <t>OPERATING EXPENSES</t>
  </si>
  <si>
    <t>REVENUE MODELING</t>
  </si>
  <si>
    <t>Revenue</t>
  </si>
  <si>
    <t>Depreciation &amp; Amrtization</t>
  </si>
  <si>
    <t>Total Expenses</t>
  </si>
  <si>
    <t>EBIT</t>
  </si>
  <si>
    <t>Interest expenses</t>
  </si>
  <si>
    <t>Interest on term loan</t>
  </si>
  <si>
    <t>Profit before Taxes (PBT)</t>
  </si>
  <si>
    <t>Tax</t>
  </si>
  <si>
    <t>Profit after Taxes (PAT)</t>
  </si>
  <si>
    <t>Cash Accrual</t>
  </si>
  <si>
    <t>PAT</t>
  </si>
  <si>
    <t>Add: Dep &amp; Am</t>
  </si>
  <si>
    <t>Net cash accrual</t>
  </si>
  <si>
    <t xml:space="preserve">Cumulative Internal Accruals  </t>
  </si>
  <si>
    <t xml:space="preserve">Less: Repayment Obligations </t>
  </si>
  <si>
    <t xml:space="preserve">LIABILITIES </t>
  </si>
  <si>
    <t>Equity</t>
  </si>
  <si>
    <t>Reserve &amp; Surplus</t>
  </si>
  <si>
    <t>Secured Loan</t>
  </si>
  <si>
    <t>Current Liabilities</t>
  </si>
  <si>
    <t>Trade Paybles</t>
  </si>
  <si>
    <t xml:space="preserve">Term liabilities payable within one year </t>
  </si>
  <si>
    <t>Other Current Liabilities</t>
  </si>
  <si>
    <t>Total</t>
  </si>
  <si>
    <t>Assets</t>
  </si>
  <si>
    <t>Land</t>
  </si>
  <si>
    <t>Building &amp; Civil works</t>
  </si>
  <si>
    <t>Plant &amp; Machinery</t>
  </si>
  <si>
    <t>Electricals &amp; Fittings</t>
  </si>
  <si>
    <t>Office equipments</t>
  </si>
  <si>
    <t>Total Gross Block</t>
  </si>
  <si>
    <t>Net Block</t>
  </si>
  <si>
    <t>Other Non Current Assets</t>
  </si>
  <si>
    <t>Total Non-Current Assets</t>
  </si>
  <si>
    <t>CURRENT ASSETS</t>
  </si>
  <si>
    <t>Trade Receivables</t>
  </si>
  <si>
    <t>Inventories</t>
  </si>
  <si>
    <t>Cash &amp; Cash Equivalent</t>
  </si>
  <si>
    <t>Other Current Assets</t>
  </si>
  <si>
    <t>Total Current Assets</t>
  </si>
  <si>
    <t xml:space="preserve">TOTAL </t>
  </si>
  <si>
    <t>Difference</t>
  </si>
  <si>
    <t>Less: Depreciation</t>
  </si>
  <si>
    <t xml:space="preserve">A. SOURCE OF FUND </t>
  </si>
  <si>
    <t xml:space="preserve">Net Profit </t>
  </si>
  <si>
    <t>Increase in Equity / Share Capital/USL</t>
  </si>
  <si>
    <t>Increase in TL</t>
  </si>
  <si>
    <t xml:space="preserve">Depreciation </t>
  </si>
  <si>
    <t>Trade paybles</t>
  </si>
  <si>
    <t xml:space="preserve">B. APPLICATION OF FUNDS </t>
  </si>
  <si>
    <t xml:space="preserve">Capital Expenses </t>
  </si>
  <si>
    <t xml:space="preserve">Decrease in Term Loan </t>
  </si>
  <si>
    <t>Trade Receivable</t>
  </si>
  <si>
    <t xml:space="preserve">Inventory </t>
  </si>
  <si>
    <t>Opening Balance</t>
  </si>
  <si>
    <t>Net Surplus/ Deficit</t>
  </si>
  <si>
    <t xml:space="preserve">Cumulative Balance </t>
  </si>
  <si>
    <t>Opening Bal</t>
  </si>
  <si>
    <t>Disbursement</t>
  </si>
  <si>
    <t>Repayment</t>
  </si>
  <si>
    <t>Closing Principal o/s</t>
  </si>
  <si>
    <t>Interest</t>
  </si>
  <si>
    <t>IDC</t>
  </si>
  <si>
    <t>TL Interest</t>
  </si>
  <si>
    <t>Loan Amount</t>
  </si>
  <si>
    <t>Rep Year</t>
  </si>
  <si>
    <t>Interest Rate</t>
  </si>
  <si>
    <t>Assumption</t>
  </si>
  <si>
    <t>Op. Bal</t>
  </si>
  <si>
    <t>Repay</t>
  </si>
  <si>
    <t>Cl. Bal</t>
  </si>
  <si>
    <t xml:space="preserve">Disbursement % </t>
  </si>
  <si>
    <t xml:space="preserve">Repayment % </t>
  </si>
  <si>
    <t>2024-25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</si>
  <si>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</si>
  <si>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</si>
  <si>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</si>
  <si>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</si>
  <si>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</si>
  <si>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</si>
  <si>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</si>
  <si>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</si>
  <si>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</si>
  <si>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Jan</t>
  </si>
  <si>
    <t>Feb</t>
  </si>
  <si>
    <t>Mar</t>
  </si>
  <si>
    <t>2025-26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</si>
  <si>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</si>
  <si>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</si>
  <si>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</si>
  <si>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</si>
  <si>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</si>
  <si>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</si>
  <si>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</si>
  <si>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</si>
  <si>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</si>
  <si>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</si>
  <si>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</si>
  <si>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</si>
  <si>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</si>
  <si>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</si>
  <si>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</si>
  <si>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</si>
  <si>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</si>
  <si>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Check</t>
  </si>
  <si>
    <t>Life
Years</t>
  </si>
  <si>
    <t>IDC &amp; Cont &amp; Pre-Operative</t>
  </si>
  <si>
    <t>Total CoP</t>
  </si>
  <si>
    <t>SLM Rate</t>
  </si>
  <si>
    <t>WDV rate</t>
  </si>
  <si>
    <t>SLM Depreciation - Land</t>
  </si>
  <si>
    <t>Electricity Connection &amp; Infrastructure</t>
  </si>
  <si>
    <t>Office equipment</t>
  </si>
  <si>
    <t xml:space="preserve">Total SLM Depreciation </t>
  </si>
  <si>
    <t>Total WDV</t>
  </si>
  <si>
    <t xml:space="preserve">Total WDV Depreciation </t>
  </si>
  <si>
    <t>Depreciation Assumptions</t>
  </si>
  <si>
    <t>CAPEX PHASING</t>
  </si>
  <si>
    <t xml:space="preserve">Capex </t>
  </si>
  <si>
    <t>TOTAL</t>
  </si>
  <si>
    <t>Cash accrual</t>
  </si>
  <si>
    <t>Subtotal</t>
  </si>
  <si>
    <t>Loan Repayent</t>
  </si>
  <si>
    <t>DSCR</t>
  </si>
  <si>
    <t>Average DSCR</t>
  </si>
  <si>
    <t>Maximum DSCR</t>
  </si>
  <si>
    <t>Less: Taxes</t>
  </si>
  <si>
    <t>Add: Depreciation &amp; Amortisation</t>
  </si>
  <si>
    <t>NOPAT</t>
  </si>
  <si>
    <t>Capex</t>
  </si>
  <si>
    <t>Free Cash Flow to Firm (FCFF)</t>
  </si>
  <si>
    <t>WACC</t>
  </si>
  <si>
    <t>NPV</t>
  </si>
  <si>
    <t>IRR</t>
  </si>
  <si>
    <t>Wd</t>
  </si>
  <si>
    <t>Kd</t>
  </si>
  <si>
    <t>Post tax Kd</t>
  </si>
  <si>
    <t>We</t>
  </si>
  <si>
    <t>Payback Perid</t>
  </si>
  <si>
    <t>No. Of Years</t>
  </si>
  <si>
    <t>Accumulated Cash Accrual</t>
  </si>
  <si>
    <t>TPC</t>
  </si>
  <si>
    <t>Payback Period</t>
  </si>
  <si>
    <t>RATIO</t>
  </si>
  <si>
    <t>Particulars</t>
  </si>
  <si>
    <t>WORKING CAPITAL ASSUMPTIONS</t>
  </si>
  <si>
    <t>Receivables</t>
  </si>
  <si>
    <t>Less: Transmission loses</t>
  </si>
  <si>
    <t>Insurance expense @0.1%</t>
  </si>
  <si>
    <t>Total NET BLOCK</t>
  </si>
  <si>
    <t>Total ASSET NET BLOCK AS PER BOOKS</t>
  </si>
  <si>
    <t>Net units Exported Annualy - Solar Power</t>
  </si>
  <si>
    <t>Total Net Units Exported Annually (Units in Lakhs)</t>
  </si>
  <si>
    <t>Total Net Units Generated Annually (Units in Lakhs)</t>
  </si>
  <si>
    <t>Total Transmission Loss (Units In Lakhs)</t>
  </si>
  <si>
    <t>Year Ending</t>
  </si>
  <si>
    <r>
      <t xml:space="preserve">(All Values in </t>
    </r>
    <r>
      <rPr>
        <b/>
        <u/>
        <sz val="11"/>
        <color rgb="FFFF0000"/>
        <rFont val="Calibri"/>
        <family val="2"/>
      </rPr>
      <t>INR Crores</t>
    </r>
    <r>
      <rPr>
        <b/>
        <sz val="11"/>
        <color rgb="FFFF0000"/>
        <rFont val="Calibri"/>
        <family val="2"/>
      </rPr>
      <t>, unless specified)</t>
    </r>
  </si>
  <si>
    <t>(Projected Income Statement)</t>
  </si>
  <si>
    <t>(Projected Balance Sheet)</t>
  </si>
  <si>
    <t>(Projected Cash Flow Statement)</t>
  </si>
  <si>
    <t>(Projected Loan Schedule)</t>
  </si>
  <si>
    <t>Depreciation Schedule as per Company's Act, 2013</t>
  </si>
  <si>
    <t>(Projected Depreciation Schedule)</t>
  </si>
  <si>
    <t>INR/YEAR</t>
  </si>
  <si>
    <t>Free O&amp;M period</t>
  </si>
  <si>
    <t>of WDV</t>
  </si>
  <si>
    <t>Intalled Capacity (MW) - AC</t>
  </si>
  <si>
    <t>Intalled Capacity (MW) - DC</t>
  </si>
  <si>
    <t>EBITDA</t>
  </si>
  <si>
    <t>EBITDA Margin %</t>
  </si>
  <si>
    <t>EBIT Margin %</t>
  </si>
  <si>
    <t>PAT Margin %</t>
  </si>
  <si>
    <t>Average</t>
  </si>
  <si>
    <t>Financial Year</t>
  </si>
  <si>
    <t>Break - Even Point</t>
  </si>
  <si>
    <t>Sales</t>
  </si>
  <si>
    <t>Variable Expenses</t>
  </si>
  <si>
    <t>Contribution</t>
  </si>
  <si>
    <t>Fixed Expenses</t>
  </si>
  <si>
    <t>Profit / PBT</t>
  </si>
  <si>
    <t>PV RATIO (Contr / Sales)</t>
  </si>
  <si>
    <t>BEP  Sales (Fix Exps / Contr * Sales)</t>
  </si>
  <si>
    <t>BEP% (BEP Sales / sales)</t>
  </si>
  <si>
    <t>Ratio Analysis:</t>
  </si>
  <si>
    <t>Return on Capital employed (%)</t>
  </si>
  <si>
    <t>Return on Investment (%)</t>
  </si>
  <si>
    <t>Return on Net Worth</t>
  </si>
  <si>
    <t>ISCR</t>
  </si>
  <si>
    <t>Fixed Asset Coverage Ratio</t>
  </si>
  <si>
    <t>TOL/TNW</t>
  </si>
  <si>
    <t>Debt to Equity Ratio</t>
  </si>
  <si>
    <t>D</t>
  </si>
  <si>
    <t>Hard Cost</t>
  </si>
  <si>
    <t>Total Cost</t>
  </si>
  <si>
    <t>E</t>
  </si>
  <si>
    <t>Debt</t>
  </si>
  <si>
    <t>DSRA</t>
  </si>
  <si>
    <t>Processing</t>
  </si>
  <si>
    <t>Interest on DSRA</t>
  </si>
  <si>
    <t>interest During Construction (IDC)</t>
  </si>
  <si>
    <t>Preliminiary Expenses</t>
  </si>
  <si>
    <t>Monthly Pay</t>
  </si>
  <si>
    <t xml:space="preserve">O&amp;M expenses per MW </t>
  </si>
  <si>
    <t>TOTAL O &amp; M Expenses</t>
  </si>
  <si>
    <t>TOTAL Insurance Expenses</t>
  </si>
  <si>
    <t>O &amp; M Expenses (in lacs)</t>
  </si>
  <si>
    <t>Annual O&amp; M cost in Crore</t>
  </si>
  <si>
    <t>Processing Fees for loan</t>
  </si>
  <si>
    <t>10- yr Nifty 50 Return</t>
  </si>
  <si>
    <t>Ke (https://www.niftyindices.com/market-data/return-profile)</t>
  </si>
  <si>
    <t>Company Risk Premium</t>
  </si>
  <si>
    <t>Appropriate Discount Rate</t>
  </si>
  <si>
    <t>Other Income</t>
  </si>
  <si>
    <t>TOTAL SOLAR PROJECT REVENUE</t>
  </si>
  <si>
    <t xml:space="preserve">Bank Charges </t>
  </si>
  <si>
    <t>-</t>
  </si>
  <si>
    <t>Financial Model for Proposed locations Solar Power Plant (4 MW AC/5.6 MW DC )</t>
  </si>
  <si>
    <t>1%</t>
  </si>
  <si>
    <t>204 instalments + 12 months moratorium</t>
  </si>
  <si>
    <t>Moratorium (Years)</t>
  </si>
  <si>
    <t>MCLR + pricing</t>
  </si>
  <si>
    <t>Given that the facility is behind the meter and all generation will be consumed by the firm for its own operations</t>
  </si>
  <si>
    <t xml:space="preserve">PM Kusum Scheme </t>
  </si>
  <si>
    <t>Installed Capacity(MWdc)</t>
  </si>
  <si>
    <t>Lease rent for land</t>
  </si>
  <si>
    <t>Escalation on rent</t>
  </si>
  <si>
    <t>Every 3 Yearly</t>
  </si>
  <si>
    <t>Lease Rental</t>
  </si>
  <si>
    <t>LEASE RENTAL - SOLAR PLANT</t>
  </si>
  <si>
    <t>Lease rental per annum</t>
  </si>
  <si>
    <t>Lease rental expenses - Solar Plant</t>
  </si>
  <si>
    <t>Total Project Cost</t>
  </si>
  <si>
    <t>S.No.</t>
  </si>
  <si>
    <t>Item</t>
  </si>
  <si>
    <t>DC Capacity (kW)</t>
  </si>
  <si>
    <t>Rate / Wp</t>
  </si>
  <si>
    <t>Amount (INR)</t>
  </si>
  <si>
    <t>GST (%)</t>
  </si>
  <si>
    <t>GST (INR)</t>
  </si>
  <si>
    <t>Total (INR)</t>
  </si>
  <si>
    <t>Reference</t>
  </si>
  <si>
    <t>Solar Panel</t>
  </si>
  <si>
    <t>Waaree</t>
  </si>
  <si>
    <t>Inverter</t>
  </si>
  <si>
    <t>Wattpower</t>
  </si>
  <si>
    <t>Structure, Balance of Systems, I&amp;C charges etc</t>
  </si>
  <si>
    <t>Interest during construction</t>
  </si>
  <si>
    <t>8 months</t>
  </si>
  <si>
    <t>3 month</t>
  </si>
  <si>
    <t>Preliminary and Pre operative costs, contingency and Upfront fee</t>
  </si>
  <si>
    <t>Per KW with GST</t>
  </si>
  <si>
    <t>Total Means of Finance (Rs.)</t>
  </si>
  <si>
    <t>Amount</t>
  </si>
  <si>
    <t>Promoters contribution (Equity)</t>
  </si>
  <si>
    <t>SBI Term loan</t>
  </si>
  <si>
    <t>Hard cost (Panel, Inverter, BOS)</t>
  </si>
  <si>
    <t>Soft cost (IDC, DSRA and Pre-ops)</t>
  </si>
  <si>
    <t>Soft Cost calculation</t>
  </si>
  <si>
    <t>Interest during construction @ 8 months</t>
  </si>
  <si>
    <t>DSRA (Principal) - 3 months</t>
  </si>
  <si>
    <t>DSRA (Interest) - 3 months</t>
  </si>
  <si>
    <t>Total DSRA</t>
  </si>
  <si>
    <t>Upfront Fee @ 1.18%</t>
  </si>
  <si>
    <t>Contingency @ 2% of hard cost</t>
  </si>
  <si>
    <t>Soft Cost total</t>
  </si>
  <si>
    <t>Total Plant Machinery Cost</t>
  </si>
  <si>
    <t>PPE + Contigency</t>
  </si>
  <si>
    <t>Fee</t>
  </si>
  <si>
    <t>Contingencies at ~ 2% of Hard Cost</t>
  </si>
  <si>
    <t xml:space="preserve">Solar </t>
  </si>
  <si>
    <t>Lease Rentals for land</t>
  </si>
  <si>
    <t xml:space="preserve">Contruction Period </t>
  </si>
  <si>
    <t>Moraturim Period 12 months</t>
  </si>
  <si>
    <t>12 months More</t>
  </si>
  <si>
    <t>D2D 18 Years</t>
  </si>
  <si>
    <t>Capacity (MWac)</t>
  </si>
  <si>
    <t>Subsidy</t>
  </si>
  <si>
    <t>Per Unit cost,</t>
  </si>
  <si>
    <t>Hectare</t>
  </si>
  <si>
    <t>Approx Rs.75090 per Hectare per annum.</t>
  </si>
  <si>
    <t>0.75 CR</t>
  </si>
  <si>
    <t>5% fall in PPA price</t>
  </si>
  <si>
    <t>5% incr. in O&amp;M exp.</t>
  </si>
  <si>
    <t>2% incr. in Interest rate</t>
  </si>
  <si>
    <t>max DSCR</t>
  </si>
  <si>
    <t>sensitivity</t>
  </si>
  <si>
    <t>Depreciation Schedule as per Companies Act</t>
  </si>
  <si>
    <t>Change in WC</t>
  </si>
  <si>
    <t>NWC</t>
  </si>
  <si>
    <t>Terminal Value</t>
  </si>
  <si>
    <t>(Projected Tax Calculation)</t>
  </si>
  <si>
    <t>MAT Rate</t>
  </si>
  <si>
    <t>Normal Tax rate</t>
  </si>
  <si>
    <t>Profit before taxes</t>
  </si>
  <si>
    <t>Add: Exceptional items</t>
  </si>
  <si>
    <t>Add: Provision for foreign exchange fluctuations</t>
  </si>
  <si>
    <t>Add: Dep.as per Co Act</t>
  </si>
  <si>
    <t>Less: Dep. as per IT Act</t>
  </si>
  <si>
    <t>Adjusted PBT</t>
  </si>
  <si>
    <t>Losses B/F</t>
  </si>
  <si>
    <t>Unabsorbed Depreciation B/F</t>
  </si>
  <si>
    <t>Taxable Profits</t>
  </si>
  <si>
    <t>Losses C/F</t>
  </si>
  <si>
    <t>Unabsorbed Depreciation C/F</t>
  </si>
  <si>
    <t>Tax Liability as per normal provisions</t>
  </si>
  <si>
    <t>Tax Rate Business Income</t>
  </si>
  <si>
    <t>MAT Liability on book profits</t>
  </si>
  <si>
    <t>Tax Liability higher of two</t>
  </si>
  <si>
    <t>Less: Mat Credit set off</t>
  </si>
  <si>
    <t>Tax paid</t>
  </si>
  <si>
    <t>Opening</t>
  </si>
  <si>
    <t>Additions</t>
  </si>
  <si>
    <t>Utilized</t>
  </si>
  <si>
    <t>Cumulative MAT Credit</t>
  </si>
  <si>
    <t>Depreciation Schedule as per Income tax Act</t>
  </si>
  <si>
    <t>WDV Income tax</t>
  </si>
  <si>
    <t xml:space="preserve">M/s. Bikaner Private Limited, Badi Shisha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</si>
</sst>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 * #,##0.00_ ;_ * \-#,##0.00_ ;_ * &quot;-&quot;??_ ;_ @_ "/>
    <numFmt numFmtId="164" formatCode="0\ &quot;MW&quot;"/>
    <numFmt numFmtId="165" formatCode="0.000"/>
    <numFmt numFmtId="166" formatCode="0\ &quot;Years&quot;"/>
    <numFmt numFmtId="167" formatCode="0.00\ &quot;MW&quot;"/>
    <numFmt numFmtId="168" formatCode="0.0"/>
    <numFmt numFmtId="169" formatCode="[$-409]d\-mmm\-yy;@"/>
    <numFmt numFmtId="170" formatCode="_ * #,##0_ ;_ * \-#,##0_ ;_ * &quot;-&quot;??_ ;_ @_ "/>
    <numFmt numFmtId="171" formatCode="0.0%"/>
    <numFmt numFmtId="172" formatCode="_ * #,##0.000_ ;_ * \-#,##0.000_ ;_ * &quot;-&quot;??_ ;_ @_ "/>
    <numFmt numFmtId="173" formatCode="_ * #,##0.00000000_ ;_ * \-#,##0.00000000_ ;_ * &quot;-&quot;??_ ;_ @_ "/>
    <numFmt numFmtId="174" formatCode="&quot;INR&quot;\ 0.00\ &quot;Crore&quot;"/>
    <numFmt numFmtId="175" formatCode="&quot;INR&quot;\ 0\ &quot;Crore&quot;"/>
    <numFmt numFmtId="176" formatCode="0.00\ &quot;years&quot;"/>
    <numFmt numFmtId="177" formatCode="_ * #,##0.00000_ ;_ * \-#,##0.00000_ ;_ * &quot;-&quot;??_ ;_ @_ "/>
    <numFmt numFmtId="178" formatCode="_ * #,##0.000000_ ;_ * \-#,##0.000000_ ;_ * &quot;-&quot;??_ ;_ @_ "/>
    <numFmt numFmtId="179" formatCode="#,##0.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Gill Sans MT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color rgb="FF0070C0"/>
      <name val="Calibri"/>
      <family val="2"/>
    </font>
    <font>
      <sz val="11"/>
      <name val="Calibri"/>
      <family val="2"/>
    </font>
    <font>
      <b/>
      <sz val="14"/>
      <color theme="0"/>
      <name val="Calibri"/>
      <family val="2"/>
    </font>
    <font>
      <b/>
      <sz val="16"/>
      <color theme="0"/>
      <name val="Calibri"/>
      <family val="2"/>
    </font>
    <font>
      <b/>
      <sz val="11"/>
      <color rgb="FF0070C0"/>
      <name val="Calibri"/>
      <family val="2"/>
    </font>
    <font>
      <b/>
      <sz val="11"/>
      <color rgb="FFC00000"/>
      <name val="Calibri"/>
      <family val="2"/>
    </font>
    <font>
      <b/>
      <u/>
      <sz val="11"/>
      <color theme="1"/>
      <name val="Calibri"/>
      <family val="2"/>
    </font>
    <font>
      <b/>
      <sz val="12"/>
      <color rgb="FFC00000"/>
      <name val="Calibri"/>
      <family val="2"/>
    </font>
    <font>
      <b/>
      <i/>
      <sz val="10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i/>
      <sz val="11"/>
      <color rgb="FF0070C0"/>
      <name val="Calibri"/>
      <family val="2"/>
    </font>
    <font>
      <b/>
      <i/>
      <sz val="11"/>
      <color theme="1"/>
      <name val="Calibri"/>
      <family val="2"/>
    </font>
    <font>
      <b/>
      <i/>
      <sz val="11"/>
      <color rgb="FF0070C0"/>
      <name val="Calibri"/>
      <family val="2"/>
    </font>
    <font>
      <sz val="11"/>
      <color theme="5" tint="-0.249977111117893"/>
      <name val="Calibri"/>
      <family val="2"/>
    </font>
    <font>
      <i/>
      <sz val="11"/>
      <color theme="5" tint="-0.249977111117893"/>
      <name val="Calibri"/>
      <family val="2"/>
    </font>
    <font>
      <b/>
      <u/>
      <sz val="12"/>
      <color theme="5" tint="-0.249977111117893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0"/>
      <color rgb="FFC00000"/>
      <name val="Calibri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1"/>
      <color rgb="FFC00000"/>
      <name val="Calibri"/>
      <family val="2"/>
      <scheme val="minor"/>
    </font>
    <font>
      <b/>
      <sz val="11"/>
      <color rgb="FFFF0000"/>
      <name val="Calibri"/>
      <family val="2"/>
    </font>
    <font>
      <b/>
      <u/>
      <sz val="11"/>
      <color rgb="FFFF0000"/>
      <name val="Calibri"/>
      <family val="2"/>
    </font>
    <font>
      <sz val="11"/>
      <color theme="0" tint="-0.34998626667073579"/>
      <name val="Calibri"/>
      <family val="2"/>
    </font>
    <font>
      <b/>
      <sz val="11"/>
      <color theme="0" tint="-0.34998626667073579"/>
      <name val="Calibri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262140"/>
      <name val="Calibri"/>
      <family val="2"/>
    </font>
    <font>
      <b/>
      <sz val="11"/>
      <color rgb="FF0070C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theme="5" tint="0.39994506668294322"/>
      </bottom>
      <diagonal/>
    </border>
    <border>
      <left style="dotted">
        <color theme="5" tint="-0.499984740745262"/>
      </left>
      <right/>
      <top/>
      <bottom style="thin">
        <color indexed="64"/>
      </bottom>
      <diagonal/>
    </border>
    <border>
      <left style="dotted">
        <color theme="5" tint="-0.499984740745262"/>
      </left>
      <right/>
      <top/>
      <bottom/>
      <diagonal/>
    </border>
    <border>
      <left style="dotted">
        <color theme="5" tint="-0.499984740745262"/>
      </left>
      <right/>
      <top/>
      <bottom style="dotted">
        <color theme="5" tint="0.39994506668294322"/>
      </bottom>
      <diagonal/>
    </border>
    <border>
      <left style="dotted">
        <color theme="5" tint="-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000000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42" fillId="0" borderId="0"/>
  </cellStyleXfs>
  <cellXfs count="380">
    <xf numFmtId="0" fontId="0" fillId="0" borderId="0" xfId="0"/>
    <xf numFmtId="0" fontId="6" fillId="0" borderId="0" xfId="3" applyFont="1" applyAlignment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horizontal="center" vertical="center"/>
    </xf>
    <xf numFmtId="2" fontId="11" fillId="0" borderId="0" xfId="3" applyNumberFormat="1" applyFont="1" applyAlignment="1">
      <alignment horizontal="center" vertical="center"/>
    </xf>
    <xf numFmtId="2" fontId="6" fillId="0" borderId="0" xfId="3" applyNumberFormat="1" applyFont="1" applyAlignment="1">
      <alignment vertical="center"/>
    </xf>
    <xf numFmtId="43" fontId="6" fillId="0" borderId="0" xfId="1" applyFont="1" applyAlignment="1">
      <alignment vertical="center"/>
    </xf>
    <xf numFmtId="1" fontId="6" fillId="0" borderId="0" xfId="3" applyNumberFormat="1" applyFont="1" applyAlignment="1">
      <alignment horizontal="center" vertical="center"/>
    </xf>
    <xf numFmtId="0" fontId="7" fillId="4" borderId="2" xfId="3" applyFont="1" applyFill="1" applyBorder="1" applyAlignment="1">
      <alignment horizontal="left" vertical="center"/>
    </xf>
    <xf numFmtId="2" fontId="7" fillId="4" borderId="2" xfId="3" applyNumberFormat="1" applyFont="1" applyFill="1" applyBorder="1" applyAlignment="1">
      <alignment horizontal="center" vertical="center"/>
    </xf>
    <xf numFmtId="0" fontId="12" fillId="0" borderId="0" xfId="3" applyFont="1" applyAlignment="1">
      <alignment horizontal="left" vertical="center"/>
    </xf>
    <xf numFmtId="2" fontId="12" fillId="0" borderId="0" xfId="3" applyNumberFormat="1" applyFont="1" applyAlignment="1">
      <alignment horizontal="center" vertical="center"/>
    </xf>
    <xf numFmtId="0" fontId="10" fillId="3" borderId="2" xfId="3" applyFont="1" applyFill="1" applyBorder="1" applyAlignment="1">
      <alignment horizontal="left" vertical="center"/>
    </xf>
    <xf numFmtId="2" fontId="10" fillId="3" borderId="2" xfId="3" applyNumberFormat="1" applyFont="1" applyFill="1" applyBorder="1" applyAlignment="1">
      <alignment horizontal="center" vertical="center"/>
    </xf>
    <xf numFmtId="0" fontId="12" fillId="0" borderId="0" xfId="3" applyFont="1" applyAlignment="1">
      <alignment vertical="center" wrapText="1"/>
    </xf>
    <xf numFmtId="9" fontId="12" fillId="0" borderId="0" xfId="3" applyNumberFormat="1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9" fontId="6" fillId="0" borderId="0" xfId="3" applyNumberFormat="1" applyFont="1" applyAlignment="1">
      <alignment horizontal="center" vertical="center"/>
    </xf>
    <xf numFmtId="2" fontId="6" fillId="0" borderId="0" xfId="3" applyNumberFormat="1" applyFont="1" applyAlignment="1">
      <alignment horizontal="center" vertical="center"/>
    </xf>
    <xf numFmtId="0" fontId="10" fillId="3" borderId="0" xfId="3" applyFont="1" applyFill="1" applyAlignment="1">
      <alignment vertical="center"/>
    </xf>
    <xf numFmtId="2" fontId="10" fillId="3" borderId="0" xfId="3" applyNumberFormat="1" applyFont="1" applyFill="1" applyAlignment="1">
      <alignment horizontal="center" vertical="center"/>
    </xf>
    <xf numFmtId="43" fontId="7" fillId="0" borderId="0" xfId="3" applyNumberFormat="1" applyFont="1" applyAlignment="1">
      <alignment vertical="center"/>
    </xf>
    <xf numFmtId="43" fontId="6" fillId="0" borderId="0" xfId="3" applyNumberFormat="1" applyFont="1" applyAlignment="1">
      <alignment vertical="center"/>
    </xf>
    <xf numFmtId="9" fontId="6" fillId="0" borderId="0" xfId="3" applyNumberFormat="1" applyFont="1" applyAlignment="1">
      <alignment horizontal="left" vertical="center"/>
    </xf>
    <xf numFmtId="43" fontId="6" fillId="0" borderId="0" xfId="1" applyFont="1" applyAlignment="1">
      <alignment horizontal="center" vertical="center"/>
    </xf>
    <xf numFmtId="43" fontId="6" fillId="0" borderId="0" xfId="3" applyNumberFormat="1" applyFont="1" applyAlignment="1">
      <alignment horizontal="center" vertical="center"/>
    </xf>
    <xf numFmtId="0" fontId="8" fillId="7" borderId="0" xfId="3" applyFont="1" applyFill="1" applyAlignment="1">
      <alignment horizontal="left" vertical="center"/>
    </xf>
    <xf numFmtId="0" fontId="9" fillId="7" borderId="0" xfId="3" applyFont="1" applyFill="1" applyAlignment="1">
      <alignment horizontal="left" vertical="center"/>
    </xf>
    <xf numFmtId="0" fontId="13" fillId="6" borderId="0" xfId="3" applyFont="1" applyFill="1" applyAlignment="1">
      <alignment horizontal="left" vertical="center"/>
    </xf>
    <xf numFmtId="0" fontId="14" fillId="6" borderId="0" xfId="3" applyFont="1" applyFill="1" applyAlignment="1">
      <alignment horizontal="left" vertical="center"/>
    </xf>
    <xf numFmtId="0" fontId="10" fillId="6" borderId="0" xfId="3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10" fillId="3" borderId="1" xfId="0" applyFont="1" applyFill="1" applyBorder="1" applyAlignment="1">
      <alignment vertical="center"/>
    </xf>
    <xf numFmtId="0" fontId="7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center" vertical="center"/>
    </xf>
    <xf numFmtId="15" fontId="11" fillId="0" borderId="0" xfId="0" applyNumberFormat="1" applyFont="1" applyAlignment="1">
      <alignment horizontal="center" vertical="center"/>
    </xf>
    <xf numFmtId="166" fontId="11" fillId="0" borderId="0" xfId="1" applyNumberFormat="1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9" fontId="11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4" fontId="11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4" fontId="7" fillId="0" borderId="2" xfId="0" applyNumberFormat="1" applyFont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0" fontId="11" fillId="0" borderId="0" xfId="2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2" fontId="11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10" fontId="7" fillId="0" borderId="2" xfId="0" applyNumberFormat="1" applyFont="1" applyBorder="1" applyAlignment="1">
      <alignment horizontal="center" vertical="center"/>
    </xf>
    <xf numFmtId="9" fontId="15" fillId="0" borderId="2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8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  <xf numFmtId="169" fontId="10" fillId="3" borderId="0" xfId="0" applyNumberFormat="1" applyFont="1" applyFill="1" applyAlignment="1">
      <alignment horizontal="center" vertical="center"/>
    </xf>
    <xf numFmtId="0" fontId="19" fillId="11" borderId="0" xfId="0" applyFont="1" applyFill="1" applyAlignment="1">
      <alignment vertical="center"/>
    </xf>
    <xf numFmtId="0" fontId="19" fillId="11" borderId="0" xfId="0" applyFont="1" applyFill="1" applyAlignment="1">
      <alignment horizontal="center" vertical="center"/>
    </xf>
    <xf numFmtId="1" fontId="19" fillId="9" borderId="0" xfId="0" applyNumberFormat="1" applyFont="1" applyFill="1" applyAlignment="1">
      <alignment horizontal="center" vertical="center"/>
    </xf>
    <xf numFmtId="1" fontId="19" fillId="11" borderId="0" xfId="0" applyNumberFormat="1" applyFont="1" applyFill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11" borderId="0" xfId="0" applyFont="1" applyFill="1" applyAlignment="1">
      <alignment vertical="center"/>
    </xf>
    <xf numFmtId="0" fontId="21" fillId="11" borderId="0" xfId="0" applyFont="1" applyFill="1" applyAlignment="1">
      <alignment horizontal="center" vertical="center"/>
    </xf>
    <xf numFmtId="0" fontId="17" fillId="11" borderId="0" xfId="0" applyFont="1" applyFill="1" applyAlignment="1">
      <alignment vertical="center"/>
    </xf>
    <xf numFmtId="0" fontId="6" fillId="11" borderId="0" xfId="0" applyFont="1" applyFill="1" applyAlignment="1">
      <alignment vertical="center"/>
    </xf>
    <xf numFmtId="2" fontId="6" fillId="11" borderId="0" xfId="0" applyNumberFormat="1" applyFont="1" applyFill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0" fontId="6" fillId="0" borderId="0" xfId="2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9" fontId="23" fillId="0" borderId="0" xfId="0" applyNumberFormat="1" applyFont="1" applyAlignment="1">
      <alignment horizontal="center" vertical="center"/>
    </xf>
    <xf numFmtId="170" fontId="6" fillId="0" borderId="0" xfId="1" applyNumberFormat="1" applyFont="1" applyAlignment="1">
      <alignment horizontal="center" vertical="center"/>
    </xf>
    <xf numFmtId="170" fontId="6" fillId="0" borderId="0" xfId="1" applyNumberFormat="1" applyFont="1" applyAlignment="1">
      <alignment vertical="center"/>
    </xf>
    <xf numFmtId="0" fontId="24" fillId="0" borderId="2" xfId="0" applyFont="1" applyBorder="1" applyAlignment="1">
      <alignment vertical="center"/>
    </xf>
    <xf numFmtId="9" fontId="25" fillId="0" borderId="2" xfId="0" applyNumberFormat="1" applyFont="1" applyBorder="1" applyAlignment="1">
      <alignment horizontal="center" vertical="center"/>
    </xf>
    <xf numFmtId="170" fontId="24" fillId="0" borderId="2" xfId="1" applyNumberFormat="1" applyFont="1" applyBorder="1" applyAlignment="1">
      <alignment vertical="center"/>
    </xf>
    <xf numFmtId="0" fontId="10" fillId="3" borderId="2" xfId="0" applyFont="1" applyFill="1" applyBorder="1" applyAlignment="1">
      <alignment vertical="center"/>
    </xf>
    <xf numFmtId="2" fontId="10" fillId="3" borderId="2" xfId="0" applyNumberFormat="1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vertical="center"/>
    </xf>
    <xf numFmtId="2" fontId="7" fillId="11" borderId="2" xfId="0" applyNumberFormat="1" applyFont="1" applyFill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2" fontId="7" fillId="4" borderId="2" xfId="0" applyNumberFormat="1" applyFont="1" applyFill="1" applyBorder="1" applyAlignment="1">
      <alignment horizontal="center" vertical="center"/>
    </xf>
    <xf numFmtId="0" fontId="13" fillId="6" borderId="0" xfId="3" applyFont="1" applyFill="1" applyAlignment="1">
      <alignment vertical="center"/>
    </xf>
    <xf numFmtId="0" fontId="8" fillId="7" borderId="0" xfId="3" applyFont="1" applyFill="1" applyAlignment="1">
      <alignment vertical="center"/>
    </xf>
    <xf numFmtId="168" fontId="6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0" fontId="26" fillId="0" borderId="0" xfId="0" applyNumberFormat="1" applyFont="1" applyAlignment="1">
      <alignment horizontal="center" vertical="center"/>
    </xf>
    <xf numFmtId="10" fontId="26" fillId="0" borderId="0" xfId="2" applyNumberFormat="1" applyFont="1" applyAlignment="1">
      <alignment horizontal="center" vertical="center"/>
    </xf>
    <xf numFmtId="10" fontId="27" fillId="0" borderId="0" xfId="2" applyNumberFormat="1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0" fontId="28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12" borderId="2" xfId="0" applyFont="1" applyFill="1" applyBorder="1" applyAlignment="1">
      <alignment vertical="center"/>
    </xf>
    <xf numFmtId="2" fontId="10" fillId="12" borderId="2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2" fontId="7" fillId="0" borderId="2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vertical="center"/>
    </xf>
    <xf numFmtId="2" fontId="10" fillId="3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vertical="center"/>
    </xf>
    <xf numFmtId="2" fontId="7" fillId="4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2" fontId="29" fillId="0" borderId="2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3" applyFont="1" applyAlignment="1">
      <alignment vertical="center"/>
    </xf>
    <xf numFmtId="0" fontId="31" fillId="0" borderId="0" xfId="0" applyFont="1" applyAlignment="1">
      <alignment vertical="center"/>
    </xf>
    <xf numFmtId="2" fontId="31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2" fontId="33" fillId="0" borderId="0" xfId="0" applyNumberFormat="1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2" fontId="2" fillId="3" borderId="0" xfId="0" applyNumberFormat="1" applyFont="1" applyFill="1" applyAlignment="1">
      <alignment horizontal="center" vertical="center"/>
    </xf>
    <xf numFmtId="0" fontId="4" fillId="0" borderId="2" xfId="0" applyFont="1" applyBorder="1" applyAlignment="1">
      <alignment vertical="center"/>
    </xf>
    <xf numFmtId="2" fontId="4" fillId="0" borderId="2" xfId="0" applyNumberFormat="1" applyFont="1" applyBorder="1" applyAlignment="1">
      <alignment horizontal="center" vertical="center"/>
    </xf>
    <xf numFmtId="0" fontId="4" fillId="11" borderId="0" xfId="0" applyFont="1" applyFill="1" applyAlignment="1">
      <alignment vertical="center"/>
    </xf>
    <xf numFmtId="2" fontId="4" fillId="11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34" fillId="0" borderId="2" xfId="0" applyFont="1" applyBorder="1" applyAlignment="1">
      <alignment vertical="center"/>
    </xf>
    <xf numFmtId="2" fontId="34" fillId="0" borderId="2" xfId="0" applyNumberFormat="1" applyFont="1" applyBorder="1" applyAlignment="1">
      <alignment horizontal="center" vertical="center"/>
    </xf>
    <xf numFmtId="2" fontId="30" fillId="0" borderId="0" xfId="0" applyNumberFormat="1" applyFont="1" applyAlignment="1">
      <alignment horizontal="center" vertical="center"/>
    </xf>
    <xf numFmtId="0" fontId="4" fillId="11" borderId="2" xfId="0" applyFont="1" applyFill="1" applyBorder="1" applyAlignment="1">
      <alignment vertical="center"/>
    </xf>
    <xf numFmtId="2" fontId="4" fillId="11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2" fontId="16" fillId="9" borderId="0" xfId="0" applyNumberFormat="1" applyFont="1" applyFill="1" applyAlignment="1">
      <alignment horizontal="center" vertical="center"/>
    </xf>
    <xf numFmtId="9" fontId="10" fillId="3" borderId="0" xfId="0" applyNumberFormat="1" applyFont="1" applyFill="1" applyAlignment="1">
      <alignment horizontal="center" vertical="center"/>
    </xf>
    <xf numFmtId="10" fontId="10" fillId="3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vertical="center"/>
    </xf>
    <xf numFmtId="2" fontId="6" fillId="5" borderId="0" xfId="0" applyNumberFormat="1" applyFont="1" applyFill="1" applyAlignment="1">
      <alignment horizontal="center" vertical="center"/>
    </xf>
    <xf numFmtId="0" fontId="6" fillId="13" borderId="0" xfId="0" applyFont="1" applyFill="1" applyAlignment="1">
      <alignment vertical="center"/>
    </xf>
    <xf numFmtId="2" fontId="6" fillId="13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2" fontId="6" fillId="4" borderId="0" xfId="0" applyNumberFormat="1" applyFont="1" applyFill="1" applyAlignment="1">
      <alignment horizontal="center" vertical="center"/>
    </xf>
    <xf numFmtId="0" fontId="7" fillId="14" borderId="2" xfId="0" applyFont="1" applyFill="1" applyBorder="1" applyAlignment="1">
      <alignment vertical="center"/>
    </xf>
    <xf numFmtId="2" fontId="7" fillId="14" borderId="2" xfId="0" applyNumberFormat="1" applyFont="1" applyFill="1" applyBorder="1" applyAlignment="1">
      <alignment horizontal="center" vertical="center"/>
    </xf>
    <xf numFmtId="0" fontId="6" fillId="14" borderId="0" xfId="0" applyFont="1" applyFill="1" applyAlignment="1">
      <alignment vertical="center"/>
    </xf>
    <xf numFmtId="2" fontId="6" fillId="14" borderId="0" xfId="0" applyNumberFormat="1" applyFont="1" applyFill="1" applyAlignment="1">
      <alignment horizontal="center" vertical="center"/>
    </xf>
    <xf numFmtId="9" fontId="0" fillId="0" borderId="0" xfId="2" applyFont="1" applyAlignment="1">
      <alignment vertical="center"/>
    </xf>
    <xf numFmtId="0" fontId="7" fillId="15" borderId="2" xfId="0" applyFont="1" applyFill="1" applyBorder="1" applyAlignment="1">
      <alignment vertical="center"/>
    </xf>
    <xf numFmtId="0" fontId="6" fillId="15" borderId="2" xfId="0" applyFont="1" applyFill="1" applyBorder="1" applyAlignment="1">
      <alignment vertical="center"/>
    </xf>
    <xf numFmtId="2" fontId="6" fillId="15" borderId="2" xfId="0" applyNumberFormat="1" applyFont="1" applyFill="1" applyBorder="1" applyAlignment="1">
      <alignment horizontal="center" vertical="center"/>
    </xf>
    <xf numFmtId="0" fontId="6" fillId="15" borderId="0" xfId="0" applyFont="1" applyFill="1" applyAlignment="1">
      <alignment vertical="center"/>
    </xf>
    <xf numFmtId="2" fontId="6" fillId="15" borderId="0" xfId="0" applyNumberFormat="1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2" fontId="7" fillId="8" borderId="2" xfId="0" applyNumberFormat="1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2" fontId="6" fillId="8" borderId="0" xfId="0" applyNumberFormat="1" applyFont="1" applyFill="1" applyAlignment="1">
      <alignment horizontal="center" vertical="center"/>
    </xf>
    <xf numFmtId="0" fontId="7" fillId="16" borderId="2" xfId="0" applyFont="1" applyFill="1" applyBorder="1" applyAlignment="1">
      <alignment vertical="center"/>
    </xf>
    <xf numFmtId="2" fontId="7" fillId="16" borderId="2" xfId="0" applyNumberFormat="1" applyFont="1" applyFill="1" applyBorder="1" applyAlignment="1">
      <alignment horizontal="center" vertical="center"/>
    </xf>
    <xf numFmtId="0" fontId="6" fillId="16" borderId="0" xfId="0" applyFont="1" applyFill="1" applyAlignment="1">
      <alignment vertical="center"/>
    </xf>
    <xf numFmtId="2" fontId="6" fillId="16" borderId="0" xfId="0" applyNumberFormat="1" applyFont="1" applyFill="1" applyAlignment="1">
      <alignment horizontal="center" vertical="center"/>
    </xf>
    <xf numFmtId="0" fontId="7" fillId="17" borderId="2" xfId="0" applyFont="1" applyFill="1" applyBorder="1" applyAlignment="1">
      <alignment vertical="center"/>
    </xf>
    <xf numFmtId="2" fontId="7" fillId="17" borderId="2" xfId="0" applyNumberFormat="1" applyFont="1" applyFill="1" applyBorder="1" applyAlignment="1">
      <alignment horizontal="center" vertical="center"/>
    </xf>
    <xf numFmtId="0" fontId="6" fillId="17" borderId="0" xfId="0" applyFont="1" applyFill="1" applyAlignment="1">
      <alignment vertical="center"/>
    </xf>
    <xf numFmtId="2" fontId="6" fillId="17" borderId="0" xfId="0" applyNumberFormat="1" applyFont="1" applyFill="1" applyAlignment="1">
      <alignment horizontal="center" vertical="center"/>
    </xf>
    <xf numFmtId="0" fontId="7" fillId="18" borderId="2" xfId="0" applyFont="1" applyFill="1" applyBorder="1" applyAlignment="1">
      <alignment vertical="center"/>
    </xf>
    <xf numFmtId="2" fontId="7" fillId="18" borderId="2" xfId="0" applyNumberFormat="1" applyFont="1" applyFill="1" applyBorder="1" applyAlignment="1">
      <alignment horizontal="center" vertical="center"/>
    </xf>
    <xf numFmtId="0" fontId="6" fillId="18" borderId="0" xfId="0" applyFont="1" applyFill="1" applyAlignment="1">
      <alignment vertical="center"/>
    </xf>
    <xf numFmtId="2" fontId="6" fillId="18" borderId="0" xfId="0" applyNumberFormat="1" applyFont="1" applyFill="1" applyAlignment="1">
      <alignment horizontal="center" vertical="center"/>
    </xf>
    <xf numFmtId="2" fontId="7" fillId="19" borderId="2" xfId="0" applyNumberFormat="1" applyFont="1" applyFill="1" applyBorder="1" applyAlignment="1">
      <alignment horizontal="center" vertical="center"/>
    </xf>
    <xf numFmtId="0" fontId="6" fillId="19" borderId="0" xfId="0" applyFont="1" applyFill="1" applyAlignment="1">
      <alignment vertical="center"/>
    </xf>
    <xf numFmtId="2" fontId="6" fillId="19" borderId="0" xfId="0" applyNumberFormat="1" applyFont="1" applyFill="1" applyAlignment="1">
      <alignment horizontal="center" vertical="center"/>
    </xf>
    <xf numFmtId="0" fontId="7" fillId="10" borderId="2" xfId="0" applyFont="1" applyFill="1" applyBorder="1" applyAlignment="1">
      <alignment vertical="center"/>
    </xf>
    <xf numFmtId="2" fontId="7" fillId="10" borderId="2" xfId="0" applyNumberFormat="1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/>
    </xf>
    <xf numFmtId="2" fontId="6" fillId="10" borderId="0" xfId="0" applyNumberFormat="1" applyFont="1" applyFill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2" fontId="7" fillId="2" borderId="2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2" fontId="6" fillId="2" borderId="0" xfId="0" applyNumberFormat="1" applyFont="1" applyFill="1" applyAlignment="1">
      <alignment horizontal="center" vertical="center"/>
    </xf>
    <xf numFmtId="0" fontId="35" fillId="0" borderId="0" xfId="0" applyFont="1" applyAlignment="1">
      <alignment vertical="center"/>
    </xf>
    <xf numFmtId="43" fontId="35" fillId="0" borderId="0" xfId="1" applyFont="1" applyAlignment="1">
      <alignment vertical="center"/>
    </xf>
    <xf numFmtId="172" fontId="0" fillId="0" borderId="0" xfId="1" applyNumberFormat="1" applyFont="1" applyAlignment="1">
      <alignment horizontal="center" vertical="center"/>
    </xf>
    <xf numFmtId="172" fontId="0" fillId="0" borderId="0" xfId="1" applyNumberFormat="1" applyFont="1" applyAlignment="1">
      <alignment vertical="center"/>
    </xf>
    <xf numFmtId="171" fontId="6" fillId="5" borderId="0" xfId="2" applyNumberFormat="1" applyFont="1" applyFill="1" applyAlignment="1">
      <alignment horizontal="center" vertical="center"/>
    </xf>
    <xf numFmtId="171" fontId="6" fillId="13" borderId="0" xfId="2" applyNumberFormat="1" applyFont="1" applyFill="1" applyAlignment="1">
      <alignment horizontal="center" vertical="center"/>
    </xf>
    <xf numFmtId="171" fontId="7" fillId="4" borderId="2" xfId="2" applyNumberFormat="1" applyFont="1" applyFill="1" applyBorder="1" applyAlignment="1">
      <alignment vertical="center"/>
    </xf>
    <xf numFmtId="171" fontId="6" fillId="4" borderId="0" xfId="2" applyNumberFormat="1" applyFont="1" applyFill="1" applyAlignment="1">
      <alignment horizontal="center" vertical="center"/>
    </xf>
    <xf numFmtId="171" fontId="7" fillId="14" borderId="2" xfId="2" applyNumberFormat="1" applyFont="1" applyFill="1" applyBorder="1" applyAlignment="1">
      <alignment horizontal="center" vertical="center"/>
    </xf>
    <xf numFmtId="171" fontId="6" fillId="14" borderId="0" xfId="2" applyNumberFormat="1" applyFont="1" applyFill="1" applyAlignment="1">
      <alignment horizontal="center" vertical="center"/>
    </xf>
    <xf numFmtId="171" fontId="6" fillId="15" borderId="2" xfId="2" applyNumberFormat="1" applyFont="1" applyFill="1" applyBorder="1" applyAlignment="1">
      <alignment horizontal="center" vertical="center"/>
    </xf>
    <xf numFmtId="171" fontId="6" fillId="15" borderId="0" xfId="2" applyNumberFormat="1" applyFont="1" applyFill="1" applyAlignment="1">
      <alignment horizontal="center" vertical="center"/>
    </xf>
    <xf numFmtId="171" fontId="7" fillId="8" borderId="2" xfId="2" applyNumberFormat="1" applyFont="1" applyFill="1" applyBorder="1" applyAlignment="1">
      <alignment horizontal="center" vertical="center"/>
    </xf>
    <xf numFmtId="171" fontId="6" fillId="8" borderId="0" xfId="2" applyNumberFormat="1" applyFont="1" applyFill="1" applyAlignment="1">
      <alignment horizontal="center" vertical="center"/>
    </xf>
    <xf numFmtId="171" fontId="7" fillId="16" borderId="2" xfId="2" applyNumberFormat="1" applyFont="1" applyFill="1" applyBorder="1" applyAlignment="1">
      <alignment horizontal="center" vertical="center"/>
    </xf>
    <xf numFmtId="171" fontId="6" fillId="16" borderId="0" xfId="2" applyNumberFormat="1" applyFont="1" applyFill="1" applyAlignment="1">
      <alignment horizontal="center" vertical="center"/>
    </xf>
    <xf numFmtId="171" fontId="7" fillId="17" borderId="2" xfId="2" applyNumberFormat="1" applyFont="1" applyFill="1" applyBorder="1" applyAlignment="1">
      <alignment horizontal="center" vertical="center"/>
    </xf>
    <xf numFmtId="171" fontId="6" fillId="17" borderId="0" xfId="2" applyNumberFormat="1" applyFont="1" applyFill="1" applyAlignment="1">
      <alignment horizontal="center" vertical="center"/>
    </xf>
    <xf numFmtId="171" fontId="7" fillId="18" borderId="2" xfId="2" applyNumberFormat="1" applyFont="1" applyFill="1" applyBorder="1" applyAlignment="1">
      <alignment horizontal="center" vertical="center"/>
    </xf>
    <xf numFmtId="171" fontId="6" fillId="18" borderId="0" xfId="2" applyNumberFormat="1" applyFont="1" applyFill="1" applyAlignment="1">
      <alignment horizontal="center" vertical="center"/>
    </xf>
    <xf numFmtId="171" fontId="7" fillId="11" borderId="2" xfId="2" applyNumberFormat="1" applyFont="1" applyFill="1" applyBorder="1" applyAlignment="1">
      <alignment horizontal="center" vertical="center"/>
    </xf>
    <xf numFmtId="171" fontId="6" fillId="11" borderId="0" xfId="2" applyNumberFormat="1" applyFont="1" applyFill="1" applyAlignment="1">
      <alignment horizontal="center" vertical="center"/>
    </xf>
    <xf numFmtId="171" fontId="7" fillId="19" borderId="2" xfId="2" applyNumberFormat="1" applyFont="1" applyFill="1" applyBorder="1" applyAlignment="1">
      <alignment horizontal="center" vertical="center"/>
    </xf>
    <xf numFmtId="171" fontId="6" fillId="19" borderId="0" xfId="2" applyNumberFormat="1" applyFont="1" applyFill="1" applyAlignment="1">
      <alignment horizontal="center" vertical="center"/>
    </xf>
    <xf numFmtId="171" fontId="7" fillId="10" borderId="2" xfId="2" applyNumberFormat="1" applyFont="1" applyFill="1" applyBorder="1" applyAlignment="1">
      <alignment horizontal="center" vertical="center"/>
    </xf>
    <xf numFmtId="171" fontId="6" fillId="10" borderId="0" xfId="2" applyNumberFormat="1" applyFont="1" applyFill="1" applyAlignment="1">
      <alignment horizontal="center" vertical="center"/>
    </xf>
    <xf numFmtId="171" fontId="7" fillId="2" borderId="2" xfId="2" applyNumberFormat="1" applyFont="1" applyFill="1" applyBorder="1" applyAlignment="1">
      <alignment horizontal="center" vertical="center"/>
    </xf>
    <xf numFmtId="171" fontId="6" fillId="2" borderId="0" xfId="2" applyNumberFormat="1" applyFont="1" applyFill="1" applyAlignment="1">
      <alignment horizontal="center" vertical="center"/>
    </xf>
    <xf numFmtId="171" fontId="0" fillId="0" borderId="0" xfId="2" applyNumberFormat="1" applyFont="1" applyAlignment="1">
      <alignment horizontal="center" vertical="center"/>
    </xf>
    <xf numFmtId="171" fontId="0" fillId="0" borderId="0" xfId="2" applyNumberFormat="1" applyFont="1" applyAlignment="1">
      <alignment vertical="center"/>
    </xf>
    <xf numFmtId="0" fontId="18" fillId="10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 wrapText="1"/>
    </xf>
    <xf numFmtId="10" fontId="11" fillId="0" borderId="0" xfId="5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7" fillId="11" borderId="0" xfId="0" applyFont="1" applyFill="1" applyAlignment="1">
      <alignment vertical="center"/>
    </xf>
    <xf numFmtId="0" fontId="7" fillId="11" borderId="0" xfId="0" applyFont="1" applyFill="1" applyAlignment="1">
      <alignment horizontal="center" vertical="center"/>
    </xf>
    <xf numFmtId="169" fontId="16" fillId="9" borderId="0" xfId="0" applyNumberFormat="1" applyFont="1" applyFill="1" applyAlignment="1">
      <alignment horizontal="center" vertical="center"/>
    </xf>
    <xf numFmtId="169" fontId="7" fillId="11" borderId="0" xfId="0" applyNumberFormat="1" applyFont="1" applyFill="1" applyAlignment="1">
      <alignment horizontal="center" vertical="center"/>
    </xf>
    <xf numFmtId="0" fontId="7" fillId="20" borderId="0" xfId="0" applyFont="1" applyFill="1" applyAlignment="1">
      <alignment vertical="center"/>
    </xf>
    <xf numFmtId="2" fontId="7" fillId="20" borderId="0" xfId="0" applyNumberFormat="1" applyFont="1" applyFill="1" applyAlignment="1">
      <alignment horizontal="center" vertical="center"/>
    </xf>
    <xf numFmtId="165" fontId="7" fillId="20" borderId="0" xfId="0" applyNumberFormat="1" applyFont="1" applyFill="1" applyAlignment="1">
      <alignment horizontal="center" vertical="center"/>
    </xf>
    <xf numFmtId="0" fontId="6" fillId="20" borderId="0" xfId="0" applyFont="1" applyFill="1" applyAlignment="1">
      <alignment vertical="center"/>
    </xf>
    <xf numFmtId="2" fontId="6" fillId="20" borderId="0" xfId="0" applyNumberFormat="1" applyFont="1" applyFill="1" applyAlignment="1">
      <alignment horizontal="center" vertical="center"/>
    </xf>
    <xf numFmtId="0" fontId="29" fillId="2" borderId="1" xfId="3" applyFont="1" applyFill="1" applyBorder="1" applyAlignment="1">
      <alignment vertical="center"/>
    </xf>
    <xf numFmtId="167" fontId="29" fillId="2" borderId="1" xfId="3" applyNumberFormat="1" applyFont="1" applyFill="1" applyBorder="1" applyAlignment="1">
      <alignment horizontal="center" vertical="center"/>
    </xf>
    <xf numFmtId="164" fontId="29" fillId="2" borderId="1" xfId="3" applyNumberFormat="1" applyFont="1" applyFill="1" applyBorder="1" applyAlignment="1">
      <alignment horizontal="center" vertical="center"/>
    </xf>
    <xf numFmtId="0" fontId="29" fillId="2" borderId="0" xfId="3" applyFont="1" applyFill="1" applyAlignment="1">
      <alignment horizontal="left" vertical="center"/>
    </xf>
    <xf numFmtId="0" fontId="29" fillId="2" borderId="0" xfId="3" applyFont="1" applyFill="1" applyAlignment="1">
      <alignment horizontal="center" vertical="center"/>
    </xf>
    <xf numFmtId="0" fontId="29" fillId="2" borderId="1" xfId="3" applyFont="1" applyFill="1" applyBorder="1" applyAlignment="1">
      <alignment horizontal="left" vertical="center"/>
    </xf>
    <xf numFmtId="0" fontId="29" fillId="2" borderId="1" xfId="3" applyFont="1" applyFill="1" applyBorder="1" applyAlignment="1">
      <alignment horizontal="center" vertical="center"/>
    </xf>
    <xf numFmtId="0" fontId="29" fillId="2" borderId="0" xfId="3" applyFont="1" applyFill="1" applyAlignment="1">
      <alignment vertical="center"/>
    </xf>
    <xf numFmtId="167" fontId="29" fillId="2" borderId="0" xfId="3" applyNumberFormat="1" applyFont="1" applyFill="1" applyAlignment="1">
      <alignment horizontal="center" vertical="center"/>
    </xf>
    <xf numFmtId="164" fontId="29" fillId="2" borderId="0" xfId="3" applyNumberFormat="1" applyFont="1" applyFill="1" applyAlignment="1">
      <alignment horizontal="center" vertical="center"/>
    </xf>
    <xf numFmtId="0" fontId="6" fillId="0" borderId="3" xfId="3" applyFont="1" applyBorder="1" applyAlignment="1">
      <alignment horizontal="left" vertical="center"/>
    </xf>
    <xf numFmtId="2" fontId="11" fillId="0" borderId="3" xfId="3" applyNumberFormat="1" applyFont="1" applyBorder="1" applyAlignment="1">
      <alignment horizontal="center" vertical="center"/>
    </xf>
    <xf numFmtId="2" fontId="11" fillId="0" borderId="5" xfId="3" applyNumberFormat="1" applyFont="1" applyBorder="1" applyAlignment="1">
      <alignment horizontal="center" vertical="center"/>
    </xf>
    <xf numFmtId="2" fontId="11" fillId="0" borderId="6" xfId="3" applyNumberFormat="1" applyFont="1" applyBorder="1" applyAlignment="1">
      <alignment horizontal="center" vertical="center"/>
    </xf>
    <xf numFmtId="2" fontId="12" fillId="0" borderId="5" xfId="3" applyNumberFormat="1" applyFont="1" applyBorder="1" applyAlignment="1">
      <alignment horizontal="center" vertical="center"/>
    </xf>
    <xf numFmtId="2" fontId="7" fillId="4" borderId="7" xfId="3" applyNumberFormat="1" applyFont="1" applyFill="1" applyBorder="1" applyAlignment="1">
      <alignment horizontal="center" vertical="center"/>
    </xf>
    <xf numFmtId="2" fontId="10" fillId="3" borderId="7" xfId="3" applyNumberFormat="1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69" fontId="10" fillId="3" borderId="0" xfId="0" applyNumberFormat="1" applyFont="1" applyFill="1" applyAlignment="1">
      <alignment horizontal="left" vertical="center"/>
    </xf>
    <xf numFmtId="2" fontId="4" fillId="0" borderId="0" xfId="0" applyNumberFormat="1" applyFont="1" applyAlignment="1">
      <alignment horizontal="center" vertical="center"/>
    </xf>
    <xf numFmtId="0" fontId="12" fillId="0" borderId="0" xfId="3" applyFont="1" applyAlignment="1">
      <alignment vertical="center"/>
    </xf>
    <xf numFmtId="10" fontId="12" fillId="0" borderId="0" xfId="0" applyNumberFormat="1" applyFont="1" applyAlignment="1">
      <alignment vertical="center"/>
    </xf>
    <xf numFmtId="173" fontId="0" fillId="0" borderId="0" xfId="1" applyNumberFormat="1" applyFont="1" applyAlignment="1">
      <alignment vertical="center"/>
    </xf>
    <xf numFmtId="9" fontId="7" fillId="0" borderId="0" xfId="3" applyNumberFormat="1" applyFont="1" applyAlignment="1">
      <alignment horizontal="center" vertical="center"/>
    </xf>
    <xf numFmtId="2" fontId="29" fillId="0" borderId="0" xfId="3" applyNumberFormat="1" applyFont="1" applyAlignment="1">
      <alignment horizontal="center" vertical="center"/>
    </xf>
    <xf numFmtId="174" fontId="10" fillId="3" borderId="0" xfId="0" applyNumberFormat="1" applyFont="1" applyFill="1" applyAlignment="1">
      <alignment vertical="center"/>
    </xf>
    <xf numFmtId="175" fontId="10" fillId="3" borderId="0" xfId="0" applyNumberFormat="1" applyFont="1" applyFill="1" applyAlignment="1">
      <alignment vertical="center"/>
    </xf>
    <xf numFmtId="10" fontId="10" fillId="3" borderId="0" xfId="0" applyNumberFormat="1" applyFont="1" applyFill="1" applyAlignment="1">
      <alignment vertical="center"/>
    </xf>
    <xf numFmtId="0" fontId="10" fillId="3" borderId="8" xfId="0" applyFont="1" applyFill="1" applyBorder="1" applyAlignment="1">
      <alignment vertical="center"/>
    </xf>
    <xf numFmtId="9" fontId="10" fillId="3" borderId="8" xfId="0" applyNumberFormat="1" applyFont="1" applyFill="1" applyBorder="1" applyAlignment="1">
      <alignment vertical="center"/>
    </xf>
    <xf numFmtId="0" fontId="6" fillId="0" borderId="8" xfId="0" applyFont="1" applyBorder="1" applyAlignment="1">
      <alignment vertical="center"/>
    </xf>
    <xf numFmtId="9" fontId="6" fillId="0" borderId="8" xfId="0" applyNumberFormat="1" applyFont="1" applyBorder="1" applyAlignment="1">
      <alignment vertical="center"/>
    </xf>
    <xf numFmtId="10" fontId="6" fillId="0" borderId="8" xfId="0" applyNumberFormat="1" applyFont="1" applyBorder="1" applyAlignment="1">
      <alignment vertical="center"/>
    </xf>
    <xf numFmtId="10" fontId="10" fillId="3" borderId="8" xfId="0" applyNumberFormat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37" fillId="2" borderId="0" xfId="0" applyFont="1" applyFill="1" applyAlignment="1">
      <alignment vertical="center"/>
    </xf>
    <xf numFmtId="176" fontId="10" fillId="3" borderId="0" xfId="0" applyNumberFormat="1" applyFont="1" applyFill="1" applyAlignment="1">
      <alignment vertical="center"/>
    </xf>
    <xf numFmtId="43" fontId="0" fillId="0" borderId="0" xfId="1" applyFont="1" applyAlignment="1">
      <alignment vertical="center"/>
    </xf>
    <xf numFmtId="10" fontId="6" fillId="0" borderId="0" xfId="2" applyNumberFormat="1" applyFont="1" applyAlignment="1">
      <alignment vertical="center"/>
    </xf>
    <xf numFmtId="0" fontId="38" fillId="0" borderId="0" xfId="0" applyFont="1" applyAlignment="1">
      <alignment vertical="center"/>
    </xf>
    <xf numFmtId="0" fontId="4" fillId="0" borderId="9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2" fontId="7" fillId="0" borderId="9" xfId="0" applyNumberFormat="1" applyFont="1" applyBorder="1" applyAlignment="1">
      <alignment horizontal="center" vertical="center"/>
    </xf>
    <xf numFmtId="9" fontId="7" fillId="0" borderId="9" xfId="2" applyFont="1" applyFill="1" applyBorder="1" applyAlignment="1">
      <alignment horizontal="center" vertical="center"/>
    </xf>
    <xf numFmtId="2" fontId="31" fillId="0" borderId="0" xfId="3" applyNumberFormat="1" applyFont="1" applyAlignment="1">
      <alignment horizontal="center" vertical="center"/>
    </xf>
    <xf numFmtId="0" fontId="10" fillId="3" borderId="0" xfId="0" applyFont="1" applyFill="1" applyAlignment="1">
      <alignment horizontal="right" vertical="center" wrapText="1"/>
    </xf>
    <xf numFmtId="177" fontId="6" fillId="0" borderId="0" xfId="1" applyNumberFormat="1" applyFont="1" applyAlignment="1">
      <alignment vertical="center"/>
    </xf>
    <xf numFmtId="178" fontId="6" fillId="0" borderId="0" xfId="1" applyNumberFormat="1" applyFont="1" applyAlignment="1">
      <alignment vertical="center"/>
    </xf>
    <xf numFmtId="43" fontId="6" fillId="0" borderId="0" xfId="0" applyNumberFormat="1" applyFont="1" applyAlignment="1">
      <alignment vertical="center"/>
    </xf>
    <xf numFmtId="10" fontId="31" fillId="0" borderId="0" xfId="0" applyNumberFormat="1" applyFont="1" applyAlignment="1">
      <alignment horizontal="center" vertical="center"/>
    </xf>
    <xf numFmtId="0" fontId="40" fillId="0" borderId="0" xfId="3" applyFont="1" applyAlignment="1">
      <alignment vertical="center"/>
    </xf>
    <xf numFmtId="43" fontId="40" fillId="0" borderId="0" xfId="1" applyFont="1" applyAlignment="1">
      <alignment vertical="center"/>
    </xf>
    <xf numFmtId="9" fontId="40" fillId="0" borderId="0" xfId="2" applyFont="1" applyAlignment="1">
      <alignment vertical="center"/>
    </xf>
    <xf numFmtId="2" fontId="40" fillId="0" borderId="0" xfId="3" applyNumberFormat="1" applyFont="1" applyAlignment="1">
      <alignment vertical="center"/>
    </xf>
    <xf numFmtId="2" fontId="40" fillId="0" borderId="0" xfId="2" applyNumberFormat="1" applyFont="1" applyAlignment="1">
      <alignment vertical="center"/>
    </xf>
    <xf numFmtId="10" fontId="0" fillId="0" borderId="0" xfId="2" applyNumberFormat="1" applyFont="1" applyAlignment="1">
      <alignment vertical="center"/>
    </xf>
    <xf numFmtId="169" fontId="29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vertical="center"/>
    </xf>
    <xf numFmtId="9" fontId="16" fillId="21" borderId="0" xfId="3" applyNumberFormat="1" applyFont="1" applyFill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10" fontId="7" fillId="0" borderId="0" xfId="4" applyNumberFormat="1" applyFont="1" applyAlignment="1">
      <alignment horizontal="center" vertical="center"/>
    </xf>
    <xf numFmtId="10" fontId="10" fillId="3" borderId="2" xfId="4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10" fontId="6" fillId="0" borderId="0" xfId="0" applyNumberFormat="1" applyFont="1" applyAlignment="1">
      <alignment horizontal="center" vertical="center"/>
    </xf>
    <xf numFmtId="0" fontId="16" fillId="22" borderId="0" xfId="0" applyFont="1" applyFill="1" applyAlignment="1">
      <alignment vertical="center"/>
    </xf>
    <xf numFmtId="0" fontId="37" fillId="22" borderId="0" xfId="0" applyFont="1" applyFill="1" applyAlignment="1">
      <alignment vertical="center"/>
    </xf>
    <xf numFmtId="2" fontId="0" fillId="0" borderId="0" xfId="0" applyNumberFormat="1"/>
    <xf numFmtId="170" fontId="0" fillId="0" borderId="0" xfId="1" applyNumberFormat="1" applyFont="1"/>
    <xf numFmtId="9" fontId="0" fillId="0" borderId="0" xfId="2" applyFont="1"/>
    <xf numFmtId="170" fontId="0" fillId="0" borderId="0" xfId="0" applyNumberFormat="1"/>
    <xf numFmtId="43" fontId="0" fillId="0" borderId="0" xfId="0" applyNumberFormat="1"/>
    <xf numFmtId="0" fontId="18" fillId="9" borderId="0" xfId="0" applyFont="1" applyFill="1" applyAlignment="1">
      <alignment horizontal="center" vertical="center"/>
    </xf>
    <xf numFmtId="2" fontId="6" fillId="0" borderId="0" xfId="4" applyNumberFormat="1" applyFont="1" applyFill="1" applyAlignment="1">
      <alignment horizontal="center" vertical="center"/>
    </xf>
    <xf numFmtId="171" fontId="6" fillId="0" borderId="0" xfId="2" applyNumberFormat="1" applyFont="1" applyFill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7" fillId="18" borderId="10" xfId="0" applyFont="1" applyFill="1" applyBorder="1" applyAlignment="1">
      <alignment vertical="center"/>
    </xf>
    <xf numFmtId="171" fontId="7" fillId="18" borderId="11" xfId="2" applyNumberFormat="1" applyFont="1" applyFill="1" applyBorder="1" applyAlignment="1">
      <alignment horizontal="center" vertical="center"/>
    </xf>
    <xf numFmtId="2" fontId="6" fillId="19" borderId="2" xfId="0" applyNumberFormat="1" applyFont="1" applyFill="1" applyBorder="1" applyAlignment="1">
      <alignment horizontal="center" vertical="center"/>
    </xf>
    <xf numFmtId="2" fontId="6" fillId="18" borderId="2" xfId="0" applyNumberFormat="1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vertical="center"/>
    </xf>
    <xf numFmtId="171" fontId="7" fillId="11" borderId="11" xfId="2" applyNumberFormat="1" applyFont="1" applyFill="1" applyBorder="1" applyAlignment="1">
      <alignment horizontal="center" vertical="center"/>
    </xf>
    <xf numFmtId="0" fontId="7" fillId="17" borderId="10" xfId="0" applyFont="1" applyFill="1" applyBorder="1" applyAlignment="1">
      <alignment vertical="center"/>
    </xf>
    <xf numFmtId="171" fontId="7" fillId="17" borderId="11" xfId="2" applyNumberFormat="1" applyFont="1" applyFill="1" applyBorder="1" applyAlignment="1">
      <alignment horizontal="center" vertical="center"/>
    </xf>
    <xf numFmtId="2" fontId="6" fillId="17" borderId="2" xfId="0" applyNumberFormat="1" applyFont="1" applyFill="1" applyBorder="1" applyAlignment="1">
      <alignment horizontal="center" vertical="center"/>
    </xf>
    <xf numFmtId="0" fontId="7" fillId="19" borderId="10" xfId="0" applyFont="1" applyFill="1" applyBorder="1" applyAlignment="1">
      <alignment vertical="center"/>
    </xf>
    <xf numFmtId="171" fontId="7" fillId="19" borderId="11" xfId="2" applyNumberFormat="1" applyFont="1" applyFill="1" applyBorder="1" applyAlignment="1">
      <alignment horizontal="center" vertical="center"/>
    </xf>
    <xf numFmtId="0" fontId="7" fillId="10" borderId="10" xfId="0" applyFont="1" applyFill="1" applyBorder="1" applyAlignment="1">
      <alignment vertical="center"/>
    </xf>
    <xf numFmtId="2" fontId="6" fillId="23" borderId="2" xfId="0" applyNumberFormat="1" applyFont="1" applyFill="1" applyBorder="1" applyAlignment="1">
      <alignment horizontal="center" vertical="center"/>
    </xf>
    <xf numFmtId="171" fontId="7" fillId="10" borderId="11" xfId="2" applyNumberFormat="1" applyFont="1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4" fontId="26" fillId="0" borderId="0" xfId="0" applyNumberFormat="1" applyFont="1" applyAlignment="1">
      <alignment horizontal="center" vertical="center"/>
    </xf>
    <xf numFmtId="43" fontId="41" fillId="16" borderId="0" xfId="1" applyFont="1" applyFill="1" applyAlignment="1">
      <alignment vertical="center"/>
    </xf>
    <xf numFmtId="0" fontId="7" fillId="16" borderId="0" xfId="3" applyFont="1" applyFill="1" applyAlignment="1">
      <alignment vertical="center"/>
    </xf>
    <xf numFmtId="43" fontId="7" fillId="16" borderId="0" xfId="1" applyFont="1" applyFill="1" applyAlignment="1">
      <alignment vertical="center"/>
    </xf>
    <xf numFmtId="0" fontId="41" fillId="16" borderId="0" xfId="3" applyFont="1" applyFill="1" applyAlignment="1">
      <alignment vertical="center"/>
    </xf>
    <xf numFmtId="43" fontId="7" fillId="16" borderId="0" xfId="3" applyNumberFormat="1" applyFont="1" applyFill="1" applyAlignment="1">
      <alignment vertical="center"/>
    </xf>
    <xf numFmtId="9" fontId="7" fillId="16" borderId="0" xfId="2" applyFont="1" applyFill="1" applyAlignment="1">
      <alignment vertical="center"/>
    </xf>
    <xf numFmtId="2" fontId="7" fillId="16" borderId="0" xfId="3" applyNumberFormat="1" applyFont="1" applyFill="1" applyAlignment="1">
      <alignment vertical="center"/>
    </xf>
    <xf numFmtId="2" fontId="7" fillId="16" borderId="0" xfId="2" applyNumberFormat="1" applyFont="1" applyFill="1" applyAlignment="1">
      <alignment vertical="center"/>
    </xf>
    <xf numFmtId="49" fontId="44" fillId="24" borderId="13" xfId="0" applyNumberFormat="1" applyFont="1" applyFill="1" applyBorder="1" applyAlignment="1">
      <alignment vertical="top" wrapText="1"/>
    </xf>
    <xf numFmtId="10" fontId="43" fillId="24" borderId="12" xfId="0" applyNumberFormat="1" applyFont="1" applyFill="1" applyBorder="1" applyAlignment="1">
      <alignment horizontal="center" vertical="top" wrapText="1"/>
    </xf>
    <xf numFmtId="9" fontId="11" fillId="0" borderId="0" xfId="2" applyFont="1" applyAlignment="1">
      <alignment horizontal="center" vertical="center"/>
    </xf>
    <xf numFmtId="0" fontId="44" fillId="24" borderId="14" xfId="0" applyFont="1" applyFill="1" applyBorder="1" applyAlignment="1">
      <alignment vertical="top" wrapText="1"/>
    </xf>
    <xf numFmtId="3" fontId="43" fillId="24" borderId="12" xfId="0" applyNumberFormat="1" applyFont="1" applyFill="1" applyBorder="1" applyAlignment="1">
      <alignment horizontal="center" vertical="top" wrapText="1"/>
    </xf>
    <xf numFmtId="0" fontId="44" fillId="24" borderId="13" xfId="0" applyFont="1" applyFill="1" applyBorder="1" applyAlignment="1">
      <alignment vertical="top" wrapText="1"/>
    </xf>
    <xf numFmtId="3" fontId="2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6" fillId="0" borderId="8" xfId="3" applyFont="1" applyBorder="1" applyAlignment="1">
      <alignment vertical="center"/>
    </xf>
    <xf numFmtId="43" fontId="6" fillId="0" borderId="8" xfId="1" applyFont="1" applyBorder="1" applyAlignment="1">
      <alignment vertical="center"/>
    </xf>
    <xf numFmtId="0" fontId="7" fillId="0" borderId="8" xfId="3" applyFont="1" applyBorder="1" applyAlignment="1">
      <alignment vertical="center"/>
    </xf>
    <xf numFmtId="0" fontId="7" fillId="0" borderId="0" xfId="3" applyFont="1" applyAlignment="1">
      <alignment vertical="center"/>
    </xf>
    <xf numFmtId="2" fontId="6" fillId="0" borderId="8" xfId="3" applyNumberFormat="1" applyFont="1" applyBorder="1" applyAlignment="1">
      <alignment vertical="center"/>
    </xf>
    <xf numFmtId="9" fontId="6" fillId="0" borderId="0" xfId="3" applyNumberFormat="1" applyFont="1" applyAlignment="1">
      <alignment vertical="center"/>
    </xf>
    <xf numFmtId="10" fontId="6" fillId="0" borderId="0" xfId="3" applyNumberFormat="1" applyFont="1" applyAlignment="1">
      <alignment vertical="center"/>
    </xf>
    <xf numFmtId="2" fontId="6" fillId="4" borderId="0" xfId="2" applyNumberFormat="1" applyFont="1" applyFill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10" fontId="12" fillId="0" borderId="0" xfId="3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25" borderId="0" xfId="3" applyFont="1" applyFill="1" applyAlignment="1">
      <alignment vertical="center"/>
    </xf>
    <xf numFmtId="179" fontId="11" fillId="0" borderId="0" xfId="0" applyNumberFormat="1" applyFont="1" applyAlignment="1">
      <alignment horizontal="center" vertical="center"/>
    </xf>
    <xf numFmtId="174" fontId="10" fillId="3" borderId="0" xfId="0" applyNumberFormat="1" applyFont="1" applyFill="1" applyAlignment="1">
      <alignment horizontal="center" vertical="center"/>
    </xf>
    <xf numFmtId="0" fontId="0" fillId="0" borderId="8" xfId="0" applyBorder="1" applyAlignment="1">
      <alignment vertical="center"/>
    </xf>
    <xf numFmtId="2" fontId="0" fillId="0" borderId="8" xfId="0" applyNumberFormat="1" applyBorder="1" applyAlignment="1">
      <alignment vertical="center"/>
    </xf>
    <xf numFmtId="43" fontId="0" fillId="0" borderId="0" xfId="0" applyNumberFormat="1" applyAlignment="1">
      <alignment vertical="center"/>
    </xf>
    <xf numFmtId="0" fontId="4" fillId="11" borderId="15" xfId="0" applyFont="1" applyFill="1" applyBorder="1" applyAlignment="1">
      <alignment vertical="center"/>
    </xf>
    <xf numFmtId="10" fontId="4" fillId="11" borderId="16" xfId="2" applyNumberFormat="1" applyFont="1" applyFill="1" applyBorder="1" applyAlignment="1">
      <alignment horizontal="center" vertical="center"/>
    </xf>
    <xf numFmtId="0" fontId="4" fillId="11" borderId="17" xfId="0" applyFont="1" applyFill="1" applyBorder="1" applyAlignment="1">
      <alignment vertical="center"/>
    </xf>
    <xf numFmtId="10" fontId="4" fillId="11" borderId="18" xfId="0" applyNumberFormat="1" applyFont="1" applyFill="1" applyBorder="1" applyAlignment="1">
      <alignment vertical="center"/>
    </xf>
    <xf numFmtId="2" fontId="45" fillId="0" borderId="0" xfId="0" applyNumberFormat="1" applyFont="1" applyAlignment="1">
      <alignment horizontal="center" vertical="center"/>
    </xf>
    <xf numFmtId="2" fontId="45" fillId="0" borderId="2" xfId="0" applyNumberFormat="1" applyFont="1" applyBorder="1" applyAlignment="1">
      <alignment horizontal="center" vertical="center"/>
    </xf>
    <xf numFmtId="164" fontId="29" fillId="2" borderId="5" xfId="3" applyNumberFormat="1" applyFont="1" applyFill="1" applyBorder="1" applyAlignment="1">
      <alignment horizontal="center" vertical="center" wrapText="1"/>
    </xf>
    <xf numFmtId="164" fontId="29" fillId="2" borderId="4" xfId="3" applyNumberFormat="1" applyFont="1" applyFill="1" applyBorder="1" applyAlignment="1">
      <alignment horizontal="center" vertical="center" wrapText="1"/>
    </xf>
    <xf numFmtId="164" fontId="29" fillId="2" borderId="0" xfId="3" applyNumberFormat="1" applyFont="1" applyFill="1" applyAlignment="1">
      <alignment horizontal="center" vertical="center"/>
    </xf>
    <xf numFmtId="164" fontId="29" fillId="2" borderId="1" xfId="3" applyNumberFormat="1" applyFont="1" applyFill="1" applyBorder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18" fillId="10" borderId="0" xfId="0" applyFont="1" applyFill="1" applyAlignment="1">
      <alignment horizontal="left" vertical="center"/>
    </xf>
    <xf numFmtId="0" fontId="13" fillId="6" borderId="0" xfId="3" applyFont="1" applyFill="1" applyAlignment="1">
      <alignment horizontal="left" vertical="center"/>
    </xf>
    <xf numFmtId="0" fontId="8" fillId="7" borderId="0" xfId="3" applyFont="1" applyFill="1" applyAlignment="1">
      <alignment horizontal="left" vertical="center"/>
    </xf>
    <xf numFmtId="0" fontId="18" fillId="10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left" vertical="center"/>
    </xf>
  </cellXfs>
  <cellStyles count="7">
    <cellStyle name="Comma" xfId="1" builtinId="3"/>
    <cellStyle name="Normal" xfId="0" builtinId="0"/>
    <cellStyle name="Normal 2" xfId="3" xr:uid="{00000000-0005-0000-0000-000002000000}"/>
    <cellStyle name="Normal 3" xfId="6" xr:uid="{584BB269-B1B5-40A4-8D36-E8F0D98CB21F}"/>
    <cellStyle name="Percent" xfId="2" builtinId="5"/>
    <cellStyle name="Percent 2" xfId="4" xr:uid="{00000000-0005-0000-0000-000004000000}"/>
    <cellStyle name="Percent 4" xfId="5" xr:uid="{00000000-0005-0000-0000-000005000000}"/>
  </cellStyles>
  <dxfs count="2"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b="1"/>
              <a:t>Key Metrics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Ratio!$B$105</c:f>
              <c:strCache>
                <c:ptCount val="1"/>
                <c:pt idx="0">
                  <c:v>EBITDA Margin %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Ratio!$F$8:$AD$8</c:f>
              <c:numCache>
                <c:formatCode>[$-409]d\-mmm\-yy;@</c:formatCode>
                <c:ptCount val="25"/>
                <c:pt idx="0">
                  <c:v>46112</c:v>
                </c:pt>
                <c:pt idx="1">
                  <c:v>46477</c:v>
                </c:pt>
                <c:pt idx="2">
                  <c:v>46843</c:v>
                </c:pt>
                <c:pt idx="3">
                  <c:v>47208</c:v>
                </c:pt>
                <c:pt idx="4">
                  <c:v>47573</c:v>
                </c:pt>
                <c:pt idx="5">
                  <c:v>47938</c:v>
                </c:pt>
                <c:pt idx="6">
                  <c:v>48304</c:v>
                </c:pt>
                <c:pt idx="7">
                  <c:v>48669</c:v>
                </c:pt>
                <c:pt idx="8">
                  <c:v>49034</c:v>
                </c:pt>
                <c:pt idx="9">
                  <c:v>49399</c:v>
                </c:pt>
                <c:pt idx="10">
                  <c:v>49765</c:v>
                </c:pt>
                <c:pt idx="11">
                  <c:v>50130</c:v>
                </c:pt>
                <c:pt idx="12">
                  <c:v>50495</c:v>
                </c:pt>
                <c:pt idx="13">
                  <c:v>50860</c:v>
                </c:pt>
                <c:pt idx="14">
                  <c:v>51226</c:v>
                </c:pt>
                <c:pt idx="15">
                  <c:v>51591</c:v>
                </c:pt>
                <c:pt idx="16">
                  <c:v>51956</c:v>
                </c:pt>
                <c:pt idx="17">
                  <c:v>52321</c:v>
                </c:pt>
                <c:pt idx="18">
                  <c:v>52687</c:v>
                </c:pt>
                <c:pt idx="19">
                  <c:v>53052</c:v>
                </c:pt>
                <c:pt idx="20">
                  <c:v>53417</c:v>
                </c:pt>
                <c:pt idx="21">
                  <c:v>53782</c:v>
                </c:pt>
                <c:pt idx="22">
                  <c:v>54148</c:v>
                </c:pt>
                <c:pt idx="23">
                  <c:v>54513</c:v>
                </c:pt>
                <c:pt idx="24">
                  <c:v>54878</c:v>
                </c:pt>
              </c:numCache>
            </c:numRef>
          </c:cat>
          <c:val>
            <c:numRef>
              <c:f>Ratio!$F$105:$AD$105</c:f>
              <c:numCache>
                <c:formatCode>0.00%</c:formatCode>
                <c:ptCount val="25"/>
                <c:pt idx="0">
                  <c:v>0.88966327285033764</c:v>
                </c:pt>
                <c:pt idx="1">
                  <c:v>0.90249893886654875</c:v>
                </c:pt>
                <c:pt idx="2">
                  <c:v>0.92005499849292072</c:v>
                </c:pt>
                <c:pt idx="3">
                  <c:v>0.89608436254608714</c:v>
                </c:pt>
                <c:pt idx="4">
                  <c:v>0.89299568181309152</c:v>
                </c:pt>
                <c:pt idx="5">
                  <c:v>0.88897940396033215</c:v>
                </c:pt>
                <c:pt idx="6">
                  <c:v>0.88582391026291607</c:v>
                </c:pt>
                <c:pt idx="7">
                  <c:v>0.88197483526847165</c:v>
                </c:pt>
                <c:pt idx="8">
                  <c:v>0.87738546667462836</c:v>
                </c:pt>
                <c:pt idx="9">
                  <c:v>0.87344189629822822</c:v>
                </c:pt>
                <c:pt idx="10">
                  <c:v>0.86961888951131661</c:v>
                </c:pt>
                <c:pt idx="11">
                  <c:v>0.86410578634453961</c:v>
                </c:pt>
                <c:pt idx="12">
                  <c:v>0.85959084474699432</c:v>
                </c:pt>
                <c:pt idx="13">
                  <c:v>0.85487660011041622</c:v>
                </c:pt>
                <c:pt idx="14">
                  <c:v>0.84933421731134018</c:v>
                </c:pt>
                <c:pt idx="15">
                  <c:v>0.84384331989407813</c:v>
                </c:pt>
                <c:pt idx="16">
                  <c:v>0.83848135726383943</c:v>
                </c:pt>
                <c:pt idx="17">
                  <c:v>0.83184116593942481</c:v>
                </c:pt>
                <c:pt idx="18">
                  <c:v>0.82641154707838971</c:v>
                </c:pt>
                <c:pt idx="19">
                  <c:v>0.81992834072100662</c:v>
                </c:pt>
                <c:pt idx="20">
                  <c:v>0.81246106547535457</c:v>
                </c:pt>
                <c:pt idx="21">
                  <c:v>0.80585774130174315</c:v>
                </c:pt>
                <c:pt idx="22">
                  <c:v>0.79945480884480469</c:v>
                </c:pt>
                <c:pt idx="23">
                  <c:v>0.79059942939850414</c:v>
                </c:pt>
                <c:pt idx="24">
                  <c:v>0.7831406757979873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CF-48AE-9BE1-4F1C3842BDEA}"/>
            </c:ext>
          </c:extLst>
        </c:ser>
        <c:ser>
          <c:idx val="1"/>
          <c:order val="1"/>
          <c:tx>
            <c:strRef>
              <c:f>Ratio!$B$106</c:f>
              <c:strCache>
                <c:ptCount val="1"/>
                <c:pt idx="0">
                  <c:v>EBIT Margin 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Ratio!$F$8:$AD$8</c:f>
              <c:numCache>
                <c:formatCode>[$-409]d\-mmm\-yy;@</c:formatCode>
                <c:ptCount val="25"/>
                <c:pt idx="0">
                  <c:v>46112</c:v>
                </c:pt>
                <c:pt idx="1">
                  <c:v>46477</c:v>
                </c:pt>
                <c:pt idx="2">
                  <c:v>46843</c:v>
                </c:pt>
                <c:pt idx="3">
                  <c:v>47208</c:v>
                </c:pt>
                <c:pt idx="4">
                  <c:v>47573</c:v>
                </c:pt>
                <c:pt idx="5">
                  <c:v>47938</c:v>
                </c:pt>
                <c:pt idx="6">
                  <c:v>48304</c:v>
                </c:pt>
                <c:pt idx="7">
                  <c:v>48669</c:v>
                </c:pt>
                <c:pt idx="8">
                  <c:v>49034</c:v>
                </c:pt>
                <c:pt idx="9">
                  <c:v>49399</c:v>
                </c:pt>
                <c:pt idx="10">
                  <c:v>49765</c:v>
                </c:pt>
                <c:pt idx="11">
                  <c:v>50130</c:v>
                </c:pt>
                <c:pt idx="12">
                  <c:v>50495</c:v>
                </c:pt>
                <c:pt idx="13">
                  <c:v>50860</c:v>
                </c:pt>
                <c:pt idx="14">
                  <c:v>51226</c:v>
                </c:pt>
                <c:pt idx="15">
                  <c:v>51591</c:v>
                </c:pt>
                <c:pt idx="16">
                  <c:v>51956</c:v>
                </c:pt>
                <c:pt idx="17">
                  <c:v>52321</c:v>
                </c:pt>
                <c:pt idx="18">
                  <c:v>52687</c:v>
                </c:pt>
                <c:pt idx="19">
                  <c:v>53052</c:v>
                </c:pt>
                <c:pt idx="20">
                  <c:v>53417</c:v>
                </c:pt>
                <c:pt idx="21">
                  <c:v>53782</c:v>
                </c:pt>
                <c:pt idx="22">
                  <c:v>54148</c:v>
                </c:pt>
                <c:pt idx="23">
                  <c:v>54513</c:v>
                </c:pt>
                <c:pt idx="24">
                  <c:v>54878</c:v>
                </c:pt>
              </c:numCache>
            </c:numRef>
          </c:cat>
          <c:val>
            <c:numRef>
              <c:f>Ratio!$F$106:$AD$106</c:f>
              <c:numCache>
                <c:formatCode>0.00%</c:formatCode>
                <c:ptCount val="25"/>
                <c:pt idx="0">
                  <c:v>0.33711679331253896</c:v>
                </c:pt>
                <c:pt idx="1">
                  <c:v>0.35777292253447346</c:v>
                </c:pt>
                <c:pt idx="2">
                  <c:v>0.51503440876855722</c:v>
                </c:pt>
                <c:pt idx="3">
                  <c:v>0.41792735543826676</c:v>
                </c:pt>
                <c:pt idx="4">
                  <c:v>0.44496073957459925</c:v>
                </c:pt>
                <c:pt idx="5">
                  <c:v>0.46916969766034083</c:v>
                </c:pt>
                <c:pt idx="6">
                  <c:v>0.49244237732831653</c:v>
                </c:pt>
                <c:pt idx="7">
                  <c:v>0.51347380438172685</c:v>
                </c:pt>
                <c:pt idx="8">
                  <c:v>0.5321010836874196</c:v>
                </c:pt>
                <c:pt idx="9">
                  <c:v>0.54991204184999498</c:v>
                </c:pt>
                <c:pt idx="10">
                  <c:v>0.56645774793465997</c:v>
                </c:pt>
                <c:pt idx="11">
                  <c:v>0.58012158824438265</c:v>
                </c:pt>
                <c:pt idx="12">
                  <c:v>0.59350048084991402</c:v>
                </c:pt>
                <c:pt idx="13">
                  <c:v>0.60555305932075632</c:v>
                </c:pt>
                <c:pt idx="14">
                  <c:v>0.61570882461065568</c:v>
                </c:pt>
                <c:pt idx="15">
                  <c:v>0.62499842171955056</c:v>
                </c:pt>
                <c:pt idx="16">
                  <c:v>0.63342746640859815</c:v>
                </c:pt>
                <c:pt idx="17">
                  <c:v>0.6397095942785177</c:v>
                </c:pt>
                <c:pt idx="18">
                  <c:v>0.64637818750974041</c:v>
                </c:pt>
                <c:pt idx="19">
                  <c:v>0.65128665243424111</c:v>
                </c:pt>
                <c:pt idx="20">
                  <c:v>0.654447995360116</c:v>
                </c:pt>
                <c:pt idx="21">
                  <c:v>0.65780372932830222</c:v>
                </c:pt>
                <c:pt idx="22">
                  <c:v>0.66072434946713721</c:v>
                </c:pt>
                <c:pt idx="23">
                  <c:v>0.66064856305189124</c:v>
                </c:pt>
                <c:pt idx="24">
                  <c:v>0.66138096912939137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CF-48AE-9BE1-4F1C3842BDEA}"/>
            </c:ext>
          </c:extLst>
        </c:ser>
        <c:ser>
          <c:idx val="2"/>
          <c:order val="2"/>
          <c:tx>
            <c:strRef>
              <c:f>Ratio!$B$107</c:f>
              <c:strCache>
                <c:ptCount val="1"/>
                <c:pt idx="0">
                  <c:v>PAT Margin %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Ratio!$F$8:$AD$8</c:f>
              <c:numCache>
                <c:formatCode>[$-409]d\-mmm\-yy;@</c:formatCode>
                <c:ptCount val="25"/>
                <c:pt idx="0">
                  <c:v>46112</c:v>
                </c:pt>
                <c:pt idx="1">
                  <c:v>46477</c:v>
                </c:pt>
                <c:pt idx="2">
                  <c:v>46843</c:v>
                </c:pt>
                <c:pt idx="3">
                  <c:v>47208</c:v>
                </c:pt>
                <c:pt idx="4">
                  <c:v>47573</c:v>
                </c:pt>
                <c:pt idx="5">
                  <c:v>47938</c:v>
                </c:pt>
                <c:pt idx="6">
                  <c:v>48304</c:v>
                </c:pt>
                <c:pt idx="7">
                  <c:v>48669</c:v>
                </c:pt>
                <c:pt idx="8">
                  <c:v>49034</c:v>
                </c:pt>
                <c:pt idx="9">
                  <c:v>49399</c:v>
                </c:pt>
                <c:pt idx="10">
                  <c:v>49765</c:v>
                </c:pt>
                <c:pt idx="11">
                  <c:v>50130</c:v>
                </c:pt>
                <c:pt idx="12">
                  <c:v>50495</c:v>
                </c:pt>
                <c:pt idx="13">
                  <c:v>50860</c:v>
                </c:pt>
                <c:pt idx="14">
                  <c:v>51226</c:v>
                </c:pt>
                <c:pt idx="15">
                  <c:v>51591</c:v>
                </c:pt>
                <c:pt idx="16">
                  <c:v>51956</c:v>
                </c:pt>
                <c:pt idx="17">
                  <c:v>52321</c:v>
                </c:pt>
                <c:pt idx="18">
                  <c:v>52687</c:v>
                </c:pt>
                <c:pt idx="19">
                  <c:v>53052</c:v>
                </c:pt>
                <c:pt idx="20">
                  <c:v>53417</c:v>
                </c:pt>
                <c:pt idx="21">
                  <c:v>53782</c:v>
                </c:pt>
                <c:pt idx="22">
                  <c:v>54148</c:v>
                </c:pt>
                <c:pt idx="23">
                  <c:v>54513</c:v>
                </c:pt>
                <c:pt idx="24">
                  <c:v>54878</c:v>
                </c:pt>
              </c:numCache>
            </c:numRef>
          </c:cat>
          <c:val>
            <c:numRef>
              <c:f>Ratio!$F$107:$AD$107</c:f>
              <c:numCache>
                <c:formatCode>0.00%</c:formatCode>
                <c:ptCount val="25"/>
                <c:pt idx="0">
                  <c:v>-0.20284978233208761</c:v>
                </c:pt>
                <c:pt idx="1">
                  <c:v>-0.16717372827336552</c:v>
                </c:pt>
                <c:pt idx="2">
                  <c:v>0.10220512280675589</c:v>
                </c:pt>
                <c:pt idx="3">
                  <c:v>-4.6326696957225987E-2</c:v>
                </c:pt>
                <c:pt idx="4">
                  <c:v>9.9700124343898421E-3</c:v>
                </c:pt>
                <c:pt idx="5">
                  <c:v>5.6530644543301999E-2</c:v>
                </c:pt>
                <c:pt idx="6">
                  <c:v>0.10369558914173237</c:v>
                </c:pt>
                <c:pt idx="7">
                  <c:v>0.14662760696741861</c:v>
                </c:pt>
                <c:pt idx="8">
                  <c:v>0.18761623360373797</c:v>
                </c:pt>
                <c:pt idx="9">
                  <c:v>0.2284631251103299</c:v>
                </c:pt>
                <c:pt idx="10">
                  <c:v>0.26934161371060594</c:v>
                </c:pt>
                <c:pt idx="11">
                  <c:v>0.3073086489661625</c:v>
                </c:pt>
                <c:pt idx="12">
                  <c:v>0.34613553168362438</c:v>
                </c:pt>
                <c:pt idx="13">
                  <c:v>0.38443053566661739</c:v>
                </c:pt>
                <c:pt idx="14">
                  <c:v>0.41972487619893967</c:v>
                </c:pt>
                <c:pt idx="15">
                  <c:v>0.45208630197235078</c:v>
                </c:pt>
                <c:pt idx="16">
                  <c:v>0.48447953740603872</c:v>
                </c:pt>
                <c:pt idx="17">
                  <c:v>0.51565257658871555</c:v>
                </c:pt>
                <c:pt idx="18">
                  <c:v>0.53545969053306897</c:v>
                </c:pt>
                <c:pt idx="19">
                  <c:v>0.53952586287652538</c:v>
                </c:pt>
                <c:pt idx="20">
                  <c:v>0.52297333842499194</c:v>
                </c:pt>
                <c:pt idx="21">
                  <c:v>0.46804406418825256</c:v>
                </c:pt>
                <c:pt idx="22">
                  <c:v>0.47072775883858264</c:v>
                </c:pt>
                <c:pt idx="23">
                  <c:v>0.47128812019988098</c:v>
                </c:pt>
                <c:pt idx="24">
                  <c:v>0.47253587615546999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CF-48AE-9BE1-4F1C3842B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3129888"/>
        <c:axId val="373130968"/>
      </c:lineChart>
      <c:dateAx>
        <c:axId val="373129888"/>
        <c:scaling>
          <c:orientation val="minMax"/>
        </c:scaling>
        <c:delete val="0"/>
        <c:axPos val="b"/>
        <c:numFmt formatCode="&quot;FY&quot;\ 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130968"/>
        <c:crosses val="autoZero"/>
        <c:auto val="1"/>
        <c:lblOffset val="100"/>
        <c:baseTimeUnit val="years"/>
      </c:dateAx>
      <c:valAx>
        <c:axId val="373130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129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118</xdr:row>
      <xdr:rowOff>0</xdr:rowOff>
    </xdr:from>
    <xdr:to>
      <xdr:col>8</xdr:col>
      <xdr:colOff>304800</xdr:colOff>
      <xdr:row>132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07967A-795A-4A41-8DC7-734679B797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In%20Progress%20Files\Mohd.%20Umair\TEV%20reports\OMC%20Power%20Private%20Limited\working\Financial%20Model\Financial%20Model%20-Solar%20Power%20(20%20MW%20DC%20OMC%20Power)%20v3.xlsx" TargetMode="External"/><Relationship Id="rId1" Type="http://schemas.openxmlformats.org/officeDocument/2006/relationships/externalLinkPath" Target="/In%20Progress%20Files/Mohd.%20Umair/TEV%20reports/OMC%20Power%20Private%20Limited/working/Financial%20Model/Financial%20Model%20-Solar%20Power%20(20%20MW%20DC%20OMC%20Power)%20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rive\1.%20Sai%20Bandhan\Reports\70%20MW%20SOLAR%20POWER%20PLANT%20CAPTIVE%20OPEN%20AC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C &amp; MoF"/>
      <sheetName val="Assumptions"/>
      <sheetName val="Revenue &amp; Expenses Modeling"/>
      <sheetName val="IS"/>
      <sheetName val="BS"/>
      <sheetName val="CFS"/>
      <sheetName val="Loan Schedule"/>
      <sheetName val="Dep Schedule"/>
      <sheetName val="Tax Schedule"/>
      <sheetName val="Ratio"/>
      <sheetName val="PO wise details"/>
      <sheetName val="Sheet1"/>
      <sheetName val="Sheet2"/>
    </sheetNames>
    <sheetDataSet>
      <sheetData sheetId="0">
        <row r="1">
          <cell r="B1" t="str">
            <v>M/s. OMC Power Private Limited</v>
          </cell>
        </row>
        <row r="3">
          <cell r="B3" t="str">
            <v>Financial Model for Proposed 35 locations Solar Power Plant (20 MW )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se Rental Detials"/>
      <sheetName val="Revised Cost Sheet"/>
      <sheetName val="6 TPD CBG Cost sheet"/>
      <sheetName val="TPC and MoF"/>
      <sheetName val="Sheet2"/>
      <sheetName val="Common Assumption"/>
      <sheetName val="Revenue &amp; Expense Modelling"/>
      <sheetName val="IS"/>
      <sheetName val="BS"/>
      <sheetName val="CFS"/>
      <sheetName val="Loan Schedule"/>
      <sheetName val="Depreciation Schedule"/>
      <sheetName val="Tax Calculations"/>
      <sheetName val="DSCR"/>
      <sheetName val="NPV &amp; IRR, Payback Period"/>
      <sheetName val="Ratio and Break Even Analysis"/>
      <sheetName val="Sheet3"/>
      <sheetName val="Sheet1"/>
    </sheetNames>
    <sheetDataSet>
      <sheetData sheetId="0"/>
      <sheetData sheetId="1"/>
      <sheetData sheetId="2"/>
      <sheetData sheetId="3"/>
      <sheetData sheetId="4"/>
      <sheetData sheetId="5">
        <row r="11">
          <cell r="E11">
            <v>45626</v>
          </cell>
        </row>
        <row r="20">
          <cell r="D20">
            <v>24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38"/>
  <sheetViews>
    <sheetView showGridLines="0" tabSelected="1" workbookViewId="0">
      <selection activeCell="D12" sqref="D12"/>
    </sheetView>
  </sheetViews>
  <sheetFormatPr defaultColWidth="9.140625" defaultRowHeight="15" x14ac:dyDescent="0.25"/>
  <cols>
    <col min="1" max="1" width="2.28515625" style="1" customWidth="1"/>
    <col min="2" max="2" width="54.7109375" style="2" customWidth="1"/>
    <col min="3" max="3" width="5.28515625" style="2" bestFit="1" customWidth="1"/>
    <col min="4" max="4" width="16" style="2" customWidth="1"/>
    <col min="5" max="8" width="16" style="1" customWidth="1"/>
    <col min="9" max="10" width="9.140625" style="1"/>
    <col min="11" max="12" width="9.7109375" style="1" bestFit="1" customWidth="1"/>
    <col min="13" max="15" width="9.140625" style="1"/>
    <col min="16" max="16" width="24.5703125" style="1" customWidth="1"/>
    <col min="17" max="17" width="15.28515625" style="1" bestFit="1" customWidth="1"/>
    <col min="18" max="18" width="10" style="1" bestFit="1" customWidth="1"/>
    <col min="19" max="19" width="15.28515625" style="1" bestFit="1" customWidth="1"/>
    <col min="20" max="21" width="9.140625" style="1"/>
    <col min="22" max="22" width="15.28515625" style="1" bestFit="1" customWidth="1"/>
    <col min="23" max="16384" width="9.140625" style="1"/>
  </cols>
  <sheetData>
    <row r="1" spans="1:25" ht="19.899999999999999" customHeight="1" x14ac:dyDescent="0.25">
      <c r="B1" s="28" t="s">
        <v>416</v>
      </c>
      <c r="C1" s="29"/>
      <c r="D1" s="30"/>
      <c r="E1" s="30"/>
      <c r="F1" s="30"/>
      <c r="G1" s="30"/>
      <c r="H1" s="30"/>
    </row>
    <row r="2" spans="1:25" ht="9" customHeight="1" x14ac:dyDescent="0.25">
      <c r="A2" s="6"/>
      <c r="E2" s="2"/>
      <c r="F2" s="2"/>
      <c r="G2" s="2"/>
      <c r="H2" s="2"/>
    </row>
    <row r="3" spans="1:25" ht="19.899999999999999" customHeight="1" x14ac:dyDescent="0.25">
      <c r="B3" s="26" t="s">
        <v>316</v>
      </c>
      <c r="C3" s="26"/>
      <c r="D3" s="27"/>
      <c r="E3" s="27"/>
      <c r="F3" s="27"/>
      <c r="G3" s="27"/>
      <c r="H3" s="27"/>
    </row>
    <row r="4" spans="1:25" ht="9" customHeight="1" x14ac:dyDescent="0.25">
      <c r="E4" s="2"/>
      <c r="F4" s="2"/>
      <c r="G4" s="2"/>
      <c r="H4" s="2"/>
    </row>
    <row r="5" spans="1:25" ht="18" customHeight="1" x14ac:dyDescent="0.25">
      <c r="B5" s="241" t="s">
        <v>68</v>
      </c>
      <c r="C5" s="241"/>
      <c r="D5" s="242"/>
      <c r="E5" s="242"/>
      <c r="F5" s="242"/>
      <c r="G5" s="369" t="s">
        <v>206</v>
      </c>
      <c r="H5" s="371" t="s">
        <v>207</v>
      </c>
      <c r="I5" s="285"/>
      <c r="J5" s="285"/>
      <c r="K5" s="285"/>
      <c r="L5" s="285"/>
    </row>
    <row r="6" spans="1:25" ht="18" customHeight="1" x14ac:dyDescent="0.25">
      <c r="B6" s="239" t="s">
        <v>0</v>
      </c>
      <c r="C6" s="239"/>
      <c r="D6" s="240" t="s">
        <v>8</v>
      </c>
      <c r="E6" s="240"/>
      <c r="F6" s="240" t="s">
        <v>8</v>
      </c>
      <c r="G6" s="370"/>
      <c r="H6" s="372"/>
      <c r="I6" s="285"/>
      <c r="J6" s="285"/>
      <c r="K6" s="285"/>
      <c r="L6" s="285"/>
      <c r="O6" s="357" t="s">
        <v>376</v>
      </c>
      <c r="P6" s="357" t="s">
        <v>380</v>
      </c>
    </row>
    <row r="7" spans="1:25" ht="18" customHeight="1" x14ac:dyDescent="0.25">
      <c r="A7" s="3"/>
      <c r="B7" s="2" t="s">
        <v>1</v>
      </c>
      <c r="D7" s="4"/>
      <c r="E7" s="4"/>
      <c r="F7" s="4">
        <v>0</v>
      </c>
      <c r="G7" s="246">
        <f>(SUM($F$13:$F$17)/SUM($F$7:$F$12))*F7</f>
        <v>0</v>
      </c>
      <c r="H7" s="4">
        <f>F7+G7</f>
        <v>0</v>
      </c>
      <c r="I7" s="285"/>
      <c r="J7" s="285"/>
      <c r="K7" s="286"/>
      <c r="L7" s="286"/>
    </row>
    <row r="8" spans="1:25" ht="18" customHeight="1" x14ac:dyDescent="0.25">
      <c r="A8" s="3"/>
      <c r="B8" s="2" t="s">
        <v>2</v>
      </c>
      <c r="D8" s="4"/>
      <c r="E8" s="4"/>
      <c r="F8" s="4">
        <v>0</v>
      </c>
      <c r="G8" s="246">
        <v>0</v>
      </c>
      <c r="H8" s="4">
        <f t="shared" ref="H8:H12" si="0">F8+G8</f>
        <v>0</v>
      </c>
      <c r="I8" s="287"/>
      <c r="J8" s="333" t="s">
        <v>292</v>
      </c>
      <c r="K8" s="330">
        <f>+F9+F17</f>
        <v>22.042200000000001</v>
      </c>
      <c r="L8" s="328"/>
      <c r="M8" s="329"/>
      <c r="O8" s="1" t="s">
        <v>331</v>
      </c>
      <c r="P8" s="349" t="s">
        <v>365</v>
      </c>
      <c r="V8" s="22">
        <f>+(V10+V11+V12)/10000000</f>
        <v>21.610399999999998</v>
      </c>
    </row>
    <row r="9" spans="1:25" ht="18" customHeight="1" x14ac:dyDescent="0.25">
      <c r="A9" s="3"/>
      <c r="B9" s="2" t="s">
        <v>3</v>
      </c>
      <c r="C9" s="7"/>
      <c r="D9" s="4"/>
      <c r="E9" s="4"/>
      <c r="F9" s="4">
        <v>21.61</v>
      </c>
      <c r="G9" s="246">
        <f>+F13+F17+F14</f>
        <v>1.7217963674581374</v>
      </c>
      <c r="H9" s="4">
        <f>F9+G9</f>
        <v>23.331796367458136</v>
      </c>
      <c r="I9" s="288"/>
      <c r="J9" s="334" t="s">
        <v>162</v>
      </c>
      <c r="K9" s="330">
        <f>+L9</f>
        <v>1.9458276684921447</v>
      </c>
      <c r="L9" s="330">
        <v>1.9458276684921447</v>
      </c>
      <c r="M9" s="329"/>
      <c r="O9" s="1" t="s">
        <v>332</v>
      </c>
      <c r="P9" s="346" t="s">
        <v>333</v>
      </c>
      <c r="Q9" s="346" t="s">
        <v>334</v>
      </c>
      <c r="R9" s="346" t="s">
        <v>335</v>
      </c>
      <c r="S9" s="346" t="s">
        <v>336</v>
      </c>
      <c r="T9" s="346" t="s">
        <v>337</v>
      </c>
      <c r="U9" s="346" t="s">
        <v>338</v>
      </c>
      <c r="V9" s="346" t="s">
        <v>339</v>
      </c>
      <c r="W9" s="346" t="s">
        <v>340</v>
      </c>
      <c r="X9" s="346"/>
    </row>
    <row r="10" spans="1:25" ht="18" customHeight="1" x14ac:dyDescent="0.25">
      <c r="A10" s="3"/>
      <c r="B10" s="2" t="s">
        <v>4</v>
      </c>
      <c r="D10" s="4"/>
      <c r="E10" s="4"/>
      <c r="F10" s="4">
        <v>0</v>
      </c>
      <c r="G10" s="246">
        <f>(SUM($F$13:$F$17)/SUM($F$7:$F$12))*F10</f>
        <v>0</v>
      </c>
      <c r="H10" s="4">
        <f t="shared" si="0"/>
        <v>0</v>
      </c>
      <c r="I10" s="285"/>
      <c r="J10" s="329" t="s">
        <v>296</v>
      </c>
      <c r="K10" s="328">
        <f t="shared" ref="K10:K12" si="1">+L10</f>
        <v>0</v>
      </c>
      <c r="L10" s="328"/>
      <c r="M10" s="329"/>
      <c r="O10" s="1">
        <v>1</v>
      </c>
      <c r="P10" s="348" t="s">
        <v>341</v>
      </c>
      <c r="Q10" s="346">
        <v>5600</v>
      </c>
      <c r="R10" s="346">
        <v>23</v>
      </c>
      <c r="S10" s="347">
        <v>128800000</v>
      </c>
      <c r="T10" s="346">
        <v>0.12</v>
      </c>
      <c r="U10" s="346">
        <v>15456000</v>
      </c>
      <c r="V10" s="347">
        <v>144256000</v>
      </c>
      <c r="W10" s="346" t="s">
        <v>342</v>
      </c>
      <c r="X10" s="350">
        <f>+V10/10^7</f>
        <v>14.425599999999999</v>
      </c>
    </row>
    <row r="11" spans="1:25" ht="18" customHeight="1" x14ac:dyDescent="0.25">
      <c r="A11" s="3"/>
      <c r="B11" s="2" t="s">
        <v>5</v>
      </c>
      <c r="D11" s="4"/>
      <c r="E11" s="4"/>
      <c r="F11" s="4">
        <v>0</v>
      </c>
      <c r="G11" s="246">
        <f>(SUM($F$13:$F$17)/SUM($F$7:$F$12))*F11</f>
        <v>0</v>
      </c>
      <c r="H11" s="4">
        <f t="shared" si="0"/>
        <v>0</v>
      </c>
      <c r="I11" s="285"/>
      <c r="J11" s="329" t="s">
        <v>297</v>
      </c>
      <c r="K11" s="328">
        <f t="shared" si="1"/>
        <v>0</v>
      </c>
      <c r="L11" s="328"/>
      <c r="M11" s="329"/>
      <c r="O11" s="1">
        <v>2</v>
      </c>
      <c r="P11" s="348" t="s">
        <v>343</v>
      </c>
      <c r="Q11" s="346">
        <v>5600</v>
      </c>
      <c r="R11" s="346">
        <v>2.5</v>
      </c>
      <c r="S11" s="347">
        <v>14000000</v>
      </c>
      <c r="T11" s="346">
        <v>0.12</v>
      </c>
      <c r="U11" s="346">
        <v>1680000</v>
      </c>
      <c r="V11" s="347">
        <v>15680000</v>
      </c>
      <c r="W11" s="346" t="s">
        <v>344</v>
      </c>
      <c r="X11" s="350">
        <f t="shared" ref="X11:X15" si="2">+V11/10^7</f>
        <v>1.5680000000000001</v>
      </c>
    </row>
    <row r="12" spans="1:25" ht="18" customHeight="1" x14ac:dyDescent="0.25">
      <c r="A12" s="3"/>
      <c r="B12" s="244" t="s">
        <v>6</v>
      </c>
      <c r="C12" s="244"/>
      <c r="D12" s="245"/>
      <c r="E12" s="245"/>
      <c r="F12" s="245">
        <v>0</v>
      </c>
      <c r="G12" s="247">
        <f>(SUM($F$13:$F$17)/SUM($F$7:$F$12))*F12</f>
        <v>0</v>
      </c>
      <c r="H12" s="245">
        <f t="shared" si="0"/>
        <v>0</v>
      </c>
      <c r="I12" s="285"/>
      <c r="J12" s="329" t="s">
        <v>298</v>
      </c>
      <c r="K12" s="328">
        <f t="shared" si="1"/>
        <v>0</v>
      </c>
      <c r="L12" s="328"/>
      <c r="M12" s="329"/>
      <c r="O12" s="1">
        <v>3</v>
      </c>
      <c r="P12" s="348" t="s">
        <v>345</v>
      </c>
      <c r="Q12" s="346">
        <v>5600</v>
      </c>
      <c r="R12" s="346">
        <v>8.5</v>
      </c>
      <c r="S12" s="347">
        <v>47600000</v>
      </c>
      <c r="T12" s="346">
        <v>0.18</v>
      </c>
      <c r="U12" s="346">
        <v>8568000</v>
      </c>
      <c r="V12" s="347">
        <v>56168000</v>
      </c>
      <c r="W12" s="346" t="s">
        <v>315</v>
      </c>
      <c r="X12" s="350">
        <f t="shared" si="2"/>
        <v>5.6167999999999996</v>
      </c>
      <c r="Y12" s="5">
        <f>+SUM(X10:X12)</f>
        <v>21.610399999999998</v>
      </c>
    </row>
    <row r="13" spans="1:25" ht="18" customHeight="1" x14ac:dyDescent="0.25">
      <c r="A13" s="3"/>
      <c r="B13" s="2" t="s">
        <v>299</v>
      </c>
      <c r="D13" s="4"/>
      <c r="E13" s="4"/>
      <c r="F13" s="4">
        <f>+L21</f>
        <v>1.0914552589163924</v>
      </c>
      <c r="G13" s="246"/>
      <c r="H13" s="4"/>
      <c r="I13" s="285"/>
      <c r="J13" s="329" t="s">
        <v>293</v>
      </c>
      <c r="K13" s="330">
        <f>SUM(K8:K12)</f>
        <v>23.988027668492144</v>
      </c>
      <c r="L13" s="328"/>
      <c r="M13" s="329"/>
      <c r="O13" s="1">
        <v>4</v>
      </c>
      <c r="P13" s="348" t="s">
        <v>346</v>
      </c>
      <c r="Q13" s="346">
        <v>5600</v>
      </c>
      <c r="R13" s="346" t="s">
        <v>347</v>
      </c>
      <c r="S13" s="347">
        <v>10000000</v>
      </c>
      <c r="T13" s="346">
        <v>0</v>
      </c>
      <c r="U13" s="346">
        <v>0</v>
      </c>
      <c r="V13" s="347">
        <v>10000000</v>
      </c>
      <c r="W13" s="346" t="s">
        <v>315</v>
      </c>
      <c r="X13" s="350">
        <f t="shared" si="2"/>
        <v>1</v>
      </c>
    </row>
    <row r="14" spans="1:25" ht="18" customHeight="1" x14ac:dyDescent="0.25">
      <c r="A14" s="3"/>
      <c r="B14" s="2" t="s">
        <v>300</v>
      </c>
      <c r="D14" s="4"/>
      <c r="E14" s="4"/>
      <c r="F14" s="4">
        <f>+L22</f>
        <v>0.19814110854174508</v>
      </c>
      <c r="G14" s="246"/>
      <c r="H14" s="4"/>
      <c r="I14" s="285"/>
      <c r="J14" s="331"/>
      <c r="K14" s="328"/>
      <c r="L14" s="328"/>
      <c r="M14" s="329"/>
      <c r="O14" s="1">
        <v>5</v>
      </c>
      <c r="P14" s="348" t="s">
        <v>296</v>
      </c>
      <c r="Q14" s="346" t="s">
        <v>315</v>
      </c>
      <c r="R14" s="346" t="s">
        <v>348</v>
      </c>
      <c r="S14" s="347">
        <v>6300000</v>
      </c>
      <c r="T14" s="346">
        <v>0</v>
      </c>
      <c r="U14" s="346">
        <v>0</v>
      </c>
      <c r="V14" s="347">
        <v>6300000</v>
      </c>
      <c r="W14" s="346"/>
      <c r="X14" s="350">
        <f t="shared" si="2"/>
        <v>0.63</v>
      </c>
    </row>
    <row r="15" spans="1:25" ht="18" customHeight="1" x14ac:dyDescent="0.25">
      <c r="A15" s="3"/>
      <c r="B15" s="2" t="s">
        <v>296</v>
      </c>
      <c r="D15" s="4"/>
      <c r="E15" s="4"/>
      <c r="F15" s="245">
        <f>+L23+L24</f>
        <v>0.65623130103400751</v>
      </c>
      <c r="G15" s="246"/>
      <c r="H15" s="4">
        <f>+F15</f>
        <v>0.65623130103400751</v>
      </c>
      <c r="I15" s="285"/>
      <c r="J15" s="331"/>
      <c r="K15" s="328"/>
      <c r="L15" s="328"/>
      <c r="M15" s="329"/>
      <c r="O15" s="1">
        <v>6</v>
      </c>
      <c r="P15" s="348" t="s">
        <v>349</v>
      </c>
      <c r="Q15" s="346" t="s">
        <v>315</v>
      </c>
      <c r="R15" s="346"/>
      <c r="S15" s="347">
        <v>6000000</v>
      </c>
      <c r="T15" s="346">
        <v>0</v>
      </c>
      <c r="U15" s="346">
        <v>0</v>
      </c>
      <c r="V15" s="347">
        <v>6000000</v>
      </c>
      <c r="W15" s="346" t="s">
        <v>315</v>
      </c>
      <c r="X15" s="350">
        <f t="shared" si="2"/>
        <v>0.6</v>
      </c>
    </row>
    <row r="16" spans="1:25" ht="18" customHeight="1" x14ac:dyDescent="0.25">
      <c r="A16" s="3"/>
      <c r="D16" s="4"/>
      <c r="E16" s="4"/>
      <c r="F16" s="279"/>
      <c r="G16" s="246"/>
      <c r="H16" s="4"/>
      <c r="I16" s="285"/>
      <c r="J16" s="331"/>
      <c r="K16" s="328"/>
      <c r="L16" s="328"/>
      <c r="M16" s="329"/>
      <c r="P16" s="346" t="s">
        <v>219</v>
      </c>
      <c r="Q16" s="346"/>
      <c r="R16" s="346">
        <v>34</v>
      </c>
      <c r="S16" s="347">
        <v>212700000</v>
      </c>
      <c r="T16" s="346" t="s">
        <v>315</v>
      </c>
      <c r="U16" s="346">
        <v>25704000</v>
      </c>
      <c r="V16" s="347">
        <v>238404000</v>
      </c>
      <c r="W16" s="346"/>
      <c r="X16" s="346"/>
    </row>
    <row r="17" spans="1:23" ht="18" customHeight="1" x14ac:dyDescent="0.25">
      <c r="A17" s="3"/>
      <c r="B17" s="10" t="s">
        <v>368</v>
      </c>
      <c r="C17" s="10"/>
      <c r="D17" s="11"/>
      <c r="E17" s="11"/>
      <c r="F17" s="279">
        <f>2%*F9</f>
        <v>0.43219999999999997</v>
      </c>
      <c r="G17" s="248"/>
      <c r="H17" s="4"/>
      <c r="I17" s="289"/>
      <c r="J17" s="329" t="s">
        <v>291</v>
      </c>
      <c r="K17" s="330">
        <f>+K13*0.7</f>
        <v>16.791619367944499</v>
      </c>
      <c r="L17" s="328"/>
      <c r="M17" s="329"/>
      <c r="V17" s="1">
        <v>42572.142857142855</v>
      </c>
      <c r="W17" s="1" t="s">
        <v>350</v>
      </c>
    </row>
    <row r="18" spans="1:23" ht="18" customHeight="1" x14ac:dyDescent="0.25">
      <c r="A18" s="3"/>
      <c r="B18" s="8" t="s">
        <v>7</v>
      </c>
      <c r="C18" s="8"/>
      <c r="D18" s="9"/>
      <c r="E18" s="9"/>
      <c r="F18" s="9">
        <f>SUM(F7:F17)</f>
        <v>23.988027668492148</v>
      </c>
      <c r="G18" s="249">
        <f>SUM(G7:G17)</f>
        <v>1.7217963674581374</v>
      </c>
      <c r="H18" s="9">
        <f>SUM(H7:H17)</f>
        <v>23.988027668492144</v>
      </c>
      <c r="I18" s="286" t="e">
        <f>H18/(D5+E5)</f>
        <v>#DIV/0!</v>
      </c>
      <c r="J18" s="329" t="s">
        <v>294</v>
      </c>
      <c r="K18" s="330">
        <f>+K13-K17</f>
        <v>7.1964083005476454</v>
      </c>
      <c r="L18" s="328"/>
      <c r="M18" s="329"/>
      <c r="O18" s="1" t="s">
        <v>351</v>
      </c>
    </row>
    <row r="19" spans="1:23" ht="18" customHeight="1" x14ac:dyDescent="0.25">
      <c r="A19" s="3"/>
      <c r="D19" s="4"/>
      <c r="E19" s="4"/>
      <c r="F19" s="4"/>
      <c r="G19" s="246"/>
      <c r="H19" s="4"/>
      <c r="J19" s="331"/>
      <c r="K19" s="328"/>
      <c r="L19" s="330"/>
      <c r="M19" s="329"/>
      <c r="O19" s="1" t="s">
        <v>332</v>
      </c>
      <c r="P19" s="1" t="s">
        <v>333</v>
      </c>
      <c r="Q19" s="1" t="s">
        <v>352</v>
      </c>
    </row>
    <row r="20" spans="1:23" ht="18" customHeight="1" x14ac:dyDescent="0.25">
      <c r="A20" s="3"/>
      <c r="B20" s="12" t="s">
        <v>13</v>
      </c>
      <c r="C20" s="12"/>
      <c r="D20" s="13">
        <f>D18+D19</f>
        <v>0</v>
      </c>
      <c r="E20" s="13">
        <f>E18+E19</f>
        <v>0</v>
      </c>
      <c r="F20" s="13">
        <f>F18+F19</f>
        <v>23.988027668492148</v>
      </c>
      <c r="G20" s="250"/>
      <c r="H20" s="13">
        <f>H18+H19</f>
        <v>23.988027668492144</v>
      </c>
      <c r="I20" s="5"/>
      <c r="J20" s="335" t="s">
        <v>295</v>
      </c>
      <c r="K20" s="328"/>
      <c r="L20" s="332">
        <f>+K17</f>
        <v>16.791619367944499</v>
      </c>
      <c r="M20" s="329"/>
      <c r="O20" s="1">
        <v>1</v>
      </c>
      <c r="P20" s="1" t="s">
        <v>353</v>
      </c>
      <c r="Q20" s="6">
        <v>71521200</v>
      </c>
      <c r="R20" s="1">
        <v>0.3</v>
      </c>
    </row>
    <row r="21" spans="1:23" ht="18" customHeight="1" x14ac:dyDescent="0.25">
      <c r="B21" s="1"/>
      <c r="C21" s="1"/>
      <c r="D21" s="1"/>
      <c r="J21" s="329" t="s">
        <v>162</v>
      </c>
      <c r="K21" s="331"/>
      <c r="L21" s="330">
        <f>+L20*9.75%/12*8</f>
        <v>1.0914552589163924</v>
      </c>
      <c r="M21" s="329"/>
      <c r="O21" s="1">
        <v>2</v>
      </c>
      <c r="P21" s="1" t="s">
        <v>354</v>
      </c>
      <c r="Q21" s="6">
        <v>166882800</v>
      </c>
      <c r="R21" s="1">
        <v>0.7</v>
      </c>
    </row>
    <row r="22" spans="1:23" ht="18" customHeight="1" x14ac:dyDescent="0.25">
      <c r="B22" s="234" t="s">
        <v>12</v>
      </c>
      <c r="C22" s="234"/>
      <c r="D22" s="235"/>
      <c r="E22" s="235"/>
      <c r="F22" s="243" t="s">
        <v>369</v>
      </c>
      <c r="G22" s="236"/>
      <c r="H22" s="236"/>
      <c r="J22" s="329" t="s">
        <v>297</v>
      </c>
      <c r="K22" s="329"/>
      <c r="L22" s="330">
        <f>+L20*1.18%</f>
        <v>0.19814110854174508</v>
      </c>
      <c r="M22" s="329"/>
      <c r="P22" s="1" t="s">
        <v>123</v>
      </c>
      <c r="Q22" s="6">
        <v>238404000</v>
      </c>
    </row>
    <row r="23" spans="1:23" ht="18" customHeight="1" x14ac:dyDescent="0.25">
      <c r="B23" s="237" t="s">
        <v>0</v>
      </c>
      <c r="C23" s="237" t="s">
        <v>10</v>
      </c>
      <c r="D23" s="238"/>
      <c r="E23" s="238"/>
      <c r="F23" s="238"/>
      <c r="G23" s="238"/>
      <c r="H23" s="238"/>
      <c r="J23" s="329" t="s">
        <v>296</v>
      </c>
      <c r="K23" s="329"/>
      <c r="L23" s="330">
        <f>+L20*3/204</f>
        <v>0.24693557894036028</v>
      </c>
      <c r="M23" s="329"/>
    </row>
    <row r="24" spans="1:23" ht="18" customHeight="1" x14ac:dyDescent="0.25">
      <c r="A24" s="3"/>
      <c r="B24" s="14" t="s">
        <v>11</v>
      </c>
      <c r="C24" s="15">
        <f>1-C25</f>
        <v>0.30000000000000004</v>
      </c>
      <c r="D24" s="11"/>
      <c r="E24" s="11"/>
      <c r="F24" s="4">
        <f>F20-F25</f>
        <v>7.1964083005476454</v>
      </c>
      <c r="G24" s="4"/>
      <c r="H24" s="4"/>
      <c r="J24" s="329" t="s">
        <v>161</v>
      </c>
      <c r="K24" s="329"/>
      <c r="L24" s="330">
        <f>+L21/8*3</f>
        <v>0.40929572209364717</v>
      </c>
      <c r="M24" s="329"/>
    </row>
    <row r="25" spans="1:23" ht="18" customHeight="1" x14ac:dyDescent="0.25">
      <c r="A25" s="3"/>
      <c r="B25" s="16" t="s">
        <v>9</v>
      </c>
      <c r="C25" s="17">
        <v>0.7</v>
      </c>
      <c r="D25" s="18"/>
      <c r="E25" s="18"/>
      <c r="F25" s="4">
        <f>F20*C25</f>
        <v>16.791619367944502</v>
      </c>
      <c r="G25" s="4"/>
      <c r="H25" s="4"/>
      <c r="J25" s="329"/>
      <c r="K25" s="329"/>
      <c r="L25" s="330">
        <f>+SUM(L21:L24)</f>
        <v>1.9458276684921447</v>
      </c>
      <c r="M25" s="329"/>
      <c r="N25" s="5"/>
    </row>
    <row r="26" spans="1:23" ht="18" customHeight="1" x14ac:dyDescent="0.25">
      <c r="B26" s="12" t="s">
        <v>14</v>
      </c>
      <c r="C26" s="19"/>
      <c r="D26" s="20"/>
      <c r="E26" s="20"/>
      <c r="F26" s="20">
        <f>F24+F25</f>
        <v>23.988027668492148</v>
      </c>
      <c r="G26" s="20"/>
      <c r="H26" s="20"/>
      <c r="L26" s="21"/>
      <c r="M26" s="22">
        <f>+K9-L25</f>
        <v>0</v>
      </c>
      <c r="P26" s="1" t="s">
        <v>355</v>
      </c>
      <c r="Q26" s="1">
        <v>216104000</v>
      </c>
    </row>
    <row r="27" spans="1:23" ht="18" customHeight="1" x14ac:dyDescent="0.25">
      <c r="B27" s="16"/>
      <c r="D27" s="17"/>
      <c r="E27" s="17"/>
      <c r="F27" s="17"/>
      <c r="G27" s="1">
        <f>+C25/C24</f>
        <v>2.333333333333333</v>
      </c>
      <c r="L27" s="22"/>
      <c r="P27" s="1" t="s">
        <v>356</v>
      </c>
      <c r="Q27" s="6">
        <v>22300000</v>
      </c>
    </row>
    <row r="28" spans="1:23" ht="18" customHeight="1" x14ac:dyDescent="0.25">
      <c r="B28" s="253" t="s">
        <v>217</v>
      </c>
      <c r="C28" s="253"/>
      <c r="D28" s="72"/>
      <c r="E28" s="72">
        <f>Assumptions!E12</f>
        <v>45991</v>
      </c>
      <c r="F28" s="72" t="s">
        <v>219</v>
      </c>
      <c r="P28" s="1" t="s">
        <v>293</v>
      </c>
      <c r="Q28" s="1">
        <v>238404000</v>
      </c>
    </row>
    <row r="29" spans="1:23" ht="18" customHeight="1" x14ac:dyDescent="0.25">
      <c r="B29" s="2" t="s">
        <v>218</v>
      </c>
      <c r="D29" s="17"/>
      <c r="E29" s="17">
        <v>1</v>
      </c>
      <c r="F29" s="258">
        <f>D29+E29</f>
        <v>1</v>
      </c>
      <c r="I29" s="1">
        <f>+F24/F25*100</f>
        <v>42.857142857142868</v>
      </c>
    </row>
    <row r="30" spans="1:23" ht="18" customHeight="1" x14ac:dyDescent="0.25">
      <c r="C30" s="23"/>
      <c r="D30" s="11"/>
      <c r="E30" s="11"/>
      <c r="F30" s="259"/>
      <c r="P30" s="1" t="s">
        <v>357</v>
      </c>
    </row>
    <row r="31" spans="1:23" ht="18" customHeight="1" x14ac:dyDescent="0.25">
      <c r="C31" s="23"/>
      <c r="D31" s="24"/>
      <c r="E31" s="5"/>
      <c r="F31" s="5"/>
      <c r="G31" s="1">
        <f>+F25/F24</f>
        <v>2.333333333333333</v>
      </c>
      <c r="I31" s="1">
        <f>+C25/C24</f>
        <v>2.333333333333333</v>
      </c>
      <c r="P31" s="1" t="s">
        <v>358</v>
      </c>
      <c r="Q31" s="1">
        <v>10847382</v>
      </c>
    </row>
    <row r="32" spans="1:23" ht="18" customHeight="1" x14ac:dyDescent="0.25">
      <c r="C32" s="23"/>
      <c r="D32" s="24"/>
      <c r="E32" s="22"/>
      <c r="F32" s="22"/>
      <c r="G32" s="1">
        <f>+F26/F24</f>
        <v>3.333333333333333</v>
      </c>
      <c r="P32" s="1" t="s">
        <v>359</v>
      </c>
      <c r="Q32" s="1">
        <v>2454158.823529412</v>
      </c>
    </row>
    <row r="33" spans="3:19" ht="18" customHeight="1" x14ac:dyDescent="0.25">
      <c r="C33" s="23"/>
      <c r="D33" s="24"/>
      <c r="E33" s="22">
        <f>+F25/F24</f>
        <v>2.333333333333333</v>
      </c>
      <c r="F33" s="22"/>
      <c r="J33" s="1">
        <f>+C25/C24</f>
        <v>2.333333333333333</v>
      </c>
      <c r="P33" s="1" t="s">
        <v>360</v>
      </c>
      <c r="Q33" s="1">
        <v>4067768.25</v>
      </c>
    </row>
    <row r="34" spans="3:19" ht="18" customHeight="1" x14ac:dyDescent="0.25">
      <c r="C34" s="23"/>
      <c r="D34" s="24"/>
      <c r="E34" s="22"/>
      <c r="F34" s="22"/>
      <c r="P34" s="1" t="s">
        <v>361</v>
      </c>
      <c r="Q34" s="1">
        <v>6521927.073529412</v>
      </c>
    </row>
    <row r="35" spans="3:19" ht="18" customHeight="1" x14ac:dyDescent="0.25">
      <c r="D35" s="25"/>
      <c r="E35" s="25">
        <f>+F24/F26</f>
        <v>0.30000000000000004</v>
      </c>
      <c r="F35" s="25"/>
      <c r="P35" s="1" t="s">
        <v>362</v>
      </c>
      <c r="Q35" s="1">
        <v>1969217.04</v>
      </c>
    </row>
    <row r="36" spans="3:19" ht="18" customHeight="1" x14ac:dyDescent="0.25">
      <c r="D36" s="17"/>
      <c r="P36" s="1" t="s">
        <v>363</v>
      </c>
      <c r="Q36" s="1">
        <v>4322080</v>
      </c>
    </row>
    <row r="37" spans="3:19" ht="18" customHeight="1" x14ac:dyDescent="0.25">
      <c r="D37" s="17"/>
      <c r="P37" s="1" t="s">
        <v>364</v>
      </c>
      <c r="Q37" s="1">
        <v>23660606.11352941</v>
      </c>
    </row>
    <row r="38" spans="3:19" ht="18" customHeight="1" x14ac:dyDescent="0.25">
      <c r="D38" s="17"/>
    </row>
    <row r="39" spans="3:19" ht="18" customHeight="1" x14ac:dyDescent="0.25">
      <c r="D39" s="17"/>
      <c r="Q39" s="1" t="s">
        <v>292</v>
      </c>
      <c r="R39" s="1">
        <f>+Q26+Q36</f>
        <v>220426080</v>
      </c>
      <c r="S39" s="1" t="s">
        <v>366</v>
      </c>
    </row>
    <row r="40" spans="3:19" ht="18" customHeight="1" x14ac:dyDescent="0.25">
      <c r="D40" s="17"/>
      <c r="Q40" s="1" t="s">
        <v>162</v>
      </c>
    </row>
    <row r="41" spans="3:19" ht="18" customHeight="1" x14ac:dyDescent="0.25">
      <c r="D41" s="17"/>
      <c r="Q41" s="1" t="s">
        <v>123</v>
      </c>
      <c r="R41" s="1">
        <f>+R39+R40</f>
        <v>220426080</v>
      </c>
    </row>
    <row r="42" spans="3:19" ht="18" customHeight="1" x14ac:dyDescent="0.25">
      <c r="D42" s="17"/>
      <c r="P42" s="351">
        <v>0.3</v>
      </c>
      <c r="Q42" s="1" t="s">
        <v>116</v>
      </c>
      <c r="R42" s="1">
        <f>+$R$41*P42</f>
        <v>66127824</v>
      </c>
    </row>
    <row r="43" spans="3:19" x14ac:dyDescent="0.25">
      <c r="D43" s="17"/>
      <c r="P43" s="351">
        <f>1-P42</f>
        <v>0.7</v>
      </c>
      <c r="Q43" s="1" t="s">
        <v>295</v>
      </c>
      <c r="R43" s="1">
        <f>+$R$41*P43</f>
        <v>154298256</v>
      </c>
    </row>
    <row r="44" spans="3:19" x14ac:dyDescent="0.25">
      <c r="D44" s="17"/>
    </row>
    <row r="45" spans="3:19" ht="18" customHeight="1" x14ac:dyDescent="0.25">
      <c r="D45" s="17"/>
    </row>
    <row r="46" spans="3:19" ht="18" customHeight="1" x14ac:dyDescent="0.25">
      <c r="D46" s="17"/>
      <c r="P46" s="352">
        <v>9.7500000000000003E-2</v>
      </c>
      <c r="Q46" s="1" t="s">
        <v>162</v>
      </c>
    </row>
    <row r="47" spans="3:19" ht="18" customHeight="1" x14ac:dyDescent="0.25">
      <c r="D47" s="17"/>
      <c r="Q47" s="1" t="s">
        <v>296</v>
      </c>
    </row>
    <row r="48" spans="3:19" ht="18" customHeight="1" x14ac:dyDescent="0.25">
      <c r="D48" s="17"/>
      <c r="Q48" s="1" t="s">
        <v>161</v>
      </c>
    </row>
    <row r="49" spans="4:17" ht="18" customHeight="1" x14ac:dyDescent="0.25">
      <c r="D49" s="17"/>
      <c r="Q49" s="1" t="s">
        <v>367</v>
      </c>
    </row>
    <row r="50" spans="4:17" ht="18" customHeight="1" x14ac:dyDescent="0.25">
      <c r="D50" s="17"/>
    </row>
    <row r="51" spans="4:17" ht="18" customHeight="1" x14ac:dyDescent="0.25">
      <c r="D51" s="17"/>
    </row>
    <row r="52" spans="4:17" ht="18" customHeight="1" x14ac:dyDescent="0.25">
      <c r="D52" s="17"/>
    </row>
    <row r="53" spans="4:17" ht="18" customHeight="1" x14ac:dyDescent="0.25">
      <c r="D53" s="17"/>
    </row>
    <row r="54" spans="4:17" ht="18" customHeight="1" x14ac:dyDescent="0.25">
      <c r="D54" s="17"/>
    </row>
    <row r="55" spans="4:17" ht="18" customHeight="1" x14ac:dyDescent="0.25">
      <c r="D55" s="17"/>
    </row>
    <row r="56" spans="4:17" ht="18" customHeight="1" x14ac:dyDescent="0.25">
      <c r="D56" s="17"/>
    </row>
    <row r="57" spans="4:17" ht="18" customHeight="1" x14ac:dyDescent="0.25">
      <c r="D57" s="17"/>
    </row>
    <row r="58" spans="4:17" ht="18" customHeight="1" x14ac:dyDescent="0.25">
      <c r="D58" s="17"/>
    </row>
    <row r="59" spans="4:17" ht="18" customHeight="1" x14ac:dyDescent="0.25">
      <c r="D59" s="17"/>
    </row>
    <row r="60" spans="4:17" ht="18" customHeight="1" x14ac:dyDescent="0.25">
      <c r="D60" s="17"/>
    </row>
    <row r="61" spans="4:17" ht="18" customHeight="1" x14ac:dyDescent="0.25">
      <c r="D61" s="17"/>
    </row>
    <row r="62" spans="4:17" ht="18" customHeight="1" x14ac:dyDescent="0.25">
      <c r="D62" s="17"/>
    </row>
    <row r="63" spans="4:17" ht="18" customHeight="1" x14ac:dyDescent="0.25">
      <c r="D63" s="17"/>
    </row>
    <row r="64" spans="4:17" ht="18" customHeight="1" x14ac:dyDescent="0.25">
      <c r="D64" s="17"/>
    </row>
    <row r="65" spans="4:4" ht="18" customHeight="1" x14ac:dyDescent="0.25">
      <c r="D65" s="17"/>
    </row>
    <row r="66" spans="4:4" ht="18" customHeight="1" x14ac:dyDescent="0.25">
      <c r="D66" s="17"/>
    </row>
    <row r="67" spans="4:4" ht="18" customHeight="1" x14ac:dyDescent="0.25">
      <c r="D67" s="17"/>
    </row>
    <row r="68" spans="4:4" ht="18" customHeight="1" x14ac:dyDescent="0.25">
      <c r="D68" s="17"/>
    </row>
    <row r="69" spans="4:4" ht="18" customHeight="1" x14ac:dyDescent="0.25">
      <c r="D69" s="17"/>
    </row>
    <row r="70" spans="4:4" ht="18" customHeight="1" x14ac:dyDescent="0.25">
      <c r="D70" s="17"/>
    </row>
    <row r="71" spans="4:4" ht="18" customHeight="1" x14ac:dyDescent="0.25">
      <c r="D71" s="17"/>
    </row>
    <row r="72" spans="4:4" ht="18" customHeight="1" x14ac:dyDescent="0.25">
      <c r="D72" s="17"/>
    </row>
    <row r="73" spans="4:4" ht="18" customHeight="1" x14ac:dyDescent="0.25">
      <c r="D73" s="17"/>
    </row>
    <row r="74" spans="4:4" ht="18" customHeight="1" x14ac:dyDescent="0.25">
      <c r="D74" s="17"/>
    </row>
    <row r="75" spans="4:4" ht="18" customHeight="1" x14ac:dyDescent="0.25">
      <c r="D75" s="17"/>
    </row>
    <row r="76" spans="4:4" x14ac:dyDescent="0.25">
      <c r="D76" s="17"/>
    </row>
    <row r="77" spans="4:4" x14ac:dyDescent="0.25">
      <c r="D77" s="17"/>
    </row>
    <row r="78" spans="4:4" ht="18" customHeight="1" x14ac:dyDescent="0.25">
      <c r="D78" s="17"/>
    </row>
    <row r="79" spans="4:4" ht="18" customHeight="1" x14ac:dyDescent="0.25">
      <c r="D79" s="17"/>
    </row>
    <row r="80" spans="4:4" ht="18" customHeight="1" x14ac:dyDescent="0.25">
      <c r="D80" s="17"/>
    </row>
    <row r="81" spans="4:4" ht="18" customHeight="1" x14ac:dyDescent="0.25">
      <c r="D81" s="17"/>
    </row>
    <row r="82" spans="4:4" ht="18" customHeight="1" x14ac:dyDescent="0.25">
      <c r="D82" s="17"/>
    </row>
    <row r="83" spans="4:4" x14ac:dyDescent="0.25">
      <c r="D83" s="17"/>
    </row>
    <row r="84" spans="4:4" ht="18" customHeight="1" x14ac:dyDescent="0.25">
      <c r="D84" s="17"/>
    </row>
    <row r="85" spans="4:4" ht="18" customHeight="1" x14ac:dyDescent="0.25">
      <c r="D85" s="17"/>
    </row>
    <row r="86" spans="4:4" ht="18" customHeight="1" x14ac:dyDescent="0.25">
      <c r="D86" s="17"/>
    </row>
    <row r="87" spans="4:4" x14ac:dyDescent="0.25">
      <c r="D87" s="17"/>
    </row>
    <row r="88" spans="4:4" x14ac:dyDescent="0.25">
      <c r="D88" s="17"/>
    </row>
    <row r="89" spans="4:4" ht="18" customHeight="1" x14ac:dyDescent="0.25">
      <c r="D89" s="17"/>
    </row>
    <row r="90" spans="4:4" ht="18" customHeight="1" x14ac:dyDescent="0.25">
      <c r="D90" s="17"/>
    </row>
    <row r="91" spans="4:4" ht="18" customHeight="1" x14ac:dyDescent="0.25">
      <c r="D91" s="17"/>
    </row>
    <row r="92" spans="4:4" ht="18" customHeight="1" x14ac:dyDescent="0.25">
      <c r="D92" s="17"/>
    </row>
    <row r="93" spans="4:4" ht="18" customHeight="1" x14ac:dyDescent="0.25">
      <c r="D93" s="17"/>
    </row>
    <row r="94" spans="4:4" ht="18" customHeight="1" x14ac:dyDescent="0.25">
      <c r="D94" s="17"/>
    </row>
    <row r="95" spans="4:4" ht="18" customHeight="1" x14ac:dyDescent="0.25">
      <c r="D95" s="17"/>
    </row>
    <row r="96" spans="4:4" ht="18" customHeight="1" x14ac:dyDescent="0.25">
      <c r="D96" s="17"/>
    </row>
    <row r="97" spans="4:4" ht="18" customHeight="1" x14ac:dyDescent="0.25">
      <c r="D97" s="17"/>
    </row>
    <row r="98" spans="4:4" ht="18" customHeight="1" x14ac:dyDescent="0.25">
      <c r="D98" s="17"/>
    </row>
    <row r="99" spans="4:4" ht="18" customHeight="1" x14ac:dyDescent="0.25">
      <c r="D99" s="17"/>
    </row>
    <row r="100" spans="4:4" ht="18" customHeight="1" x14ac:dyDescent="0.25">
      <c r="D100" s="17"/>
    </row>
    <row r="101" spans="4:4" ht="18" customHeight="1" x14ac:dyDescent="0.25">
      <c r="D101" s="17"/>
    </row>
    <row r="102" spans="4:4" ht="18" customHeight="1" x14ac:dyDescent="0.25">
      <c r="D102" s="17"/>
    </row>
    <row r="103" spans="4:4" ht="18" customHeight="1" x14ac:dyDescent="0.25">
      <c r="D103" s="17"/>
    </row>
    <row r="104" spans="4:4" ht="18" customHeight="1" x14ac:dyDescent="0.25">
      <c r="D104" s="17"/>
    </row>
    <row r="105" spans="4:4" ht="18" customHeight="1" x14ac:dyDescent="0.25">
      <c r="D105" s="17"/>
    </row>
    <row r="106" spans="4:4" ht="18" customHeight="1" x14ac:dyDescent="0.25">
      <c r="D106" s="17"/>
    </row>
    <row r="107" spans="4:4" ht="18" customHeight="1" x14ac:dyDescent="0.25">
      <c r="D107" s="17"/>
    </row>
    <row r="108" spans="4:4" ht="18" customHeight="1" x14ac:dyDescent="0.25">
      <c r="D108" s="17"/>
    </row>
    <row r="109" spans="4:4" ht="18" customHeight="1" x14ac:dyDescent="0.25">
      <c r="D109" s="17"/>
    </row>
    <row r="110" spans="4:4" ht="18" customHeight="1" x14ac:dyDescent="0.25">
      <c r="D110" s="17"/>
    </row>
    <row r="111" spans="4:4" ht="18" customHeight="1" x14ac:dyDescent="0.25">
      <c r="D111" s="17"/>
    </row>
    <row r="112" spans="4:4" ht="18" customHeight="1" x14ac:dyDescent="0.25">
      <c r="D112" s="17"/>
    </row>
    <row r="113" spans="1:4" ht="18" customHeight="1" x14ac:dyDescent="0.25">
      <c r="D113" s="17"/>
    </row>
    <row r="114" spans="1:4" ht="18" customHeight="1" x14ac:dyDescent="0.25">
      <c r="D114" s="17"/>
    </row>
    <row r="115" spans="1:4" ht="18" customHeight="1" x14ac:dyDescent="0.25">
      <c r="D115" s="17"/>
    </row>
    <row r="116" spans="1:4" ht="18" customHeight="1" x14ac:dyDescent="0.25">
      <c r="D116" s="17"/>
    </row>
    <row r="117" spans="1:4" ht="18" customHeight="1" x14ac:dyDescent="0.25">
      <c r="D117" s="17"/>
    </row>
    <row r="118" spans="1:4" ht="18" customHeight="1" x14ac:dyDescent="0.25">
      <c r="D118" s="17"/>
    </row>
    <row r="119" spans="1:4" ht="18" customHeight="1" x14ac:dyDescent="0.25">
      <c r="D119" s="17"/>
    </row>
    <row r="120" spans="1:4" ht="18" customHeight="1" x14ac:dyDescent="0.25">
      <c r="D120" s="17"/>
    </row>
    <row r="121" spans="1:4" ht="18" customHeight="1" x14ac:dyDescent="0.25">
      <c r="D121" s="17"/>
    </row>
    <row r="122" spans="1:4" ht="18" customHeight="1" x14ac:dyDescent="0.25">
      <c r="D122" s="17"/>
    </row>
    <row r="123" spans="1:4" ht="18" customHeight="1" x14ac:dyDescent="0.25">
      <c r="D123" s="17"/>
    </row>
    <row r="124" spans="1:4" ht="18" customHeight="1" x14ac:dyDescent="0.25">
      <c r="D124" s="17"/>
    </row>
    <row r="125" spans="1:4" ht="18" customHeight="1" x14ac:dyDescent="0.25">
      <c r="A125" s="2"/>
      <c r="D125" s="17"/>
    </row>
    <row r="126" spans="1:4" ht="18" customHeight="1" x14ac:dyDescent="0.25">
      <c r="A126" s="2"/>
      <c r="D126" s="17"/>
    </row>
    <row r="127" spans="1:4" ht="18" customHeight="1" x14ac:dyDescent="0.25">
      <c r="A127" s="2"/>
      <c r="D127" s="17"/>
    </row>
    <row r="128" spans="1:4" ht="18" customHeight="1" x14ac:dyDescent="0.25">
      <c r="A128" s="2"/>
      <c r="D128" s="17"/>
    </row>
    <row r="129" spans="4:6" s="2" customFormat="1" ht="18" customHeight="1" x14ac:dyDescent="0.25">
      <c r="D129" s="17"/>
      <c r="E129" s="1"/>
      <c r="F129" s="1"/>
    </row>
    <row r="130" spans="4:6" s="2" customFormat="1" ht="18" customHeight="1" x14ac:dyDescent="0.25">
      <c r="E130" s="1"/>
      <c r="F130" s="1"/>
    </row>
    <row r="131" spans="4:6" s="2" customFormat="1" ht="18" customHeight="1" x14ac:dyDescent="0.25">
      <c r="E131" s="1"/>
      <c r="F131" s="1"/>
    </row>
    <row r="132" spans="4:6" s="2" customFormat="1" ht="18" customHeight="1" x14ac:dyDescent="0.25">
      <c r="E132" s="1"/>
      <c r="F132" s="1"/>
    </row>
    <row r="133" spans="4:6" s="2" customFormat="1" ht="18" customHeight="1" x14ac:dyDescent="0.25">
      <c r="E133" s="1"/>
      <c r="F133" s="1"/>
    </row>
    <row r="134" spans="4:6" s="2" customFormat="1" ht="18" customHeight="1" x14ac:dyDescent="0.25">
      <c r="E134" s="1"/>
      <c r="F134" s="1"/>
    </row>
    <row r="135" spans="4:6" s="2" customFormat="1" ht="18" customHeight="1" x14ac:dyDescent="0.25">
      <c r="E135" s="1"/>
      <c r="F135" s="1"/>
    </row>
    <row r="136" spans="4:6" s="2" customFormat="1" ht="18" customHeight="1" x14ac:dyDescent="0.25">
      <c r="E136" s="1"/>
      <c r="F136" s="1"/>
    </row>
    <row r="137" spans="4:6" s="2" customFormat="1" ht="18" customHeight="1" x14ac:dyDescent="0.25">
      <c r="E137" s="1"/>
      <c r="F137" s="1"/>
    </row>
    <row r="138" spans="4:6" s="2" customFormat="1" ht="18" customHeight="1" x14ac:dyDescent="0.25">
      <c r="E138" s="1"/>
      <c r="F138" s="1"/>
    </row>
    <row r="139" spans="4:6" s="2" customFormat="1" ht="18" customHeight="1" x14ac:dyDescent="0.25">
      <c r="E139" s="1"/>
      <c r="F139" s="1"/>
    </row>
    <row r="140" spans="4:6" s="2" customFormat="1" ht="18" customHeight="1" x14ac:dyDescent="0.25">
      <c r="E140" s="1"/>
      <c r="F140" s="1"/>
    </row>
    <row r="141" spans="4:6" s="2" customFormat="1" ht="18" customHeight="1" x14ac:dyDescent="0.25">
      <c r="E141" s="1"/>
      <c r="F141" s="1"/>
    </row>
    <row r="142" spans="4:6" s="2" customFormat="1" ht="18" customHeight="1" x14ac:dyDescent="0.25">
      <c r="E142" s="1"/>
      <c r="F142" s="1"/>
    </row>
    <row r="143" spans="4:6" s="2" customFormat="1" ht="18" customHeight="1" x14ac:dyDescent="0.25">
      <c r="E143" s="1"/>
      <c r="F143" s="1"/>
    </row>
    <row r="144" spans="4:6" s="2" customFormat="1" ht="18" customHeight="1" x14ac:dyDescent="0.25">
      <c r="E144" s="1"/>
      <c r="F144" s="1"/>
    </row>
    <row r="145" spans="5:6" s="2" customFormat="1" ht="18" customHeight="1" x14ac:dyDescent="0.25">
      <c r="E145" s="1"/>
      <c r="F145" s="1"/>
    </row>
    <row r="146" spans="5:6" s="2" customFormat="1" ht="18" customHeight="1" x14ac:dyDescent="0.25">
      <c r="E146" s="1"/>
      <c r="F146" s="1"/>
    </row>
    <row r="147" spans="5:6" s="2" customFormat="1" ht="18" customHeight="1" x14ac:dyDescent="0.25">
      <c r="E147" s="1"/>
      <c r="F147" s="1"/>
    </row>
    <row r="148" spans="5:6" s="2" customFormat="1" ht="18" customHeight="1" x14ac:dyDescent="0.25">
      <c r="E148" s="1"/>
      <c r="F148" s="1"/>
    </row>
    <row r="149" spans="5:6" s="2" customFormat="1" ht="18" customHeight="1" x14ac:dyDescent="0.25">
      <c r="E149" s="1"/>
      <c r="F149" s="1"/>
    </row>
    <row r="150" spans="5:6" s="2" customFormat="1" ht="18" customHeight="1" x14ac:dyDescent="0.25">
      <c r="E150" s="1"/>
      <c r="F150" s="1"/>
    </row>
    <row r="151" spans="5:6" s="2" customFormat="1" ht="18" customHeight="1" x14ac:dyDescent="0.25">
      <c r="E151" s="1"/>
      <c r="F151" s="1"/>
    </row>
    <row r="152" spans="5:6" s="2" customFormat="1" ht="18" customHeight="1" x14ac:dyDescent="0.25">
      <c r="E152" s="1"/>
      <c r="F152" s="1"/>
    </row>
    <row r="153" spans="5:6" s="2" customFormat="1" ht="18" customHeight="1" x14ac:dyDescent="0.25">
      <c r="E153" s="1"/>
      <c r="F153" s="1"/>
    </row>
    <row r="154" spans="5:6" s="2" customFormat="1" ht="18" customHeight="1" x14ac:dyDescent="0.25">
      <c r="E154" s="1"/>
      <c r="F154" s="1"/>
    </row>
    <row r="155" spans="5:6" s="2" customFormat="1" ht="18" customHeight="1" x14ac:dyDescent="0.25">
      <c r="E155" s="1"/>
      <c r="F155" s="1"/>
    </row>
    <row r="156" spans="5:6" s="2" customFormat="1" ht="18" customHeight="1" x14ac:dyDescent="0.25">
      <c r="E156" s="1"/>
      <c r="F156" s="1"/>
    </row>
    <row r="157" spans="5:6" s="2" customFormat="1" ht="18" customHeight="1" x14ac:dyDescent="0.25">
      <c r="E157" s="1"/>
      <c r="F157" s="1"/>
    </row>
    <row r="158" spans="5:6" s="2" customFormat="1" ht="18" customHeight="1" x14ac:dyDescent="0.25">
      <c r="E158" s="1"/>
      <c r="F158" s="1"/>
    </row>
    <row r="159" spans="5:6" s="2" customFormat="1" ht="18" customHeight="1" x14ac:dyDescent="0.25">
      <c r="E159" s="1"/>
      <c r="F159" s="1"/>
    </row>
    <row r="160" spans="5:6" s="2" customFormat="1" ht="18" customHeight="1" x14ac:dyDescent="0.25">
      <c r="E160" s="1"/>
      <c r="F160" s="1"/>
    </row>
    <row r="161" spans="5:6" s="2" customFormat="1" ht="18" customHeight="1" x14ac:dyDescent="0.25">
      <c r="E161" s="1"/>
      <c r="F161" s="1"/>
    </row>
    <row r="162" spans="5:6" s="2" customFormat="1" ht="18" customHeight="1" x14ac:dyDescent="0.25">
      <c r="E162" s="1"/>
      <c r="F162" s="1"/>
    </row>
    <row r="163" spans="5:6" s="2" customFormat="1" ht="18" customHeight="1" x14ac:dyDescent="0.25">
      <c r="E163" s="1"/>
      <c r="F163" s="1"/>
    </row>
    <row r="164" spans="5:6" s="2" customFormat="1" ht="18" customHeight="1" x14ac:dyDescent="0.25">
      <c r="E164" s="1"/>
      <c r="F164" s="1"/>
    </row>
    <row r="165" spans="5:6" s="2" customFormat="1" ht="18" customHeight="1" x14ac:dyDescent="0.25">
      <c r="E165" s="1"/>
      <c r="F165" s="1"/>
    </row>
    <row r="166" spans="5:6" s="2" customFormat="1" ht="18" customHeight="1" x14ac:dyDescent="0.25">
      <c r="E166" s="1"/>
      <c r="F166" s="1"/>
    </row>
    <row r="167" spans="5:6" s="2" customFormat="1" ht="18" customHeight="1" x14ac:dyDescent="0.25">
      <c r="E167" s="1"/>
      <c r="F167" s="1"/>
    </row>
    <row r="168" spans="5:6" s="2" customFormat="1" ht="18" customHeight="1" x14ac:dyDescent="0.25">
      <c r="E168" s="1"/>
      <c r="F168" s="1"/>
    </row>
    <row r="169" spans="5:6" s="2" customFormat="1" ht="18" customHeight="1" x14ac:dyDescent="0.25">
      <c r="E169" s="1"/>
      <c r="F169" s="1"/>
    </row>
    <row r="170" spans="5:6" s="2" customFormat="1" ht="18" customHeight="1" x14ac:dyDescent="0.25">
      <c r="E170" s="1"/>
      <c r="F170" s="1"/>
    </row>
    <row r="171" spans="5:6" s="2" customFormat="1" ht="18" customHeight="1" x14ac:dyDescent="0.25">
      <c r="E171" s="1"/>
      <c r="F171" s="1"/>
    </row>
    <row r="172" spans="5:6" s="2" customFormat="1" ht="18" customHeight="1" x14ac:dyDescent="0.25">
      <c r="E172" s="1"/>
      <c r="F172" s="1"/>
    </row>
    <row r="173" spans="5:6" s="2" customFormat="1" ht="18" customHeight="1" x14ac:dyDescent="0.25">
      <c r="E173" s="1"/>
      <c r="F173" s="1"/>
    </row>
    <row r="174" spans="5:6" s="2" customFormat="1" ht="18" customHeight="1" x14ac:dyDescent="0.25">
      <c r="E174" s="1"/>
      <c r="F174" s="1"/>
    </row>
    <row r="175" spans="5:6" s="2" customFormat="1" ht="18" customHeight="1" x14ac:dyDescent="0.25">
      <c r="E175" s="1"/>
      <c r="F175" s="1"/>
    </row>
    <row r="176" spans="5:6" s="2" customFormat="1" ht="18" customHeight="1" x14ac:dyDescent="0.25">
      <c r="E176" s="1"/>
      <c r="F176" s="1"/>
    </row>
    <row r="177" spans="5:6" s="2" customFormat="1" ht="18" customHeight="1" x14ac:dyDescent="0.25">
      <c r="E177" s="1"/>
      <c r="F177" s="1"/>
    </row>
    <row r="178" spans="5:6" s="2" customFormat="1" ht="18" customHeight="1" x14ac:dyDescent="0.25">
      <c r="E178" s="1"/>
      <c r="F178" s="1"/>
    </row>
    <row r="179" spans="5:6" s="2" customFormat="1" ht="18" customHeight="1" x14ac:dyDescent="0.25">
      <c r="E179" s="1"/>
      <c r="F179" s="1"/>
    </row>
    <row r="180" spans="5:6" s="2" customFormat="1" ht="18" customHeight="1" x14ac:dyDescent="0.25">
      <c r="E180" s="1"/>
      <c r="F180" s="1"/>
    </row>
    <row r="181" spans="5:6" s="2" customFormat="1" ht="18" customHeight="1" x14ac:dyDescent="0.25">
      <c r="E181" s="1"/>
      <c r="F181" s="1"/>
    </row>
    <row r="182" spans="5:6" s="2" customFormat="1" ht="18" customHeight="1" x14ac:dyDescent="0.25">
      <c r="E182" s="1"/>
      <c r="F182" s="1"/>
    </row>
    <row r="183" spans="5:6" s="2" customFormat="1" ht="18" customHeight="1" x14ac:dyDescent="0.25">
      <c r="E183" s="1"/>
      <c r="F183" s="1"/>
    </row>
    <row r="184" spans="5:6" s="2" customFormat="1" ht="18" customHeight="1" x14ac:dyDescent="0.25">
      <c r="E184" s="1"/>
      <c r="F184" s="1"/>
    </row>
    <row r="185" spans="5:6" s="2" customFormat="1" ht="18" customHeight="1" x14ac:dyDescent="0.25">
      <c r="E185" s="1"/>
      <c r="F185" s="1"/>
    </row>
    <row r="186" spans="5:6" s="2" customFormat="1" ht="18" customHeight="1" x14ac:dyDescent="0.25">
      <c r="E186" s="1"/>
      <c r="F186" s="1"/>
    </row>
    <row r="187" spans="5:6" s="2" customFormat="1" ht="18" customHeight="1" x14ac:dyDescent="0.25">
      <c r="E187" s="1"/>
      <c r="F187" s="1"/>
    </row>
    <row r="188" spans="5:6" s="2" customFormat="1" ht="18" customHeight="1" x14ac:dyDescent="0.25">
      <c r="E188" s="1"/>
      <c r="F188" s="1"/>
    </row>
    <row r="189" spans="5:6" s="2" customFormat="1" ht="18" customHeight="1" x14ac:dyDescent="0.25">
      <c r="E189" s="1"/>
      <c r="F189" s="1"/>
    </row>
    <row r="190" spans="5:6" s="2" customFormat="1" ht="18" customHeight="1" x14ac:dyDescent="0.25">
      <c r="E190" s="1"/>
      <c r="F190" s="1"/>
    </row>
    <row r="191" spans="5:6" s="2" customFormat="1" ht="18" customHeight="1" x14ac:dyDescent="0.25">
      <c r="E191" s="1"/>
      <c r="F191" s="1"/>
    </row>
    <row r="192" spans="5:6" s="2" customFormat="1" ht="18" customHeight="1" x14ac:dyDescent="0.25">
      <c r="E192" s="1"/>
      <c r="F192" s="1"/>
    </row>
    <row r="193" spans="5:6" s="2" customFormat="1" ht="18" customHeight="1" x14ac:dyDescent="0.25">
      <c r="E193" s="1"/>
      <c r="F193" s="1"/>
    </row>
    <row r="194" spans="5:6" s="2" customFormat="1" ht="18" customHeight="1" x14ac:dyDescent="0.25">
      <c r="E194" s="1"/>
      <c r="F194" s="1"/>
    </row>
    <row r="195" spans="5:6" s="2" customFormat="1" ht="18" customHeight="1" x14ac:dyDescent="0.25">
      <c r="E195" s="1"/>
      <c r="F195" s="1"/>
    </row>
    <row r="196" spans="5:6" s="2" customFormat="1" ht="18" customHeight="1" x14ac:dyDescent="0.25">
      <c r="E196" s="1"/>
      <c r="F196" s="1"/>
    </row>
    <row r="197" spans="5:6" s="2" customFormat="1" ht="18" customHeight="1" x14ac:dyDescent="0.25">
      <c r="E197" s="1"/>
      <c r="F197" s="1"/>
    </row>
    <row r="198" spans="5:6" s="2" customFormat="1" ht="18" customHeight="1" x14ac:dyDescent="0.25">
      <c r="E198" s="1"/>
      <c r="F198" s="1"/>
    </row>
    <row r="199" spans="5:6" s="2" customFormat="1" ht="18" customHeight="1" x14ac:dyDescent="0.25">
      <c r="E199" s="1"/>
      <c r="F199" s="1"/>
    </row>
    <row r="200" spans="5:6" s="2" customFormat="1" ht="18" customHeight="1" x14ac:dyDescent="0.25">
      <c r="E200" s="1"/>
      <c r="F200" s="1"/>
    </row>
    <row r="201" spans="5:6" s="2" customFormat="1" ht="18" customHeight="1" x14ac:dyDescent="0.25">
      <c r="E201" s="1"/>
      <c r="F201" s="1"/>
    </row>
    <row r="202" spans="5:6" s="2" customFormat="1" ht="18" customHeight="1" x14ac:dyDescent="0.25">
      <c r="E202" s="1"/>
      <c r="F202" s="1"/>
    </row>
    <row r="203" spans="5:6" s="2" customFormat="1" ht="18" customHeight="1" x14ac:dyDescent="0.25">
      <c r="E203" s="1"/>
      <c r="F203" s="1"/>
    </row>
    <row r="204" spans="5:6" s="2" customFormat="1" ht="18" customHeight="1" x14ac:dyDescent="0.25">
      <c r="E204" s="1"/>
      <c r="F204" s="1"/>
    </row>
    <row r="205" spans="5:6" s="2" customFormat="1" ht="18" customHeight="1" x14ac:dyDescent="0.25">
      <c r="E205" s="1"/>
      <c r="F205" s="1"/>
    </row>
    <row r="206" spans="5:6" s="2" customFormat="1" ht="18" customHeight="1" x14ac:dyDescent="0.25">
      <c r="E206" s="1"/>
      <c r="F206" s="1"/>
    </row>
    <row r="207" spans="5:6" s="2" customFormat="1" ht="18" customHeight="1" x14ac:dyDescent="0.25">
      <c r="E207" s="1"/>
      <c r="F207" s="1"/>
    </row>
    <row r="208" spans="5:6" s="2" customFormat="1" ht="18" customHeight="1" x14ac:dyDescent="0.25">
      <c r="E208" s="1"/>
      <c r="F208" s="1"/>
    </row>
    <row r="209" spans="5:6" s="2" customFormat="1" ht="18" customHeight="1" x14ac:dyDescent="0.25">
      <c r="E209" s="1"/>
      <c r="F209" s="1"/>
    </row>
    <row r="210" spans="5:6" s="2" customFormat="1" ht="18" customHeight="1" x14ac:dyDescent="0.25">
      <c r="E210" s="1"/>
      <c r="F210" s="1"/>
    </row>
    <row r="211" spans="5:6" s="2" customFormat="1" ht="18" customHeight="1" x14ac:dyDescent="0.25">
      <c r="E211" s="1"/>
      <c r="F211" s="1"/>
    </row>
    <row r="212" spans="5:6" s="2" customFormat="1" ht="18" customHeight="1" x14ac:dyDescent="0.25">
      <c r="E212" s="1"/>
      <c r="F212" s="1"/>
    </row>
    <row r="213" spans="5:6" s="2" customFormat="1" ht="18" customHeight="1" x14ac:dyDescent="0.25">
      <c r="E213" s="1"/>
      <c r="F213" s="1"/>
    </row>
    <row r="214" spans="5:6" s="2" customFormat="1" ht="18" customHeight="1" x14ac:dyDescent="0.25">
      <c r="E214" s="1"/>
      <c r="F214" s="1"/>
    </row>
    <row r="215" spans="5:6" s="2" customFormat="1" ht="18" customHeight="1" x14ac:dyDescent="0.25">
      <c r="E215" s="1"/>
      <c r="F215" s="1"/>
    </row>
    <row r="216" spans="5:6" s="2" customFormat="1" ht="18" customHeight="1" x14ac:dyDescent="0.25">
      <c r="E216" s="1"/>
      <c r="F216" s="1"/>
    </row>
    <row r="217" spans="5:6" s="2" customFormat="1" ht="18" customHeight="1" x14ac:dyDescent="0.25">
      <c r="E217" s="1"/>
      <c r="F217" s="1"/>
    </row>
    <row r="218" spans="5:6" s="2" customFormat="1" ht="18" customHeight="1" x14ac:dyDescent="0.25">
      <c r="E218" s="1"/>
      <c r="F218" s="1"/>
    </row>
    <row r="219" spans="5:6" s="2" customFormat="1" ht="18" customHeight="1" x14ac:dyDescent="0.25">
      <c r="E219" s="1"/>
      <c r="F219" s="1"/>
    </row>
    <row r="220" spans="5:6" s="2" customFormat="1" ht="18" customHeight="1" x14ac:dyDescent="0.25">
      <c r="E220" s="1"/>
      <c r="F220" s="1"/>
    </row>
    <row r="221" spans="5:6" s="2" customFormat="1" ht="18" customHeight="1" x14ac:dyDescent="0.25">
      <c r="E221" s="1"/>
      <c r="F221" s="1"/>
    </row>
    <row r="222" spans="5:6" s="2" customFormat="1" ht="18" customHeight="1" x14ac:dyDescent="0.25">
      <c r="E222" s="1"/>
      <c r="F222" s="1"/>
    </row>
    <row r="223" spans="5:6" s="2" customFormat="1" ht="18" customHeight="1" x14ac:dyDescent="0.25">
      <c r="E223" s="1"/>
      <c r="F223" s="1"/>
    </row>
    <row r="224" spans="5:6" s="2" customFormat="1" ht="18" customHeight="1" x14ac:dyDescent="0.25">
      <c r="E224" s="1"/>
      <c r="F224" s="1"/>
    </row>
    <row r="225" spans="5:6" s="2" customFormat="1" ht="18" customHeight="1" x14ac:dyDescent="0.25">
      <c r="E225" s="1"/>
      <c r="F225" s="1"/>
    </row>
    <row r="226" spans="5:6" s="2" customFormat="1" ht="18" customHeight="1" x14ac:dyDescent="0.25">
      <c r="E226" s="1"/>
      <c r="F226" s="1"/>
    </row>
    <row r="227" spans="5:6" s="2" customFormat="1" ht="18" customHeight="1" x14ac:dyDescent="0.25">
      <c r="E227" s="1"/>
      <c r="F227" s="1"/>
    </row>
    <row r="228" spans="5:6" s="2" customFormat="1" ht="18" customHeight="1" x14ac:dyDescent="0.25">
      <c r="E228" s="1"/>
      <c r="F228" s="1"/>
    </row>
    <row r="229" spans="5:6" s="2" customFormat="1" ht="18" customHeight="1" x14ac:dyDescent="0.25">
      <c r="E229" s="1"/>
      <c r="F229" s="1"/>
    </row>
    <row r="230" spans="5:6" s="2" customFormat="1" ht="18" customHeight="1" x14ac:dyDescent="0.25">
      <c r="E230" s="1"/>
      <c r="F230" s="1"/>
    </row>
    <row r="231" spans="5:6" s="2" customFormat="1" ht="18" customHeight="1" x14ac:dyDescent="0.25">
      <c r="E231" s="1"/>
      <c r="F231" s="1"/>
    </row>
    <row r="232" spans="5:6" s="2" customFormat="1" ht="18" customHeight="1" x14ac:dyDescent="0.25">
      <c r="E232" s="1"/>
      <c r="F232" s="1"/>
    </row>
    <row r="233" spans="5:6" s="2" customFormat="1" ht="18" customHeight="1" x14ac:dyDescent="0.25">
      <c r="E233" s="1"/>
      <c r="F233" s="1"/>
    </row>
    <row r="234" spans="5:6" s="2" customFormat="1" ht="18" customHeight="1" x14ac:dyDescent="0.25">
      <c r="E234" s="1"/>
      <c r="F234" s="1"/>
    </row>
    <row r="235" spans="5:6" s="2" customFormat="1" ht="18" customHeight="1" x14ac:dyDescent="0.25">
      <c r="E235" s="1"/>
      <c r="F235" s="1"/>
    </row>
    <row r="236" spans="5:6" s="2" customFormat="1" ht="18" customHeight="1" x14ac:dyDescent="0.25">
      <c r="E236" s="1"/>
      <c r="F236" s="1"/>
    </row>
    <row r="237" spans="5:6" s="2" customFormat="1" ht="18" customHeight="1" x14ac:dyDescent="0.25">
      <c r="E237" s="1"/>
      <c r="F237" s="1"/>
    </row>
    <row r="238" spans="5:6" s="2" customFormat="1" ht="18" customHeight="1" x14ac:dyDescent="0.25">
      <c r="E238" s="1"/>
      <c r="F238" s="1"/>
    </row>
    <row r="239" spans="5:6" s="2" customFormat="1" ht="18" customHeight="1" x14ac:dyDescent="0.25">
      <c r="E239" s="1"/>
      <c r="F239" s="1"/>
    </row>
    <row r="240" spans="5:6" s="2" customFormat="1" ht="18" customHeight="1" x14ac:dyDescent="0.25">
      <c r="E240" s="1"/>
      <c r="F240" s="1"/>
    </row>
    <row r="241" spans="5:6" s="2" customFormat="1" ht="18" customHeight="1" x14ac:dyDescent="0.25">
      <c r="E241" s="1"/>
      <c r="F241" s="1"/>
    </row>
    <row r="242" spans="5:6" s="2" customFormat="1" ht="18" customHeight="1" x14ac:dyDescent="0.25">
      <c r="E242" s="1"/>
      <c r="F242" s="1"/>
    </row>
    <row r="243" spans="5:6" s="2" customFormat="1" ht="18" customHeight="1" x14ac:dyDescent="0.25">
      <c r="E243" s="1"/>
      <c r="F243" s="1"/>
    </row>
    <row r="244" spans="5:6" s="2" customFormat="1" ht="18" customHeight="1" x14ac:dyDescent="0.25">
      <c r="E244" s="1"/>
      <c r="F244" s="1"/>
    </row>
    <row r="245" spans="5:6" s="2" customFormat="1" ht="18" customHeight="1" x14ac:dyDescent="0.25">
      <c r="E245" s="1"/>
      <c r="F245" s="1"/>
    </row>
    <row r="246" spans="5:6" s="2" customFormat="1" ht="18" customHeight="1" x14ac:dyDescent="0.25">
      <c r="E246" s="1"/>
      <c r="F246" s="1"/>
    </row>
    <row r="247" spans="5:6" s="2" customFormat="1" ht="18" customHeight="1" x14ac:dyDescent="0.25">
      <c r="E247" s="1"/>
      <c r="F247" s="1"/>
    </row>
    <row r="248" spans="5:6" s="2" customFormat="1" ht="18" customHeight="1" x14ac:dyDescent="0.25">
      <c r="E248" s="1"/>
      <c r="F248" s="1"/>
    </row>
    <row r="249" spans="5:6" s="2" customFormat="1" ht="18" customHeight="1" x14ac:dyDescent="0.25">
      <c r="E249" s="1"/>
      <c r="F249" s="1"/>
    </row>
    <row r="250" spans="5:6" s="2" customFormat="1" ht="18" customHeight="1" x14ac:dyDescent="0.25">
      <c r="E250" s="1"/>
      <c r="F250" s="1"/>
    </row>
    <row r="251" spans="5:6" s="2" customFormat="1" ht="18" customHeight="1" x14ac:dyDescent="0.25">
      <c r="E251" s="1"/>
      <c r="F251" s="1"/>
    </row>
    <row r="252" spans="5:6" s="2" customFormat="1" ht="18" customHeight="1" x14ac:dyDescent="0.25">
      <c r="E252" s="1"/>
      <c r="F252" s="1"/>
    </row>
    <row r="253" spans="5:6" s="2" customFormat="1" ht="18" customHeight="1" x14ac:dyDescent="0.25">
      <c r="E253" s="1"/>
      <c r="F253" s="1"/>
    </row>
    <row r="254" spans="5:6" s="2" customFormat="1" ht="18" customHeight="1" x14ac:dyDescent="0.25">
      <c r="E254" s="1"/>
      <c r="F254" s="1"/>
    </row>
    <row r="255" spans="5:6" s="2" customFormat="1" ht="18" customHeight="1" x14ac:dyDescent="0.25">
      <c r="E255" s="1"/>
      <c r="F255" s="1"/>
    </row>
    <row r="256" spans="5:6" s="2" customFormat="1" ht="18" customHeight="1" x14ac:dyDescent="0.25">
      <c r="E256" s="1"/>
      <c r="F256" s="1"/>
    </row>
    <row r="257" spans="5:6" s="2" customFormat="1" ht="18" customHeight="1" x14ac:dyDescent="0.25">
      <c r="E257" s="1"/>
      <c r="F257" s="1"/>
    </row>
    <row r="258" spans="5:6" s="2" customFormat="1" ht="18" customHeight="1" x14ac:dyDescent="0.25">
      <c r="E258" s="1"/>
      <c r="F258" s="1"/>
    </row>
    <row r="259" spans="5:6" s="2" customFormat="1" ht="18" customHeight="1" x14ac:dyDescent="0.25">
      <c r="E259" s="1"/>
      <c r="F259" s="1"/>
    </row>
    <row r="260" spans="5:6" s="2" customFormat="1" ht="18" customHeight="1" x14ac:dyDescent="0.25">
      <c r="E260" s="1"/>
      <c r="F260" s="1"/>
    </row>
    <row r="261" spans="5:6" s="2" customFormat="1" ht="18" customHeight="1" x14ac:dyDescent="0.25">
      <c r="E261" s="1"/>
      <c r="F261" s="1"/>
    </row>
    <row r="262" spans="5:6" s="2" customFormat="1" ht="18" customHeight="1" x14ac:dyDescent="0.25">
      <c r="E262" s="1"/>
      <c r="F262" s="1"/>
    </row>
    <row r="263" spans="5:6" s="2" customFormat="1" ht="18" customHeight="1" x14ac:dyDescent="0.25">
      <c r="E263" s="1"/>
      <c r="F263" s="1"/>
    </row>
    <row r="264" spans="5:6" s="2" customFormat="1" ht="18" customHeight="1" x14ac:dyDescent="0.25">
      <c r="E264" s="1"/>
      <c r="F264" s="1"/>
    </row>
    <row r="265" spans="5:6" s="2" customFormat="1" ht="18" customHeight="1" x14ac:dyDescent="0.25">
      <c r="E265" s="1"/>
      <c r="F265" s="1"/>
    </row>
    <row r="266" spans="5:6" s="2" customFormat="1" ht="18" customHeight="1" x14ac:dyDescent="0.25">
      <c r="E266" s="1"/>
      <c r="F266" s="1"/>
    </row>
    <row r="267" spans="5:6" s="2" customFormat="1" ht="18" customHeight="1" x14ac:dyDescent="0.25">
      <c r="E267" s="1"/>
      <c r="F267" s="1"/>
    </row>
    <row r="268" spans="5:6" s="2" customFormat="1" ht="18" customHeight="1" x14ac:dyDescent="0.25">
      <c r="E268" s="1"/>
      <c r="F268" s="1"/>
    </row>
    <row r="269" spans="5:6" s="2" customFormat="1" ht="18" customHeight="1" x14ac:dyDescent="0.25">
      <c r="E269" s="1"/>
      <c r="F269" s="1"/>
    </row>
    <row r="270" spans="5:6" s="2" customFormat="1" ht="18" customHeight="1" x14ac:dyDescent="0.25">
      <c r="E270" s="1"/>
      <c r="F270" s="1"/>
    </row>
    <row r="271" spans="5:6" s="2" customFormat="1" ht="18" customHeight="1" x14ac:dyDescent="0.25">
      <c r="E271" s="1"/>
      <c r="F271" s="1"/>
    </row>
    <row r="272" spans="5:6" s="2" customFormat="1" ht="18" customHeight="1" x14ac:dyDescent="0.25">
      <c r="E272" s="1"/>
      <c r="F272" s="1"/>
    </row>
    <row r="273" spans="5:6" s="2" customFormat="1" ht="18" customHeight="1" x14ac:dyDescent="0.25">
      <c r="E273" s="1"/>
      <c r="F273" s="1"/>
    </row>
    <row r="274" spans="5:6" s="2" customFormat="1" ht="18" customHeight="1" x14ac:dyDescent="0.25">
      <c r="E274" s="1"/>
      <c r="F274" s="1"/>
    </row>
    <row r="275" spans="5:6" s="2" customFormat="1" ht="18" customHeight="1" x14ac:dyDescent="0.25">
      <c r="E275" s="1"/>
      <c r="F275" s="1"/>
    </row>
    <row r="276" spans="5:6" s="2" customFormat="1" ht="18" customHeight="1" x14ac:dyDescent="0.25">
      <c r="E276" s="1"/>
      <c r="F276" s="1"/>
    </row>
    <row r="277" spans="5:6" s="2" customFormat="1" ht="18" customHeight="1" x14ac:dyDescent="0.25">
      <c r="E277" s="1"/>
      <c r="F277" s="1"/>
    </row>
    <row r="278" spans="5:6" s="2" customFormat="1" ht="18" customHeight="1" x14ac:dyDescent="0.25">
      <c r="E278" s="1"/>
      <c r="F278" s="1"/>
    </row>
    <row r="279" spans="5:6" s="2" customFormat="1" ht="18" customHeight="1" x14ac:dyDescent="0.25">
      <c r="E279" s="1"/>
      <c r="F279" s="1"/>
    </row>
    <row r="280" spans="5:6" s="2" customFormat="1" ht="18" customHeight="1" x14ac:dyDescent="0.25">
      <c r="E280" s="1"/>
      <c r="F280" s="1"/>
    </row>
    <row r="281" spans="5:6" s="2" customFormat="1" ht="18" customHeight="1" x14ac:dyDescent="0.25">
      <c r="E281" s="1"/>
      <c r="F281" s="1"/>
    </row>
    <row r="282" spans="5:6" s="2" customFormat="1" ht="18" customHeight="1" x14ac:dyDescent="0.25">
      <c r="E282" s="1"/>
      <c r="F282" s="1"/>
    </row>
    <row r="283" spans="5:6" s="2" customFormat="1" ht="18" customHeight="1" x14ac:dyDescent="0.25">
      <c r="E283" s="1"/>
      <c r="F283" s="1"/>
    </row>
    <row r="284" spans="5:6" s="2" customFormat="1" ht="18" customHeight="1" x14ac:dyDescent="0.25">
      <c r="E284" s="1"/>
      <c r="F284" s="1"/>
    </row>
    <row r="285" spans="5:6" s="2" customFormat="1" ht="18" customHeight="1" x14ac:dyDescent="0.25">
      <c r="E285" s="1"/>
      <c r="F285" s="1"/>
    </row>
    <row r="286" spans="5:6" s="2" customFormat="1" ht="18" customHeight="1" x14ac:dyDescent="0.25">
      <c r="E286" s="1"/>
      <c r="F286" s="1"/>
    </row>
    <row r="287" spans="5:6" s="2" customFormat="1" ht="18" customHeight="1" x14ac:dyDescent="0.25">
      <c r="E287" s="1"/>
      <c r="F287" s="1"/>
    </row>
    <row r="288" spans="5:6" s="2" customFormat="1" ht="18" customHeight="1" x14ac:dyDescent="0.25">
      <c r="E288" s="1"/>
      <c r="F288" s="1"/>
    </row>
    <row r="289" spans="5:6" s="2" customFormat="1" ht="18" customHeight="1" x14ac:dyDescent="0.25">
      <c r="E289" s="1"/>
      <c r="F289" s="1"/>
    </row>
    <row r="290" spans="5:6" s="2" customFormat="1" ht="18" customHeight="1" x14ac:dyDescent="0.25">
      <c r="E290" s="1"/>
      <c r="F290" s="1"/>
    </row>
    <row r="291" spans="5:6" s="2" customFormat="1" ht="18" customHeight="1" x14ac:dyDescent="0.25">
      <c r="E291" s="1"/>
      <c r="F291" s="1"/>
    </row>
    <row r="292" spans="5:6" s="2" customFormat="1" ht="18" customHeight="1" x14ac:dyDescent="0.25">
      <c r="E292" s="1"/>
      <c r="F292" s="1"/>
    </row>
    <row r="293" spans="5:6" s="2" customFormat="1" ht="18" customHeight="1" x14ac:dyDescent="0.25">
      <c r="E293" s="1"/>
      <c r="F293" s="1"/>
    </row>
    <row r="294" spans="5:6" s="2" customFormat="1" ht="18" customHeight="1" x14ac:dyDescent="0.25">
      <c r="E294" s="1"/>
      <c r="F294" s="1"/>
    </row>
    <row r="295" spans="5:6" s="2" customFormat="1" ht="18" customHeight="1" x14ac:dyDescent="0.25">
      <c r="E295" s="1"/>
      <c r="F295" s="1"/>
    </row>
    <row r="296" spans="5:6" s="2" customFormat="1" ht="18" customHeight="1" x14ac:dyDescent="0.25">
      <c r="E296" s="1"/>
      <c r="F296" s="1"/>
    </row>
    <row r="297" spans="5:6" s="2" customFormat="1" ht="18" customHeight="1" x14ac:dyDescent="0.25">
      <c r="E297" s="1"/>
      <c r="F297" s="1"/>
    </row>
    <row r="298" spans="5:6" s="2" customFormat="1" ht="18" customHeight="1" x14ac:dyDescent="0.25">
      <c r="E298" s="1"/>
      <c r="F298" s="1"/>
    </row>
    <row r="299" spans="5:6" s="2" customFormat="1" ht="18" customHeight="1" x14ac:dyDescent="0.25">
      <c r="E299" s="1"/>
      <c r="F299" s="1"/>
    </row>
    <row r="300" spans="5:6" s="2" customFormat="1" ht="18" customHeight="1" x14ac:dyDescent="0.25">
      <c r="E300" s="1"/>
      <c r="F300" s="1"/>
    </row>
    <row r="301" spans="5:6" s="2" customFormat="1" ht="18" customHeight="1" x14ac:dyDescent="0.25">
      <c r="E301" s="1"/>
      <c r="F301" s="1"/>
    </row>
    <row r="302" spans="5:6" s="2" customFormat="1" ht="18" customHeight="1" x14ac:dyDescent="0.25">
      <c r="E302" s="1"/>
      <c r="F302" s="1"/>
    </row>
    <row r="303" spans="5:6" s="2" customFormat="1" ht="18" customHeight="1" x14ac:dyDescent="0.25">
      <c r="E303" s="1"/>
      <c r="F303" s="1"/>
    </row>
    <row r="304" spans="5:6" s="2" customFormat="1" ht="18" customHeight="1" x14ac:dyDescent="0.25">
      <c r="E304" s="1"/>
      <c r="F304" s="1"/>
    </row>
    <row r="305" spans="5:6" s="2" customFormat="1" ht="18" customHeight="1" x14ac:dyDescent="0.25">
      <c r="E305" s="1"/>
      <c r="F305" s="1"/>
    </row>
    <row r="306" spans="5:6" s="2" customFormat="1" ht="18" customHeight="1" x14ac:dyDescent="0.25">
      <c r="E306" s="1"/>
      <c r="F306" s="1"/>
    </row>
    <row r="307" spans="5:6" s="2" customFormat="1" ht="18" customHeight="1" x14ac:dyDescent="0.25">
      <c r="E307" s="1"/>
      <c r="F307" s="1"/>
    </row>
    <row r="308" spans="5:6" s="2" customFormat="1" ht="18" customHeight="1" x14ac:dyDescent="0.25">
      <c r="E308" s="1"/>
      <c r="F308" s="1"/>
    </row>
    <row r="309" spans="5:6" s="2" customFormat="1" ht="18" customHeight="1" x14ac:dyDescent="0.25">
      <c r="E309" s="1"/>
      <c r="F309" s="1"/>
    </row>
    <row r="310" spans="5:6" s="2" customFormat="1" ht="18" customHeight="1" x14ac:dyDescent="0.25">
      <c r="E310" s="1"/>
      <c r="F310" s="1"/>
    </row>
    <row r="311" spans="5:6" s="2" customFormat="1" ht="18" customHeight="1" x14ac:dyDescent="0.25">
      <c r="E311" s="1"/>
      <c r="F311" s="1"/>
    </row>
    <row r="312" spans="5:6" s="2" customFormat="1" ht="18" customHeight="1" x14ac:dyDescent="0.25">
      <c r="E312" s="1"/>
      <c r="F312" s="1"/>
    </row>
    <row r="313" spans="5:6" s="2" customFormat="1" ht="18" customHeight="1" x14ac:dyDescent="0.25">
      <c r="E313" s="1"/>
      <c r="F313" s="1"/>
    </row>
    <row r="314" spans="5:6" s="2" customFormat="1" ht="18" customHeight="1" x14ac:dyDescent="0.25">
      <c r="E314" s="1"/>
      <c r="F314" s="1"/>
    </row>
    <row r="315" spans="5:6" s="2" customFormat="1" ht="18" customHeight="1" x14ac:dyDescent="0.25">
      <c r="E315" s="1"/>
      <c r="F315" s="1"/>
    </row>
    <row r="316" spans="5:6" s="2" customFormat="1" ht="18" customHeight="1" x14ac:dyDescent="0.25">
      <c r="E316" s="1"/>
      <c r="F316" s="1"/>
    </row>
    <row r="317" spans="5:6" s="2" customFormat="1" ht="18" customHeight="1" x14ac:dyDescent="0.25">
      <c r="E317" s="1"/>
      <c r="F317" s="1"/>
    </row>
    <row r="318" spans="5:6" s="2" customFormat="1" ht="18" customHeight="1" x14ac:dyDescent="0.25">
      <c r="E318" s="1"/>
      <c r="F318" s="1"/>
    </row>
    <row r="319" spans="5:6" s="2" customFormat="1" ht="18" customHeight="1" x14ac:dyDescent="0.25">
      <c r="E319" s="1"/>
      <c r="F319" s="1"/>
    </row>
    <row r="320" spans="5:6" s="2" customFormat="1" ht="18" customHeight="1" x14ac:dyDescent="0.25">
      <c r="E320" s="1"/>
      <c r="F320" s="1"/>
    </row>
    <row r="321" spans="5:6" s="2" customFormat="1" ht="18" customHeight="1" x14ac:dyDescent="0.25">
      <c r="E321" s="1"/>
      <c r="F321" s="1"/>
    </row>
    <row r="322" spans="5:6" s="2" customFormat="1" ht="18" customHeight="1" x14ac:dyDescent="0.25">
      <c r="E322" s="1"/>
      <c r="F322" s="1"/>
    </row>
    <row r="323" spans="5:6" s="2" customFormat="1" ht="18" customHeight="1" x14ac:dyDescent="0.25">
      <c r="E323" s="1"/>
      <c r="F323" s="1"/>
    </row>
    <row r="324" spans="5:6" s="2" customFormat="1" ht="18" customHeight="1" x14ac:dyDescent="0.25">
      <c r="E324" s="1"/>
      <c r="F324" s="1"/>
    </row>
    <row r="325" spans="5:6" s="2" customFormat="1" ht="18" customHeight="1" x14ac:dyDescent="0.25">
      <c r="E325" s="1"/>
      <c r="F325" s="1"/>
    </row>
    <row r="326" spans="5:6" s="2" customFormat="1" ht="18" customHeight="1" x14ac:dyDescent="0.25">
      <c r="E326" s="1"/>
      <c r="F326" s="1"/>
    </row>
    <row r="327" spans="5:6" s="2" customFormat="1" ht="18" customHeight="1" x14ac:dyDescent="0.25">
      <c r="E327" s="1"/>
      <c r="F327" s="1"/>
    </row>
    <row r="328" spans="5:6" s="2" customFormat="1" ht="18" customHeight="1" x14ac:dyDescent="0.25">
      <c r="E328" s="1"/>
      <c r="F328" s="1"/>
    </row>
    <row r="329" spans="5:6" s="2" customFormat="1" ht="18" customHeight="1" x14ac:dyDescent="0.25">
      <c r="E329" s="1"/>
      <c r="F329" s="1"/>
    </row>
    <row r="330" spans="5:6" s="2" customFormat="1" ht="18" customHeight="1" x14ac:dyDescent="0.25">
      <c r="E330" s="1"/>
      <c r="F330" s="1"/>
    </row>
    <row r="331" spans="5:6" s="2" customFormat="1" ht="18" customHeight="1" x14ac:dyDescent="0.25">
      <c r="E331" s="1"/>
      <c r="F331" s="1"/>
    </row>
    <row r="332" spans="5:6" s="2" customFormat="1" ht="18" customHeight="1" x14ac:dyDescent="0.25">
      <c r="E332" s="1"/>
      <c r="F332" s="1"/>
    </row>
    <row r="333" spans="5:6" s="2" customFormat="1" ht="18" customHeight="1" x14ac:dyDescent="0.25">
      <c r="E333" s="1"/>
      <c r="F333" s="1"/>
    </row>
    <row r="334" spans="5:6" s="2" customFormat="1" ht="18" customHeight="1" x14ac:dyDescent="0.25">
      <c r="E334" s="1"/>
      <c r="F334" s="1"/>
    </row>
    <row r="335" spans="5:6" s="2" customFormat="1" ht="18" customHeight="1" x14ac:dyDescent="0.25">
      <c r="E335" s="1"/>
      <c r="F335" s="1"/>
    </row>
    <row r="336" spans="5:6" s="2" customFormat="1" ht="18" customHeight="1" x14ac:dyDescent="0.25">
      <c r="E336" s="1"/>
      <c r="F336" s="1"/>
    </row>
    <row r="337" spans="5:6" s="2" customFormat="1" ht="18" customHeight="1" x14ac:dyDescent="0.25">
      <c r="E337" s="1"/>
      <c r="F337" s="1"/>
    </row>
    <row r="338" spans="5:6" s="2" customFormat="1" ht="18" customHeight="1" x14ac:dyDescent="0.25">
      <c r="E338" s="1"/>
      <c r="F338" s="1"/>
    </row>
    <row r="339" spans="5:6" s="2" customFormat="1" ht="18" customHeight="1" x14ac:dyDescent="0.25">
      <c r="E339" s="1"/>
      <c r="F339" s="1"/>
    </row>
    <row r="340" spans="5:6" s="2" customFormat="1" ht="18" customHeight="1" x14ac:dyDescent="0.25">
      <c r="E340" s="1"/>
      <c r="F340" s="1"/>
    </row>
    <row r="341" spans="5:6" s="2" customFormat="1" ht="18" customHeight="1" x14ac:dyDescent="0.25">
      <c r="E341" s="1"/>
      <c r="F341" s="1"/>
    </row>
    <row r="342" spans="5:6" s="2" customFormat="1" ht="18" customHeight="1" x14ac:dyDescent="0.25">
      <c r="E342" s="1"/>
      <c r="F342" s="1"/>
    </row>
    <row r="343" spans="5:6" s="2" customFormat="1" ht="18" customHeight="1" x14ac:dyDescent="0.25">
      <c r="E343" s="1"/>
      <c r="F343" s="1"/>
    </row>
    <row r="344" spans="5:6" s="2" customFormat="1" ht="18" customHeight="1" x14ac:dyDescent="0.25">
      <c r="E344" s="1"/>
      <c r="F344" s="1"/>
    </row>
    <row r="345" spans="5:6" s="2" customFormat="1" ht="18" customHeight="1" x14ac:dyDescent="0.25">
      <c r="E345" s="1"/>
      <c r="F345" s="1"/>
    </row>
    <row r="346" spans="5:6" s="2" customFormat="1" ht="18" customHeight="1" x14ac:dyDescent="0.25">
      <c r="E346" s="1"/>
      <c r="F346" s="1"/>
    </row>
    <row r="347" spans="5:6" s="2" customFormat="1" ht="18" customHeight="1" x14ac:dyDescent="0.25">
      <c r="E347" s="1"/>
      <c r="F347" s="1"/>
    </row>
    <row r="348" spans="5:6" s="2" customFormat="1" ht="18" customHeight="1" x14ac:dyDescent="0.25">
      <c r="E348" s="1"/>
      <c r="F348" s="1"/>
    </row>
    <row r="349" spans="5:6" s="2" customFormat="1" ht="18" customHeight="1" x14ac:dyDescent="0.25">
      <c r="E349" s="1"/>
      <c r="F349" s="1"/>
    </row>
    <row r="350" spans="5:6" s="2" customFormat="1" ht="18" customHeight="1" x14ac:dyDescent="0.25">
      <c r="E350" s="1"/>
      <c r="F350" s="1"/>
    </row>
    <row r="351" spans="5:6" s="2" customFormat="1" ht="18" customHeight="1" x14ac:dyDescent="0.25">
      <c r="E351" s="1"/>
      <c r="F351" s="1"/>
    </row>
    <row r="352" spans="5:6" s="2" customFormat="1" ht="18" customHeight="1" x14ac:dyDescent="0.25">
      <c r="E352" s="1"/>
      <c r="F352" s="1"/>
    </row>
    <row r="353" spans="5:6" s="2" customFormat="1" ht="18" customHeight="1" x14ac:dyDescent="0.25">
      <c r="E353" s="1"/>
      <c r="F353" s="1"/>
    </row>
    <row r="354" spans="5:6" s="2" customFormat="1" ht="18" customHeight="1" x14ac:dyDescent="0.25">
      <c r="E354" s="1"/>
      <c r="F354" s="1"/>
    </row>
    <row r="355" spans="5:6" s="2" customFormat="1" ht="18" customHeight="1" x14ac:dyDescent="0.25">
      <c r="E355" s="1"/>
      <c r="F355" s="1"/>
    </row>
    <row r="356" spans="5:6" s="2" customFormat="1" ht="18" customHeight="1" x14ac:dyDescent="0.25">
      <c r="E356" s="1"/>
      <c r="F356" s="1"/>
    </row>
    <row r="357" spans="5:6" s="2" customFormat="1" ht="18" customHeight="1" x14ac:dyDescent="0.25">
      <c r="E357" s="1"/>
      <c r="F357" s="1"/>
    </row>
    <row r="358" spans="5:6" s="2" customFormat="1" ht="18" customHeight="1" x14ac:dyDescent="0.25">
      <c r="E358" s="1"/>
      <c r="F358" s="1"/>
    </row>
    <row r="359" spans="5:6" s="2" customFormat="1" ht="18" customHeight="1" x14ac:dyDescent="0.25">
      <c r="E359" s="1"/>
      <c r="F359" s="1"/>
    </row>
    <row r="360" spans="5:6" s="2" customFormat="1" ht="18" customHeight="1" x14ac:dyDescent="0.25">
      <c r="E360" s="1"/>
      <c r="F360" s="1"/>
    </row>
    <row r="361" spans="5:6" s="2" customFormat="1" ht="18" customHeight="1" x14ac:dyDescent="0.25">
      <c r="E361" s="1"/>
      <c r="F361" s="1"/>
    </row>
    <row r="362" spans="5:6" s="2" customFormat="1" ht="18" customHeight="1" x14ac:dyDescent="0.25">
      <c r="E362" s="1"/>
      <c r="F362" s="1"/>
    </row>
    <row r="363" spans="5:6" s="2" customFormat="1" ht="18" customHeight="1" x14ac:dyDescent="0.25">
      <c r="E363" s="1"/>
      <c r="F363" s="1"/>
    </row>
    <row r="364" spans="5:6" s="2" customFormat="1" ht="18" customHeight="1" x14ac:dyDescent="0.25">
      <c r="E364" s="1"/>
      <c r="F364" s="1"/>
    </row>
    <row r="365" spans="5:6" s="2" customFormat="1" ht="18" customHeight="1" x14ac:dyDescent="0.25">
      <c r="E365" s="1"/>
      <c r="F365" s="1"/>
    </row>
    <row r="366" spans="5:6" s="2" customFormat="1" ht="18" customHeight="1" x14ac:dyDescent="0.25">
      <c r="E366" s="1"/>
      <c r="F366" s="1"/>
    </row>
    <row r="367" spans="5:6" s="2" customFormat="1" ht="18" customHeight="1" x14ac:dyDescent="0.25">
      <c r="E367" s="1"/>
      <c r="F367" s="1"/>
    </row>
    <row r="368" spans="5:6" s="2" customFormat="1" ht="18" customHeight="1" x14ac:dyDescent="0.25">
      <c r="E368" s="1"/>
      <c r="F368" s="1"/>
    </row>
    <row r="369" spans="5:6" s="2" customFormat="1" ht="18" customHeight="1" x14ac:dyDescent="0.25">
      <c r="E369" s="1"/>
      <c r="F369" s="1"/>
    </row>
    <row r="370" spans="5:6" s="2" customFormat="1" ht="18" customHeight="1" x14ac:dyDescent="0.25">
      <c r="E370" s="1"/>
      <c r="F370" s="1"/>
    </row>
    <row r="371" spans="5:6" s="2" customFormat="1" ht="18" customHeight="1" x14ac:dyDescent="0.25">
      <c r="E371" s="1"/>
      <c r="F371" s="1"/>
    </row>
    <row r="372" spans="5:6" s="2" customFormat="1" ht="18" customHeight="1" x14ac:dyDescent="0.25">
      <c r="E372" s="1"/>
      <c r="F372" s="1"/>
    </row>
    <row r="373" spans="5:6" s="2" customFormat="1" ht="18" customHeight="1" x14ac:dyDescent="0.25">
      <c r="E373" s="1"/>
      <c r="F373" s="1"/>
    </row>
    <row r="374" spans="5:6" s="2" customFormat="1" ht="18" customHeight="1" x14ac:dyDescent="0.25">
      <c r="E374" s="1"/>
      <c r="F374" s="1"/>
    </row>
    <row r="375" spans="5:6" s="2" customFormat="1" ht="18" customHeight="1" x14ac:dyDescent="0.25">
      <c r="E375" s="1"/>
      <c r="F375" s="1"/>
    </row>
    <row r="376" spans="5:6" s="2" customFormat="1" ht="18" customHeight="1" x14ac:dyDescent="0.25">
      <c r="E376" s="1"/>
      <c r="F376" s="1"/>
    </row>
    <row r="377" spans="5:6" s="2" customFormat="1" ht="18" customHeight="1" x14ac:dyDescent="0.25">
      <c r="E377" s="1"/>
      <c r="F377" s="1"/>
    </row>
    <row r="378" spans="5:6" s="2" customFormat="1" ht="18" customHeight="1" x14ac:dyDescent="0.25">
      <c r="E378" s="1"/>
      <c r="F378" s="1"/>
    </row>
    <row r="379" spans="5:6" s="2" customFormat="1" ht="18" customHeight="1" x14ac:dyDescent="0.25">
      <c r="E379" s="1"/>
      <c r="F379" s="1"/>
    </row>
    <row r="380" spans="5:6" s="2" customFormat="1" ht="18" customHeight="1" x14ac:dyDescent="0.25">
      <c r="E380" s="1"/>
      <c r="F380" s="1"/>
    </row>
    <row r="381" spans="5:6" s="2" customFormat="1" ht="18" customHeight="1" x14ac:dyDescent="0.25">
      <c r="E381" s="1"/>
      <c r="F381" s="1"/>
    </row>
    <row r="382" spans="5:6" s="2" customFormat="1" ht="18" customHeight="1" x14ac:dyDescent="0.25">
      <c r="E382" s="1"/>
      <c r="F382" s="1"/>
    </row>
    <row r="383" spans="5:6" s="2" customFormat="1" ht="18" customHeight="1" x14ac:dyDescent="0.25">
      <c r="E383" s="1"/>
      <c r="F383" s="1"/>
    </row>
    <row r="384" spans="5:6" s="2" customFormat="1" ht="18" customHeight="1" x14ac:dyDescent="0.25">
      <c r="E384" s="1"/>
      <c r="F384" s="1"/>
    </row>
    <row r="385" spans="5:6" s="2" customFormat="1" ht="18" customHeight="1" x14ac:dyDescent="0.25">
      <c r="E385" s="1"/>
      <c r="F385" s="1"/>
    </row>
    <row r="386" spans="5:6" s="2" customFormat="1" ht="18" customHeight="1" x14ac:dyDescent="0.25">
      <c r="E386" s="1"/>
      <c r="F386" s="1"/>
    </row>
    <row r="387" spans="5:6" s="2" customFormat="1" ht="18" customHeight="1" x14ac:dyDescent="0.25">
      <c r="E387" s="1"/>
      <c r="F387" s="1"/>
    </row>
    <row r="388" spans="5:6" s="2" customFormat="1" ht="18" customHeight="1" x14ac:dyDescent="0.25">
      <c r="E388" s="1"/>
      <c r="F388" s="1"/>
    </row>
    <row r="389" spans="5:6" s="2" customFormat="1" ht="18" customHeight="1" x14ac:dyDescent="0.25">
      <c r="E389" s="1"/>
      <c r="F389" s="1"/>
    </row>
    <row r="390" spans="5:6" s="2" customFormat="1" ht="18" customHeight="1" x14ac:dyDescent="0.25">
      <c r="E390" s="1"/>
      <c r="F390" s="1"/>
    </row>
    <row r="391" spans="5:6" s="2" customFormat="1" ht="18" customHeight="1" x14ac:dyDescent="0.25">
      <c r="E391" s="1"/>
      <c r="F391" s="1"/>
    </row>
    <row r="392" spans="5:6" s="2" customFormat="1" ht="18" customHeight="1" x14ac:dyDescent="0.25">
      <c r="E392" s="1"/>
      <c r="F392" s="1"/>
    </row>
    <row r="393" spans="5:6" s="2" customFormat="1" ht="18" customHeight="1" x14ac:dyDescent="0.25">
      <c r="E393" s="1"/>
      <c r="F393" s="1"/>
    </row>
    <row r="394" spans="5:6" s="2" customFormat="1" ht="18" customHeight="1" x14ac:dyDescent="0.25">
      <c r="E394" s="1"/>
      <c r="F394" s="1"/>
    </row>
    <row r="395" spans="5:6" s="2" customFormat="1" ht="18" customHeight="1" x14ac:dyDescent="0.25">
      <c r="E395" s="1"/>
      <c r="F395" s="1"/>
    </row>
    <row r="396" spans="5:6" s="2" customFormat="1" ht="18" customHeight="1" x14ac:dyDescent="0.25">
      <c r="E396" s="1"/>
      <c r="F396" s="1"/>
    </row>
    <row r="397" spans="5:6" s="2" customFormat="1" ht="18" customHeight="1" x14ac:dyDescent="0.25">
      <c r="E397" s="1"/>
      <c r="F397" s="1"/>
    </row>
    <row r="398" spans="5:6" s="2" customFormat="1" ht="18" customHeight="1" x14ac:dyDescent="0.25">
      <c r="E398" s="1"/>
      <c r="F398" s="1"/>
    </row>
    <row r="399" spans="5:6" s="2" customFormat="1" ht="18" customHeight="1" x14ac:dyDescent="0.25">
      <c r="E399" s="1"/>
      <c r="F399" s="1"/>
    </row>
    <row r="400" spans="5:6" s="2" customFormat="1" ht="18" customHeight="1" x14ac:dyDescent="0.25">
      <c r="E400" s="1"/>
      <c r="F400" s="1"/>
    </row>
    <row r="401" spans="5:6" s="2" customFormat="1" ht="18" customHeight="1" x14ac:dyDescent="0.25">
      <c r="E401" s="1"/>
      <c r="F401" s="1"/>
    </row>
    <row r="402" spans="5:6" s="2" customFormat="1" ht="18" customHeight="1" x14ac:dyDescent="0.25">
      <c r="E402" s="1"/>
      <c r="F402" s="1"/>
    </row>
    <row r="403" spans="5:6" s="2" customFormat="1" ht="18" customHeight="1" x14ac:dyDescent="0.25">
      <c r="E403" s="1"/>
      <c r="F403" s="1"/>
    </row>
    <row r="404" spans="5:6" s="2" customFormat="1" ht="18" customHeight="1" x14ac:dyDescent="0.25">
      <c r="E404" s="1"/>
      <c r="F404" s="1"/>
    </row>
    <row r="405" spans="5:6" s="2" customFormat="1" ht="18" customHeight="1" x14ac:dyDescent="0.25">
      <c r="E405" s="1"/>
      <c r="F405" s="1"/>
    </row>
    <row r="406" spans="5:6" s="2" customFormat="1" ht="18" customHeight="1" x14ac:dyDescent="0.25">
      <c r="E406" s="1"/>
      <c r="F406" s="1"/>
    </row>
    <row r="407" spans="5:6" s="2" customFormat="1" ht="18" customHeight="1" x14ac:dyDescent="0.25">
      <c r="E407" s="1"/>
      <c r="F407" s="1"/>
    </row>
    <row r="408" spans="5:6" s="2" customFormat="1" ht="18" customHeight="1" x14ac:dyDescent="0.25">
      <c r="E408" s="1"/>
      <c r="F408" s="1"/>
    </row>
    <row r="409" spans="5:6" s="2" customFormat="1" ht="18" customHeight="1" x14ac:dyDescent="0.25">
      <c r="E409" s="1"/>
      <c r="F409" s="1"/>
    </row>
    <row r="410" spans="5:6" s="2" customFormat="1" ht="18" customHeight="1" x14ac:dyDescent="0.25">
      <c r="E410" s="1"/>
      <c r="F410" s="1"/>
    </row>
    <row r="411" spans="5:6" s="2" customFormat="1" ht="18" customHeight="1" x14ac:dyDescent="0.25">
      <c r="E411" s="1"/>
      <c r="F411" s="1"/>
    </row>
    <row r="412" spans="5:6" s="2" customFormat="1" ht="18" customHeight="1" x14ac:dyDescent="0.25">
      <c r="E412" s="1"/>
      <c r="F412" s="1"/>
    </row>
    <row r="413" spans="5:6" s="2" customFormat="1" ht="18" customHeight="1" x14ac:dyDescent="0.25">
      <c r="E413" s="1"/>
      <c r="F413" s="1"/>
    </row>
    <row r="414" spans="5:6" s="2" customFormat="1" ht="18" customHeight="1" x14ac:dyDescent="0.25">
      <c r="E414" s="1"/>
      <c r="F414" s="1"/>
    </row>
    <row r="415" spans="5:6" s="2" customFormat="1" ht="18" customHeight="1" x14ac:dyDescent="0.25">
      <c r="E415" s="1"/>
      <c r="F415" s="1"/>
    </row>
    <row r="416" spans="5:6" s="2" customFormat="1" ht="18" customHeight="1" x14ac:dyDescent="0.25">
      <c r="E416" s="1"/>
      <c r="F416" s="1"/>
    </row>
    <row r="417" spans="5:6" s="2" customFormat="1" ht="18" customHeight="1" x14ac:dyDescent="0.25">
      <c r="E417" s="1"/>
      <c r="F417" s="1"/>
    </row>
    <row r="418" spans="5:6" s="2" customFormat="1" ht="18" customHeight="1" x14ac:dyDescent="0.25">
      <c r="E418" s="1"/>
      <c r="F418" s="1"/>
    </row>
    <row r="419" spans="5:6" s="2" customFormat="1" ht="18" customHeight="1" x14ac:dyDescent="0.25">
      <c r="E419" s="1"/>
      <c r="F419" s="1"/>
    </row>
    <row r="420" spans="5:6" s="2" customFormat="1" ht="18" customHeight="1" x14ac:dyDescent="0.25">
      <c r="E420" s="1"/>
      <c r="F420" s="1"/>
    </row>
    <row r="421" spans="5:6" s="2" customFormat="1" ht="18" customHeight="1" x14ac:dyDescent="0.25">
      <c r="E421" s="1"/>
      <c r="F421" s="1"/>
    </row>
    <row r="422" spans="5:6" s="2" customFormat="1" ht="18" customHeight="1" x14ac:dyDescent="0.25">
      <c r="E422" s="1"/>
      <c r="F422" s="1"/>
    </row>
    <row r="423" spans="5:6" s="2" customFormat="1" ht="18" customHeight="1" x14ac:dyDescent="0.25">
      <c r="E423" s="1"/>
      <c r="F423" s="1"/>
    </row>
    <row r="424" spans="5:6" s="2" customFormat="1" ht="18" customHeight="1" x14ac:dyDescent="0.25">
      <c r="E424" s="1"/>
      <c r="F424" s="1"/>
    </row>
    <row r="425" spans="5:6" s="2" customFormat="1" ht="18" customHeight="1" x14ac:dyDescent="0.25">
      <c r="E425" s="1"/>
      <c r="F425" s="1"/>
    </row>
    <row r="426" spans="5:6" s="2" customFormat="1" ht="18" customHeight="1" x14ac:dyDescent="0.25">
      <c r="E426" s="1"/>
      <c r="F426" s="1"/>
    </row>
    <row r="427" spans="5:6" s="2" customFormat="1" ht="18" customHeight="1" x14ac:dyDescent="0.25">
      <c r="E427" s="1"/>
      <c r="F427" s="1"/>
    </row>
    <row r="428" spans="5:6" s="2" customFormat="1" ht="18" customHeight="1" x14ac:dyDescent="0.25">
      <c r="E428" s="1"/>
      <c r="F428" s="1"/>
    </row>
    <row r="429" spans="5:6" s="2" customFormat="1" ht="18" customHeight="1" x14ac:dyDescent="0.25">
      <c r="E429" s="1"/>
      <c r="F429" s="1"/>
    </row>
    <row r="430" spans="5:6" s="2" customFormat="1" ht="18" customHeight="1" x14ac:dyDescent="0.25">
      <c r="E430" s="1"/>
      <c r="F430" s="1"/>
    </row>
    <row r="431" spans="5:6" s="2" customFormat="1" ht="18" customHeight="1" x14ac:dyDescent="0.25">
      <c r="E431" s="1"/>
      <c r="F431" s="1"/>
    </row>
    <row r="432" spans="5:6" s="2" customFormat="1" ht="18" customHeight="1" x14ac:dyDescent="0.25">
      <c r="E432" s="1"/>
      <c r="F432" s="1"/>
    </row>
    <row r="433" spans="1:6" s="2" customFormat="1" ht="18" customHeight="1" x14ac:dyDescent="0.25">
      <c r="E433" s="1"/>
      <c r="F433" s="1"/>
    </row>
    <row r="434" spans="1:6" s="2" customFormat="1" ht="18" customHeight="1" x14ac:dyDescent="0.25">
      <c r="E434" s="1"/>
      <c r="F434" s="1"/>
    </row>
    <row r="435" spans="1:6" s="2" customFormat="1" ht="18" customHeight="1" x14ac:dyDescent="0.25">
      <c r="A435" s="1"/>
      <c r="E435" s="1"/>
      <c r="F435" s="1"/>
    </row>
    <row r="436" spans="1:6" s="2" customFormat="1" ht="18" customHeight="1" x14ac:dyDescent="0.25">
      <c r="A436" s="1"/>
      <c r="E436" s="1"/>
      <c r="F436" s="1"/>
    </row>
    <row r="437" spans="1:6" s="2" customFormat="1" ht="18" customHeight="1" x14ac:dyDescent="0.25">
      <c r="A437" s="1"/>
      <c r="E437" s="1"/>
      <c r="F437" s="1"/>
    </row>
    <row r="438" spans="1:6" s="2" customFormat="1" ht="18" customHeight="1" x14ac:dyDescent="0.25">
      <c r="A438" s="1"/>
      <c r="E438" s="1"/>
      <c r="F438" s="1"/>
    </row>
  </sheetData>
  <mergeCells count="2">
    <mergeCell ref="G5:G6"/>
    <mergeCell ref="H5:H6"/>
  </mergeCells>
  <pageMargins left="0.7" right="0.7" top="0.75" bottom="0.75" header="0.3" footer="0.3"/>
  <ignoredErrors>
    <ignoredError sqref="F20 G10:G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F2C2-11DF-4FB4-8DAE-82DB0A8E15F1}">
  <dimension ref="B1:AE47"/>
  <sheetViews>
    <sheetView showGridLines="0" workbookViewId="0">
      <pane xSplit="2" ySplit="8" topLeftCell="C19" activePane="bottomRight" state="frozen"/>
      <selection activeCell="A9" sqref="A9"/>
      <selection pane="topRight" activeCell="A9" sqref="A9"/>
      <selection pane="bottomLeft" activeCell="A9" sqref="A9"/>
      <selection pane="bottomRight" activeCell="F21" sqref="F21"/>
    </sheetView>
  </sheetViews>
  <sheetFormatPr defaultColWidth="13.7109375" defaultRowHeight="15" x14ac:dyDescent="0.25"/>
  <cols>
    <col min="1" max="1" width="2.28515625" style="67" customWidth="1"/>
    <col min="2" max="2" width="64.7109375" style="67" customWidth="1"/>
    <col min="3" max="3" width="7.140625" style="67" customWidth="1"/>
    <col min="4" max="15" width="12.7109375" style="67" customWidth="1"/>
    <col min="16" max="16384" width="13.7109375" style="67"/>
  </cols>
  <sheetData>
    <row r="1" spans="2:31" s="1" customFormat="1" ht="19.899999999999999" customHeight="1" x14ac:dyDescent="0.25">
      <c r="B1" s="100" t="str">
        <f>+Ratio!B1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</row>
    <row r="2" spans="2:31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2:31" s="1" customFormat="1" ht="19.899999999999999" customHeight="1" x14ac:dyDescent="0.25">
      <c r="B3" s="101" t="str">
        <f>+Ratio!B3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</row>
    <row r="4" spans="2:31" s="1" customFormat="1" ht="9" customHeight="1" x14ac:dyDescent="0.25">
      <c r="B4" s="2"/>
      <c r="C4" s="2"/>
      <c r="D4" s="2"/>
      <c r="E4" s="2"/>
      <c r="F4" s="2"/>
      <c r="G4" s="273"/>
    </row>
    <row r="5" spans="2:31" customFormat="1" ht="15.75" x14ac:dyDescent="0.25">
      <c r="B5" s="68" t="s">
        <v>390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spans="2:31" customFormat="1" x14ac:dyDescent="0.25">
      <c r="B6" s="274" t="s">
        <v>256</v>
      </c>
      <c r="C6" s="65"/>
      <c r="D6" s="65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 spans="2:31" s="31" customFormat="1" ht="15.75" x14ac:dyDescent="0.25">
      <c r="C7" s="65"/>
      <c r="D7" s="373" t="s">
        <v>20</v>
      </c>
      <c r="E7" s="373"/>
      <c r="F7" s="377" t="s">
        <v>76</v>
      </c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7"/>
    </row>
    <row r="8" spans="2:31" s="31" customFormat="1" x14ac:dyDescent="0.25">
      <c r="B8" s="70" t="s">
        <v>255</v>
      </c>
      <c r="C8" s="71" t="s">
        <v>78</v>
      </c>
      <c r="D8" s="72"/>
      <c r="E8" s="72">
        <f>+Ratio!E8</f>
        <v>45991</v>
      </c>
      <c r="F8" s="72">
        <f>+Ratio!F8</f>
        <v>46112</v>
      </c>
      <c r="G8" s="72">
        <f>+Ratio!G8</f>
        <v>46477</v>
      </c>
      <c r="H8" s="72">
        <f>+Ratio!H8</f>
        <v>46843</v>
      </c>
      <c r="I8" s="72">
        <f>+Ratio!I8</f>
        <v>47208</v>
      </c>
      <c r="J8" s="72">
        <f>+Ratio!J8</f>
        <v>47573</v>
      </c>
      <c r="K8" s="72">
        <f>+Ratio!K8</f>
        <v>47938</v>
      </c>
      <c r="L8" s="72">
        <f>+Ratio!L8</f>
        <v>48304</v>
      </c>
      <c r="M8" s="72">
        <f>+Ratio!M8</f>
        <v>48669</v>
      </c>
      <c r="N8" s="72">
        <f>+Ratio!N8</f>
        <v>49034</v>
      </c>
      <c r="O8" s="72">
        <f>+Ratio!O8</f>
        <v>49399</v>
      </c>
      <c r="P8" s="72">
        <f>+Ratio!P8</f>
        <v>49765</v>
      </c>
      <c r="Q8" s="72">
        <f>+Ratio!Q8</f>
        <v>50130</v>
      </c>
      <c r="R8" s="72">
        <f>+Ratio!R8</f>
        <v>50495</v>
      </c>
      <c r="S8" s="72">
        <f>+Ratio!S8</f>
        <v>50860</v>
      </c>
      <c r="T8" s="72">
        <f>+Ratio!T8</f>
        <v>51226</v>
      </c>
      <c r="U8" s="72">
        <f>+Ratio!U8</f>
        <v>51591</v>
      </c>
      <c r="V8" s="72">
        <f>+Ratio!V8</f>
        <v>51956</v>
      </c>
      <c r="W8" s="72">
        <f>+Ratio!W8</f>
        <v>52321</v>
      </c>
      <c r="X8" s="72">
        <f>+Ratio!X8</f>
        <v>52687</v>
      </c>
      <c r="Y8" s="72">
        <f>+Ratio!Y8</f>
        <v>53052</v>
      </c>
      <c r="Z8" s="72">
        <f>+Ratio!Z8</f>
        <v>53417</v>
      </c>
      <c r="AA8" s="72">
        <f>+Ratio!AA8</f>
        <v>53782</v>
      </c>
      <c r="AB8" s="72">
        <f>+Ratio!AB8</f>
        <v>54148</v>
      </c>
      <c r="AC8" s="72">
        <f>+Ratio!AC8</f>
        <v>54513</v>
      </c>
      <c r="AD8" s="72">
        <f>+Ratio!AD8</f>
        <v>54878</v>
      </c>
      <c r="AE8" s="72">
        <f>+Ratio!AE8</f>
        <v>0</v>
      </c>
    </row>
    <row r="9" spans="2:31" s="77" customFormat="1" ht="12.75" x14ac:dyDescent="0.25">
      <c r="B9" s="73" t="s">
        <v>79</v>
      </c>
      <c r="C9" s="74"/>
      <c r="D9" s="75"/>
      <c r="E9" s="75">
        <v>0</v>
      </c>
      <c r="F9" s="76">
        <v>1</v>
      </c>
      <c r="G9" s="76">
        <f>F9+1</f>
        <v>2</v>
      </c>
      <c r="H9" s="76">
        <f t="shared" ref="H9:AE9" si="0">G9+1</f>
        <v>3</v>
      </c>
      <c r="I9" s="76">
        <f t="shared" si="0"/>
        <v>4</v>
      </c>
      <c r="J9" s="76">
        <f t="shared" si="0"/>
        <v>5</v>
      </c>
      <c r="K9" s="76">
        <f t="shared" si="0"/>
        <v>6</v>
      </c>
      <c r="L9" s="76">
        <f t="shared" si="0"/>
        <v>7</v>
      </c>
      <c r="M9" s="76">
        <f t="shared" si="0"/>
        <v>8</v>
      </c>
      <c r="N9" s="76">
        <f t="shared" si="0"/>
        <v>9</v>
      </c>
      <c r="O9" s="76">
        <f t="shared" si="0"/>
        <v>10</v>
      </c>
      <c r="P9" s="76">
        <f t="shared" si="0"/>
        <v>11</v>
      </c>
      <c r="Q9" s="76">
        <f t="shared" si="0"/>
        <v>12</v>
      </c>
      <c r="R9" s="76">
        <f t="shared" si="0"/>
        <v>13</v>
      </c>
      <c r="S9" s="76">
        <f t="shared" si="0"/>
        <v>14</v>
      </c>
      <c r="T9" s="76">
        <f t="shared" si="0"/>
        <v>15</v>
      </c>
      <c r="U9" s="76">
        <f t="shared" si="0"/>
        <v>16</v>
      </c>
      <c r="V9" s="76">
        <f t="shared" si="0"/>
        <v>17</v>
      </c>
      <c r="W9" s="76">
        <f t="shared" si="0"/>
        <v>18</v>
      </c>
      <c r="X9" s="76">
        <f t="shared" si="0"/>
        <v>19</v>
      </c>
      <c r="Y9" s="76">
        <f t="shared" si="0"/>
        <v>20</v>
      </c>
      <c r="Z9" s="76">
        <f t="shared" si="0"/>
        <v>21</v>
      </c>
      <c r="AA9" s="76">
        <f t="shared" si="0"/>
        <v>22</v>
      </c>
      <c r="AB9" s="76">
        <f t="shared" si="0"/>
        <v>23</v>
      </c>
      <c r="AC9" s="76">
        <f t="shared" si="0"/>
        <v>24</v>
      </c>
      <c r="AD9" s="76">
        <f t="shared" si="0"/>
        <v>25</v>
      </c>
      <c r="AE9" s="76">
        <f t="shared" si="0"/>
        <v>26</v>
      </c>
    </row>
    <row r="10" spans="2:31" s="77" customFormat="1" ht="12.75" x14ac:dyDescent="0.25">
      <c r="B10" s="73" t="s">
        <v>80</v>
      </c>
      <c r="C10" s="74"/>
      <c r="D10" s="75"/>
      <c r="E10" s="75">
        <v>8</v>
      </c>
      <c r="F10" s="74">
        <f>+Ratio!F10</f>
        <v>4</v>
      </c>
      <c r="G10" s="74">
        <f>+Ratio!G10</f>
        <v>12</v>
      </c>
      <c r="H10" s="74">
        <f>+Ratio!H10</f>
        <v>12</v>
      </c>
      <c r="I10" s="74">
        <f>+Ratio!I10</f>
        <v>12</v>
      </c>
      <c r="J10" s="74">
        <f>+Ratio!J10</f>
        <v>12</v>
      </c>
      <c r="K10" s="74">
        <f>+Ratio!K10</f>
        <v>12</v>
      </c>
      <c r="L10" s="74">
        <f>+Ratio!L10</f>
        <v>12</v>
      </c>
      <c r="M10" s="74">
        <f>+Ratio!M10</f>
        <v>12</v>
      </c>
      <c r="N10" s="74">
        <f>+Ratio!N10</f>
        <v>12</v>
      </c>
      <c r="O10" s="74">
        <f>+Ratio!O10</f>
        <v>12</v>
      </c>
      <c r="P10" s="74">
        <f>+Ratio!P10</f>
        <v>12</v>
      </c>
      <c r="Q10" s="74">
        <f>+Ratio!Q10</f>
        <v>12</v>
      </c>
      <c r="R10" s="74">
        <f>+Ratio!R10</f>
        <v>12</v>
      </c>
      <c r="S10" s="74">
        <f>+Ratio!S10</f>
        <v>12</v>
      </c>
      <c r="T10" s="74">
        <f>+Ratio!T10</f>
        <v>12</v>
      </c>
      <c r="U10" s="74">
        <f>+Ratio!U10</f>
        <v>12</v>
      </c>
      <c r="V10" s="74">
        <f>+Ratio!V10</f>
        <v>12</v>
      </c>
      <c r="W10" s="74">
        <f>+Ratio!W10</f>
        <v>12</v>
      </c>
      <c r="X10" s="74">
        <f>+Ratio!X10</f>
        <v>12</v>
      </c>
      <c r="Y10" s="74">
        <f>+Ratio!Y10</f>
        <v>12</v>
      </c>
      <c r="Z10" s="74">
        <f>+Ratio!Z10</f>
        <v>12</v>
      </c>
      <c r="AA10" s="74">
        <f>+Ratio!AA10</f>
        <v>12</v>
      </c>
      <c r="AB10" s="74">
        <f>+Ratio!AB10</f>
        <v>12</v>
      </c>
      <c r="AC10" s="74">
        <f>+Ratio!AC10</f>
        <v>12</v>
      </c>
      <c r="AD10" s="74">
        <f>+Ratio!AD10</f>
        <v>12</v>
      </c>
      <c r="AE10" s="74">
        <f>+Ratio!AE10</f>
        <v>0</v>
      </c>
    </row>
    <row r="12" spans="2:31" x14ac:dyDescent="0.25">
      <c r="B12" s="78" t="s">
        <v>81</v>
      </c>
      <c r="C12" s="78"/>
      <c r="D12" s="78"/>
      <c r="E12" s="78"/>
      <c r="F12" s="79">
        <f>F8-E8</f>
        <v>121</v>
      </c>
      <c r="G12" s="79">
        <f>G8-F8</f>
        <v>365</v>
      </c>
      <c r="H12" s="79">
        <f t="shared" ref="H12:AE12" si="1">H8-G8</f>
        <v>366</v>
      </c>
      <c r="I12" s="79">
        <f t="shared" si="1"/>
        <v>365</v>
      </c>
      <c r="J12" s="79">
        <f t="shared" si="1"/>
        <v>365</v>
      </c>
      <c r="K12" s="79">
        <f t="shared" si="1"/>
        <v>365</v>
      </c>
      <c r="L12" s="79">
        <f t="shared" si="1"/>
        <v>366</v>
      </c>
      <c r="M12" s="79">
        <f t="shared" si="1"/>
        <v>365</v>
      </c>
      <c r="N12" s="79">
        <f t="shared" si="1"/>
        <v>365</v>
      </c>
      <c r="O12" s="79">
        <f t="shared" si="1"/>
        <v>365</v>
      </c>
      <c r="P12" s="79">
        <f t="shared" si="1"/>
        <v>366</v>
      </c>
      <c r="Q12" s="79">
        <f t="shared" si="1"/>
        <v>365</v>
      </c>
      <c r="R12" s="79">
        <f t="shared" si="1"/>
        <v>365</v>
      </c>
      <c r="S12" s="79">
        <f t="shared" si="1"/>
        <v>365</v>
      </c>
      <c r="T12" s="79">
        <f t="shared" si="1"/>
        <v>366</v>
      </c>
      <c r="U12" s="79">
        <f t="shared" si="1"/>
        <v>365</v>
      </c>
      <c r="V12" s="79">
        <f t="shared" si="1"/>
        <v>365</v>
      </c>
      <c r="W12" s="79">
        <f t="shared" si="1"/>
        <v>365</v>
      </c>
      <c r="X12" s="79">
        <f t="shared" si="1"/>
        <v>366</v>
      </c>
      <c r="Y12" s="79">
        <f t="shared" si="1"/>
        <v>365</v>
      </c>
      <c r="Z12" s="79">
        <f t="shared" si="1"/>
        <v>365</v>
      </c>
      <c r="AA12" s="79">
        <f t="shared" si="1"/>
        <v>365</v>
      </c>
      <c r="AB12" s="79">
        <f t="shared" si="1"/>
        <v>366</v>
      </c>
      <c r="AC12" s="79">
        <f t="shared" si="1"/>
        <v>365</v>
      </c>
      <c r="AD12" s="79">
        <f t="shared" si="1"/>
        <v>365</v>
      </c>
      <c r="AE12" s="79">
        <f t="shared" si="1"/>
        <v>-54878</v>
      </c>
    </row>
    <row r="14" spans="2:31" x14ac:dyDescent="0.25">
      <c r="B14" s="78" t="s">
        <v>82</v>
      </c>
      <c r="C14" s="78"/>
      <c r="D14" s="78"/>
      <c r="E14" s="78"/>
      <c r="F14" s="79">
        <f>'[2]Common Assumption'!D20</f>
        <v>24</v>
      </c>
      <c r="G14" s="79">
        <f>F14</f>
        <v>24</v>
      </c>
      <c r="H14" s="79">
        <f t="shared" ref="H14:AE14" si="2">G14</f>
        <v>24</v>
      </c>
      <c r="I14" s="79">
        <f t="shared" si="2"/>
        <v>24</v>
      </c>
      <c r="J14" s="79">
        <f t="shared" si="2"/>
        <v>24</v>
      </c>
      <c r="K14" s="79">
        <f t="shared" si="2"/>
        <v>24</v>
      </c>
      <c r="L14" s="79">
        <f t="shared" si="2"/>
        <v>24</v>
      </c>
      <c r="M14" s="79">
        <f t="shared" si="2"/>
        <v>24</v>
      </c>
      <c r="N14" s="79">
        <f t="shared" si="2"/>
        <v>24</v>
      </c>
      <c r="O14" s="79">
        <f t="shared" si="2"/>
        <v>24</v>
      </c>
      <c r="P14" s="79">
        <f t="shared" si="2"/>
        <v>24</v>
      </c>
      <c r="Q14" s="79">
        <f t="shared" si="2"/>
        <v>24</v>
      </c>
      <c r="R14" s="79">
        <f t="shared" si="2"/>
        <v>24</v>
      </c>
      <c r="S14" s="79">
        <f t="shared" si="2"/>
        <v>24</v>
      </c>
      <c r="T14" s="79">
        <f t="shared" si="2"/>
        <v>24</v>
      </c>
      <c r="U14" s="79">
        <f t="shared" si="2"/>
        <v>24</v>
      </c>
      <c r="V14" s="79">
        <f t="shared" si="2"/>
        <v>24</v>
      </c>
      <c r="W14" s="79">
        <f t="shared" si="2"/>
        <v>24</v>
      </c>
      <c r="X14" s="79">
        <f t="shared" si="2"/>
        <v>24</v>
      </c>
      <c r="Y14" s="79">
        <f t="shared" si="2"/>
        <v>24</v>
      </c>
      <c r="Z14" s="79">
        <f t="shared" si="2"/>
        <v>24</v>
      </c>
      <c r="AA14" s="79">
        <f t="shared" si="2"/>
        <v>24</v>
      </c>
      <c r="AB14" s="79">
        <f t="shared" si="2"/>
        <v>24</v>
      </c>
      <c r="AC14" s="79">
        <f t="shared" si="2"/>
        <v>24</v>
      </c>
      <c r="AD14" s="79">
        <f t="shared" si="2"/>
        <v>24</v>
      </c>
      <c r="AE14" s="79">
        <f t="shared" si="2"/>
        <v>24</v>
      </c>
    </row>
    <row r="15" spans="2:31" ht="15.75" thickBot="1" x14ac:dyDescent="0.3"/>
    <row r="16" spans="2:31" x14ac:dyDescent="0.25">
      <c r="B16" s="363" t="s">
        <v>391</v>
      </c>
      <c r="C16" s="364">
        <v>0.1716</v>
      </c>
    </row>
    <row r="17" spans="2:31" ht="15.75" thickBot="1" x14ac:dyDescent="0.3">
      <c r="B17" s="365" t="s">
        <v>392</v>
      </c>
      <c r="C17" s="366">
        <f>+IS!A24</f>
        <v>0.25168000000000001</v>
      </c>
    </row>
    <row r="19" spans="2:31" x14ac:dyDescent="0.25">
      <c r="B19" s="67" t="s">
        <v>393</v>
      </c>
      <c r="F19" s="111">
        <f>+IS!E23</f>
        <v>-0.20501404316747529</v>
      </c>
      <c r="G19" s="111">
        <f>+IS!F23</f>
        <v>-0.5046079827611103</v>
      </c>
      <c r="H19" s="111">
        <f>+IS!G23</f>
        <v>0.4659746255510695</v>
      </c>
      <c r="I19" s="111">
        <f>+IS!H23</f>
        <v>-0.13710116741226264</v>
      </c>
      <c r="J19" s="111">
        <f>+IS!I23</f>
        <v>3.5267805148480491E-2</v>
      </c>
      <c r="K19" s="111">
        <f>+IS!J23</f>
        <v>0.19800695651635691</v>
      </c>
      <c r="L19" s="111">
        <f>+IS!K23</f>
        <v>0.36061010387558889</v>
      </c>
      <c r="M19" s="111">
        <f>+IS!L23</f>
        <v>0.50354949037642738</v>
      </c>
      <c r="N19" s="111">
        <f>+IS!M23</f>
        <v>0.63798867076790133</v>
      </c>
      <c r="O19" s="111">
        <f>+IS!N23</f>
        <v>0.76926435340362254</v>
      </c>
      <c r="P19" s="111">
        <f>+IS!O23</f>
        <v>0.90042256624713113</v>
      </c>
      <c r="Q19" s="111">
        <f>+IS!P23</f>
        <v>1.0145433303903817</v>
      </c>
      <c r="R19" s="111">
        <f>+IS!Q23</f>
        <v>1.131517813896632</v>
      </c>
      <c r="S19" s="111">
        <f>+IS!R23</f>
        <v>1.244380850036481</v>
      </c>
      <c r="T19" s="111">
        <f>+IS!S23</f>
        <v>1.3489193439413611</v>
      </c>
      <c r="U19" s="111">
        <f>+IS!T23</f>
        <v>1.4348278054991432</v>
      </c>
      <c r="V19" s="111">
        <f>+IS!U23</f>
        <v>1.5225678501499333</v>
      </c>
      <c r="W19" s="111">
        <f>+IS!V23</f>
        <v>1.6046564115344439</v>
      </c>
      <c r="X19" s="111">
        <f>+IS!W23</f>
        <v>1.6543979559991637</v>
      </c>
      <c r="Y19" s="111">
        <f>+IS!X23</f>
        <v>1.6462169154840378</v>
      </c>
      <c r="Z19" s="111">
        <f>+IS!Y23</f>
        <v>1.6380091450569716</v>
      </c>
      <c r="AA19" s="111">
        <f>+IS!Z23</f>
        <v>1.6302894222278488</v>
      </c>
      <c r="AB19" s="111">
        <f>+IS!AA23</f>
        <v>1.6258468600621991</v>
      </c>
      <c r="AC19" s="111">
        <f>+IS!AB23</f>
        <v>1.6054471358222484</v>
      </c>
      <c r="AD19" s="111">
        <f>+IS!AC23</f>
        <v>1.5915019069444731</v>
      </c>
      <c r="AE19" s="111" t="e">
        <f>[1]IS!#REF!</f>
        <v>#REF!</v>
      </c>
    </row>
    <row r="20" spans="2:31" x14ac:dyDescent="0.25">
      <c r="B20" s="67" t="s">
        <v>394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0</v>
      </c>
      <c r="P20" s="131">
        <v>0</v>
      </c>
      <c r="Q20" s="131">
        <v>0</v>
      </c>
      <c r="R20" s="131">
        <v>0</v>
      </c>
      <c r="S20" s="131">
        <v>0</v>
      </c>
      <c r="T20" s="131">
        <v>0</v>
      </c>
      <c r="U20" s="131">
        <v>0</v>
      </c>
      <c r="V20" s="131">
        <v>0</v>
      </c>
      <c r="W20" s="131">
        <v>0</v>
      </c>
      <c r="X20" s="131">
        <v>0</v>
      </c>
      <c r="Y20" s="131">
        <v>0</v>
      </c>
      <c r="Z20" s="131">
        <v>0</v>
      </c>
      <c r="AA20" s="131">
        <v>0</v>
      </c>
      <c r="AB20" s="131">
        <v>0</v>
      </c>
      <c r="AC20" s="131">
        <v>0</v>
      </c>
      <c r="AD20" s="131">
        <v>0</v>
      </c>
      <c r="AE20" s="131">
        <v>0</v>
      </c>
    </row>
    <row r="21" spans="2:31" x14ac:dyDescent="0.25">
      <c r="B21" s="67" t="s">
        <v>395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  <c r="S21" s="131">
        <v>0</v>
      </c>
      <c r="T21" s="131">
        <v>0</v>
      </c>
      <c r="U21" s="131">
        <v>0</v>
      </c>
      <c r="V21" s="131">
        <v>0</v>
      </c>
      <c r="W21" s="131">
        <v>0</v>
      </c>
      <c r="X21" s="131">
        <v>0</v>
      </c>
      <c r="Y21" s="131">
        <v>0</v>
      </c>
      <c r="Z21" s="131">
        <v>0</v>
      </c>
      <c r="AA21" s="131">
        <v>0</v>
      </c>
      <c r="AB21" s="131">
        <v>0</v>
      </c>
      <c r="AC21" s="131">
        <v>0</v>
      </c>
      <c r="AD21" s="131">
        <v>0</v>
      </c>
      <c r="AE21" s="131">
        <v>0</v>
      </c>
    </row>
    <row r="22" spans="2:31" x14ac:dyDescent="0.25">
      <c r="B22" s="67" t="s">
        <v>396</v>
      </c>
      <c r="F22" s="111">
        <f>+IS!E16</f>
        <v>0.55844175185037748</v>
      </c>
      <c r="G22" s="111">
        <f>+IS!F16</f>
        <v>1.64423620324688</v>
      </c>
      <c r="H22" s="111">
        <f>+IS!G16</f>
        <v>1.5297018626584074</v>
      </c>
      <c r="I22" s="111">
        <f>+IS!H16</f>
        <v>1.4150778748885184</v>
      </c>
      <c r="J22" s="111">
        <f>+IS!I16</f>
        <v>1.3129092523215675</v>
      </c>
      <c r="K22" s="111">
        <f>+IS!J16</f>
        <v>1.2181172043039503</v>
      </c>
      <c r="L22" s="111">
        <f>+IS!K16</f>
        <v>1.1332654959673234</v>
      </c>
      <c r="M22" s="111">
        <f>+IS!L16</f>
        <v>1.0483473733443642</v>
      </c>
      <c r="N22" s="111">
        <f>+IS!M16</f>
        <v>0.97265669298890112</v>
      </c>
      <c r="O22" s="111">
        <f>+IS!N16</f>
        <v>0.9024308797551025</v>
      </c>
      <c r="P22" s="111">
        <f>+IS!O16</f>
        <v>0.83956927536072046</v>
      </c>
      <c r="Q22" s="111">
        <f>+IS!P16</f>
        <v>0.77665846855574006</v>
      </c>
      <c r="R22" s="111">
        <f>+IS!Q16</f>
        <v>0.72058372712601582</v>
      </c>
      <c r="S22" s="111">
        <f>+IS!R16</f>
        <v>0.66855758202751736</v>
      </c>
      <c r="T22" s="111">
        <f>+IS!S16</f>
        <v>0.62198714302870628</v>
      </c>
      <c r="U22" s="111">
        <f>+IS!T16</f>
        <v>0.57538025287845795</v>
      </c>
      <c r="V22" s="111">
        <f>+IS!U16</f>
        <v>0.53383779862063341</v>
      </c>
      <c r="W22" s="111">
        <f>+IS!V16</f>
        <v>0.49529470956022364</v>
      </c>
      <c r="X22" s="111">
        <f>+IS!W16</f>
        <v>0.46079342997252337</v>
      </c>
      <c r="Y22" s="111">
        <f>+IS!X16</f>
        <v>0.42626514588595926</v>
      </c>
      <c r="Z22" s="111">
        <f>+IS!Y16</f>
        <v>0.395488802352993</v>
      </c>
      <c r="AA22" s="111">
        <f>+IS!Z16</f>
        <v>0.36693451082310691</v>
      </c>
      <c r="AB22" s="111">
        <f>+IS!AA16</f>
        <v>0.34137455650919002</v>
      </c>
      <c r="AC22" s="111">
        <f>+IS!AB16</f>
        <v>0.31579459616171507</v>
      </c>
      <c r="AD22" s="111">
        <f>+IS!AC16</f>
        <v>0.29299422631883926</v>
      </c>
      <c r="AE22" s="111">
        <f>+IS!AD16</f>
        <v>0</v>
      </c>
    </row>
    <row r="23" spans="2:31" x14ac:dyDescent="0.25">
      <c r="B23" s="67" t="s">
        <v>397</v>
      </c>
      <c r="F23" s="111">
        <f>+'Dep Schedule'!F68</f>
        <v>1.1601975453955209</v>
      </c>
      <c r="G23" s="111">
        <f>+'Dep Schedule'!G68</f>
        <v>3.3257398233093918</v>
      </c>
      <c r="H23" s="111">
        <f>+'Dep Schedule'!H68</f>
        <v>2.8346237233741149</v>
      </c>
      <c r="I23" s="111">
        <f>+'Dep Schedule'!I68</f>
        <v>2.4016852913068658</v>
      </c>
      <c r="J23" s="111">
        <f>+'Dep Schedule'!J68</f>
        <v>2.041432497610836</v>
      </c>
      <c r="K23" s="111">
        <f>+'Dep Schedule'!K68</f>
        <v>1.7352176229692109</v>
      </c>
      <c r="L23" s="111">
        <f>+'Dep Schedule'!L68</f>
        <v>1.478975897275949</v>
      </c>
      <c r="M23" s="111">
        <f>+'Dep Schedule'!M68</f>
        <v>1.2530885949324366</v>
      </c>
      <c r="N23" s="111">
        <f>+'Dep Schedule'!N68</f>
        <v>1.0651253056925711</v>
      </c>
      <c r="O23" s="111">
        <f>+'Dep Schedule'!O68</f>
        <v>0.90535650983868554</v>
      </c>
      <c r="P23" s="111">
        <f>+'Dep Schedule'!P68</f>
        <v>0.77166139783784948</v>
      </c>
      <c r="Q23" s="111">
        <f>+'Dep Schedule'!Q68</f>
        <v>0.65380382368720535</v>
      </c>
      <c r="R23" s="111">
        <f>+'Dep Schedule'!R68</f>
        <v>0.55573325013412445</v>
      </c>
      <c r="S23" s="111">
        <f>+'Dep Schedule'!S68</f>
        <v>0.47237326261400581</v>
      </c>
      <c r="T23" s="111">
        <f>+'Dep Schedule'!T68</f>
        <v>0.40261732054580057</v>
      </c>
      <c r="U23" s="111">
        <f>+'Dep Schedule'!U68</f>
        <v>0.34112467514003481</v>
      </c>
      <c r="V23" s="111">
        <f>+'Dep Schedule'!V68</f>
        <v>0.2899559738690296</v>
      </c>
      <c r="W23" s="111">
        <f>+'Dep Schedule'!W68</f>
        <v>0.24646257778867517</v>
      </c>
      <c r="X23" s="111">
        <f>+'Dep Schedule'!X68</f>
        <v>0.21006714506864893</v>
      </c>
      <c r="Y23" s="111">
        <f>+'Dep Schedule'!Y68</f>
        <v>0.17798311936007657</v>
      </c>
      <c r="Z23" s="111">
        <f>+'Dep Schedule'!Z68</f>
        <v>0.15128565145606512</v>
      </c>
      <c r="AA23" s="111">
        <f>+'Dep Schedule'!AA68</f>
        <v>0.12859280373765536</v>
      </c>
      <c r="AB23" s="111">
        <f>+'Dep Schedule'!AB68</f>
        <v>0.10960334587064269</v>
      </c>
      <c r="AC23" s="111">
        <f>+'Dep Schedule'!AC68</f>
        <v>9.2863381296410627E-2</v>
      </c>
      <c r="AD23" s="111">
        <f>+'Dep Schedule'!AD68</f>
        <v>7.8933874101949061E-2</v>
      </c>
      <c r="AE23" s="111">
        <f>+'Dep Schedule'!AE68</f>
        <v>0</v>
      </c>
    </row>
    <row r="24" spans="2:31" x14ac:dyDescent="0.25">
      <c r="B24" s="134" t="s">
        <v>398</v>
      </c>
      <c r="C24" s="134"/>
      <c r="D24" s="134"/>
      <c r="E24" s="134"/>
      <c r="F24" s="135">
        <f>F19+F20+F21+F22-F23</f>
        <v>-0.8067698367126187</v>
      </c>
      <c r="G24" s="135">
        <f t="shared" ref="G24:AE24" si="3">G19+G20+G21+G22-G23</f>
        <v>-2.186111602823622</v>
      </c>
      <c r="H24" s="135">
        <f t="shared" si="3"/>
        <v>-0.83894723516463809</v>
      </c>
      <c r="I24" s="135">
        <f t="shared" si="3"/>
        <v>-1.12370858383061</v>
      </c>
      <c r="J24" s="135">
        <f t="shared" si="3"/>
        <v>-0.69325544014078799</v>
      </c>
      <c r="K24" s="135">
        <f t="shared" si="3"/>
        <v>-0.31909346214890366</v>
      </c>
      <c r="L24" s="135">
        <f t="shared" si="3"/>
        <v>1.4899702566963269E-2</v>
      </c>
      <c r="M24" s="135">
        <f t="shared" si="3"/>
        <v>0.29880826878835487</v>
      </c>
      <c r="N24" s="135">
        <f t="shared" si="3"/>
        <v>0.54552005806423121</v>
      </c>
      <c r="O24" s="135">
        <f t="shared" si="3"/>
        <v>0.76633872332003938</v>
      </c>
      <c r="P24" s="135">
        <f t="shared" si="3"/>
        <v>0.96833044377000221</v>
      </c>
      <c r="Q24" s="135">
        <f t="shared" si="3"/>
        <v>1.1373979752589163</v>
      </c>
      <c r="R24" s="135">
        <f t="shared" si="3"/>
        <v>1.2963682908885232</v>
      </c>
      <c r="S24" s="135">
        <f t="shared" si="3"/>
        <v>1.4405651694499926</v>
      </c>
      <c r="T24" s="135">
        <f t="shared" si="3"/>
        <v>1.5682891664242669</v>
      </c>
      <c r="U24" s="135">
        <f t="shared" si="3"/>
        <v>1.6690833832375662</v>
      </c>
      <c r="V24" s="135">
        <f t="shared" si="3"/>
        <v>1.7664496749015373</v>
      </c>
      <c r="W24" s="135">
        <f t="shared" si="3"/>
        <v>1.8534885433059924</v>
      </c>
      <c r="X24" s="135">
        <f t="shared" si="3"/>
        <v>1.905124240903038</v>
      </c>
      <c r="Y24" s="135">
        <f t="shared" si="3"/>
        <v>1.8944989420099205</v>
      </c>
      <c r="Z24" s="135">
        <f t="shared" si="3"/>
        <v>1.8822122959538992</v>
      </c>
      <c r="AA24" s="135">
        <f t="shared" si="3"/>
        <v>1.8686311293133002</v>
      </c>
      <c r="AB24" s="135">
        <f t="shared" si="3"/>
        <v>1.8576180707007466</v>
      </c>
      <c r="AC24" s="135">
        <f t="shared" si="3"/>
        <v>1.8283783506875528</v>
      </c>
      <c r="AD24" s="135">
        <f t="shared" si="3"/>
        <v>1.8055622591613634</v>
      </c>
      <c r="AE24" s="135" t="e">
        <f t="shared" si="3"/>
        <v>#REF!</v>
      </c>
    </row>
    <row r="25" spans="2:31" x14ac:dyDescent="0.25">
      <c r="B25" s="67" t="s">
        <v>399</v>
      </c>
      <c r="F25" s="111">
        <f>E28</f>
        <v>0</v>
      </c>
      <c r="G25" s="111">
        <f t="shared" ref="G25:V26" si="4">F28</f>
        <v>-0.8067698367126187</v>
      </c>
      <c r="H25" s="111">
        <f t="shared" si="4"/>
        <v>-2.9928814395362409</v>
      </c>
      <c r="I25" s="111">
        <f t="shared" si="4"/>
        <v>-3.831828674700879</v>
      </c>
      <c r="J25" s="111">
        <f t="shared" si="4"/>
        <v>-4.9555372585314892</v>
      </c>
      <c r="K25" s="111">
        <f t="shared" si="4"/>
        <v>-5.6487926986722776</v>
      </c>
      <c r="L25" s="111">
        <f t="shared" si="4"/>
        <v>-5.9678861608211813</v>
      </c>
      <c r="M25" s="111">
        <f t="shared" si="4"/>
        <v>-5.9529864582542178</v>
      </c>
      <c r="N25" s="111">
        <f t="shared" si="4"/>
        <v>-5.6541781894658634</v>
      </c>
      <c r="O25" s="111">
        <f t="shared" si="4"/>
        <v>-5.1086581314016319</v>
      </c>
      <c r="P25" s="111">
        <f t="shared" si="4"/>
        <v>-4.3423194080815923</v>
      </c>
      <c r="Q25" s="111">
        <f t="shared" si="4"/>
        <v>-3.3739889643115903</v>
      </c>
      <c r="R25" s="111">
        <f t="shared" si="4"/>
        <v>-2.2365909890526741</v>
      </c>
      <c r="S25" s="111">
        <f t="shared" si="4"/>
        <v>-0.94022269816415083</v>
      </c>
      <c r="T25" s="111">
        <f t="shared" si="4"/>
        <v>0</v>
      </c>
      <c r="U25" s="111">
        <f t="shared" si="4"/>
        <v>0</v>
      </c>
      <c r="V25" s="111">
        <f t="shared" si="4"/>
        <v>0</v>
      </c>
      <c r="W25" s="111">
        <f t="shared" ref="W25:AE26" si="5">V28</f>
        <v>0</v>
      </c>
      <c r="X25" s="111">
        <f t="shared" si="5"/>
        <v>0</v>
      </c>
      <c r="Y25" s="111">
        <f t="shared" si="5"/>
        <v>0</v>
      </c>
      <c r="Z25" s="111">
        <f t="shared" si="5"/>
        <v>0</v>
      </c>
      <c r="AA25" s="111">
        <f t="shared" si="5"/>
        <v>0</v>
      </c>
      <c r="AB25" s="111">
        <f t="shared" si="5"/>
        <v>0</v>
      </c>
      <c r="AC25" s="111">
        <f t="shared" si="5"/>
        <v>0</v>
      </c>
      <c r="AD25" s="111">
        <f t="shared" si="5"/>
        <v>0</v>
      </c>
      <c r="AE25" s="111">
        <f t="shared" si="5"/>
        <v>0</v>
      </c>
    </row>
    <row r="26" spans="2:31" x14ac:dyDescent="0.25">
      <c r="B26" s="67" t="s">
        <v>400</v>
      </c>
      <c r="F26" s="111">
        <f>E29</f>
        <v>0</v>
      </c>
      <c r="G26" s="111">
        <f t="shared" si="4"/>
        <v>0</v>
      </c>
      <c r="H26" s="111">
        <f t="shared" si="4"/>
        <v>0</v>
      </c>
      <c r="I26" s="111">
        <f t="shared" si="4"/>
        <v>0</v>
      </c>
      <c r="J26" s="111">
        <f t="shared" si="4"/>
        <v>0</v>
      </c>
      <c r="K26" s="111">
        <f t="shared" si="4"/>
        <v>0</v>
      </c>
      <c r="L26" s="111">
        <f t="shared" si="4"/>
        <v>0</v>
      </c>
      <c r="M26" s="111">
        <f t="shared" si="4"/>
        <v>0</v>
      </c>
      <c r="N26" s="111">
        <f t="shared" si="4"/>
        <v>0</v>
      </c>
      <c r="O26" s="111">
        <f t="shared" si="4"/>
        <v>0</v>
      </c>
      <c r="P26" s="111">
        <f t="shared" si="4"/>
        <v>0</v>
      </c>
      <c r="Q26" s="111">
        <f t="shared" si="4"/>
        <v>0</v>
      </c>
      <c r="R26" s="111">
        <f t="shared" si="4"/>
        <v>0</v>
      </c>
      <c r="S26" s="111">
        <f t="shared" si="4"/>
        <v>0</v>
      </c>
      <c r="T26" s="111">
        <f t="shared" si="4"/>
        <v>0</v>
      </c>
      <c r="U26" s="111">
        <f t="shared" si="4"/>
        <v>0</v>
      </c>
      <c r="V26" s="111">
        <f t="shared" si="4"/>
        <v>0</v>
      </c>
      <c r="W26" s="111">
        <f t="shared" si="5"/>
        <v>0</v>
      </c>
      <c r="X26" s="111">
        <f t="shared" si="5"/>
        <v>0</v>
      </c>
      <c r="Y26" s="111">
        <f t="shared" si="5"/>
        <v>0</v>
      </c>
      <c r="Z26" s="111">
        <f t="shared" si="5"/>
        <v>0</v>
      </c>
      <c r="AA26" s="111">
        <f t="shared" si="5"/>
        <v>0</v>
      </c>
      <c r="AB26" s="111">
        <f t="shared" si="5"/>
        <v>0</v>
      </c>
      <c r="AC26" s="111">
        <f t="shared" si="5"/>
        <v>0</v>
      </c>
      <c r="AD26" s="111">
        <f t="shared" si="5"/>
        <v>0</v>
      </c>
      <c r="AE26" s="111">
        <f t="shared" si="5"/>
        <v>0</v>
      </c>
    </row>
    <row r="27" spans="2:31" x14ac:dyDescent="0.25">
      <c r="B27" s="134" t="s">
        <v>401</v>
      </c>
      <c r="C27" s="134"/>
      <c r="D27" s="134"/>
      <c r="E27" s="134"/>
      <c r="F27" s="135">
        <f>IF((F24+F25+F26)&gt;0,(F24+F25+F26),0)</f>
        <v>0</v>
      </c>
      <c r="G27" s="135">
        <f>IF((G24+G25+G26)&gt;0,(G24+G25+G26),0)</f>
        <v>0</v>
      </c>
      <c r="H27" s="135">
        <f t="shared" ref="H27:AE27" si="6">IF((H24+H25+H26)&gt;0,(H24+H25+H26),0)</f>
        <v>0</v>
      </c>
      <c r="I27" s="135">
        <f t="shared" si="6"/>
        <v>0</v>
      </c>
      <c r="J27" s="135">
        <f t="shared" si="6"/>
        <v>0</v>
      </c>
      <c r="K27" s="135">
        <f t="shared" si="6"/>
        <v>0</v>
      </c>
      <c r="L27" s="135">
        <f t="shared" si="6"/>
        <v>0</v>
      </c>
      <c r="M27" s="135">
        <f t="shared" si="6"/>
        <v>0</v>
      </c>
      <c r="N27" s="135">
        <f t="shared" si="6"/>
        <v>0</v>
      </c>
      <c r="O27" s="135">
        <f t="shared" si="6"/>
        <v>0</v>
      </c>
      <c r="P27" s="135">
        <f t="shared" si="6"/>
        <v>0</v>
      </c>
      <c r="Q27" s="135">
        <f t="shared" si="6"/>
        <v>0</v>
      </c>
      <c r="R27" s="135">
        <f t="shared" si="6"/>
        <v>0</v>
      </c>
      <c r="S27" s="135">
        <f t="shared" si="6"/>
        <v>0.50034247128584175</v>
      </c>
      <c r="T27" s="135">
        <f t="shared" si="6"/>
        <v>1.5682891664242669</v>
      </c>
      <c r="U27" s="135">
        <f t="shared" si="6"/>
        <v>1.6690833832375662</v>
      </c>
      <c r="V27" s="135">
        <f t="shared" si="6"/>
        <v>1.7664496749015373</v>
      </c>
      <c r="W27" s="135">
        <f t="shared" si="6"/>
        <v>1.8534885433059924</v>
      </c>
      <c r="X27" s="135">
        <f t="shared" si="6"/>
        <v>1.905124240903038</v>
      </c>
      <c r="Y27" s="135">
        <f t="shared" si="6"/>
        <v>1.8944989420099205</v>
      </c>
      <c r="Z27" s="135">
        <f t="shared" si="6"/>
        <v>1.8822122959538992</v>
      </c>
      <c r="AA27" s="135">
        <f t="shared" si="6"/>
        <v>1.8686311293133002</v>
      </c>
      <c r="AB27" s="135">
        <f t="shared" si="6"/>
        <v>1.8576180707007466</v>
      </c>
      <c r="AC27" s="135">
        <f t="shared" si="6"/>
        <v>1.8283783506875528</v>
      </c>
      <c r="AD27" s="135">
        <f t="shared" si="6"/>
        <v>1.8055622591613634</v>
      </c>
      <c r="AE27" s="135" t="e">
        <f t="shared" si="6"/>
        <v>#REF!</v>
      </c>
    </row>
    <row r="28" spans="2:31" x14ac:dyDescent="0.25">
      <c r="B28" s="67" t="s">
        <v>402</v>
      </c>
      <c r="E28" s="367">
        <v>0</v>
      </c>
      <c r="F28" s="111">
        <f>IF((F24+F25)&lt;0,(F24+F25),0)</f>
        <v>-0.8067698367126187</v>
      </c>
      <c r="G28" s="111">
        <f t="shared" ref="G28:AE28" si="7">IF(G24+G25&lt;0,G24+G25,0)</f>
        <v>-2.9928814395362409</v>
      </c>
      <c r="H28" s="111">
        <f t="shared" si="7"/>
        <v>-3.831828674700879</v>
      </c>
      <c r="I28" s="111">
        <f t="shared" si="7"/>
        <v>-4.9555372585314892</v>
      </c>
      <c r="J28" s="111">
        <f t="shared" si="7"/>
        <v>-5.6487926986722776</v>
      </c>
      <c r="K28" s="111">
        <f t="shared" si="7"/>
        <v>-5.9678861608211813</v>
      </c>
      <c r="L28" s="111">
        <f t="shared" si="7"/>
        <v>-5.9529864582542178</v>
      </c>
      <c r="M28" s="111">
        <f t="shared" si="7"/>
        <v>-5.6541781894658634</v>
      </c>
      <c r="N28" s="111">
        <f t="shared" si="7"/>
        <v>-5.1086581314016319</v>
      </c>
      <c r="O28" s="111">
        <f t="shared" si="7"/>
        <v>-4.3423194080815923</v>
      </c>
      <c r="P28" s="111">
        <f t="shared" si="7"/>
        <v>-3.3739889643115903</v>
      </c>
      <c r="Q28" s="111">
        <f t="shared" si="7"/>
        <v>-2.2365909890526741</v>
      </c>
      <c r="R28" s="111">
        <f t="shared" si="7"/>
        <v>-0.94022269816415083</v>
      </c>
      <c r="S28" s="111">
        <f t="shared" si="7"/>
        <v>0</v>
      </c>
      <c r="T28" s="111">
        <f t="shared" si="7"/>
        <v>0</v>
      </c>
      <c r="U28" s="111">
        <f t="shared" si="7"/>
        <v>0</v>
      </c>
      <c r="V28" s="111">
        <f t="shared" si="7"/>
        <v>0</v>
      </c>
      <c r="W28" s="111">
        <f t="shared" si="7"/>
        <v>0</v>
      </c>
      <c r="X28" s="111">
        <f t="shared" si="7"/>
        <v>0</v>
      </c>
      <c r="Y28" s="111">
        <f t="shared" si="7"/>
        <v>0</v>
      </c>
      <c r="Z28" s="111">
        <f t="shared" si="7"/>
        <v>0</v>
      </c>
      <c r="AA28" s="111">
        <f t="shared" si="7"/>
        <v>0</v>
      </c>
      <c r="AB28" s="111">
        <f t="shared" si="7"/>
        <v>0</v>
      </c>
      <c r="AC28" s="111">
        <f t="shared" si="7"/>
        <v>0</v>
      </c>
      <c r="AD28" s="111">
        <f t="shared" si="7"/>
        <v>0</v>
      </c>
      <c r="AE28" s="111" t="e">
        <f t="shared" si="7"/>
        <v>#REF!</v>
      </c>
    </row>
    <row r="29" spans="2:31" x14ac:dyDescent="0.25">
      <c r="B29" s="67" t="s">
        <v>403</v>
      </c>
      <c r="E29" s="367">
        <v>0</v>
      </c>
      <c r="F29" s="111">
        <f>IF(F24+F25&gt;0,IF(F24+F25+F26&lt;0,F24+F25+F26,0),F26)</f>
        <v>0</v>
      </c>
      <c r="G29" s="111">
        <f t="shared" ref="G29:AE29" si="8">IF(G24+G25&gt;0,IF(G24+G25+G26&lt;0,G24+G25+G26,0),G26)</f>
        <v>0</v>
      </c>
      <c r="H29" s="111">
        <f t="shared" si="8"/>
        <v>0</v>
      </c>
      <c r="I29" s="111">
        <f t="shared" si="8"/>
        <v>0</v>
      </c>
      <c r="J29" s="111">
        <f t="shared" si="8"/>
        <v>0</v>
      </c>
      <c r="K29" s="111">
        <f t="shared" si="8"/>
        <v>0</v>
      </c>
      <c r="L29" s="111">
        <f t="shared" si="8"/>
        <v>0</v>
      </c>
      <c r="M29" s="111">
        <f t="shared" si="8"/>
        <v>0</v>
      </c>
      <c r="N29" s="111">
        <f t="shared" si="8"/>
        <v>0</v>
      </c>
      <c r="O29" s="111">
        <f t="shared" si="8"/>
        <v>0</v>
      </c>
      <c r="P29" s="111">
        <f t="shared" si="8"/>
        <v>0</v>
      </c>
      <c r="Q29" s="111">
        <f t="shared" si="8"/>
        <v>0</v>
      </c>
      <c r="R29" s="111">
        <f t="shared" si="8"/>
        <v>0</v>
      </c>
      <c r="S29" s="111">
        <f t="shared" si="8"/>
        <v>0</v>
      </c>
      <c r="T29" s="111">
        <f t="shared" si="8"/>
        <v>0</v>
      </c>
      <c r="U29" s="111">
        <f t="shared" si="8"/>
        <v>0</v>
      </c>
      <c r="V29" s="111">
        <f t="shared" si="8"/>
        <v>0</v>
      </c>
      <c r="W29" s="111">
        <f t="shared" si="8"/>
        <v>0</v>
      </c>
      <c r="X29" s="111">
        <f t="shared" si="8"/>
        <v>0</v>
      </c>
      <c r="Y29" s="111">
        <f t="shared" si="8"/>
        <v>0</v>
      </c>
      <c r="Z29" s="111">
        <f t="shared" si="8"/>
        <v>0</v>
      </c>
      <c r="AA29" s="111">
        <f t="shared" si="8"/>
        <v>0</v>
      </c>
      <c r="AB29" s="111">
        <f t="shared" si="8"/>
        <v>0</v>
      </c>
      <c r="AC29" s="111">
        <f t="shared" si="8"/>
        <v>0</v>
      </c>
      <c r="AD29" s="111">
        <f t="shared" si="8"/>
        <v>0</v>
      </c>
      <c r="AE29" s="111" t="e">
        <f t="shared" si="8"/>
        <v>#REF!</v>
      </c>
    </row>
    <row r="31" spans="2:31" x14ac:dyDescent="0.25">
      <c r="B31" s="252" t="s">
        <v>404</v>
      </c>
      <c r="C31" s="252"/>
      <c r="D31" s="252"/>
      <c r="E31" s="252"/>
      <c r="F31" s="254">
        <f>F27*$C$17</f>
        <v>0</v>
      </c>
      <c r="G31" s="254">
        <f t="shared" ref="G31:AE31" si="9">G27*$C$17</f>
        <v>0</v>
      </c>
      <c r="H31" s="254">
        <f t="shared" si="9"/>
        <v>0</v>
      </c>
      <c r="I31" s="254">
        <f t="shared" si="9"/>
        <v>0</v>
      </c>
      <c r="J31" s="254">
        <f t="shared" si="9"/>
        <v>0</v>
      </c>
      <c r="K31" s="254">
        <f t="shared" si="9"/>
        <v>0</v>
      </c>
      <c r="L31" s="254">
        <f t="shared" si="9"/>
        <v>0</v>
      </c>
      <c r="M31" s="254">
        <f t="shared" si="9"/>
        <v>0</v>
      </c>
      <c r="N31" s="254">
        <f t="shared" si="9"/>
        <v>0</v>
      </c>
      <c r="O31" s="254">
        <f t="shared" si="9"/>
        <v>0</v>
      </c>
      <c r="P31" s="254">
        <f t="shared" si="9"/>
        <v>0</v>
      </c>
      <c r="Q31" s="254">
        <f t="shared" si="9"/>
        <v>0</v>
      </c>
      <c r="R31" s="254">
        <f t="shared" si="9"/>
        <v>0</v>
      </c>
      <c r="S31" s="254">
        <f>S27*$C$17</f>
        <v>0.12592619317322065</v>
      </c>
      <c r="T31" s="254">
        <f t="shared" si="9"/>
        <v>0.3947070174056595</v>
      </c>
      <c r="U31" s="254">
        <f t="shared" si="9"/>
        <v>0.42007490589323071</v>
      </c>
      <c r="V31" s="254">
        <f t="shared" si="9"/>
        <v>0.44458005417921892</v>
      </c>
      <c r="W31" s="254">
        <f t="shared" si="9"/>
        <v>0.46648599657925222</v>
      </c>
      <c r="X31" s="254">
        <f t="shared" si="9"/>
        <v>0.47948166895047661</v>
      </c>
      <c r="Y31" s="254">
        <f t="shared" si="9"/>
        <v>0.47680749372505682</v>
      </c>
      <c r="Z31" s="254">
        <f t="shared" si="9"/>
        <v>0.47371519064567735</v>
      </c>
      <c r="AA31" s="254">
        <f t="shared" si="9"/>
        <v>0.47029708262557141</v>
      </c>
      <c r="AB31" s="254">
        <f t="shared" si="9"/>
        <v>0.46752531603396391</v>
      </c>
      <c r="AC31" s="254">
        <f t="shared" si="9"/>
        <v>0.46016626330104332</v>
      </c>
      <c r="AD31" s="254">
        <f t="shared" si="9"/>
        <v>0.45442390938573196</v>
      </c>
      <c r="AE31" s="254" t="e">
        <f t="shared" si="9"/>
        <v>#REF!</v>
      </c>
    </row>
    <row r="33" spans="2:31" x14ac:dyDescent="0.25">
      <c r="B33" s="252" t="s">
        <v>405</v>
      </c>
    </row>
    <row r="35" spans="2:31" x14ac:dyDescent="0.25">
      <c r="B35" s="67" t="s">
        <v>406</v>
      </c>
      <c r="F35" s="111">
        <f>IF(F19&gt;0,F19*$C$16,0)</f>
        <v>0</v>
      </c>
      <c r="G35" s="111">
        <f t="shared" ref="G35:AE35" si="10">IF(G19&gt;0,G19*$C$16,0)</f>
        <v>0</v>
      </c>
      <c r="H35" s="111">
        <f t="shared" si="10"/>
        <v>7.9961245744563522E-2</v>
      </c>
      <c r="I35" s="111">
        <f t="shared" si="10"/>
        <v>0</v>
      </c>
      <c r="J35" s="111">
        <f t="shared" si="10"/>
        <v>6.0519553634792523E-3</v>
      </c>
      <c r="K35" s="111">
        <f t="shared" si="10"/>
        <v>3.3977993738206848E-2</v>
      </c>
      <c r="L35" s="111">
        <f t="shared" si="10"/>
        <v>6.1880693825051056E-2</v>
      </c>
      <c r="M35" s="111">
        <f t="shared" si="10"/>
        <v>8.640909254859494E-2</v>
      </c>
      <c r="N35" s="111">
        <f t="shared" si="10"/>
        <v>0.10947885590377188</v>
      </c>
      <c r="O35" s="111">
        <f t="shared" si="10"/>
        <v>0.13200576304406164</v>
      </c>
      <c r="P35" s="111">
        <f t="shared" si="10"/>
        <v>0.1545125123680077</v>
      </c>
      <c r="Q35" s="111">
        <f t="shared" si="10"/>
        <v>0.17409563549498949</v>
      </c>
      <c r="R35" s="111">
        <f t="shared" si="10"/>
        <v>0.19416845686466205</v>
      </c>
      <c r="S35" s="111">
        <f t="shared" si="10"/>
        <v>0.21353575386626014</v>
      </c>
      <c r="T35" s="111">
        <f t="shared" si="10"/>
        <v>0.23147455942033757</v>
      </c>
      <c r="U35" s="111">
        <f t="shared" si="10"/>
        <v>0.24621645142365298</v>
      </c>
      <c r="V35" s="111">
        <f t="shared" si="10"/>
        <v>0.26127264308572856</v>
      </c>
      <c r="W35" s="111">
        <f t="shared" si="10"/>
        <v>0.27535904021931057</v>
      </c>
      <c r="X35" s="111">
        <f t="shared" si="10"/>
        <v>0.28389468924945649</v>
      </c>
      <c r="Y35" s="111">
        <f t="shared" si="10"/>
        <v>0.28249082269706088</v>
      </c>
      <c r="Z35" s="111">
        <f t="shared" si="10"/>
        <v>0.28108236929177632</v>
      </c>
      <c r="AA35" s="111">
        <f t="shared" si="10"/>
        <v>0.27975766485429887</v>
      </c>
      <c r="AB35" s="111">
        <f t="shared" si="10"/>
        <v>0.27899532118667336</v>
      </c>
      <c r="AC35" s="111">
        <f t="shared" si="10"/>
        <v>0.27549472850709783</v>
      </c>
      <c r="AD35" s="111">
        <f t="shared" si="10"/>
        <v>0.27310172723167159</v>
      </c>
      <c r="AE35" s="111" t="e">
        <f t="shared" si="10"/>
        <v>#REF!</v>
      </c>
    </row>
    <row r="36" spans="2:31" x14ac:dyDescent="0.25">
      <c r="B36" s="67" t="s">
        <v>404</v>
      </c>
      <c r="F36" s="111">
        <f t="shared" ref="F36:AE36" si="11">F31</f>
        <v>0</v>
      </c>
      <c r="G36" s="111">
        <f t="shared" si="11"/>
        <v>0</v>
      </c>
      <c r="H36" s="111">
        <f t="shared" si="11"/>
        <v>0</v>
      </c>
      <c r="I36" s="111">
        <f t="shared" si="11"/>
        <v>0</v>
      </c>
      <c r="J36" s="111">
        <f t="shared" si="11"/>
        <v>0</v>
      </c>
      <c r="K36" s="111">
        <f t="shared" si="11"/>
        <v>0</v>
      </c>
      <c r="L36" s="111">
        <f t="shared" si="11"/>
        <v>0</v>
      </c>
      <c r="M36" s="111">
        <f t="shared" si="11"/>
        <v>0</v>
      </c>
      <c r="N36" s="111">
        <f t="shared" si="11"/>
        <v>0</v>
      </c>
      <c r="O36" s="111">
        <f t="shared" si="11"/>
        <v>0</v>
      </c>
      <c r="P36" s="111">
        <f t="shared" si="11"/>
        <v>0</v>
      </c>
      <c r="Q36" s="111">
        <f t="shared" si="11"/>
        <v>0</v>
      </c>
      <c r="R36" s="111">
        <f t="shared" si="11"/>
        <v>0</v>
      </c>
      <c r="S36" s="111">
        <f t="shared" si="11"/>
        <v>0.12592619317322065</v>
      </c>
      <c r="T36" s="111">
        <f t="shared" si="11"/>
        <v>0.3947070174056595</v>
      </c>
      <c r="U36" s="111">
        <f t="shared" si="11"/>
        <v>0.42007490589323071</v>
      </c>
      <c r="V36" s="111">
        <f t="shared" si="11"/>
        <v>0.44458005417921892</v>
      </c>
      <c r="W36" s="111">
        <f t="shared" si="11"/>
        <v>0.46648599657925222</v>
      </c>
      <c r="X36" s="111">
        <f t="shared" si="11"/>
        <v>0.47948166895047661</v>
      </c>
      <c r="Y36" s="111">
        <f t="shared" si="11"/>
        <v>0.47680749372505682</v>
      </c>
      <c r="Z36" s="111">
        <f t="shared" si="11"/>
        <v>0.47371519064567735</v>
      </c>
      <c r="AA36" s="111">
        <f t="shared" si="11"/>
        <v>0.47029708262557141</v>
      </c>
      <c r="AB36" s="111">
        <f t="shared" si="11"/>
        <v>0.46752531603396391</v>
      </c>
      <c r="AC36" s="111">
        <f t="shared" si="11"/>
        <v>0.46016626330104332</v>
      </c>
      <c r="AD36" s="111">
        <f t="shared" si="11"/>
        <v>0.45442390938573196</v>
      </c>
      <c r="AE36" s="111" t="e">
        <f t="shared" si="11"/>
        <v>#REF!</v>
      </c>
    </row>
    <row r="38" spans="2:31" x14ac:dyDescent="0.25">
      <c r="B38" s="67" t="s">
        <v>407</v>
      </c>
      <c r="F38" s="111">
        <f>MAX(F35,F36)</f>
        <v>0</v>
      </c>
      <c r="G38" s="111">
        <f t="shared" ref="G38:AE38" si="12">MAX(G35,G36)</f>
        <v>0</v>
      </c>
      <c r="H38" s="111">
        <f t="shared" si="12"/>
        <v>7.9961245744563522E-2</v>
      </c>
      <c r="I38" s="111">
        <f t="shared" si="12"/>
        <v>0</v>
      </c>
      <c r="J38" s="111">
        <f t="shared" si="12"/>
        <v>6.0519553634792523E-3</v>
      </c>
      <c r="K38" s="111">
        <f t="shared" si="12"/>
        <v>3.3977993738206848E-2</v>
      </c>
      <c r="L38" s="111">
        <f t="shared" si="12"/>
        <v>6.1880693825051056E-2</v>
      </c>
      <c r="M38" s="111">
        <f t="shared" si="12"/>
        <v>8.640909254859494E-2</v>
      </c>
      <c r="N38" s="111">
        <f t="shared" si="12"/>
        <v>0.10947885590377188</v>
      </c>
      <c r="O38" s="111">
        <f t="shared" si="12"/>
        <v>0.13200576304406164</v>
      </c>
      <c r="P38" s="111">
        <f t="shared" si="12"/>
        <v>0.1545125123680077</v>
      </c>
      <c r="Q38" s="111">
        <f t="shared" si="12"/>
        <v>0.17409563549498949</v>
      </c>
      <c r="R38" s="111">
        <f t="shared" si="12"/>
        <v>0.19416845686466205</v>
      </c>
      <c r="S38" s="111">
        <f t="shared" si="12"/>
        <v>0.21353575386626014</v>
      </c>
      <c r="T38" s="111">
        <f t="shared" si="12"/>
        <v>0.3947070174056595</v>
      </c>
      <c r="U38" s="111">
        <f t="shared" si="12"/>
        <v>0.42007490589323071</v>
      </c>
      <c r="V38" s="111">
        <f t="shared" si="12"/>
        <v>0.44458005417921892</v>
      </c>
      <c r="W38" s="111">
        <f t="shared" si="12"/>
        <v>0.46648599657925222</v>
      </c>
      <c r="X38" s="111">
        <f t="shared" si="12"/>
        <v>0.47948166895047661</v>
      </c>
      <c r="Y38" s="111">
        <f t="shared" si="12"/>
        <v>0.47680749372505682</v>
      </c>
      <c r="Z38" s="111">
        <f t="shared" si="12"/>
        <v>0.47371519064567735</v>
      </c>
      <c r="AA38" s="111">
        <f t="shared" si="12"/>
        <v>0.47029708262557141</v>
      </c>
      <c r="AB38" s="111">
        <f t="shared" si="12"/>
        <v>0.46752531603396391</v>
      </c>
      <c r="AC38" s="111">
        <f t="shared" si="12"/>
        <v>0.46016626330104332</v>
      </c>
      <c r="AD38" s="111">
        <f t="shared" si="12"/>
        <v>0.45442390938573196</v>
      </c>
      <c r="AE38" s="111" t="e">
        <f t="shared" si="12"/>
        <v>#REF!</v>
      </c>
    </row>
    <row r="39" spans="2:31" x14ac:dyDescent="0.25">
      <c r="B39" s="67" t="s">
        <v>408</v>
      </c>
      <c r="F39" s="111">
        <f>IF((F36-F35)&lt;0,0,MIN((F36-F35),E45))</f>
        <v>0</v>
      </c>
      <c r="G39" s="111">
        <f t="shared" ref="G39:AE39" si="13">IF((G36-G35)&lt;0,0,MIN((G36-G35),F45))</f>
        <v>0</v>
      </c>
      <c r="H39" s="111">
        <f t="shared" si="13"/>
        <v>0</v>
      </c>
      <c r="I39" s="111">
        <f t="shared" si="13"/>
        <v>0</v>
      </c>
      <c r="J39" s="111">
        <f t="shared" si="13"/>
        <v>0</v>
      </c>
      <c r="K39" s="111">
        <f t="shared" si="13"/>
        <v>0</v>
      </c>
      <c r="L39" s="111">
        <f t="shared" si="13"/>
        <v>0</v>
      </c>
      <c r="M39" s="111">
        <f t="shared" si="13"/>
        <v>0</v>
      </c>
      <c r="N39" s="111">
        <f t="shared" si="13"/>
        <v>0</v>
      </c>
      <c r="O39" s="111">
        <f t="shared" si="13"/>
        <v>0</v>
      </c>
      <c r="P39" s="111">
        <f t="shared" si="13"/>
        <v>0</v>
      </c>
      <c r="Q39" s="111">
        <f t="shared" si="13"/>
        <v>0</v>
      </c>
      <c r="R39" s="111">
        <f t="shared" si="13"/>
        <v>0</v>
      </c>
      <c r="S39" s="111">
        <f t="shared" si="13"/>
        <v>0</v>
      </c>
      <c r="T39" s="111">
        <f t="shared" si="13"/>
        <v>0.16323245798532193</v>
      </c>
      <c r="U39" s="111">
        <f t="shared" si="13"/>
        <v>0.17385845446957773</v>
      </c>
      <c r="V39" s="111">
        <f t="shared" si="13"/>
        <v>0.18330741109349036</v>
      </c>
      <c r="W39" s="111">
        <f t="shared" si="13"/>
        <v>0.19112695635994165</v>
      </c>
      <c r="X39" s="111">
        <f t="shared" si="13"/>
        <v>0.19558697970102012</v>
      </c>
      <c r="Y39" s="111">
        <f t="shared" si="13"/>
        <v>0.19431667102799594</v>
      </c>
      <c r="Z39" s="111">
        <f t="shared" si="13"/>
        <v>0.14464902812430075</v>
      </c>
      <c r="AA39" s="111">
        <f t="shared" si="13"/>
        <v>0</v>
      </c>
      <c r="AB39" s="111">
        <f t="shared" si="13"/>
        <v>0</v>
      </c>
      <c r="AC39" s="111">
        <f t="shared" si="13"/>
        <v>0</v>
      </c>
      <c r="AD39" s="111">
        <f t="shared" si="13"/>
        <v>0</v>
      </c>
      <c r="AE39" s="111" t="e">
        <f t="shared" si="13"/>
        <v>#REF!</v>
      </c>
    </row>
    <row r="40" spans="2:31" x14ac:dyDescent="0.25">
      <c r="B40" s="142" t="s">
        <v>409</v>
      </c>
      <c r="C40" s="142"/>
      <c r="D40" s="142"/>
      <c r="E40" s="142"/>
      <c r="F40" s="143">
        <f>F38-F39</f>
        <v>0</v>
      </c>
      <c r="G40" s="143">
        <f t="shared" ref="G40:AE40" si="14">G38-G39</f>
        <v>0</v>
      </c>
      <c r="H40" s="143">
        <f t="shared" si="14"/>
        <v>7.9961245744563522E-2</v>
      </c>
      <c r="I40" s="143">
        <f t="shared" si="14"/>
        <v>0</v>
      </c>
      <c r="J40" s="143">
        <f t="shared" si="14"/>
        <v>6.0519553634792523E-3</v>
      </c>
      <c r="K40" s="143">
        <f t="shared" si="14"/>
        <v>3.3977993738206848E-2</v>
      </c>
      <c r="L40" s="143">
        <f t="shared" si="14"/>
        <v>6.1880693825051056E-2</v>
      </c>
      <c r="M40" s="143">
        <f t="shared" si="14"/>
        <v>8.640909254859494E-2</v>
      </c>
      <c r="N40" s="143">
        <f t="shared" si="14"/>
        <v>0.10947885590377188</v>
      </c>
      <c r="O40" s="143">
        <f t="shared" si="14"/>
        <v>0.13200576304406164</v>
      </c>
      <c r="P40" s="143">
        <f t="shared" si="14"/>
        <v>0.1545125123680077</v>
      </c>
      <c r="Q40" s="143">
        <f t="shared" si="14"/>
        <v>0.17409563549498949</v>
      </c>
      <c r="R40" s="143">
        <f t="shared" si="14"/>
        <v>0.19416845686466205</v>
      </c>
      <c r="S40" s="143">
        <f t="shared" si="14"/>
        <v>0.21353575386626014</v>
      </c>
      <c r="T40" s="143">
        <f t="shared" si="14"/>
        <v>0.23147455942033757</v>
      </c>
      <c r="U40" s="143">
        <f t="shared" si="14"/>
        <v>0.24621645142365298</v>
      </c>
      <c r="V40" s="143">
        <f t="shared" si="14"/>
        <v>0.26127264308572856</v>
      </c>
      <c r="W40" s="143">
        <f t="shared" si="14"/>
        <v>0.27535904021931057</v>
      </c>
      <c r="X40" s="143">
        <f t="shared" si="14"/>
        <v>0.28389468924945649</v>
      </c>
      <c r="Y40" s="143">
        <f t="shared" si="14"/>
        <v>0.28249082269706088</v>
      </c>
      <c r="Z40" s="143">
        <f t="shared" si="14"/>
        <v>0.3290661625213766</v>
      </c>
      <c r="AA40" s="143">
        <f t="shared" si="14"/>
        <v>0.47029708262557141</v>
      </c>
      <c r="AB40" s="143">
        <f t="shared" si="14"/>
        <v>0.46752531603396391</v>
      </c>
      <c r="AC40" s="143">
        <f t="shared" si="14"/>
        <v>0.46016626330104332</v>
      </c>
      <c r="AD40" s="143">
        <f t="shared" si="14"/>
        <v>0.45442390938573196</v>
      </c>
      <c r="AE40" s="143" t="e">
        <f t="shared" si="14"/>
        <v>#REF!</v>
      </c>
    </row>
    <row r="42" spans="2:31" x14ac:dyDescent="0.25">
      <c r="B42" s="67" t="s">
        <v>410</v>
      </c>
      <c r="F42" s="111">
        <f>E45</f>
        <v>0</v>
      </c>
      <c r="G42" s="111">
        <f t="shared" ref="G42:AE42" si="15">F45</f>
        <v>0</v>
      </c>
      <c r="H42" s="111">
        <f t="shared" si="15"/>
        <v>0</v>
      </c>
      <c r="I42" s="111">
        <f t="shared" si="15"/>
        <v>7.9961245744563522E-2</v>
      </c>
      <c r="J42" s="111">
        <f t="shared" si="15"/>
        <v>7.9961245744563522E-2</v>
      </c>
      <c r="K42" s="111">
        <f t="shared" si="15"/>
        <v>8.6013201108042781E-2</v>
      </c>
      <c r="L42" s="111">
        <f t="shared" si="15"/>
        <v>0.11999119484624962</v>
      </c>
      <c r="M42" s="111">
        <f t="shared" si="15"/>
        <v>0.18187188867130066</v>
      </c>
      <c r="N42" s="111">
        <f t="shared" si="15"/>
        <v>0.26828098121989563</v>
      </c>
      <c r="O42" s="111">
        <f t="shared" si="15"/>
        <v>0.37775983712366751</v>
      </c>
      <c r="P42" s="111">
        <f t="shared" si="15"/>
        <v>0.50976560016772909</v>
      </c>
      <c r="Q42" s="111">
        <f t="shared" si="15"/>
        <v>0.66427811253573676</v>
      </c>
      <c r="R42" s="111">
        <f t="shared" si="15"/>
        <v>0.83837374803072628</v>
      </c>
      <c r="S42" s="111">
        <f t="shared" si="15"/>
        <v>1.0325422048953883</v>
      </c>
      <c r="T42" s="111">
        <f t="shared" si="15"/>
        <v>1.2460779587616484</v>
      </c>
      <c r="U42" s="111">
        <f t="shared" si="15"/>
        <v>1.0828455007763265</v>
      </c>
      <c r="V42" s="111">
        <f t="shared" si="15"/>
        <v>0.90898704630674876</v>
      </c>
      <c r="W42" s="111">
        <f t="shared" si="15"/>
        <v>0.7256796352132584</v>
      </c>
      <c r="X42" s="111">
        <f t="shared" si="15"/>
        <v>0.53455267885331681</v>
      </c>
      <c r="Y42" s="111">
        <f t="shared" si="15"/>
        <v>0.33896569915229668</v>
      </c>
      <c r="Z42" s="111">
        <f t="shared" si="15"/>
        <v>0.14464902812430075</v>
      </c>
      <c r="AA42" s="111">
        <f t="shared" si="15"/>
        <v>0</v>
      </c>
      <c r="AB42" s="111">
        <f t="shared" si="15"/>
        <v>0</v>
      </c>
      <c r="AC42" s="111">
        <f t="shared" si="15"/>
        <v>0</v>
      </c>
      <c r="AD42" s="111">
        <f t="shared" si="15"/>
        <v>0</v>
      </c>
      <c r="AE42" s="111">
        <f t="shared" si="15"/>
        <v>0</v>
      </c>
    </row>
    <row r="43" spans="2:31" x14ac:dyDescent="0.25">
      <c r="B43" s="67" t="s">
        <v>411</v>
      </c>
      <c r="F43" s="111">
        <f>IF(F35&gt;F36,F35,0)</f>
        <v>0</v>
      </c>
      <c r="G43" s="111">
        <f t="shared" ref="G43:AE43" si="16">IF(G35&gt;G36,G35,0)</f>
        <v>0</v>
      </c>
      <c r="H43" s="111">
        <f t="shared" si="16"/>
        <v>7.9961245744563522E-2</v>
      </c>
      <c r="I43" s="111">
        <f t="shared" si="16"/>
        <v>0</v>
      </c>
      <c r="J43" s="111">
        <f t="shared" si="16"/>
        <v>6.0519553634792523E-3</v>
      </c>
      <c r="K43" s="111">
        <f t="shared" si="16"/>
        <v>3.3977993738206848E-2</v>
      </c>
      <c r="L43" s="111">
        <f t="shared" si="16"/>
        <v>6.1880693825051056E-2</v>
      </c>
      <c r="M43" s="111">
        <f t="shared" si="16"/>
        <v>8.640909254859494E-2</v>
      </c>
      <c r="N43" s="111">
        <f t="shared" si="16"/>
        <v>0.10947885590377188</v>
      </c>
      <c r="O43" s="111">
        <f t="shared" si="16"/>
        <v>0.13200576304406164</v>
      </c>
      <c r="P43" s="111">
        <f t="shared" si="16"/>
        <v>0.1545125123680077</v>
      </c>
      <c r="Q43" s="111">
        <f t="shared" si="16"/>
        <v>0.17409563549498949</v>
      </c>
      <c r="R43" s="111">
        <f t="shared" si="16"/>
        <v>0.19416845686466205</v>
      </c>
      <c r="S43" s="111">
        <f t="shared" si="16"/>
        <v>0.21353575386626014</v>
      </c>
      <c r="T43" s="111">
        <f t="shared" si="16"/>
        <v>0</v>
      </c>
      <c r="U43" s="111">
        <f t="shared" si="16"/>
        <v>0</v>
      </c>
      <c r="V43" s="111">
        <f t="shared" si="16"/>
        <v>0</v>
      </c>
      <c r="W43" s="111">
        <f t="shared" si="16"/>
        <v>0</v>
      </c>
      <c r="X43" s="111">
        <f t="shared" si="16"/>
        <v>0</v>
      </c>
      <c r="Y43" s="111">
        <f t="shared" si="16"/>
        <v>0</v>
      </c>
      <c r="Z43" s="111">
        <f t="shared" si="16"/>
        <v>0</v>
      </c>
      <c r="AA43" s="111">
        <f t="shared" si="16"/>
        <v>0</v>
      </c>
      <c r="AB43" s="111">
        <f t="shared" si="16"/>
        <v>0</v>
      </c>
      <c r="AC43" s="111">
        <f t="shared" si="16"/>
        <v>0</v>
      </c>
      <c r="AD43" s="111">
        <f t="shared" si="16"/>
        <v>0</v>
      </c>
      <c r="AE43" s="111" t="e">
        <f t="shared" si="16"/>
        <v>#REF!</v>
      </c>
    </row>
    <row r="44" spans="2:31" x14ac:dyDescent="0.25">
      <c r="B44" s="67" t="s">
        <v>412</v>
      </c>
      <c r="F44" s="111">
        <f>-F39</f>
        <v>0</v>
      </c>
      <c r="G44" s="111">
        <f t="shared" ref="G44:AE44" si="17">-G39</f>
        <v>0</v>
      </c>
      <c r="H44" s="111">
        <f t="shared" si="17"/>
        <v>0</v>
      </c>
      <c r="I44" s="111">
        <f t="shared" si="17"/>
        <v>0</v>
      </c>
      <c r="J44" s="111">
        <f t="shared" si="17"/>
        <v>0</v>
      </c>
      <c r="K44" s="111">
        <f t="shared" si="17"/>
        <v>0</v>
      </c>
      <c r="L44" s="111">
        <f t="shared" si="17"/>
        <v>0</v>
      </c>
      <c r="M44" s="111">
        <f t="shared" si="17"/>
        <v>0</v>
      </c>
      <c r="N44" s="111">
        <f t="shared" si="17"/>
        <v>0</v>
      </c>
      <c r="O44" s="111">
        <f t="shared" si="17"/>
        <v>0</v>
      </c>
      <c r="P44" s="111">
        <f t="shared" si="17"/>
        <v>0</v>
      </c>
      <c r="Q44" s="111">
        <f t="shared" si="17"/>
        <v>0</v>
      </c>
      <c r="R44" s="111">
        <f t="shared" si="17"/>
        <v>0</v>
      </c>
      <c r="S44" s="111">
        <f t="shared" si="17"/>
        <v>0</v>
      </c>
      <c r="T44" s="111">
        <f t="shared" si="17"/>
        <v>-0.16323245798532193</v>
      </c>
      <c r="U44" s="111">
        <f t="shared" si="17"/>
        <v>-0.17385845446957773</v>
      </c>
      <c r="V44" s="111">
        <f t="shared" si="17"/>
        <v>-0.18330741109349036</v>
      </c>
      <c r="W44" s="111">
        <f t="shared" si="17"/>
        <v>-0.19112695635994165</v>
      </c>
      <c r="X44" s="111">
        <f t="shared" si="17"/>
        <v>-0.19558697970102012</v>
      </c>
      <c r="Y44" s="111">
        <f t="shared" si="17"/>
        <v>-0.19431667102799594</v>
      </c>
      <c r="Z44" s="111">
        <f t="shared" si="17"/>
        <v>-0.14464902812430075</v>
      </c>
      <c r="AA44" s="111">
        <f t="shared" si="17"/>
        <v>0</v>
      </c>
      <c r="AB44" s="111">
        <f t="shared" si="17"/>
        <v>0</v>
      </c>
      <c r="AC44" s="111">
        <f t="shared" si="17"/>
        <v>0</v>
      </c>
      <c r="AD44" s="111">
        <f t="shared" si="17"/>
        <v>0</v>
      </c>
      <c r="AE44" s="111" t="e">
        <f t="shared" si="17"/>
        <v>#REF!</v>
      </c>
    </row>
    <row r="45" spans="2:31" x14ac:dyDescent="0.25">
      <c r="B45" s="134" t="s">
        <v>413</v>
      </c>
      <c r="C45" s="134"/>
      <c r="D45" s="134"/>
      <c r="E45" s="368"/>
      <c r="F45" s="135">
        <f>SUM(F42:F44)</f>
        <v>0</v>
      </c>
      <c r="G45" s="135">
        <f t="shared" ref="G45:AE45" si="18">SUM(G42:G44)</f>
        <v>0</v>
      </c>
      <c r="H45" s="135">
        <f t="shared" si="18"/>
        <v>7.9961245744563522E-2</v>
      </c>
      <c r="I45" s="135">
        <f t="shared" si="18"/>
        <v>7.9961245744563522E-2</v>
      </c>
      <c r="J45" s="135">
        <f t="shared" si="18"/>
        <v>8.6013201108042781E-2</v>
      </c>
      <c r="K45" s="135">
        <f t="shared" si="18"/>
        <v>0.11999119484624962</v>
      </c>
      <c r="L45" s="135">
        <f t="shared" si="18"/>
        <v>0.18187188867130066</v>
      </c>
      <c r="M45" s="135">
        <f t="shared" si="18"/>
        <v>0.26828098121989563</v>
      </c>
      <c r="N45" s="135">
        <f t="shared" si="18"/>
        <v>0.37775983712366751</v>
      </c>
      <c r="O45" s="135">
        <f t="shared" si="18"/>
        <v>0.50976560016772909</v>
      </c>
      <c r="P45" s="135">
        <f t="shared" si="18"/>
        <v>0.66427811253573676</v>
      </c>
      <c r="Q45" s="135">
        <f t="shared" si="18"/>
        <v>0.83837374803072628</v>
      </c>
      <c r="R45" s="135">
        <f t="shared" si="18"/>
        <v>1.0325422048953883</v>
      </c>
      <c r="S45" s="135">
        <f t="shared" si="18"/>
        <v>1.2460779587616484</v>
      </c>
      <c r="T45" s="135">
        <f t="shared" si="18"/>
        <v>1.0828455007763265</v>
      </c>
      <c r="U45" s="135">
        <f t="shared" si="18"/>
        <v>0.90898704630674876</v>
      </c>
      <c r="V45" s="135">
        <f t="shared" si="18"/>
        <v>0.7256796352132584</v>
      </c>
      <c r="W45" s="135">
        <f t="shared" si="18"/>
        <v>0.53455267885331681</v>
      </c>
      <c r="X45" s="135">
        <f t="shared" si="18"/>
        <v>0.33896569915229668</v>
      </c>
      <c r="Y45" s="135">
        <f t="shared" si="18"/>
        <v>0.14464902812430075</v>
      </c>
      <c r="Z45" s="135">
        <f t="shared" si="18"/>
        <v>0</v>
      </c>
      <c r="AA45" s="135">
        <f t="shared" si="18"/>
        <v>0</v>
      </c>
      <c r="AB45" s="135">
        <f t="shared" si="18"/>
        <v>0</v>
      </c>
      <c r="AC45" s="135">
        <f t="shared" si="18"/>
        <v>0</v>
      </c>
      <c r="AD45" s="135">
        <f t="shared" si="18"/>
        <v>0</v>
      </c>
      <c r="AE45" s="135" t="e">
        <f t="shared" si="18"/>
        <v>#REF!</v>
      </c>
    </row>
    <row r="46" spans="2:31" x14ac:dyDescent="0.25">
      <c r="F46" s="111"/>
      <c r="G46" s="111"/>
      <c r="H46" s="111"/>
      <c r="I46" s="111"/>
      <c r="J46" s="111"/>
      <c r="K46" s="111"/>
      <c r="L46" s="111"/>
      <c r="M46" s="111"/>
      <c r="N46" s="111"/>
      <c r="O46" s="111"/>
    </row>
    <row r="47" spans="2:31" x14ac:dyDescent="0.25">
      <c r="F47" s="111"/>
      <c r="G47" s="111"/>
      <c r="H47" s="111"/>
      <c r="I47" s="111"/>
      <c r="J47" s="111"/>
      <c r="K47" s="111"/>
      <c r="L47" s="111"/>
      <c r="M47" s="111"/>
      <c r="N47" s="111"/>
      <c r="O47" s="111"/>
    </row>
  </sheetData>
  <mergeCells count="2">
    <mergeCell ref="D7:E7"/>
    <mergeCell ref="F7:AE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81"/>
  <sheetViews>
    <sheetView showGridLines="0" zoomScale="85" zoomScaleNormal="85" workbookViewId="0">
      <pane xSplit="2" ySplit="10" topLeftCell="C51" activePane="bottomRight" state="frozen"/>
      <selection pane="topRight" activeCell="C1" sqref="C1"/>
      <selection pane="bottomLeft" activeCell="A11" sqref="A11"/>
      <selection pane="bottomRight" activeCell="E34" sqref="E34"/>
    </sheetView>
  </sheetViews>
  <sheetFormatPr defaultRowHeight="15" x14ac:dyDescent="0.25"/>
  <cols>
    <col min="1" max="1" width="2.28515625" customWidth="1"/>
    <col min="2" max="2" width="64.7109375" customWidth="1"/>
    <col min="3" max="3" width="6" bestFit="1" customWidth="1"/>
    <col min="4" max="4" width="11.140625" bestFit="1" customWidth="1"/>
    <col min="5" max="5" width="9.7109375" bestFit="1" customWidth="1"/>
    <col min="6" max="7" width="12.28515625" bestFit="1" customWidth="1"/>
    <col min="8" max="8" width="15.28515625" bestFit="1" customWidth="1"/>
    <col min="9" max="9" width="15.85546875" bestFit="1" customWidth="1"/>
    <col min="10" max="30" width="12.28515625" bestFit="1" customWidth="1"/>
  </cols>
  <sheetData>
    <row r="1" spans="2:30" s="1" customFormat="1" ht="19.899999999999999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2:30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</row>
    <row r="4" spans="2:30" s="1" customFormat="1" ht="9" customHeight="1" x14ac:dyDescent="0.25">
      <c r="B4" s="2"/>
      <c r="C4" s="2"/>
      <c r="D4" s="2"/>
      <c r="E4" s="2"/>
      <c r="F4" s="2"/>
      <c r="G4" s="273"/>
    </row>
    <row r="5" spans="2:30" ht="15.75" x14ac:dyDescent="0.25">
      <c r="B5" s="68" t="s">
        <v>75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</row>
    <row r="6" spans="2:30" x14ac:dyDescent="0.25">
      <c r="B6" s="274" t="s">
        <v>256</v>
      </c>
      <c r="C6" s="65"/>
      <c r="D6" s="65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ht="15.75" x14ac:dyDescent="0.25">
      <c r="B7" s="31"/>
      <c r="C7" s="65"/>
      <c r="D7" s="373" t="s">
        <v>20</v>
      </c>
      <c r="E7" s="373"/>
      <c r="F7" s="374" t="s">
        <v>76</v>
      </c>
      <c r="G7" s="374"/>
      <c r="H7" s="374"/>
      <c r="I7" s="374"/>
      <c r="J7" s="374"/>
      <c r="K7" s="374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  <c r="AA7" s="374"/>
      <c r="AB7" s="374"/>
      <c r="AC7" s="374"/>
      <c r="AD7" s="374"/>
    </row>
    <row r="8" spans="2:30" x14ac:dyDescent="0.25">
      <c r="B8" s="70" t="s">
        <v>255</v>
      </c>
      <c r="C8" s="71" t="s">
        <v>78</v>
      </c>
      <c r="D8" s="72"/>
      <c r="E8" s="72">
        <f>Assumptions!E12</f>
        <v>45991</v>
      </c>
      <c r="F8" s="72">
        <f>DATE(YEAR(E8),MONTH(E8)+4,DAY(E8)+1)</f>
        <v>46112</v>
      </c>
      <c r="G8" s="72">
        <f t="shared" ref="G8:AD8" si="0">DATE(YEAR(F8)+1,MONTH(F8),DAY(F8))</f>
        <v>46477</v>
      </c>
      <c r="H8" s="72">
        <f t="shared" si="0"/>
        <v>46843</v>
      </c>
      <c r="I8" s="72">
        <f t="shared" si="0"/>
        <v>47208</v>
      </c>
      <c r="J8" s="72">
        <f t="shared" si="0"/>
        <v>47573</v>
      </c>
      <c r="K8" s="72">
        <f t="shared" si="0"/>
        <v>47938</v>
      </c>
      <c r="L8" s="72">
        <f t="shared" si="0"/>
        <v>48304</v>
      </c>
      <c r="M8" s="72">
        <f t="shared" si="0"/>
        <v>48669</v>
      </c>
      <c r="N8" s="72">
        <f t="shared" si="0"/>
        <v>49034</v>
      </c>
      <c r="O8" s="72">
        <f t="shared" si="0"/>
        <v>49399</v>
      </c>
      <c r="P8" s="72">
        <f t="shared" si="0"/>
        <v>49765</v>
      </c>
      <c r="Q8" s="72">
        <f t="shared" si="0"/>
        <v>50130</v>
      </c>
      <c r="R8" s="72">
        <f t="shared" si="0"/>
        <v>50495</v>
      </c>
      <c r="S8" s="72">
        <f t="shared" si="0"/>
        <v>50860</v>
      </c>
      <c r="T8" s="72">
        <f t="shared" si="0"/>
        <v>51226</v>
      </c>
      <c r="U8" s="72">
        <f t="shared" si="0"/>
        <v>51591</v>
      </c>
      <c r="V8" s="72">
        <f t="shared" si="0"/>
        <v>51956</v>
      </c>
      <c r="W8" s="72">
        <f t="shared" si="0"/>
        <v>52321</v>
      </c>
      <c r="X8" s="72">
        <f t="shared" si="0"/>
        <v>52687</v>
      </c>
      <c r="Y8" s="72">
        <f t="shared" si="0"/>
        <v>53052</v>
      </c>
      <c r="Z8" s="72">
        <f t="shared" si="0"/>
        <v>53417</v>
      </c>
      <c r="AA8" s="72">
        <f t="shared" si="0"/>
        <v>53782</v>
      </c>
      <c r="AB8" s="72">
        <f t="shared" si="0"/>
        <v>54148</v>
      </c>
      <c r="AC8" s="72">
        <f t="shared" si="0"/>
        <v>54513</v>
      </c>
      <c r="AD8" s="72">
        <f t="shared" si="0"/>
        <v>54878</v>
      </c>
    </row>
    <row r="9" spans="2:30" x14ac:dyDescent="0.25">
      <c r="B9" s="73" t="s">
        <v>79</v>
      </c>
      <c r="C9" s="74"/>
      <c r="D9" s="75">
        <v>0</v>
      </c>
      <c r="E9" s="75">
        <v>0</v>
      </c>
      <c r="F9" s="76">
        <v>1</v>
      </c>
      <c r="G9" s="76">
        <v>2</v>
      </c>
      <c r="H9" s="76">
        <v>3</v>
      </c>
      <c r="I9" s="76">
        <v>4</v>
      </c>
      <c r="J9" s="76">
        <v>5</v>
      </c>
      <c r="K9" s="76">
        <v>6</v>
      </c>
      <c r="L9" s="76">
        <v>7</v>
      </c>
      <c r="M9" s="76">
        <v>8</v>
      </c>
      <c r="N9" s="76">
        <v>9</v>
      </c>
      <c r="O9" s="76">
        <v>10</v>
      </c>
      <c r="P9" s="76">
        <v>11</v>
      </c>
      <c r="Q9" s="76">
        <v>12</v>
      </c>
      <c r="R9" s="76">
        <v>13</v>
      </c>
      <c r="S9" s="76">
        <v>14</v>
      </c>
      <c r="T9" s="76">
        <v>15</v>
      </c>
      <c r="U9" s="76">
        <v>16</v>
      </c>
      <c r="V9" s="76">
        <v>17</v>
      </c>
      <c r="W9" s="76">
        <v>18</v>
      </c>
      <c r="X9" s="76">
        <v>19</v>
      </c>
      <c r="Y9" s="76">
        <v>20</v>
      </c>
      <c r="Z9" s="76">
        <v>21</v>
      </c>
      <c r="AA9" s="76">
        <v>22</v>
      </c>
      <c r="AB9" s="76">
        <v>23</v>
      </c>
      <c r="AC9" s="76">
        <v>24</v>
      </c>
      <c r="AD9" s="76">
        <v>25</v>
      </c>
    </row>
    <row r="10" spans="2:30" x14ac:dyDescent="0.25">
      <c r="B10" s="73" t="s">
        <v>80</v>
      </c>
      <c r="C10" s="74"/>
      <c r="D10" s="75">
        <v>0</v>
      </c>
      <c r="E10" s="75">
        <v>8</v>
      </c>
      <c r="F10" s="74">
        <f t="shared" ref="F10:AD10" si="1">MONTH(F8-E8)</f>
        <v>4</v>
      </c>
      <c r="G10" s="74">
        <f t="shared" si="1"/>
        <v>12</v>
      </c>
      <c r="H10" s="74">
        <f t="shared" si="1"/>
        <v>12</v>
      </c>
      <c r="I10" s="74">
        <f t="shared" si="1"/>
        <v>12</v>
      </c>
      <c r="J10" s="74">
        <f t="shared" si="1"/>
        <v>12</v>
      </c>
      <c r="K10" s="74">
        <f t="shared" si="1"/>
        <v>12</v>
      </c>
      <c r="L10" s="74">
        <f t="shared" si="1"/>
        <v>12</v>
      </c>
      <c r="M10" s="74">
        <f t="shared" si="1"/>
        <v>12</v>
      </c>
      <c r="N10" s="74">
        <f t="shared" si="1"/>
        <v>12</v>
      </c>
      <c r="O10" s="74">
        <f t="shared" si="1"/>
        <v>12</v>
      </c>
      <c r="P10" s="74">
        <f t="shared" si="1"/>
        <v>12</v>
      </c>
      <c r="Q10" s="74">
        <f t="shared" si="1"/>
        <v>12</v>
      </c>
      <c r="R10" s="74">
        <f t="shared" si="1"/>
        <v>12</v>
      </c>
      <c r="S10" s="74">
        <f t="shared" si="1"/>
        <v>12</v>
      </c>
      <c r="T10" s="74">
        <f t="shared" si="1"/>
        <v>12</v>
      </c>
      <c r="U10" s="74">
        <f t="shared" si="1"/>
        <v>12</v>
      </c>
      <c r="V10" s="74">
        <f t="shared" si="1"/>
        <v>12</v>
      </c>
      <c r="W10" s="74">
        <f t="shared" si="1"/>
        <v>12</v>
      </c>
      <c r="X10" s="74">
        <f t="shared" si="1"/>
        <v>12</v>
      </c>
      <c r="Y10" s="74">
        <f t="shared" si="1"/>
        <v>12</v>
      </c>
      <c r="Z10" s="74">
        <f t="shared" si="1"/>
        <v>12</v>
      </c>
      <c r="AA10" s="74">
        <f t="shared" si="1"/>
        <v>12</v>
      </c>
      <c r="AB10" s="74">
        <f t="shared" si="1"/>
        <v>12</v>
      </c>
      <c r="AC10" s="74">
        <f t="shared" si="1"/>
        <v>12</v>
      </c>
      <c r="AD10" s="74">
        <f t="shared" si="1"/>
        <v>12</v>
      </c>
    </row>
    <row r="11" spans="2:30" ht="6" customHeight="1" x14ac:dyDescent="0.25"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</row>
    <row r="12" spans="2:30" x14ac:dyDescent="0.25">
      <c r="B12" s="78" t="s">
        <v>81</v>
      </c>
      <c r="C12" s="78"/>
      <c r="D12" s="78"/>
      <c r="E12" s="78"/>
      <c r="F12" s="79">
        <f>F8-E8</f>
        <v>121</v>
      </c>
      <c r="G12" s="79">
        <f t="shared" ref="G12:AD12" si="2">G8-F8</f>
        <v>365</v>
      </c>
      <c r="H12" s="79">
        <f t="shared" si="2"/>
        <v>366</v>
      </c>
      <c r="I12" s="79">
        <f t="shared" si="2"/>
        <v>365</v>
      </c>
      <c r="J12" s="79">
        <f t="shared" si="2"/>
        <v>365</v>
      </c>
      <c r="K12" s="79">
        <f t="shared" si="2"/>
        <v>365</v>
      </c>
      <c r="L12" s="79">
        <f t="shared" si="2"/>
        <v>366</v>
      </c>
      <c r="M12" s="79">
        <f t="shared" si="2"/>
        <v>365</v>
      </c>
      <c r="N12" s="79">
        <f t="shared" si="2"/>
        <v>365</v>
      </c>
      <c r="O12" s="79">
        <f t="shared" si="2"/>
        <v>365</v>
      </c>
      <c r="P12" s="79">
        <f t="shared" si="2"/>
        <v>366</v>
      </c>
      <c r="Q12" s="79">
        <f t="shared" si="2"/>
        <v>365</v>
      </c>
      <c r="R12" s="79">
        <f t="shared" si="2"/>
        <v>365</v>
      </c>
      <c r="S12" s="79">
        <f t="shared" si="2"/>
        <v>365</v>
      </c>
      <c r="T12" s="79">
        <f t="shared" si="2"/>
        <v>366</v>
      </c>
      <c r="U12" s="79">
        <f t="shared" si="2"/>
        <v>365</v>
      </c>
      <c r="V12" s="79">
        <f t="shared" si="2"/>
        <v>365</v>
      </c>
      <c r="W12" s="79">
        <f t="shared" si="2"/>
        <v>365</v>
      </c>
      <c r="X12" s="79">
        <f t="shared" si="2"/>
        <v>366</v>
      </c>
      <c r="Y12" s="79">
        <f t="shared" si="2"/>
        <v>365</v>
      </c>
      <c r="Z12" s="79">
        <f t="shared" si="2"/>
        <v>365</v>
      </c>
      <c r="AA12" s="79">
        <f t="shared" si="2"/>
        <v>365</v>
      </c>
      <c r="AB12" s="79">
        <f t="shared" si="2"/>
        <v>366</v>
      </c>
      <c r="AC12" s="79">
        <f t="shared" si="2"/>
        <v>365</v>
      </c>
      <c r="AD12" s="79">
        <f t="shared" si="2"/>
        <v>365</v>
      </c>
    </row>
    <row r="13" spans="2:30" ht="6" customHeight="1" x14ac:dyDescent="0.25"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</row>
    <row r="14" spans="2:30" x14ac:dyDescent="0.25">
      <c r="B14" s="78" t="s">
        <v>82</v>
      </c>
      <c r="C14" s="78"/>
      <c r="D14" s="78"/>
      <c r="E14" s="78"/>
      <c r="F14" s="79">
        <v>24</v>
      </c>
      <c r="G14" s="79">
        <v>24</v>
      </c>
      <c r="H14" s="79">
        <v>24</v>
      </c>
      <c r="I14" s="79">
        <v>24</v>
      </c>
      <c r="J14" s="79">
        <v>24</v>
      </c>
      <c r="K14" s="79">
        <v>24</v>
      </c>
      <c r="L14" s="79">
        <v>24</v>
      </c>
      <c r="M14" s="79">
        <v>24</v>
      </c>
      <c r="N14" s="79">
        <v>24</v>
      </c>
      <c r="O14" s="79">
        <v>24</v>
      </c>
      <c r="P14" s="79">
        <v>24</v>
      </c>
      <c r="Q14" s="79">
        <v>24</v>
      </c>
      <c r="R14" s="79">
        <v>24</v>
      </c>
      <c r="S14" s="79">
        <v>24</v>
      </c>
      <c r="T14" s="79">
        <v>24</v>
      </c>
      <c r="U14" s="79">
        <v>24</v>
      </c>
      <c r="V14" s="79">
        <v>24</v>
      </c>
      <c r="W14" s="79">
        <v>24</v>
      </c>
      <c r="X14" s="79">
        <v>24</v>
      </c>
      <c r="Y14" s="79">
        <v>24</v>
      </c>
      <c r="Z14" s="79">
        <v>24</v>
      </c>
      <c r="AA14" s="79">
        <v>24</v>
      </c>
      <c r="AB14" s="79">
        <v>24</v>
      </c>
      <c r="AC14" s="79">
        <v>24</v>
      </c>
      <c r="AD14" s="79">
        <v>24</v>
      </c>
    </row>
    <row r="15" spans="2:30" ht="6" customHeight="1" x14ac:dyDescent="0.25"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</row>
    <row r="16" spans="2:30" x14ac:dyDescent="0.25">
      <c r="B16" s="80" t="s">
        <v>99</v>
      </c>
      <c r="C16" s="81"/>
      <c r="D16" s="81"/>
      <c r="E16" s="81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</row>
    <row r="17" spans="2:30" ht="15.75" x14ac:dyDescent="0.25">
      <c r="B17" s="109"/>
      <c r="C17" s="31"/>
      <c r="D17" s="31"/>
      <c r="E17" s="31"/>
      <c r="F17" s="83"/>
      <c r="G17" s="85"/>
      <c r="H17" s="83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</row>
    <row r="18" spans="2:30" ht="15.75" x14ac:dyDescent="0.25">
      <c r="B18" s="109" t="s">
        <v>83</v>
      </c>
      <c r="C18" s="31"/>
      <c r="D18" s="31"/>
      <c r="E18" s="31"/>
      <c r="F18" s="83"/>
      <c r="G18" s="85"/>
      <c r="H18" s="83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</row>
    <row r="19" spans="2:30" x14ac:dyDescent="0.25">
      <c r="B19" s="31" t="s">
        <v>267</v>
      </c>
      <c r="C19" s="31"/>
      <c r="D19" s="31"/>
      <c r="E19" s="31"/>
      <c r="F19" s="108">
        <f>Assumptions!D24</f>
        <v>5.6</v>
      </c>
      <c r="G19" s="102">
        <f>F19</f>
        <v>5.6</v>
      </c>
      <c r="H19" s="102">
        <f t="shared" ref="H19:AD20" si="3">G19</f>
        <v>5.6</v>
      </c>
      <c r="I19" s="102">
        <f t="shared" si="3"/>
        <v>5.6</v>
      </c>
      <c r="J19" s="102">
        <f t="shared" si="3"/>
        <v>5.6</v>
      </c>
      <c r="K19" s="102">
        <f t="shared" si="3"/>
        <v>5.6</v>
      </c>
      <c r="L19" s="102">
        <f t="shared" si="3"/>
        <v>5.6</v>
      </c>
      <c r="M19" s="102">
        <f t="shared" si="3"/>
        <v>5.6</v>
      </c>
      <c r="N19" s="102">
        <f t="shared" si="3"/>
        <v>5.6</v>
      </c>
      <c r="O19" s="102">
        <f t="shared" si="3"/>
        <v>5.6</v>
      </c>
      <c r="P19" s="102">
        <f t="shared" si="3"/>
        <v>5.6</v>
      </c>
      <c r="Q19" s="102">
        <f t="shared" si="3"/>
        <v>5.6</v>
      </c>
      <c r="R19" s="102">
        <f t="shared" si="3"/>
        <v>5.6</v>
      </c>
      <c r="S19" s="102">
        <f t="shared" si="3"/>
        <v>5.6</v>
      </c>
      <c r="T19" s="102">
        <f t="shared" si="3"/>
        <v>5.6</v>
      </c>
      <c r="U19" s="102">
        <f t="shared" si="3"/>
        <v>5.6</v>
      </c>
      <c r="V19" s="102">
        <f t="shared" si="3"/>
        <v>5.6</v>
      </c>
      <c r="W19" s="102">
        <f t="shared" si="3"/>
        <v>5.6</v>
      </c>
      <c r="X19" s="102">
        <f t="shared" si="3"/>
        <v>5.6</v>
      </c>
      <c r="Y19" s="102">
        <f t="shared" si="3"/>
        <v>5.6</v>
      </c>
      <c r="Z19" s="102">
        <f t="shared" si="3"/>
        <v>5.6</v>
      </c>
      <c r="AA19" s="102">
        <f t="shared" si="3"/>
        <v>5.6</v>
      </c>
      <c r="AB19" s="102">
        <f t="shared" si="3"/>
        <v>5.6</v>
      </c>
      <c r="AC19" s="102">
        <f t="shared" si="3"/>
        <v>5.6</v>
      </c>
      <c r="AD19" s="102">
        <f t="shared" si="3"/>
        <v>5.6</v>
      </c>
    </row>
    <row r="20" spans="2:30" x14ac:dyDescent="0.25">
      <c r="B20" s="31" t="s">
        <v>266</v>
      </c>
      <c r="C20" s="31"/>
      <c r="D20" s="31"/>
      <c r="E20" s="31"/>
      <c r="F20" s="108">
        <f>+Assumptions!D25</f>
        <v>4</v>
      </c>
      <c r="G20" s="102">
        <f>F20</f>
        <v>4</v>
      </c>
      <c r="H20" s="102">
        <f t="shared" si="3"/>
        <v>4</v>
      </c>
      <c r="I20" s="102">
        <f t="shared" si="3"/>
        <v>4</v>
      </c>
      <c r="J20" s="102">
        <f t="shared" si="3"/>
        <v>4</v>
      </c>
      <c r="K20" s="102">
        <f t="shared" si="3"/>
        <v>4</v>
      </c>
      <c r="L20" s="102">
        <f t="shared" si="3"/>
        <v>4</v>
      </c>
      <c r="M20" s="102">
        <f t="shared" si="3"/>
        <v>4</v>
      </c>
      <c r="N20" s="102">
        <f t="shared" si="3"/>
        <v>4</v>
      </c>
      <c r="O20" s="102">
        <f t="shared" si="3"/>
        <v>4</v>
      </c>
      <c r="P20" s="102">
        <f t="shared" si="3"/>
        <v>4</v>
      </c>
      <c r="Q20" s="102">
        <f t="shared" si="3"/>
        <v>4</v>
      </c>
      <c r="R20" s="102">
        <f t="shared" si="3"/>
        <v>4</v>
      </c>
      <c r="S20" s="102">
        <f t="shared" si="3"/>
        <v>4</v>
      </c>
      <c r="T20" s="102">
        <f t="shared" si="3"/>
        <v>4</v>
      </c>
      <c r="U20" s="102">
        <f t="shared" si="3"/>
        <v>4</v>
      </c>
      <c r="V20" s="102">
        <f t="shared" si="3"/>
        <v>4</v>
      </c>
      <c r="W20" s="102">
        <f t="shared" si="3"/>
        <v>4</v>
      </c>
      <c r="X20" s="102">
        <f t="shared" si="3"/>
        <v>4</v>
      </c>
      <c r="Y20" s="102">
        <f t="shared" si="3"/>
        <v>4</v>
      </c>
      <c r="Z20" s="102">
        <f t="shared" si="3"/>
        <v>4</v>
      </c>
      <c r="AA20" s="102">
        <f t="shared" si="3"/>
        <v>4</v>
      </c>
      <c r="AB20" s="102">
        <f t="shared" si="3"/>
        <v>4</v>
      </c>
      <c r="AC20" s="102">
        <f t="shared" si="3"/>
        <v>4</v>
      </c>
      <c r="AD20" s="102">
        <f t="shared" si="3"/>
        <v>4</v>
      </c>
    </row>
    <row r="21" spans="2:30" x14ac:dyDescent="0.25">
      <c r="B21" s="31" t="s">
        <v>84</v>
      </c>
      <c r="C21" s="45"/>
      <c r="D21" s="31"/>
      <c r="E21" s="31"/>
      <c r="F21" s="84">
        <f>F19*1000</f>
        <v>5600</v>
      </c>
      <c r="G21" s="84">
        <f t="shared" ref="G21:AD21" si="4">G19*1000</f>
        <v>5600</v>
      </c>
      <c r="H21" s="84">
        <f t="shared" si="4"/>
        <v>5600</v>
      </c>
      <c r="I21" s="84">
        <f t="shared" si="4"/>
        <v>5600</v>
      </c>
      <c r="J21" s="84">
        <f t="shared" si="4"/>
        <v>5600</v>
      </c>
      <c r="K21" s="84">
        <f t="shared" si="4"/>
        <v>5600</v>
      </c>
      <c r="L21" s="84">
        <f t="shared" si="4"/>
        <v>5600</v>
      </c>
      <c r="M21" s="84">
        <f t="shared" si="4"/>
        <v>5600</v>
      </c>
      <c r="N21" s="84">
        <f t="shared" si="4"/>
        <v>5600</v>
      </c>
      <c r="O21" s="84">
        <f t="shared" si="4"/>
        <v>5600</v>
      </c>
      <c r="P21" s="84">
        <f>P19*1000</f>
        <v>5600</v>
      </c>
      <c r="Q21" s="84">
        <f t="shared" si="4"/>
        <v>5600</v>
      </c>
      <c r="R21" s="84">
        <f t="shared" si="4"/>
        <v>5600</v>
      </c>
      <c r="S21" s="84">
        <f t="shared" si="4"/>
        <v>5600</v>
      </c>
      <c r="T21" s="84">
        <f t="shared" si="4"/>
        <v>5600</v>
      </c>
      <c r="U21" s="84">
        <f t="shared" si="4"/>
        <v>5600</v>
      </c>
      <c r="V21" s="84">
        <f t="shared" si="4"/>
        <v>5600</v>
      </c>
      <c r="W21" s="84">
        <f t="shared" si="4"/>
        <v>5600</v>
      </c>
      <c r="X21" s="84">
        <f t="shared" si="4"/>
        <v>5600</v>
      </c>
      <c r="Y21" s="84">
        <f t="shared" si="4"/>
        <v>5600</v>
      </c>
      <c r="Z21" s="84">
        <f t="shared" si="4"/>
        <v>5600</v>
      </c>
      <c r="AA21" s="84">
        <f t="shared" si="4"/>
        <v>5600</v>
      </c>
      <c r="AB21" s="84">
        <f t="shared" si="4"/>
        <v>5600</v>
      </c>
      <c r="AC21" s="84">
        <f t="shared" si="4"/>
        <v>5600</v>
      </c>
      <c r="AD21" s="84">
        <f t="shared" si="4"/>
        <v>5600</v>
      </c>
    </row>
    <row r="22" spans="2:30" x14ac:dyDescent="0.25">
      <c r="B22" s="31" t="s">
        <v>85</v>
      </c>
      <c r="C22" s="45"/>
      <c r="D22" s="31"/>
      <c r="E22" s="31"/>
      <c r="F22" s="106">
        <f>Assumptions!D26</f>
        <v>0.180956457925636</v>
      </c>
      <c r="G22" s="85">
        <f>F22*(1-G23)</f>
        <v>0.17914689334637965</v>
      </c>
      <c r="H22" s="85">
        <f>G22*(1-H23)</f>
        <v>0.17735542441291585</v>
      </c>
      <c r="I22" s="85">
        <f>H22*(1-I23)</f>
        <v>0.17558187016878668</v>
      </c>
      <c r="J22" s="85">
        <f t="shared" ref="J22:AD22" si="5">I22*(1-J23)</f>
        <v>0.17382605146709881</v>
      </c>
      <c r="K22" s="85">
        <f t="shared" si="5"/>
        <v>0.17208779095242782</v>
      </c>
      <c r="L22" s="85">
        <f t="shared" si="5"/>
        <v>0.17036691304290355</v>
      </c>
      <c r="M22" s="85">
        <f t="shared" si="5"/>
        <v>0.1686632439124745</v>
      </c>
      <c r="N22" s="85">
        <f t="shared" si="5"/>
        <v>0.16697661147334975</v>
      </c>
      <c r="O22" s="85">
        <f t="shared" si="5"/>
        <v>0.16530684535861626</v>
      </c>
      <c r="P22" s="85">
        <f t="shared" si="5"/>
        <v>0.16365377690503008</v>
      </c>
      <c r="Q22" s="85">
        <f t="shared" si="5"/>
        <v>0.16201723913597979</v>
      </c>
      <c r="R22" s="85">
        <f t="shared" si="5"/>
        <v>0.16039706674461998</v>
      </c>
      <c r="S22" s="85">
        <f t="shared" si="5"/>
        <v>0.15879309607717379</v>
      </c>
      <c r="T22" s="85">
        <f t="shared" si="5"/>
        <v>0.15720516511640206</v>
      </c>
      <c r="U22" s="85">
        <f t="shared" si="5"/>
        <v>0.15563311346523803</v>
      </c>
      <c r="V22" s="85">
        <f t="shared" si="5"/>
        <v>0.15407678233058564</v>
      </c>
      <c r="W22" s="85">
        <f t="shared" si="5"/>
        <v>0.15253601450727977</v>
      </c>
      <c r="X22" s="85">
        <f t="shared" si="5"/>
        <v>0.15101065436220698</v>
      </c>
      <c r="Y22" s="85">
        <f t="shared" si="5"/>
        <v>0.14950054781858491</v>
      </c>
      <c r="Z22" s="85">
        <f t="shared" si="5"/>
        <v>0.14800554234039906</v>
      </c>
      <c r="AA22" s="85">
        <f t="shared" si="5"/>
        <v>0.14652548691699507</v>
      </c>
      <c r="AB22" s="85">
        <f t="shared" si="5"/>
        <v>0.14506023204782512</v>
      </c>
      <c r="AC22" s="85">
        <f t="shared" si="5"/>
        <v>0.14360962972734687</v>
      </c>
      <c r="AD22" s="85">
        <f t="shared" si="5"/>
        <v>0.14217353343007338</v>
      </c>
    </row>
    <row r="23" spans="2:30" x14ac:dyDescent="0.25">
      <c r="B23" s="86" t="s">
        <v>86</v>
      </c>
      <c r="C23" s="87"/>
      <c r="D23" s="31"/>
      <c r="E23" s="31"/>
      <c r="F23" s="107" t="str">
        <f>Assumptions!D27</f>
        <v>1%</v>
      </c>
      <c r="G23" s="107">
        <f>Assumptions!D28</f>
        <v>0.01</v>
      </c>
      <c r="H23" s="103">
        <f>G23</f>
        <v>0.01</v>
      </c>
      <c r="I23" s="103">
        <f t="shared" ref="I23:AD23" si="6">H23</f>
        <v>0.01</v>
      </c>
      <c r="J23" s="103">
        <f t="shared" si="6"/>
        <v>0.01</v>
      </c>
      <c r="K23" s="103">
        <f t="shared" si="6"/>
        <v>0.01</v>
      </c>
      <c r="L23" s="103">
        <f t="shared" si="6"/>
        <v>0.01</v>
      </c>
      <c r="M23" s="103">
        <f t="shared" si="6"/>
        <v>0.01</v>
      </c>
      <c r="N23" s="103">
        <f t="shared" si="6"/>
        <v>0.01</v>
      </c>
      <c r="O23" s="103">
        <f t="shared" si="6"/>
        <v>0.01</v>
      </c>
      <c r="P23" s="103">
        <f t="shared" si="6"/>
        <v>0.01</v>
      </c>
      <c r="Q23" s="103">
        <f t="shared" si="6"/>
        <v>0.01</v>
      </c>
      <c r="R23" s="103">
        <f t="shared" si="6"/>
        <v>0.01</v>
      </c>
      <c r="S23" s="103">
        <f t="shared" si="6"/>
        <v>0.01</v>
      </c>
      <c r="T23" s="103">
        <f t="shared" si="6"/>
        <v>0.01</v>
      </c>
      <c r="U23" s="103">
        <f t="shared" si="6"/>
        <v>0.01</v>
      </c>
      <c r="V23" s="103">
        <f t="shared" si="6"/>
        <v>0.01</v>
      </c>
      <c r="W23" s="103">
        <f t="shared" si="6"/>
        <v>0.01</v>
      </c>
      <c r="X23" s="103">
        <f t="shared" si="6"/>
        <v>0.01</v>
      </c>
      <c r="Y23" s="103">
        <f t="shared" si="6"/>
        <v>0.01</v>
      </c>
      <c r="Z23" s="103">
        <f t="shared" si="6"/>
        <v>0.01</v>
      </c>
      <c r="AA23" s="103">
        <f t="shared" si="6"/>
        <v>0.01</v>
      </c>
      <c r="AB23" s="103">
        <f t="shared" si="6"/>
        <v>0.01</v>
      </c>
      <c r="AC23" s="103">
        <f t="shared" si="6"/>
        <v>0.01</v>
      </c>
      <c r="AD23" s="103">
        <f t="shared" si="6"/>
        <v>0.01</v>
      </c>
    </row>
    <row r="24" spans="2:30" x14ac:dyDescent="0.25">
      <c r="B24" s="31" t="s">
        <v>87</v>
      </c>
      <c r="C24" s="45"/>
      <c r="D24" s="31"/>
      <c r="E24" s="31"/>
      <c r="F24" s="88">
        <f>F21*F22*F14*F12</f>
        <v>2942786.3013698631</v>
      </c>
      <c r="G24" s="88">
        <f>G21*G22*G14*G12</f>
        <v>8788230</v>
      </c>
      <c r="H24" s="88">
        <f>H21*H22*H14*H12</f>
        <v>8724184.2690410968</v>
      </c>
      <c r="I24" s="88">
        <f t="shared" ref="I24:AD24" si="7">I21*I22*I14*I12</f>
        <v>8613344.2229999993</v>
      </c>
      <c r="J24" s="88">
        <f t="shared" si="7"/>
        <v>8527210.7807700001</v>
      </c>
      <c r="K24" s="88">
        <f t="shared" si="7"/>
        <v>8441938.6729622986</v>
      </c>
      <c r="L24" s="88">
        <f t="shared" si="7"/>
        <v>8380416.5993456421</v>
      </c>
      <c r="M24" s="88">
        <f t="shared" si="7"/>
        <v>8273944.0933703491</v>
      </c>
      <c r="N24" s="88">
        <f t="shared" si="7"/>
        <v>8191204.6524366457</v>
      </c>
      <c r="O24" s="88">
        <f t="shared" si="7"/>
        <v>8109292.6059122793</v>
      </c>
      <c r="P24" s="88">
        <f t="shared" si="7"/>
        <v>8050194.7474691914</v>
      </c>
      <c r="Q24" s="88">
        <f t="shared" si="7"/>
        <v>7947917.6830546241</v>
      </c>
      <c r="R24" s="88">
        <f t="shared" si="7"/>
        <v>7868438.5062240772</v>
      </c>
      <c r="S24" s="88">
        <f t="shared" si="7"/>
        <v>7789754.1211618371</v>
      </c>
      <c r="T24" s="88">
        <f t="shared" si="7"/>
        <v>7732984.9541418646</v>
      </c>
      <c r="U24" s="88">
        <f t="shared" si="7"/>
        <v>7634738.0141507173</v>
      </c>
      <c r="V24" s="88">
        <f t="shared" si="7"/>
        <v>7558390.6340092095</v>
      </c>
      <c r="W24" s="88">
        <f t="shared" si="7"/>
        <v>7482806.727669117</v>
      </c>
      <c r="X24" s="88">
        <f t="shared" si="7"/>
        <v>7428274.4923387058</v>
      </c>
      <c r="Y24" s="88">
        <f t="shared" si="7"/>
        <v>7333898.8737885011</v>
      </c>
      <c r="Z24" s="88">
        <f t="shared" si="7"/>
        <v>7260559.8850506153</v>
      </c>
      <c r="AA24" s="88">
        <f t="shared" si="7"/>
        <v>7187954.2862001108</v>
      </c>
      <c r="AB24" s="88">
        <f t="shared" si="7"/>
        <v>7135570.8385253372</v>
      </c>
      <c r="AC24" s="88">
        <f t="shared" si="7"/>
        <v>7044913.9959047288</v>
      </c>
      <c r="AD24" s="88">
        <f t="shared" si="7"/>
        <v>6974464.8559456794</v>
      </c>
    </row>
    <row r="25" spans="2:30" x14ac:dyDescent="0.25">
      <c r="B25" s="31" t="s">
        <v>247</v>
      </c>
      <c r="C25" s="105">
        <f>Assumptions!D29</f>
        <v>1.5E-3</v>
      </c>
      <c r="D25" s="31"/>
      <c r="E25" s="31"/>
      <c r="F25" s="89">
        <f>F24*$C$25</f>
        <v>4414.1794520547946</v>
      </c>
      <c r="G25" s="89">
        <f t="shared" ref="G25:AD25" si="8">G24*$C$25</f>
        <v>13182.345000000001</v>
      </c>
      <c r="H25" s="89">
        <f>H24*$C$25</f>
        <v>13086.276403561646</v>
      </c>
      <c r="I25" s="89">
        <f>I24*$C$25</f>
        <v>12920.0163345</v>
      </c>
      <c r="J25" s="89">
        <f t="shared" si="8"/>
        <v>12790.816171155</v>
      </c>
      <c r="K25" s="89">
        <f t="shared" si="8"/>
        <v>12662.908009443448</v>
      </c>
      <c r="L25" s="89">
        <f t="shared" si="8"/>
        <v>12570.624899018463</v>
      </c>
      <c r="M25" s="89">
        <f t="shared" si="8"/>
        <v>12410.916140055524</v>
      </c>
      <c r="N25" s="89">
        <f t="shared" si="8"/>
        <v>12286.806978654969</v>
      </c>
      <c r="O25" s="89">
        <f t="shared" si="8"/>
        <v>12163.938908868418</v>
      </c>
      <c r="P25" s="89">
        <f t="shared" si="8"/>
        <v>12075.292121203787</v>
      </c>
      <c r="Q25" s="89">
        <f t="shared" si="8"/>
        <v>11921.876524581936</v>
      </c>
      <c r="R25" s="89">
        <f t="shared" si="8"/>
        <v>11802.657759336116</v>
      </c>
      <c r="S25" s="89">
        <f t="shared" si="8"/>
        <v>11684.631181742756</v>
      </c>
      <c r="T25" s="89">
        <f t="shared" si="8"/>
        <v>11599.477431212797</v>
      </c>
      <c r="U25" s="89">
        <f t="shared" si="8"/>
        <v>11452.107021226077</v>
      </c>
      <c r="V25" s="89">
        <f t="shared" si="8"/>
        <v>11337.585951013814</v>
      </c>
      <c r="W25" s="89">
        <f t="shared" si="8"/>
        <v>11224.210091503675</v>
      </c>
      <c r="X25" s="89">
        <f t="shared" si="8"/>
        <v>11142.411738508059</v>
      </c>
      <c r="Y25" s="89">
        <f t="shared" si="8"/>
        <v>11000.848310682752</v>
      </c>
      <c r="Z25" s="89">
        <f t="shared" si="8"/>
        <v>10890.839827575923</v>
      </c>
      <c r="AA25" s="89">
        <f t="shared" si="8"/>
        <v>10781.931429300166</v>
      </c>
      <c r="AB25" s="89">
        <f t="shared" si="8"/>
        <v>10703.356257788006</v>
      </c>
      <c r="AC25" s="89">
        <f t="shared" si="8"/>
        <v>10567.370993857094</v>
      </c>
      <c r="AD25" s="89">
        <f t="shared" si="8"/>
        <v>10461.69728391852</v>
      </c>
    </row>
    <row r="26" spans="2:30" x14ac:dyDescent="0.25">
      <c r="B26" s="90" t="s">
        <v>251</v>
      </c>
      <c r="C26" s="91"/>
      <c r="D26" s="90"/>
      <c r="E26" s="90"/>
      <c r="F26" s="92">
        <f>F24-F25</f>
        <v>2938372.1219178084</v>
      </c>
      <c r="G26" s="92">
        <f t="shared" ref="G26:AD26" si="9">G24-G25</f>
        <v>8775047.6549999993</v>
      </c>
      <c r="H26" s="92">
        <f>H24-H25</f>
        <v>8711097.9926375356</v>
      </c>
      <c r="I26" s="92">
        <f t="shared" si="9"/>
        <v>8600424.2066654991</v>
      </c>
      <c r="J26" s="92">
        <f t="shared" si="9"/>
        <v>8514419.9645988457</v>
      </c>
      <c r="K26" s="92">
        <f t="shared" si="9"/>
        <v>8429275.7649528552</v>
      </c>
      <c r="L26" s="92">
        <f t="shared" si="9"/>
        <v>8367845.9744466236</v>
      </c>
      <c r="M26" s="92">
        <f t="shared" si="9"/>
        <v>8261533.1772302939</v>
      </c>
      <c r="N26" s="92">
        <f t="shared" si="9"/>
        <v>8178917.8454579907</v>
      </c>
      <c r="O26" s="92">
        <f t="shared" si="9"/>
        <v>8097128.6670034109</v>
      </c>
      <c r="P26" s="92">
        <f t="shared" si="9"/>
        <v>8038119.4553479878</v>
      </c>
      <c r="Q26" s="92">
        <f t="shared" si="9"/>
        <v>7935995.8065300426</v>
      </c>
      <c r="R26" s="92">
        <f t="shared" si="9"/>
        <v>7856635.8484647414</v>
      </c>
      <c r="S26" s="92">
        <f t="shared" si="9"/>
        <v>7778069.4899800941</v>
      </c>
      <c r="T26" s="92">
        <f t="shared" si="9"/>
        <v>7721385.476710652</v>
      </c>
      <c r="U26" s="92">
        <f t="shared" si="9"/>
        <v>7623285.9071294917</v>
      </c>
      <c r="V26" s="92">
        <f t="shared" si="9"/>
        <v>7547053.048058196</v>
      </c>
      <c r="W26" s="92">
        <f t="shared" si="9"/>
        <v>7471582.5175776137</v>
      </c>
      <c r="X26" s="92">
        <f t="shared" si="9"/>
        <v>7417132.0806001974</v>
      </c>
      <c r="Y26" s="92">
        <f t="shared" si="9"/>
        <v>7322898.0254778182</v>
      </c>
      <c r="Z26" s="92">
        <f t="shared" si="9"/>
        <v>7249669.0452230396</v>
      </c>
      <c r="AA26" s="92">
        <f t="shared" si="9"/>
        <v>7177172.3547708103</v>
      </c>
      <c r="AB26" s="92">
        <f t="shared" si="9"/>
        <v>7124867.4822675493</v>
      </c>
      <c r="AC26" s="92">
        <f t="shared" si="9"/>
        <v>7034346.6249108715</v>
      </c>
      <c r="AD26" s="92">
        <f t="shared" si="9"/>
        <v>6964003.1586617604</v>
      </c>
    </row>
    <row r="27" spans="2:30" x14ac:dyDescent="0.25">
      <c r="B27" s="31" t="s">
        <v>90</v>
      </c>
      <c r="C27" s="31"/>
      <c r="D27" s="31"/>
      <c r="E27" s="31"/>
      <c r="F27" s="104">
        <f>Assumptions!D32</f>
        <v>3.38</v>
      </c>
      <c r="G27" s="83">
        <f>F27*(1+G28)</f>
        <v>3.38</v>
      </c>
      <c r="H27" s="83">
        <f t="shared" ref="H27:AD27" si="10">G27*(1+H28)</f>
        <v>3.38</v>
      </c>
      <c r="I27" s="83">
        <f t="shared" si="10"/>
        <v>3.38</v>
      </c>
      <c r="J27" s="83">
        <f t="shared" si="10"/>
        <v>3.38</v>
      </c>
      <c r="K27" s="83">
        <f t="shared" si="10"/>
        <v>3.38</v>
      </c>
      <c r="L27" s="83">
        <f t="shared" si="10"/>
        <v>3.38</v>
      </c>
      <c r="M27" s="83">
        <f t="shared" si="10"/>
        <v>3.38</v>
      </c>
      <c r="N27" s="83">
        <f t="shared" si="10"/>
        <v>3.38</v>
      </c>
      <c r="O27" s="83">
        <f t="shared" si="10"/>
        <v>3.38</v>
      </c>
      <c r="P27" s="83">
        <f t="shared" si="10"/>
        <v>3.38</v>
      </c>
      <c r="Q27" s="83">
        <f t="shared" si="10"/>
        <v>3.38</v>
      </c>
      <c r="R27" s="83">
        <f t="shared" si="10"/>
        <v>3.38</v>
      </c>
      <c r="S27" s="83">
        <f t="shared" si="10"/>
        <v>3.38</v>
      </c>
      <c r="T27" s="83">
        <f t="shared" si="10"/>
        <v>3.38</v>
      </c>
      <c r="U27" s="83">
        <f t="shared" si="10"/>
        <v>3.38</v>
      </c>
      <c r="V27" s="83">
        <f t="shared" si="10"/>
        <v>3.38</v>
      </c>
      <c r="W27" s="83">
        <f t="shared" si="10"/>
        <v>3.38</v>
      </c>
      <c r="X27" s="83">
        <f t="shared" si="10"/>
        <v>3.38</v>
      </c>
      <c r="Y27" s="83">
        <f t="shared" si="10"/>
        <v>3.38</v>
      </c>
      <c r="Z27" s="83">
        <f t="shared" si="10"/>
        <v>3.38</v>
      </c>
      <c r="AA27" s="83">
        <f t="shared" si="10"/>
        <v>3.38</v>
      </c>
      <c r="AB27" s="83">
        <f t="shared" si="10"/>
        <v>3.38</v>
      </c>
      <c r="AC27" s="83">
        <f t="shared" si="10"/>
        <v>3.38</v>
      </c>
      <c r="AD27" s="83">
        <f t="shared" si="10"/>
        <v>3.38</v>
      </c>
    </row>
    <row r="28" spans="2:30" x14ac:dyDescent="0.25">
      <c r="B28" s="31" t="s">
        <v>88</v>
      </c>
      <c r="C28" s="31"/>
      <c r="D28" s="31"/>
      <c r="E28" s="31"/>
      <c r="F28" s="45"/>
      <c r="G28" s="45">
        <f>F28</f>
        <v>0</v>
      </c>
      <c r="H28" s="45">
        <f>G28</f>
        <v>0</v>
      </c>
      <c r="I28" s="45">
        <f t="shared" ref="I28:AD28" si="11">H28</f>
        <v>0</v>
      </c>
      <c r="J28" s="45">
        <f t="shared" si="11"/>
        <v>0</v>
      </c>
      <c r="K28" s="45">
        <f t="shared" si="11"/>
        <v>0</v>
      </c>
      <c r="L28" s="45">
        <f t="shared" si="11"/>
        <v>0</v>
      </c>
      <c r="M28" s="45">
        <f t="shared" si="11"/>
        <v>0</v>
      </c>
      <c r="N28" s="45">
        <f t="shared" si="11"/>
        <v>0</v>
      </c>
      <c r="O28" s="45">
        <f t="shared" si="11"/>
        <v>0</v>
      </c>
      <c r="P28" s="45">
        <f t="shared" si="11"/>
        <v>0</v>
      </c>
      <c r="Q28" s="45">
        <f t="shared" si="11"/>
        <v>0</v>
      </c>
      <c r="R28" s="45">
        <f t="shared" si="11"/>
        <v>0</v>
      </c>
      <c r="S28" s="45">
        <f t="shared" si="11"/>
        <v>0</v>
      </c>
      <c r="T28" s="45">
        <f t="shared" si="11"/>
        <v>0</v>
      </c>
      <c r="U28" s="45">
        <f t="shared" si="11"/>
        <v>0</v>
      </c>
      <c r="V28" s="45">
        <f t="shared" si="11"/>
        <v>0</v>
      </c>
      <c r="W28" s="45">
        <f t="shared" si="11"/>
        <v>0</v>
      </c>
      <c r="X28" s="45">
        <f t="shared" si="11"/>
        <v>0</v>
      </c>
      <c r="Y28" s="45">
        <f t="shared" si="11"/>
        <v>0</v>
      </c>
      <c r="Z28" s="45">
        <f t="shared" si="11"/>
        <v>0</v>
      </c>
      <c r="AA28" s="45">
        <f t="shared" si="11"/>
        <v>0</v>
      </c>
      <c r="AB28" s="45">
        <f t="shared" si="11"/>
        <v>0</v>
      </c>
      <c r="AC28" s="45">
        <f t="shared" si="11"/>
        <v>0</v>
      </c>
      <c r="AD28" s="45">
        <f t="shared" si="11"/>
        <v>0</v>
      </c>
    </row>
    <row r="29" spans="2:30" x14ac:dyDescent="0.25">
      <c r="B29" s="113" t="s">
        <v>91</v>
      </c>
      <c r="C29" s="113"/>
      <c r="D29" s="113"/>
      <c r="E29" s="113"/>
      <c r="F29" s="114">
        <f>(F26*F27)/10^7</f>
        <v>0.99316977720821931</v>
      </c>
      <c r="G29" s="114">
        <f t="shared" ref="G29:AD29" si="12">(G26*G27)/10^7</f>
        <v>2.9659661073899994</v>
      </c>
      <c r="H29" s="114">
        <f t="shared" si="12"/>
        <v>2.9443511215114868</v>
      </c>
      <c r="I29" s="114">
        <f t="shared" si="12"/>
        <v>2.9069433818529387</v>
      </c>
      <c r="J29" s="114">
        <f t="shared" si="12"/>
        <v>2.8778739480344098</v>
      </c>
      <c r="K29" s="114">
        <f t="shared" si="12"/>
        <v>2.8490952085540648</v>
      </c>
      <c r="L29" s="114">
        <f t="shared" si="12"/>
        <v>2.8283319393629589</v>
      </c>
      <c r="M29" s="114">
        <f t="shared" si="12"/>
        <v>2.792398213903839</v>
      </c>
      <c r="N29" s="114">
        <f t="shared" si="12"/>
        <v>2.764474231764801</v>
      </c>
      <c r="O29" s="114">
        <f t="shared" si="12"/>
        <v>2.7368294894471528</v>
      </c>
      <c r="P29" s="114">
        <f>(P26*P27)/10^7</f>
        <v>2.7168843759076196</v>
      </c>
      <c r="Q29" s="114">
        <f t="shared" si="12"/>
        <v>2.6823665826071541</v>
      </c>
      <c r="R29" s="114">
        <f t="shared" si="12"/>
        <v>2.6555429167810822</v>
      </c>
      <c r="S29" s="114">
        <f t="shared" si="12"/>
        <v>2.6289874876132715</v>
      </c>
      <c r="T29" s="114">
        <f t="shared" si="12"/>
        <v>2.6098282911282005</v>
      </c>
      <c r="U29" s="114">
        <f t="shared" si="12"/>
        <v>2.576670636609768</v>
      </c>
      <c r="V29" s="114">
        <f t="shared" si="12"/>
        <v>2.55090393024367</v>
      </c>
      <c r="W29" s="114">
        <f t="shared" si="12"/>
        <v>2.5253948909412332</v>
      </c>
      <c r="X29" s="114">
        <f t="shared" si="12"/>
        <v>2.5069906432428666</v>
      </c>
      <c r="Y29" s="114">
        <f t="shared" si="12"/>
        <v>2.4751395326115024</v>
      </c>
      <c r="Z29" s="114">
        <f t="shared" si="12"/>
        <v>2.4503881372853873</v>
      </c>
      <c r="AA29" s="114">
        <f t="shared" si="12"/>
        <v>2.4258842559125338</v>
      </c>
      <c r="AB29" s="114">
        <f t="shared" si="12"/>
        <v>2.4082052090064319</v>
      </c>
      <c r="AC29" s="114">
        <f t="shared" si="12"/>
        <v>2.3776091592198743</v>
      </c>
      <c r="AD29" s="114">
        <f t="shared" si="12"/>
        <v>2.3538330676276753</v>
      </c>
    </row>
    <row r="30" spans="2:30" x14ac:dyDescent="0.25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</row>
    <row r="31" spans="2:30" s="115" customFormat="1" x14ac:dyDescent="0.25">
      <c r="B31" s="252" t="s">
        <v>253</v>
      </c>
      <c r="C31" s="252"/>
      <c r="D31" s="252"/>
      <c r="E31" s="252"/>
      <c r="F31" s="251">
        <f>(F24)/10^5</f>
        <v>29.42786301369863</v>
      </c>
      <c r="G31" s="251">
        <f t="shared" ref="G31:AD31" si="13">(G24)/10^5</f>
        <v>87.882300000000001</v>
      </c>
      <c r="H31" s="251">
        <f t="shared" si="13"/>
        <v>87.241842690410962</v>
      </c>
      <c r="I31" s="251">
        <f t="shared" si="13"/>
        <v>86.13344223</v>
      </c>
      <c r="J31" s="251">
        <f t="shared" si="13"/>
        <v>85.272107807699996</v>
      </c>
      <c r="K31" s="251">
        <f t="shared" si="13"/>
        <v>84.419386729622985</v>
      </c>
      <c r="L31" s="251">
        <f t="shared" si="13"/>
        <v>83.804165993456422</v>
      </c>
      <c r="M31" s="251">
        <f t="shared" si="13"/>
        <v>82.739440933703492</v>
      </c>
      <c r="N31" s="251">
        <f t="shared" si="13"/>
        <v>81.91204652436646</v>
      </c>
      <c r="O31" s="251">
        <f t="shared" si="13"/>
        <v>81.092926059122789</v>
      </c>
      <c r="P31" s="251">
        <f t="shared" si="13"/>
        <v>80.501947474691917</v>
      </c>
      <c r="Q31" s="251">
        <f t="shared" si="13"/>
        <v>79.479176830546237</v>
      </c>
      <c r="R31" s="251">
        <f t="shared" si="13"/>
        <v>78.684385062240779</v>
      </c>
      <c r="S31" s="251">
        <f t="shared" si="13"/>
        <v>77.897541211618375</v>
      </c>
      <c r="T31" s="251">
        <f t="shared" si="13"/>
        <v>77.329849541418639</v>
      </c>
      <c r="U31" s="251">
        <f t="shared" si="13"/>
        <v>76.347380141507173</v>
      </c>
      <c r="V31" s="251">
        <f t="shared" si="13"/>
        <v>75.583906340092099</v>
      </c>
      <c r="W31" s="251">
        <f t="shared" si="13"/>
        <v>74.828067276691172</v>
      </c>
      <c r="X31" s="251">
        <f t="shared" si="13"/>
        <v>74.282744923387057</v>
      </c>
      <c r="Y31" s="251">
        <f t="shared" si="13"/>
        <v>73.338988737885018</v>
      </c>
      <c r="Z31" s="251">
        <f t="shared" si="13"/>
        <v>72.605598850506155</v>
      </c>
      <c r="AA31" s="251">
        <f t="shared" si="13"/>
        <v>71.879542862001102</v>
      </c>
      <c r="AB31" s="251">
        <f t="shared" si="13"/>
        <v>71.355708385253365</v>
      </c>
      <c r="AC31" s="251">
        <f t="shared" si="13"/>
        <v>70.449139959047287</v>
      </c>
      <c r="AD31" s="251">
        <f t="shared" si="13"/>
        <v>69.744648559456792</v>
      </c>
    </row>
    <row r="32" spans="2:30" s="115" customFormat="1" x14ac:dyDescent="0.25">
      <c r="B32" s="252" t="s">
        <v>254</v>
      </c>
      <c r="C32" s="252"/>
      <c r="D32" s="252"/>
      <c r="E32" s="252"/>
      <c r="F32" s="251">
        <f>(F25)/10^5</f>
        <v>4.4141794520547943E-2</v>
      </c>
      <c r="G32" s="251">
        <f t="shared" ref="G32:R32" si="14">(G25)/10^5</f>
        <v>0.13182345000000001</v>
      </c>
      <c r="H32" s="251">
        <f t="shared" si="14"/>
        <v>0.13086276403561645</v>
      </c>
      <c r="I32" s="251">
        <f t="shared" si="14"/>
        <v>0.12920016334500001</v>
      </c>
      <c r="J32" s="251">
        <f t="shared" si="14"/>
        <v>0.12790816171155001</v>
      </c>
      <c r="K32" s="251">
        <f t="shared" si="14"/>
        <v>0.12662908009443449</v>
      </c>
      <c r="L32" s="251">
        <f t="shared" si="14"/>
        <v>0.12570624899018462</v>
      </c>
      <c r="M32" s="251">
        <f t="shared" si="14"/>
        <v>0.12410916140055524</v>
      </c>
      <c r="N32" s="251">
        <f t="shared" si="14"/>
        <v>0.1228680697865497</v>
      </c>
      <c r="O32" s="251">
        <f t="shared" si="14"/>
        <v>0.12163938908868419</v>
      </c>
      <c r="P32" s="251">
        <f t="shared" si="14"/>
        <v>0.12075292121203787</v>
      </c>
      <c r="Q32" s="251">
        <f t="shared" si="14"/>
        <v>0.11921876524581936</v>
      </c>
      <c r="R32" s="251">
        <f t="shared" si="14"/>
        <v>0.11802657759336116</v>
      </c>
      <c r="S32" s="251">
        <f>(S25)/10^5</f>
        <v>0.11684631181742756</v>
      </c>
      <c r="T32" s="251">
        <f t="shared" ref="T32:AD32" si="15">(T25)/10^5</f>
        <v>0.11599477431212797</v>
      </c>
      <c r="U32" s="251">
        <f t="shared" si="15"/>
        <v>0.11452107021226077</v>
      </c>
      <c r="V32" s="251">
        <f t="shared" si="15"/>
        <v>0.11337585951013815</v>
      </c>
      <c r="W32" s="251">
        <f t="shared" si="15"/>
        <v>0.11224210091503675</v>
      </c>
      <c r="X32" s="251">
        <f t="shared" si="15"/>
        <v>0.1114241173850806</v>
      </c>
      <c r="Y32" s="251">
        <f t="shared" si="15"/>
        <v>0.11000848310682751</v>
      </c>
      <c r="Z32" s="251">
        <f t="shared" si="15"/>
        <v>0.10890839827575922</v>
      </c>
      <c r="AA32" s="251">
        <f t="shared" si="15"/>
        <v>0.10781931429300166</v>
      </c>
      <c r="AB32" s="251">
        <f t="shared" si="15"/>
        <v>0.10703356257788006</v>
      </c>
      <c r="AC32" s="251">
        <f t="shared" si="15"/>
        <v>0.10567370993857093</v>
      </c>
      <c r="AD32" s="251">
        <f t="shared" si="15"/>
        <v>0.1046169728391852</v>
      </c>
    </row>
    <row r="33" spans="1:30" s="115" customFormat="1" x14ac:dyDescent="0.25">
      <c r="B33" s="252" t="s">
        <v>252</v>
      </c>
      <c r="C33" s="252"/>
      <c r="D33" s="252"/>
      <c r="E33" s="252"/>
      <c r="F33" s="251">
        <f t="shared" ref="F33:R33" si="16">(F26)/10^5</f>
        <v>29.383721219178085</v>
      </c>
      <c r="G33" s="251">
        <f t="shared" si="16"/>
        <v>87.750476549999988</v>
      </c>
      <c r="H33" s="251">
        <f t="shared" si="16"/>
        <v>87.11097992637535</v>
      </c>
      <c r="I33" s="251">
        <f t="shared" si="16"/>
        <v>86.004242066654996</v>
      </c>
      <c r="J33" s="251">
        <f t="shared" si="16"/>
        <v>85.144199645988451</v>
      </c>
      <c r="K33" s="251">
        <f t="shared" si="16"/>
        <v>84.292757649528554</v>
      </c>
      <c r="L33" s="251">
        <f t="shared" si="16"/>
        <v>83.678459744466238</v>
      </c>
      <c r="M33" s="251">
        <f t="shared" si="16"/>
        <v>82.615331772302937</v>
      </c>
      <c r="N33" s="251">
        <f t="shared" si="16"/>
        <v>81.789178454579911</v>
      </c>
      <c r="O33" s="251">
        <f t="shared" si="16"/>
        <v>80.971286670034104</v>
      </c>
      <c r="P33" s="251">
        <f t="shared" si="16"/>
        <v>80.381194553479872</v>
      </c>
      <c r="Q33" s="251">
        <f t="shared" si="16"/>
        <v>79.359958065300432</v>
      </c>
      <c r="R33" s="251">
        <f t="shared" si="16"/>
        <v>78.566358484647409</v>
      </c>
      <c r="S33" s="251">
        <f>(S26)/10^5</f>
        <v>77.780694899800935</v>
      </c>
      <c r="T33" s="251">
        <f t="shared" ref="T33:AD33" si="17">(T26)/10^5</f>
        <v>77.213854767106525</v>
      </c>
      <c r="U33" s="251">
        <f t="shared" si="17"/>
        <v>76.232859071294911</v>
      </c>
      <c r="V33" s="251">
        <f t="shared" si="17"/>
        <v>75.470530480581957</v>
      </c>
      <c r="W33" s="251">
        <f t="shared" si="17"/>
        <v>74.715825175776132</v>
      </c>
      <c r="X33" s="251">
        <f t="shared" si="17"/>
        <v>74.171320806001972</v>
      </c>
      <c r="Y33" s="251">
        <f t="shared" si="17"/>
        <v>73.228980254778179</v>
      </c>
      <c r="Z33" s="251">
        <f t="shared" si="17"/>
        <v>72.496690452230396</v>
      </c>
      <c r="AA33" s="251">
        <f t="shared" si="17"/>
        <v>71.771723547708106</v>
      </c>
      <c r="AB33" s="251">
        <f t="shared" si="17"/>
        <v>71.248674822675497</v>
      </c>
      <c r="AC33" s="251">
        <f t="shared" si="17"/>
        <v>70.343466249108715</v>
      </c>
      <c r="AD33" s="251">
        <f t="shared" si="17"/>
        <v>69.64003158661761</v>
      </c>
    </row>
    <row r="34" spans="1:30" s="115" customFormat="1" x14ac:dyDescent="0.25">
      <c r="B34" s="252"/>
      <c r="C34" s="252"/>
      <c r="D34" s="252"/>
      <c r="E34" s="252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</row>
    <row r="35" spans="1:30" s="115" customFormat="1" x14ac:dyDescent="0.25">
      <c r="B35" s="252" t="s">
        <v>312</v>
      </c>
      <c r="C35" s="252"/>
      <c r="D35" s="252"/>
      <c r="E35" s="252"/>
      <c r="F35" s="251"/>
      <c r="G35" s="251"/>
      <c r="H35" s="251">
        <v>0.78</v>
      </c>
      <c r="I35" s="251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1"/>
      <c r="AA35" s="251"/>
      <c r="AB35" s="251"/>
      <c r="AC35" s="251"/>
      <c r="AD35" s="251"/>
    </row>
    <row r="36" spans="1:30" s="115" customFormat="1" x14ac:dyDescent="0.25">
      <c r="B36" s="252" t="s">
        <v>376</v>
      </c>
      <c r="C36" s="252"/>
      <c r="D36" s="252"/>
      <c r="E36" s="252"/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</row>
    <row r="37" spans="1:30" x14ac:dyDescent="0.25">
      <c r="B37" s="67" t="s">
        <v>298</v>
      </c>
      <c r="C37" s="67"/>
      <c r="D37" s="67"/>
      <c r="E37" s="67"/>
      <c r="F37" s="354">
        <f>+BS!C36*8%*F10/12</f>
        <v>1.7499501360906868E-2</v>
      </c>
      <c r="G37" s="354">
        <f>+BS!D36*8%</f>
        <v>5.2498504082720603E-2</v>
      </c>
      <c r="H37" s="354">
        <f>+BS!E36*8%</f>
        <v>5.2498504082720603E-2</v>
      </c>
      <c r="I37" s="354">
        <f>+BS!F36*8%</f>
        <v>5.2498504082720603E-2</v>
      </c>
      <c r="J37" s="354">
        <f>+BS!G36*8%</f>
        <v>5.2498504082720603E-2</v>
      </c>
      <c r="K37" s="354">
        <f>+BS!H36*8%</f>
        <v>5.2498504082720603E-2</v>
      </c>
      <c r="L37" s="354">
        <f>+BS!I36*8%</f>
        <v>5.2498504082720603E-2</v>
      </c>
      <c r="M37" s="354">
        <f>+BS!J36*8%</f>
        <v>5.2498504082720603E-2</v>
      </c>
      <c r="N37" s="354">
        <f>+BS!K36*8%</f>
        <v>5.2498504082720603E-2</v>
      </c>
      <c r="O37" s="354">
        <f>+BS!L36*8%</f>
        <v>5.2498504082720603E-2</v>
      </c>
      <c r="P37" s="354">
        <f>+BS!M36*8%</f>
        <v>5.2498504082720603E-2</v>
      </c>
      <c r="Q37" s="354">
        <f>+BS!N36*8%</f>
        <v>5.2498504082720603E-2</v>
      </c>
      <c r="R37" s="354">
        <f>+BS!O36*8%</f>
        <v>5.2498504082720603E-2</v>
      </c>
      <c r="S37" s="354">
        <f>+BS!P36*8%</f>
        <v>5.2498504082720603E-2</v>
      </c>
      <c r="T37" s="354">
        <f>+BS!Q36*8%</f>
        <v>5.2498504082720603E-2</v>
      </c>
      <c r="U37" s="354">
        <f>+BS!R36*8%</f>
        <v>5.2498504082720603E-2</v>
      </c>
      <c r="V37" s="354">
        <f>+BS!S36*8%</f>
        <v>5.2498504082720603E-2</v>
      </c>
      <c r="W37" s="354">
        <f>+BS!T36*8%</f>
        <v>5.2498504082720603E-2</v>
      </c>
      <c r="X37" s="354">
        <f>+BS!U36*8%</f>
        <v>5.2498504082720603E-2</v>
      </c>
      <c r="Y37" s="354">
        <f>+BS!V36*8%</f>
        <v>5.2498504082720603E-2</v>
      </c>
      <c r="Z37" s="354">
        <f>+BS!W36*8%</f>
        <v>5.2498504082720603E-2</v>
      </c>
      <c r="AA37" s="354">
        <f>+BS!X36*8%</f>
        <v>5.2498504082720603E-2</v>
      </c>
      <c r="AB37" s="354">
        <f>+BS!Y36*8%</f>
        <v>5.2498504082720603E-2</v>
      </c>
      <c r="AC37" s="354">
        <f>+BS!Z36*8%</f>
        <v>5.2498504082720603E-2</v>
      </c>
      <c r="AD37" s="354">
        <f>+BS!AA36*8%</f>
        <v>5.2498504082720603E-2</v>
      </c>
    </row>
    <row r="38" spans="1:30" x14ac:dyDescent="0.25">
      <c r="B38" s="93" t="s">
        <v>313</v>
      </c>
      <c r="C38" s="93"/>
      <c r="D38" s="93"/>
      <c r="E38" s="93"/>
      <c r="F38" s="94">
        <f>F37+F29</f>
        <v>1.0106692785691263</v>
      </c>
      <c r="G38" s="94">
        <f t="shared" ref="G38:AD38" si="18">G37+G29</f>
        <v>3.0184646114727198</v>
      </c>
      <c r="H38" s="94">
        <f>H37+H29+H35</f>
        <v>3.776849625594207</v>
      </c>
      <c r="I38" s="94">
        <f t="shared" si="18"/>
        <v>2.959441885935659</v>
      </c>
      <c r="J38" s="94">
        <f t="shared" si="18"/>
        <v>2.9303724521171302</v>
      </c>
      <c r="K38" s="94">
        <f t="shared" si="18"/>
        <v>2.9015937126367852</v>
      </c>
      <c r="L38" s="94">
        <f t="shared" si="18"/>
        <v>2.8808304434456793</v>
      </c>
      <c r="M38" s="94">
        <f t="shared" si="18"/>
        <v>2.8448967179865594</v>
      </c>
      <c r="N38" s="94">
        <f t="shared" si="18"/>
        <v>2.8169727358475214</v>
      </c>
      <c r="O38" s="94">
        <f t="shared" si="18"/>
        <v>2.7893279935298732</v>
      </c>
      <c r="P38" s="94">
        <f t="shared" si="18"/>
        <v>2.7693828799903399</v>
      </c>
      <c r="Q38" s="94">
        <f t="shared" si="18"/>
        <v>2.7348650866898745</v>
      </c>
      <c r="R38" s="94">
        <f t="shared" si="18"/>
        <v>2.7080414208638026</v>
      </c>
      <c r="S38" s="94">
        <f t="shared" si="18"/>
        <v>2.6814859916959919</v>
      </c>
      <c r="T38" s="94">
        <f t="shared" si="18"/>
        <v>2.6623267952109209</v>
      </c>
      <c r="U38" s="94">
        <f t="shared" si="18"/>
        <v>2.6291691406924884</v>
      </c>
      <c r="V38" s="94">
        <f t="shared" si="18"/>
        <v>2.6034024343263904</v>
      </c>
      <c r="W38" s="94">
        <f t="shared" si="18"/>
        <v>2.5778933950239535</v>
      </c>
      <c r="X38" s="94">
        <f t="shared" si="18"/>
        <v>2.559489147325587</v>
      </c>
      <c r="Y38" s="94">
        <f t="shared" si="18"/>
        <v>2.5276380366942228</v>
      </c>
      <c r="Z38" s="94">
        <f t="shared" si="18"/>
        <v>2.5028866413681077</v>
      </c>
      <c r="AA38" s="94">
        <f t="shared" si="18"/>
        <v>2.4783827599952541</v>
      </c>
      <c r="AB38" s="94">
        <f t="shared" si="18"/>
        <v>2.4607037130891523</v>
      </c>
      <c r="AC38" s="94">
        <f t="shared" si="18"/>
        <v>2.4301076633025946</v>
      </c>
      <c r="AD38" s="94">
        <f t="shared" si="18"/>
        <v>2.4063315717103957</v>
      </c>
    </row>
    <row r="39" spans="1:30" x14ac:dyDescent="0.25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</row>
    <row r="40" spans="1:30" x14ac:dyDescent="0.25">
      <c r="B40" s="80" t="s">
        <v>98</v>
      </c>
      <c r="C40" s="81"/>
      <c r="D40" s="81"/>
      <c r="E40" s="81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</row>
    <row r="41" spans="1:30" x14ac:dyDescent="0.25">
      <c r="B41" s="59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</row>
    <row r="42" spans="1:30" x14ac:dyDescent="0.25">
      <c r="A42" s="116" t="s">
        <v>95</v>
      </c>
      <c r="B42" s="59" t="s">
        <v>93</v>
      </c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</row>
    <row r="43" spans="1:30" x14ac:dyDescent="0.25">
      <c r="B43" s="41" t="s">
        <v>302</v>
      </c>
      <c r="C43" s="31"/>
      <c r="D43" s="31"/>
      <c r="E43" s="31"/>
      <c r="F43" s="327">
        <f>+Assumptions!D36/12*F10</f>
        <v>1.3333333333333333</v>
      </c>
      <c r="G43" s="97">
        <f>+F43*(1+F44)*G10/F10</f>
        <v>4.12</v>
      </c>
      <c r="H43" s="97">
        <f t="shared" ref="H43:AD43" si="19">+G43*(1+G44)</f>
        <v>4.2435999999999998</v>
      </c>
      <c r="I43" s="97">
        <f t="shared" si="19"/>
        <v>4.370908</v>
      </c>
      <c r="J43" s="97">
        <f t="shared" si="19"/>
        <v>4.5020352400000005</v>
      </c>
      <c r="K43" s="97">
        <f t="shared" si="19"/>
        <v>4.6370962972000003</v>
      </c>
      <c r="L43" s="97">
        <f t="shared" si="19"/>
        <v>4.7762091861160005</v>
      </c>
      <c r="M43" s="97">
        <f t="shared" si="19"/>
        <v>4.9194954616994808</v>
      </c>
      <c r="N43" s="97">
        <f t="shared" si="19"/>
        <v>5.0670803255504655</v>
      </c>
      <c r="O43" s="97">
        <f t="shared" si="19"/>
        <v>5.2190927353169796</v>
      </c>
      <c r="P43" s="97">
        <f t="shared" si="19"/>
        <v>5.3756655173764889</v>
      </c>
      <c r="Q43" s="97">
        <f t="shared" si="19"/>
        <v>5.5369354828977837</v>
      </c>
      <c r="R43" s="97">
        <f t="shared" si="19"/>
        <v>5.7030435473847172</v>
      </c>
      <c r="S43" s="97">
        <f t="shared" si="19"/>
        <v>5.8741348538062592</v>
      </c>
      <c r="T43" s="97">
        <f t="shared" si="19"/>
        <v>6.0503588994204476</v>
      </c>
      <c r="U43" s="97">
        <f t="shared" si="19"/>
        <v>6.2318696664030613</v>
      </c>
      <c r="V43" s="97">
        <f t="shared" si="19"/>
        <v>6.4188257563951536</v>
      </c>
      <c r="W43" s="97">
        <f t="shared" si="19"/>
        <v>6.6113905290870081</v>
      </c>
      <c r="X43" s="97">
        <f t="shared" si="19"/>
        <v>6.8097322449596183</v>
      </c>
      <c r="Y43" s="97">
        <f t="shared" si="19"/>
        <v>7.0140242123084073</v>
      </c>
      <c r="Z43" s="97">
        <f t="shared" si="19"/>
        <v>7.2244449386776601</v>
      </c>
      <c r="AA43" s="97">
        <f t="shared" si="19"/>
        <v>7.4411782868379905</v>
      </c>
      <c r="AB43" s="97">
        <f t="shared" si="19"/>
        <v>7.6644136354431307</v>
      </c>
      <c r="AC43" s="97">
        <f t="shared" si="19"/>
        <v>7.8943460445064249</v>
      </c>
      <c r="AD43" s="97">
        <f t="shared" si="19"/>
        <v>8.1311764258416179</v>
      </c>
    </row>
    <row r="44" spans="1:30" x14ac:dyDescent="0.25">
      <c r="B44" s="31" t="s">
        <v>88</v>
      </c>
      <c r="C44" s="31"/>
      <c r="D44" s="31"/>
      <c r="E44" s="31"/>
      <c r="F44" s="45">
        <f>+Assumptions!$D$38</f>
        <v>0.03</v>
      </c>
      <c r="G44" s="45">
        <f>+Assumptions!$D$38</f>
        <v>0.03</v>
      </c>
      <c r="H44" s="45">
        <f>+Assumptions!$D$38</f>
        <v>0.03</v>
      </c>
      <c r="I44" s="45">
        <f>+Assumptions!$D$38</f>
        <v>0.03</v>
      </c>
      <c r="J44" s="45">
        <f>+Assumptions!$D$38</f>
        <v>0.03</v>
      </c>
      <c r="K44" s="45">
        <f>+Assumptions!$D$38</f>
        <v>0.03</v>
      </c>
      <c r="L44" s="45">
        <f>+Assumptions!$D$38</f>
        <v>0.03</v>
      </c>
      <c r="M44" s="45">
        <f>+Assumptions!$D$38</f>
        <v>0.03</v>
      </c>
      <c r="N44" s="45">
        <f>+Assumptions!$D$38</f>
        <v>0.03</v>
      </c>
      <c r="O44" s="45">
        <f>+Assumptions!$D$38</f>
        <v>0.03</v>
      </c>
      <c r="P44" s="45">
        <f>+Assumptions!$D$38</f>
        <v>0.03</v>
      </c>
      <c r="Q44" s="45">
        <f>+Assumptions!$D$38</f>
        <v>0.03</v>
      </c>
      <c r="R44" s="45">
        <f>+Assumptions!$D$38</f>
        <v>0.03</v>
      </c>
      <c r="S44" s="45">
        <f>+Assumptions!$D$38</f>
        <v>0.03</v>
      </c>
      <c r="T44" s="45">
        <f>+Assumptions!$D$38</f>
        <v>0.03</v>
      </c>
      <c r="U44" s="45">
        <f>+Assumptions!$D$38</f>
        <v>0.03</v>
      </c>
      <c r="V44" s="45">
        <f>+Assumptions!$D$38</f>
        <v>0.03</v>
      </c>
      <c r="W44" s="45">
        <f>+Assumptions!$D$38</f>
        <v>0.03</v>
      </c>
      <c r="X44" s="45">
        <f>+Assumptions!$D$38</f>
        <v>0.03</v>
      </c>
      <c r="Y44" s="45">
        <f>+Assumptions!$D$38</f>
        <v>0.03</v>
      </c>
      <c r="Z44" s="45">
        <f>+Assumptions!$D$38</f>
        <v>0.03</v>
      </c>
      <c r="AA44" s="45">
        <f>+Assumptions!$D$38</f>
        <v>0.03</v>
      </c>
      <c r="AB44" s="45">
        <f>+Assumptions!$D$38</f>
        <v>0.03</v>
      </c>
      <c r="AC44" s="45">
        <f>+Assumptions!$D$38</f>
        <v>0.03</v>
      </c>
      <c r="AD44" s="45">
        <f>+Assumptions!$D$38</f>
        <v>0.03</v>
      </c>
    </row>
    <row r="45" spans="1:30" x14ac:dyDescent="0.25">
      <c r="B45" s="31" t="s">
        <v>306</v>
      </c>
      <c r="C45" s="31"/>
      <c r="D45" s="31"/>
      <c r="E45" s="31"/>
      <c r="F45" s="54">
        <f t="shared" ref="F45:AD45" si="20">+F43*F19/100</f>
        <v>7.4666666666666659E-2</v>
      </c>
      <c r="G45" s="54">
        <f t="shared" si="20"/>
        <v>0.23071999999999998</v>
      </c>
      <c r="H45" s="54">
        <f t="shared" si="20"/>
        <v>0.23764159999999998</v>
      </c>
      <c r="I45" s="54">
        <f t="shared" si="20"/>
        <v>0.24477084800000001</v>
      </c>
      <c r="J45" s="54">
        <f t="shared" si="20"/>
        <v>0.25211397344000003</v>
      </c>
      <c r="K45" s="54">
        <f t="shared" si="20"/>
        <v>0.2596773926432</v>
      </c>
      <c r="L45" s="54">
        <f t="shared" si="20"/>
        <v>0.26746771442249601</v>
      </c>
      <c r="M45" s="54">
        <f t="shared" si="20"/>
        <v>0.27549174585517089</v>
      </c>
      <c r="N45" s="54">
        <f t="shared" si="20"/>
        <v>0.28375649823082605</v>
      </c>
      <c r="O45" s="54">
        <f t="shared" si="20"/>
        <v>0.29226919317775085</v>
      </c>
      <c r="P45" s="54">
        <f t="shared" si="20"/>
        <v>0.30103726897308336</v>
      </c>
      <c r="Q45" s="54">
        <f t="shared" si="20"/>
        <v>0.31006838704227585</v>
      </c>
      <c r="R45" s="54">
        <f t="shared" si="20"/>
        <v>0.31937043865354414</v>
      </c>
      <c r="S45" s="54">
        <f t="shared" si="20"/>
        <v>0.3289515518131505</v>
      </c>
      <c r="T45" s="54">
        <f t="shared" si="20"/>
        <v>0.33882009836754506</v>
      </c>
      <c r="U45" s="54">
        <f t="shared" si="20"/>
        <v>0.3489847013185714</v>
      </c>
      <c r="V45" s="54">
        <f t="shared" si="20"/>
        <v>0.35945424235812856</v>
      </c>
      <c r="W45" s="54">
        <f t="shared" si="20"/>
        <v>0.37023786962887245</v>
      </c>
      <c r="X45" s="54">
        <f t="shared" si="20"/>
        <v>0.38134500571773861</v>
      </c>
      <c r="Y45" s="54">
        <f t="shared" si="20"/>
        <v>0.39278535588927077</v>
      </c>
      <c r="Z45" s="54">
        <f t="shared" si="20"/>
        <v>0.4045689165659489</v>
      </c>
      <c r="AA45" s="54">
        <f t="shared" si="20"/>
        <v>0.41670598406292747</v>
      </c>
      <c r="AB45" s="54">
        <f t="shared" si="20"/>
        <v>0.42920716358481525</v>
      </c>
      <c r="AC45" s="54">
        <f t="shared" si="20"/>
        <v>0.44208337849235974</v>
      </c>
      <c r="AD45" s="54">
        <f t="shared" si="20"/>
        <v>0.45534587984713054</v>
      </c>
    </row>
    <row r="46" spans="1:30" x14ac:dyDescent="0.25">
      <c r="B46" s="113" t="s">
        <v>92</v>
      </c>
      <c r="C46" s="113"/>
      <c r="D46" s="113"/>
      <c r="E46" s="113"/>
      <c r="F46" s="114">
        <f>F45</f>
        <v>7.4666666666666659E-2</v>
      </c>
      <c r="G46" s="114">
        <f t="shared" ref="G46:AD46" si="21">G45</f>
        <v>0.23071999999999998</v>
      </c>
      <c r="H46" s="114">
        <f t="shared" si="21"/>
        <v>0.23764159999999998</v>
      </c>
      <c r="I46" s="114">
        <f t="shared" si="21"/>
        <v>0.24477084800000001</v>
      </c>
      <c r="J46" s="114">
        <f t="shared" si="21"/>
        <v>0.25211397344000003</v>
      </c>
      <c r="K46" s="114">
        <f t="shared" si="21"/>
        <v>0.2596773926432</v>
      </c>
      <c r="L46" s="114">
        <f t="shared" si="21"/>
        <v>0.26746771442249601</v>
      </c>
      <c r="M46" s="114">
        <f t="shared" si="21"/>
        <v>0.27549174585517089</v>
      </c>
      <c r="N46" s="114">
        <f t="shared" si="21"/>
        <v>0.28375649823082605</v>
      </c>
      <c r="O46" s="114">
        <f t="shared" si="21"/>
        <v>0.29226919317775085</v>
      </c>
      <c r="P46" s="114">
        <f t="shared" si="21"/>
        <v>0.30103726897308336</v>
      </c>
      <c r="Q46" s="114">
        <f t="shared" si="21"/>
        <v>0.31006838704227585</v>
      </c>
      <c r="R46" s="114">
        <f t="shared" si="21"/>
        <v>0.31937043865354414</v>
      </c>
      <c r="S46" s="114">
        <f t="shared" si="21"/>
        <v>0.3289515518131505</v>
      </c>
      <c r="T46" s="114">
        <f t="shared" si="21"/>
        <v>0.33882009836754506</v>
      </c>
      <c r="U46" s="114">
        <f t="shared" si="21"/>
        <v>0.3489847013185714</v>
      </c>
      <c r="V46" s="114">
        <f t="shared" si="21"/>
        <v>0.35945424235812856</v>
      </c>
      <c r="W46" s="114">
        <f t="shared" si="21"/>
        <v>0.37023786962887245</v>
      </c>
      <c r="X46" s="114">
        <f t="shared" si="21"/>
        <v>0.38134500571773861</v>
      </c>
      <c r="Y46" s="114">
        <f t="shared" si="21"/>
        <v>0.39278535588927077</v>
      </c>
      <c r="Z46" s="114">
        <f t="shared" si="21"/>
        <v>0.4045689165659489</v>
      </c>
      <c r="AA46" s="114">
        <f t="shared" si="21"/>
        <v>0.41670598406292747</v>
      </c>
      <c r="AB46" s="114">
        <f t="shared" si="21"/>
        <v>0.42920716358481525</v>
      </c>
      <c r="AC46" s="114">
        <f t="shared" si="21"/>
        <v>0.44208337849235974</v>
      </c>
      <c r="AD46" s="114">
        <f t="shared" si="21"/>
        <v>0.45534587984713054</v>
      </c>
    </row>
    <row r="47" spans="1:30" x14ac:dyDescent="0.25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</row>
    <row r="48" spans="1:30" x14ac:dyDescent="0.25">
      <c r="B48" s="93" t="s">
        <v>303</v>
      </c>
      <c r="C48" s="93"/>
      <c r="D48" s="93"/>
      <c r="E48" s="93"/>
      <c r="F48" s="94">
        <f>F46</f>
        <v>7.4666666666666659E-2</v>
      </c>
      <c r="G48" s="94">
        <f t="shared" ref="G48:AD48" si="22">G46</f>
        <v>0.23071999999999998</v>
      </c>
      <c r="H48" s="94">
        <f t="shared" si="22"/>
        <v>0.23764159999999998</v>
      </c>
      <c r="I48" s="94">
        <f t="shared" si="22"/>
        <v>0.24477084800000001</v>
      </c>
      <c r="J48" s="94">
        <f t="shared" si="22"/>
        <v>0.25211397344000003</v>
      </c>
      <c r="K48" s="94">
        <f t="shared" si="22"/>
        <v>0.2596773926432</v>
      </c>
      <c r="L48" s="94">
        <f t="shared" si="22"/>
        <v>0.26746771442249601</v>
      </c>
      <c r="M48" s="94">
        <f t="shared" si="22"/>
        <v>0.27549174585517089</v>
      </c>
      <c r="N48" s="94">
        <f t="shared" si="22"/>
        <v>0.28375649823082605</v>
      </c>
      <c r="O48" s="94">
        <f t="shared" si="22"/>
        <v>0.29226919317775085</v>
      </c>
      <c r="P48" s="94">
        <f t="shared" si="22"/>
        <v>0.30103726897308336</v>
      </c>
      <c r="Q48" s="94">
        <f t="shared" si="22"/>
        <v>0.31006838704227585</v>
      </c>
      <c r="R48" s="94">
        <f t="shared" si="22"/>
        <v>0.31937043865354414</v>
      </c>
      <c r="S48" s="94">
        <f t="shared" si="22"/>
        <v>0.3289515518131505</v>
      </c>
      <c r="T48" s="94">
        <f t="shared" si="22"/>
        <v>0.33882009836754506</v>
      </c>
      <c r="U48" s="94">
        <f t="shared" si="22"/>
        <v>0.3489847013185714</v>
      </c>
      <c r="V48" s="94">
        <f t="shared" si="22"/>
        <v>0.35945424235812856</v>
      </c>
      <c r="W48" s="94">
        <f t="shared" si="22"/>
        <v>0.37023786962887245</v>
      </c>
      <c r="X48" s="94">
        <f t="shared" si="22"/>
        <v>0.38134500571773861</v>
      </c>
      <c r="Y48" s="94">
        <f t="shared" si="22"/>
        <v>0.39278535588927077</v>
      </c>
      <c r="Z48" s="94">
        <f t="shared" si="22"/>
        <v>0.4045689165659489</v>
      </c>
      <c r="AA48" s="94">
        <f t="shared" si="22"/>
        <v>0.41670598406292747</v>
      </c>
      <c r="AB48" s="94">
        <f t="shared" si="22"/>
        <v>0.42920716358481525</v>
      </c>
      <c r="AC48" s="94">
        <f t="shared" si="22"/>
        <v>0.44208337849235974</v>
      </c>
      <c r="AD48" s="94">
        <f t="shared" si="22"/>
        <v>0.45534587984713054</v>
      </c>
    </row>
    <row r="49" spans="1:31" x14ac:dyDescent="0.25">
      <c r="B49" s="344"/>
      <c r="C49" s="344"/>
      <c r="D49" s="344"/>
      <c r="E49" s="344"/>
      <c r="F49" s="345"/>
      <c r="G49" s="345"/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5"/>
      <c r="X49" s="345"/>
      <c r="Y49" s="345"/>
      <c r="Z49" s="345"/>
      <c r="AA49" s="345"/>
      <c r="AB49" s="345"/>
      <c r="AC49" s="345"/>
      <c r="AD49" s="345"/>
    </row>
    <row r="50" spans="1:31" x14ac:dyDescent="0.25">
      <c r="A50" s="116" t="s">
        <v>96</v>
      </c>
      <c r="B50" s="59" t="s">
        <v>328</v>
      </c>
      <c r="C50" s="31"/>
      <c r="D50" s="31"/>
      <c r="E50" s="31"/>
      <c r="F50" s="31"/>
      <c r="G50" s="31"/>
      <c r="H50" s="31"/>
      <c r="I50" s="31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</row>
    <row r="51" spans="1:31" x14ac:dyDescent="0.25">
      <c r="B51" s="41" t="s">
        <v>329</v>
      </c>
      <c r="C51" s="31"/>
      <c r="D51" s="31"/>
      <c r="E51" s="31"/>
      <c r="F51" s="342">
        <f>+Assumptions!D40</f>
        <v>424543.842</v>
      </c>
      <c r="G51" s="343">
        <f>F51</f>
        <v>424543.842</v>
      </c>
      <c r="H51" s="343">
        <f>G51+(G51*H52)</f>
        <v>445771.03409999999</v>
      </c>
      <c r="I51" s="343">
        <f>H51</f>
        <v>445771.03409999999</v>
      </c>
      <c r="J51" s="343">
        <f>I51+(I51*J52)</f>
        <v>445771.03409999999</v>
      </c>
      <c r="K51" s="343">
        <f t="shared" ref="K51" si="23">J51+(J51*K52)</f>
        <v>468059.58580499998</v>
      </c>
      <c r="L51" s="343">
        <f>K51+(K51*L52)</f>
        <v>468059.58580499998</v>
      </c>
      <c r="M51" s="343">
        <f t="shared" ref="M51" si="24">L51+(L51*M52)</f>
        <v>468059.58580499998</v>
      </c>
      <c r="N51" s="343">
        <f>M51+(M51*N52)</f>
        <v>491462.56509524997</v>
      </c>
      <c r="O51" s="343">
        <f t="shared" ref="O51" si="25">N51</f>
        <v>491462.56509524997</v>
      </c>
      <c r="P51" s="343">
        <f>O51+(O51*P52)</f>
        <v>491462.56509524997</v>
      </c>
      <c r="Q51" s="343">
        <f t="shared" ref="Q51" si="26">P51+(P51*Q52)</f>
        <v>516035.69335001247</v>
      </c>
      <c r="R51" s="343">
        <f>Q51+(Q51*R52)</f>
        <v>516035.69335001247</v>
      </c>
      <c r="S51" s="343">
        <f t="shared" ref="S51" si="27">R51+(R51*S52)</f>
        <v>516035.69335001247</v>
      </c>
      <c r="T51" s="343">
        <f>S51+(S51*T52)</f>
        <v>541837.47801751306</v>
      </c>
      <c r="U51" s="343">
        <f t="shared" ref="U51" si="28">T51</f>
        <v>541837.47801751306</v>
      </c>
      <c r="V51" s="343">
        <f>U51+(U51*V52)</f>
        <v>541837.47801751306</v>
      </c>
      <c r="W51" s="343">
        <f t="shared" ref="W51" si="29">V51+(V51*W52)</f>
        <v>568929.35191838874</v>
      </c>
      <c r="X51" s="343">
        <f>W51+(W51*X52)</f>
        <v>568929.35191838874</v>
      </c>
      <c r="Y51" s="343">
        <f t="shared" ref="Y51" si="30">X51+(X51*Y52)</f>
        <v>568929.35191838874</v>
      </c>
      <c r="Z51" s="343">
        <f>Y51+(Y51*Z52)</f>
        <v>597375.81951430812</v>
      </c>
      <c r="AA51" s="343">
        <f t="shared" ref="AA51" si="31">Z51</f>
        <v>597375.81951430812</v>
      </c>
      <c r="AB51" s="343">
        <f>AA51+(AA51*AB52)</f>
        <v>597375.81951430812</v>
      </c>
      <c r="AC51" s="343">
        <f t="shared" ref="AC51" si="32">AB51+(AB51*AC52)</f>
        <v>627244.61049002351</v>
      </c>
      <c r="AD51" s="343">
        <f>AC51+(AC51*AD52)</f>
        <v>627244.61049002351</v>
      </c>
      <c r="AE51" s="343">
        <f t="shared" ref="AE51" si="33">AD51+(AD51*AE52)</f>
        <v>627244.61049002351</v>
      </c>
    </row>
    <row r="52" spans="1:31" x14ac:dyDescent="0.25">
      <c r="B52" s="31" t="s">
        <v>88</v>
      </c>
      <c r="C52" s="31"/>
      <c r="D52" s="31"/>
      <c r="E52" s="31"/>
      <c r="F52" s="45"/>
      <c r="G52" s="45"/>
      <c r="H52" s="45">
        <f>+Assumptions!$D$41</f>
        <v>0.05</v>
      </c>
      <c r="I52" s="45"/>
      <c r="J52" s="45"/>
      <c r="K52" s="45">
        <f>+Assumptions!$D$41</f>
        <v>0.05</v>
      </c>
      <c r="L52" s="45"/>
      <c r="M52" s="45"/>
      <c r="N52" s="45">
        <f>+Assumptions!$D$41</f>
        <v>0.05</v>
      </c>
      <c r="O52" s="45"/>
      <c r="P52" s="45"/>
      <c r="Q52" s="45">
        <f>+Assumptions!$D$41</f>
        <v>0.05</v>
      </c>
      <c r="R52" s="45"/>
      <c r="S52" s="45"/>
      <c r="T52" s="45">
        <f>+Assumptions!$D$41</f>
        <v>0.05</v>
      </c>
      <c r="U52" s="45"/>
      <c r="V52" s="45"/>
      <c r="W52" s="45">
        <f>+Assumptions!$D$41</f>
        <v>0.05</v>
      </c>
      <c r="X52" s="45"/>
      <c r="Y52" s="45"/>
      <c r="Z52" s="45">
        <f>+Assumptions!$D$41</f>
        <v>0.05</v>
      </c>
      <c r="AA52" s="45"/>
      <c r="AB52" s="45"/>
      <c r="AC52" s="45">
        <f>+Assumptions!$D$41</f>
        <v>0.05</v>
      </c>
      <c r="AD52" s="45"/>
      <c r="AE52" s="45"/>
    </row>
    <row r="53" spans="1:31" x14ac:dyDescent="0.25">
      <c r="B53" s="113" t="s">
        <v>330</v>
      </c>
      <c r="C53" s="113"/>
      <c r="D53" s="113"/>
      <c r="E53" s="113"/>
      <c r="F53" s="114">
        <f>((F51/365*F12)/10^7)</f>
        <v>1.4073919145753424E-2</v>
      </c>
      <c r="G53" s="114">
        <f t="shared" ref="G53:AE53" si="34">((G51/365*G12)/10^7)</f>
        <v>4.24543842E-2</v>
      </c>
      <c r="H53" s="114">
        <f t="shared" si="34"/>
        <v>4.469923246043836E-2</v>
      </c>
      <c r="I53" s="114">
        <f t="shared" si="34"/>
        <v>4.4577103410000006E-2</v>
      </c>
      <c r="J53" s="114">
        <f t="shared" si="34"/>
        <v>4.4577103410000006E-2</v>
      </c>
      <c r="K53" s="114">
        <f t="shared" si="34"/>
        <v>4.6805958580499997E-2</v>
      </c>
      <c r="L53" s="114">
        <f t="shared" si="34"/>
        <v>4.6934194083460272E-2</v>
      </c>
      <c r="M53" s="114">
        <f t="shared" si="34"/>
        <v>4.6805958580499997E-2</v>
      </c>
      <c r="N53" s="114">
        <f t="shared" si="34"/>
        <v>4.9146256509525005E-2</v>
      </c>
      <c r="O53" s="114">
        <f t="shared" si="34"/>
        <v>4.9146256509525005E-2</v>
      </c>
      <c r="P53" s="114">
        <f t="shared" si="34"/>
        <v>4.9280903787633286E-2</v>
      </c>
      <c r="Q53" s="114">
        <f t="shared" si="34"/>
        <v>5.1603569335001244E-2</v>
      </c>
      <c r="R53" s="114">
        <f t="shared" si="34"/>
        <v>5.1603569335001244E-2</v>
      </c>
      <c r="S53" s="114">
        <f t="shared" si="34"/>
        <v>5.1603569335001244E-2</v>
      </c>
      <c r="T53" s="114">
        <f t="shared" si="34"/>
        <v>5.4332196425865696E-2</v>
      </c>
      <c r="U53" s="114">
        <f t="shared" si="34"/>
        <v>5.4183747801751309E-2</v>
      </c>
      <c r="V53" s="114">
        <f t="shared" si="34"/>
        <v>5.4183747801751309E-2</v>
      </c>
      <c r="W53" s="114">
        <f t="shared" si="34"/>
        <v>5.6892935191838877E-2</v>
      </c>
      <c r="X53" s="114">
        <f t="shared" si="34"/>
        <v>5.7048806247158974E-2</v>
      </c>
      <c r="Y53" s="114">
        <f t="shared" si="34"/>
        <v>5.6892935191838877E-2</v>
      </c>
      <c r="Z53" s="114">
        <f t="shared" si="34"/>
        <v>5.9737581951430814E-2</v>
      </c>
      <c r="AA53" s="114">
        <f t="shared" si="34"/>
        <v>5.9737581951430814E-2</v>
      </c>
      <c r="AB53" s="114">
        <f t="shared" si="34"/>
        <v>5.9901246559516924E-2</v>
      </c>
      <c r="AC53" s="114">
        <f t="shared" si="34"/>
        <v>6.2724461049002353E-2</v>
      </c>
      <c r="AD53" s="114">
        <f t="shared" si="34"/>
        <v>6.2724461049002353E-2</v>
      </c>
      <c r="AE53" s="114">
        <f t="shared" si="34"/>
        <v>0</v>
      </c>
    </row>
    <row r="54" spans="1:31" x14ac:dyDescent="0.25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</row>
    <row r="55" spans="1:31" hidden="1" x14ac:dyDescent="0.25">
      <c r="A55" t="s">
        <v>96</v>
      </c>
      <c r="B55" s="67" t="s">
        <v>307</v>
      </c>
      <c r="C55" s="67"/>
      <c r="D55" s="67"/>
      <c r="E55" s="67"/>
      <c r="F55" s="111">
        <v>0</v>
      </c>
      <c r="G55" s="112">
        <v>0</v>
      </c>
      <c r="H55" s="112">
        <v>0</v>
      </c>
      <c r="I55" s="112">
        <v>0</v>
      </c>
      <c r="J55" s="112">
        <v>0</v>
      </c>
      <c r="K55" s="112">
        <v>0</v>
      </c>
      <c r="L55" s="112">
        <v>0</v>
      </c>
      <c r="M55" s="112">
        <v>0</v>
      </c>
      <c r="N55" s="112">
        <v>0</v>
      </c>
      <c r="O55" s="112">
        <v>0</v>
      </c>
      <c r="P55" s="112">
        <v>0</v>
      </c>
      <c r="Q55" s="112">
        <v>0</v>
      </c>
      <c r="R55" s="112">
        <v>0</v>
      </c>
      <c r="S55" s="112">
        <v>0</v>
      </c>
      <c r="T55" s="112">
        <v>0</v>
      </c>
      <c r="U55" s="112">
        <v>0</v>
      </c>
      <c r="V55" s="112">
        <v>0</v>
      </c>
      <c r="W55" s="112">
        <v>0</v>
      </c>
      <c r="X55" s="112">
        <v>0</v>
      </c>
      <c r="Y55" s="112">
        <v>0</v>
      </c>
      <c r="Z55" s="112">
        <v>0</v>
      </c>
      <c r="AA55" s="112">
        <v>0</v>
      </c>
      <c r="AB55" s="112">
        <v>0</v>
      </c>
      <c r="AC55" s="112">
        <v>0</v>
      </c>
      <c r="AD55" s="112">
        <v>0</v>
      </c>
    </row>
    <row r="56" spans="1:31" x14ac:dyDescent="0.25"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</row>
    <row r="57" spans="1:31" x14ac:dyDescent="0.25">
      <c r="A57" s="116" t="s">
        <v>97</v>
      </c>
      <c r="B57" s="59" t="s">
        <v>47</v>
      </c>
      <c r="C57" s="31"/>
      <c r="D57" s="31"/>
      <c r="E57" s="31"/>
      <c r="F57" s="31"/>
      <c r="G57" s="31"/>
      <c r="H57" s="31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</row>
    <row r="58" spans="1:31" x14ac:dyDescent="0.25">
      <c r="B58" s="41" t="s">
        <v>250</v>
      </c>
      <c r="C58" s="31"/>
      <c r="D58" s="31"/>
      <c r="E58" s="31"/>
      <c r="F58" s="104">
        <f>BS!D29</f>
        <v>22.773354615607758</v>
      </c>
      <c r="G58" s="104">
        <f>BS!E29</f>
        <v>21.129118412360878</v>
      </c>
      <c r="H58" s="104">
        <f>BS!F29</f>
        <v>19.599416549702472</v>
      </c>
      <c r="I58" s="104">
        <f>BS!G29</f>
        <v>18.184338674813951</v>
      </c>
      <c r="J58" s="104">
        <f>BS!H29</f>
        <v>16.871429422492383</v>
      </c>
      <c r="K58" s="104">
        <f>BS!I29</f>
        <v>15.653312218188436</v>
      </c>
      <c r="L58" s="104">
        <f>BS!J29</f>
        <v>14.520046722221112</v>
      </c>
      <c r="M58" s="104">
        <f>BS!K29</f>
        <v>13.471699348876747</v>
      </c>
      <c r="N58" s="104">
        <f>BS!L29</f>
        <v>12.499042655887846</v>
      </c>
      <c r="O58" s="104">
        <f>BS!M29</f>
        <v>11.596611776132743</v>
      </c>
      <c r="P58" s="104">
        <f>BS!N29</f>
        <v>10.757042500772023</v>
      </c>
      <c r="Q58" s="104">
        <f>BS!O29</f>
        <v>9.9803840322162838</v>
      </c>
      <c r="R58" s="104">
        <f>BS!P29</f>
        <v>9.259800305090268</v>
      </c>
      <c r="S58" s="104">
        <f>BS!Q29</f>
        <v>8.5912427230627504</v>
      </c>
      <c r="T58" s="104">
        <f>BS!R29</f>
        <v>7.9692555800340443</v>
      </c>
      <c r="U58" s="104">
        <f>BS!S29</f>
        <v>7.3938753271555857</v>
      </c>
      <c r="V58" s="104">
        <f>BS!T29</f>
        <v>6.8600375285349529</v>
      </c>
      <c r="W58" s="104">
        <f>BS!U29</f>
        <v>6.3647428189747295</v>
      </c>
      <c r="X58" s="104">
        <f>BS!V29</f>
        <v>5.9039493890022072</v>
      </c>
      <c r="Y58" s="104">
        <f>BS!W29</f>
        <v>5.4776842431162471</v>
      </c>
      <c r="Z58" s="104">
        <f>BS!X29</f>
        <v>5.0821954407632539</v>
      </c>
      <c r="AA58" s="104">
        <f>BS!Y29</f>
        <v>4.7152609299401469</v>
      </c>
      <c r="AB58" s="104">
        <f>BS!Z29</f>
        <v>4.3738863734309561</v>
      </c>
      <c r="AC58" s="104">
        <f>BS!AA29</f>
        <v>4.0580917772692402</v>
      </c>
      <c r="AD58" s="104">
        <f>BS!AB29</f>
        <v>3.7650975509504008</v>
      </c>
    </row>
    <row r="59" spans="1:31" x14ac:dyDescent="0.25">
      <c r="B59" s="31" t="s">
        <v>248</v>
      </c>
      <c r="C59" s="58">
        <v>1E-3</v>
      </c>
      <c r="D59" s="31"/>
      <c r="E59" s="31"/>
      <c r="F59" s="54">
        <f t="shared" ref="F59:AD59" si="35">F58*$C$59</f>
        <v>2.2773354615607758E-2</v>
      </c>
      <c r="G59" s="54">
        <f t="shared" si="35"/>
        <v>2.1129118412360877E-2</v>
      </c>
      <c r="H59" s="54">
        <f t="shared" si="35"/>
        <v>1.9599416549702472E-2</v>
      </c>
      <c r="I59" s="54">
        <f t="shared" si="35"/>
        <v>1.8184338674813953E-2</v>
      </c>
      <c r="J59" s="54">
        <f t="shared" si="35"/>
        <v>1.6871429422492385E-2</v>
      </c>
      <c r="K59" s="54">
        <f t="shared" si="35"/>
        <v>1.5653312218188435E-2</v>
      </c>
      <c r="L59" s="54">
        <f t="shared" si="35"/>
        <v>1.4520046722221113E-2</v>
      </c>
      <c r="M59" s="54">
        <f t="shared" si="35"/>
        <v>1.3471699348876747E-2</v>
      </c>
      <c r="N59" s="54">
        <f t="shared" si="35"/>
        <v>1.2499042655887846E-2</v>
      </c>
      <c r="O59" s="54">
        <f t="shared" si="35"/>
        <v>1.1596611776132743E-2</v>
      </c>
      <c r="P59" s="54">
        <f t="shared" si="35"/>
        <v>1.0757042500772024E-2</v>
      </c>
      <c r="Q59" s="54">
        <f t="shared" si="35"/>
        <v>9.9803840322162836E-3</v>
      </c>
      <c r="R59" s="54">
        <f t="shared" si="35"/>
        <v>9.2598003050902676E-3</v>
      </c>
      <c r="S59" s="54">
        <f t="shared" si="35"/>
        <v>8.591242723062751E-3</v>
      </c>
      <c r="T59" s="54">
        <f t="shared" si="35"/>
        <v>7.9692555800340448E-3</v>
      </c>
      <c r="U59" s="54">
        <f t="shared" si="35"/>
        <v>7.3938753271555859E-3</v>
      </c>
      <c r="V59" s="54">
        <f t="shared" si="35"/>
        <v>6.860037528534953E-3</v>
      </c>
      <c r="W59" s="54">
        <f t="shared" si="35"/>
        <v>6.3647428189747297E-3</v>
      </c>
      <c r="X59" s="54">
        <f t="shared" si="35"/>
        <v>5.9039493890022075E-3</v>
      </c>
      <c r="Y59" s="54">
        <f t="shared" si="35"/>
        <v>5.4776842431162476E-3</v>
      </c>
      <c r="Z59" s="54">
        <f t="shared" si="35"/>
        <v>5.0821954407632543E-3</v>
      </c>
      <c r="AA59" s="54">
        <f t="shared" si="35"/>
        <v>4.7152609299401472E-3</v>
      </c>
      <c r="AB59" s="54">
        <f t="shared" si="35"/>
        <v>4.3738863734309559E-3</v>
      </c>
      <c r="AC59" s="54">
        <f t="shared" si="35"/>
        <v>4.0580917772692401E-3</v>
      </c>
      <c r="AD59" s="54">
        <f t="shared" si="35"/>
        <v>3.765097550950401E-3</v>
      </c>
    </row>
    <row r="60" spans="1:31" x14ac:dyDescent="0.25">
      <c r="B60" s="93" t="s">
        <v>304</v>
      </c>
      <c r="C60" s="93"/>
      <c r="D60" s="93"/>
      <c r="E60" s="93"/>
      <c r="F60" s="94">
        <f>F59</f>
        <v>2.2773354615607758E-2</v>
      </c>
      <c r="G60" s="94">
        <f t="shared" ref="G60:AD60" si="36">G59</f>
        <v>2.1129118412360877E-2</v>
      </c>
      <c r="H60" s="94">
        <f t="shared" si="36"/>
        <v>1.9599416549702472E-2</v>
      </c>
      <c r="I60" s="94">
        <f t="shared" si="36"/>
        <v>1.8184338674813953E-2</v>
      </c>
      <c r="J60" s="94">
        <f t="shared" si="36"/>
        <v>1.6871429422492385E-2</v>
      </c>
      <c r="K60" s="94">
        <f t="shared" si="36"/>
        <v>1.5653312218188435E-2</v>
      </c>
      <c r="L60" s="94">
        <f t="shared" si="36"/>
        <v>1.4520046722221113E-2</v>
      </c>
      <c r="M60" s="94">
        <f t="shared" si="36"/>
        <v>1.3471699348876747E-2</v>
      </c>
      <c r="N60" s="94">
        <f t="shared" si="36"/>
        <v>1.2499042655887846E-2</v>
      </c>
      <c r="O60" s="94">
        <f t="shared" si="36"/>
        <v>1.1596611776132743E-2</v>
      </c>
      <c r="P60" s="94">
        <f t="shared" si="36"/>
        <v>1.0757042500772024E-2</v>
      </c>
      <c r="Q60" s="94">
        <f t="shared" si="36"/>
        <v>9.9803840322162836E-3</v>
      </c>
      <c r="R60" s="94">
        <f t="shared" si="36"/>
        <v>9.2598003050902676E-3</v>
      </c>
      <c r="S60" s="94">
        <f t="shared" si="36"/>
        <v>8.591242723062751E-3</v>
      </c>
      <c r="T60" s="94">
        <f t="shared" si="36"/>
        <v>7.9692555800340448E-3</v>
      </c>
      <c r="U60" s="94">
        <f t="shared" si="36"/>
        <v>7.3938753271555859E-3</v>
      </c>
      <c r="V60" s="94">
        <f t="shared" si="36"/>
        <v>6.860037528534953E-3</v>
      </c>
      <c r="W60" s="94">
        <f t="shared" si="36"/>
        <v>6.3647428189747297E-3</v>
      </c>
      <c r="X60" s="94">
        <f t="shared" si="36"/>
        <v>5.9039493890022075E-3</v>
      </c>
      <c r="Y60" s="94">
        <f t="shared" si="36"/>
        <v>5.4776842431162476E-3</v>
      </c>
      <c r="Z60" s="94">
        <f t="shared" si="36"/>
        <v>5.0821954407632543E-3</v>
      </c>
      <c r="AA60" s="94">
        <f t="shared" si="36"/>
        <v>4.7152609299401472E-3</v>
      </c>
      <c r="AB60" s="94">
        <f t="shared" si="36"/>
        <v>4.3738863734309559E-3</v>
      </c>
      <c r="AC60" s="94">
        <f t="shared" si="36"/>
        <v>4.0580917772692401E-3</v>
      </c>
      <c r="AD60" s="94">
        <f t="shared" si="36"/>
        <v>3.765097550950401E-3</v>
      </c>
    </row>
    <row r="61" spans="1:31" x14ac:dyDescent="0.25"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</row>
    <row r="62" spans="1:31" x14ac:dyDescent="0.25">
      <c r="B62" s="93" t="s">
        <v>89</v>
      </c>
      <c r="C62" s="93"/>
      <c r="D62" s="93"/>
      <c r="E62" s="93"/>
      <c r="F62" s="94">
        <f>+F60+F48+F55+F53</f>
        <v>0.11151394042802784</v>
      </c>
      <c r="G62" s="94">
        <f t="shared" ref="G62:AD62" si="37">+G60+G48+G55+G53</f>
        <v>0.29430350261236082</v>
      </c>
      <c r="H62" s="94">
        <f t="shared" si="37"/>
        <v>0.30194024901014083</v>
      </c>
      <c r="I62" s="94">
        <f t="shared" si="37"/>
        <v>0.30753229008481398</v>
      </c>
      <c r="J62" s="94">
        <f t="shared" si="37"/>
        <v>0.31356250627249238</v>
      </c>
      <c r="K62" s="94">
        <f t="shared" si="37"/>
        <v>0.32213666344188846</v>
      </c>
      <c r="L62" s="94">
        <f t="shared" si="37"/>
        <v>0.32892195522817741</v>
      </c>
      <c r="M62" s="94">
        <f t="shared" si="37"/>
        <v>0.33576940378454767</v>
      </c>
      <c r="N62" s="94">
        <f t="shared" si="37"/>
        <v>0.34540179739623889</v>
      </c>
      <c r="O62" s="94">
        <f t="shared" si="37"/>
        <v>0.35301206146340858</v>
      </c>
      <c r="P62" s="94">
        <f t="shared" si="37"/>
        <v>0.36107521526148867</v>
      </c>
      <c r="Q62" s="94">
        <f t="shared" si="37"/>
        <v>0.37165234040949341</v>
      </c>
      <c r="R62" s="94">
        <f t="shared" si="37"/>
        <v>0.38023380829363568</v>
      </c>
      <c r="S62" s="94">
        <f t="shared" si="37"/>
        <v>0.38914636387121454</v>
      </c>
      <c r="T62" s="94">
        <f t="shared" si="37"/>
        <v>0.40112155037344477</v>
      </c>
      <c r="U62" s="94">
        <f t="shared" si="37"/>
        <v>0.41056232444747831</v>
      </c>
      <c r="V62" s="94">
        <f t="shared" si="37"/>
        <v>0.42049802768841482</v>
      </c>
      <c r="W62" s="94">
        <f t="shared" si="37"/>
        <v>0.43349554763968606</v>
      </c>
      <c r="X62" s="94">
        <f t="shared" si="37"/>
        <v>0.44429776135389976</v>
      </c>
      <c r="Y62" s="94">
        <f t="shared" si="37"/>
        <v>0.45515597532422586</v>
      </c>
      <c r="Z62" s="94">
        <f t="shared" si="37"/>
        <v>0.46938869395814298</v>
      </c>
      <c r="AA62" s="94">
        <f t="shared" si="37"/>
        <v>0.4811588269442984</v>
      </c>
      <c r="AB62" s="94">
        <f t="shared" si="37"/>
        <v>0.4934822965177631</v>
      </c>
      <c r="AC62" s="94">
        <f t="shared" si="37"/>
        <v>0.50886593131863134</v>
      </c>
      <c r="AD62" s="94">
        <f t="shared" si="37"/>
        <v>0.52183543844708324</v>
      </c>
    </row>
    <row r="65" spans="8:11" x14ac:dyDescent="0.25">
      <c r="H65" s="302"/>
      <c r="I65" s="302"/>
      <c r="J65" s="302"/>
    </row>
    <row r="66" spans="8:11" x14ac:dyDescent="0.25">
      <c r="H66" s="302"/>
    </row>
    <row r="68" spans="8:11" x14ac:dyDescent="0.25">
      <c r="H68" s="302"/>
    </row>
    <row r="69" spans="8:11" x14ac:dyDescent="0.25">
      <c r="H69" s="303"/>
      <c r="I69" s="302"/>
      <c r="J69" s="302"/>
    </row>
    <row r="70" spans="8:11" x14ac:dyDescent="0.25">
      <c r="H70" s="303"/>
    </row>
    <row r="72" spans="8:11" x14ac:dyDescent="0.25">
      <c r="H72" s="303"/>
      <c r="I72" s="302"/>
    </row>
    <row r="74" spans="8:11" x14ac:dyDescent="0.25">
      <c r="H74" s="305"/>
      <c r="I74" s="306"/>
    </row>
    <row r="75" spans="8:11" x14ac:dyDescent="0.25">
      <c r="K75" s="302"/>
    </row>
    <row r="76" spans="8:11" x14ac:dyDescent="0.25">
      <c r="H76" s="305"/>
      <c r="I76" s="306"/>
      <c r="K76" s="302"/>
    </row>
    <row r="78" spans="8:11" x14ac:dyDescent="0.25">
      <c r="I78" s="305"/>
    </row>
    <row r="79" spans="8:11" x14ac:dyDescent="0.25">
      <c r="I79" s="305"/>
      <c r="J79" s="304"/>
    </row>
    <row r="80" spans="8:11" x14ac:dyDescent="0.25">
      <c r="I80" s="305"/>
    </row>
    <row r="81" spans="9:9" x14ac:dyDescent="0.25">
      <c r="I81" s="305"/>
    </row>
  </sheetData>
  <mergeCells count="2">
    <mergeCell ref="D7:E7"/>
    <mergeCell ref="F7:AD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80"/>
  <sheetViews>
    <sheetView showGridLines="0" topLeftCell="E23" zoomScale="110" zoomScaleNormal="110" workbookViewId="0">
      <selection activeCell="I42" sqref="I42"/>
    </sheetView>
  </sheetViews>
  <sheetFormatPr defaultColWidth="13.7109375" defaultRowHeight="15" x14ac:dyDescent="0.25"/>
  <cols>
    <col min="1" max="1" width="18.7109375" style="31" customWidth="1"/>
    <col min="2" max="2" width="56.140625" style="31" bestFit="1" customWidth="1"/>
    <col min="3" max="3" width="13.28515625" style="31" bestFit="1" customWidth="1"/>
    <col min="4" max="4" width="17.7109375" style="31" bestFit="1" customWidth="1"/>
    <col min="5" max="5" width="11.85546875" style="31" bestFit="1" customWidth="1"/>
    <col min="6" max="6" width="13.28515625" style="31" bestFit="1" customWidth="1"/>
    <col min="7" max="7" width="45.7109375" style="31" customWidth="1"/>
    <col min="8" max="8" width="17.85546875" style="31" customWidth="1"/>
    <col min="9" max="9" width="69.140625" style="31" customWidth="1"/>
    <col min="10" max="16384" width="13.7109375" style="31"/>
  </cols>
  <sheetData>
    <row r="1" spans="2:6" s="1" customFormat="1" ht="19.899999999999999" customHeight="1" x14ac:dyDescent="0.25">
      <c r="B1" s="375" t="str">
        <f>'PC &amp; MoF'!B1</f>
        <v xml:space="preserve">M/s. Bikaner Private Limited, Badi Shisha </v>
      </c>
      <c r="C1" s="375"/>
      <c r="D1" s="375"/>
      <c r="E1" s="375"/>
      <c r="F1" s="31"/>
    </row>
    <row r="2" spans="2:6" s="1" customFormat="1" ht="9" customHeight="1" x14ac:dyDescent="0.25">
      <c r="B2" s="2"/>
      <c r="C2" s="2"/>
      <c r="D2" s="2"/>
      <c r="E2" s="2"/>
      <c r="F2" s="2"/>
    </row>
    <row r="3" spans="2:6" s="1" customFormat="1" ht="19.899999999999999" customHeight="1" x14ac:dyDescent="0.25">
      <c r="B3" s="376" t="str">
        <f>'PC &amp; MoF'!B3</f>
        <v>Financial Model for Proposed locations Solar Power Plant (4 MW AC/5.6 MW DC )</v>
      </c>
      <c r="C3" s="376"/>
      <c r="D3" s="376"/>
      <c r="E3" s="376"/>
      <c r="F3" s="31"/>
    </row>
    <row r="4" spans="2:6" s="1" customFormat="1" ht="9" customHeight="1" x14ac:dyDescent="0.25">
      <c r="B4" s="2"/>
      <c r="C4" s="2"/>
      <c r="D4" s="2"/>
      <c r="E4" s="2"/>
      <c r="F4" s="2"/>
    </row>
    <row r="5" spans="2:6" ht="15.75" x14ac:dyDescent="0.25">
      <c r="B5" s="33" t="s">
        <v>69</v>
      </c>
      <c r="C5" s="33"/>
      <c r="D5" s="33"/>
      <c r="E5" s="34"/>
    </row>
    <row r="6" spans="2:6" x14ac:dyDescent="0.25">
      <c r="B6" s="32"/>
      <c r="C6" s="32"/>
      <c r="D6" s="32"/>
      <c r="E6" s="32"/>
    </row>
    <row r="7" spans="2:6" x14ac:dyDescent="0.25">
      <c r="B7" s="35" t="s">
        <v>70</v>
      </c>
      <c r="C7" s="35"/>
      <c r="D7" s="35"/>
      <c r="E7" s="35"/>
    </row>
    <row r="8" spans="2:6" x14ac:dyDescent="0.25">
      <c r="B8" s="36" t="s">
        <v>0</v>
      </c>
      <c r="C8" s="36"/>
      <c r="D8" s="36"/>
      <c r="E8" s="37" t="s">
        <v>15</v>
      </c>
    </row>
    <row r="9" spans="2:6" x14ac:dyDescent="0.25">
      <c r="B9" s="32" t="s">
        <v>16</v>
      </c>
      <c r="C9" s="32"/>
      <c r="D9" s="32" t="s">
        <v>17</v>
      </c>
      <c r="E9" s="38">
        <v>45727</v>
      </c>
    </row>
    <row r="10" spans="2:6" x14ac:dyDescent="0.25">
      <c r="B10" s="32" t="s">
        <v>18</v>
      </c>
      <c r="C10" s="32"/>
      <c r="D10" s="32" t="s">
        <v>19</v>
      </c>
      <c r="E10" s="38">
        <f>EOMONTH(E9,0)</f>
        <v>45747</v>
      </c>
    </row>
    <row r="11" spans="2:6" x14ac:dyDescent="0.25">
      <c r="B11" s="32" t="s">
        <v>20</v>
      </c>
      <c r="C11" s="32"/>
      <c r="D11" s="32" t="s">
        <v>21</v>
      </c>
      <c r="E11" s="38">
        <f>EOMONTH(E10,0)</f>
        <v>45747</v>
      </c>
    </row>
    <row r="12" spans="2:6" x14ac:dyDescent="0.25">
      <c r="B12" s="32" t="s">
        <v>22</v>
      </c>
      <c r="C12" s="32"/>
      <c r="D12" s="32" t="s">
        <v>23</v>
      </c>
      <c r="E12" s="38">
        <f>EOMONTH(E11,8)</f>
        <v>45991</v>
      </c>
    </row>
    <row r="13" spans="2:6" x14ac:dyDescent="0.25">
      <c r="B13" s="32" t="s">
        <v>24</v>
      </c>
      <c r="C13" s="32"/>
      <c r="D13" s="32" t="s">
        <v>25</v>
      </c>
      <c r="E13" s="38">
        <f>E12+1</f>
        <v>45992</v>
      </c>
    </row>
    <row r="14" spans="2:6" x14ac:dyDescent="0.25">
      <c r="B14" s="32" t="s">
        <v>26</v>
      </c>
      <c r="C14" s="32"/>
      <c r="D14" s="32" t="s">
        <v>27</v>
      </c>
      <c r="E14" s="39">
        <v>25</v>
      </c>
    </row>
    <row r="15" spans="2:6" x14ac:dyDescent="0.25">
      <c r="B15" s="32" t="s">
        <v>28</v>
      </c>
      <c r="C15" s="32"/>
      <c r="D15" s="32" t="s">
        <v>29</v>
      </c>
      <c r="E15" s="38">
        <f>EOMONTH(E10,E14*12)</f>
        <v>54878</v>
      </c>
    </row>
    <row r="16" spans="2:6" x14ac:dyDescent="0.25">
      <c r="B16" s="40"/>
      <c r="C16" s="40"/>
      <c r="D16" s="40"/>
      <c r="E16" s="40"/>
    </row>
    <row r="17" spans="1:9" x14ac:dyDescent="0.25">
      <c r="B17" s="35" t="s">
        <v>30</v>
      </c>
      <c r="C17" s="35"/>
      <c r="D17" s="64" t="s">
        <v>71</v>
      </c>
      <c r="E17" s="64"/>
    </row>
    <row r="18" spans="1:9" x14ac:dyDescent="0.25">
      <c r="B18" s="36" t="s">
        <v>0</v>
      </c>
      <c r="C18" s="37" t="s">
        <v>32</v>
      </c>
      <c r="D18" s="37" t="s">
        <v>31</v>
      </c>
      <c r="E18" s="37"/>
    </row>
    <row r="19" spans="1:9" x14ac:dyDescent="0.25">
      <c r="B19" s="41" t="s">
        <v>33</v>
      </c>
      <c r="C19" s="42" t="s">
        <v>34</v>
      </c>
      <c r="D19" s="42">
        <v>24</v>
      </c>
      <c r="E19" s="42"/>
    </row>
    <row r="20" spans="1:9" x14ac:dyDescent="0.25">
      <c r="B20" s="41" t="s">
        <v>35</v>
      </c>
      <c r="C20" s="42" t="s">
        <v>36</v>
      </c>
      <c r="D20" s="42">
        <v>365</v>
      </c>
      <c r="E20" s="42"/>
    </row>
    <row r="21" spans="1:9" x14ac:dyDescent="0.25">
      <c r="B21" s="41" t="s">
        <v>37</v>
      </c>
      <c r="C21" s="42" t="s">
        <v>36</v>
      </c>
      <c r="D21" s="42">
        <v>365</v>
      </c>
      <c r="E21" s="42"/>
    </row>
    <row r="22" spans="1:9" x14ac:dyDescent="0.25">
      <c r="B22" s="32"/>
      <c r="C22" s="43"/>
      <c r="D22" s="43"/>
      <c r="E22" s="43"/>
    </row>
    <row r="23" spans="1:9" x14ac:dyDescent="0.25">
      <c r="B23" s="44" t="s">
        <v>38</v>
      </c>
      <c r="C23" s="44"/>
      <c r="D23" s="44"/>
      <c r="E23" s="44"/>
    </row>
    <row r="24" spans="1:9" x14ac:dyDescent="0.25">
      <c r="B24" s="32" t="s">
        <v>323</v>
      </c>
      <c r="C24" s="42" t="s">
        <v>39</v>
      </c>
      <c r="D24" s="57">
        <v>5.6</v>
      </c>
      <c r="E24" s="57"/>
    </row>
    <row r="25" spans="1:9" x14ac:dyDescent="0.25">
      <c r="B25" s="32" t="s">
        <v>375</v>
      </c>
      <c r="C25" s="42" t="s">
        <v>40</v>
      </c>
      <c r="D25" s="66">
        <v>4</v>
      </c>
      <c r="E25" s="66"/>
      <c r="F25" s="31">
        <v>5600</v>
      </c>
      <c r="G25" s="31" t="s">
        <v>40</v>
      </c>
    </row>
    <row r="26" spans="1:9" x14ac:dyDescent="0.25">
      <c r="B26" s="32" t="s">
        <v>41</v>
      </c>
      <c r="C26" s="45" t="s">
        <v>42</v>
      </c>
      <c r="D26" s="46">
        <v>0.180956457925636</v>
      </c>
      <c r="E26" s="46"/>
    </row>
    <row r="27" spans="1:9" x14ac:dyDescent="0.25">
      <c r="B27" s="32" t="s">
        <v>72</v>
      </c>
      <c r="C27" s="45" t="s">
        <v>42</v>
      </c>
      <c r="D27" s="46" t="s">
        <v>317</v>
      </c>
      <c r="E27" s="46"/>
    </row>
    <row r="28" spans="1:9" x14ac:dyDescent="0.25">
      <c r="B28" s="32" t="s">
        <v>73</v>
      </c>
      <c r="C28" s="45" t="s">
        <v>42</v>
      </c>
      <c r="D28" s="46">
        <v>0.01</v>
      </c>
      <c r="E28" s="46"/>
      <c r="H28" s="31" t="s">
        <v>43</v>
      </c>
    </row>
    <row r="29" spans="1:9" x14ac:dyDescent="0.25">
      <c r="B29" s="32" t="s">
        <v>43</v>
      </c>
      <c r="C29" s="45" t="s">
        <v>42</v>
      </c>
      <c r="D29" s="46">
        <v>1.5E-3</v>
      </c>
      <c r="E29" s="284"/>
      <c r="H29" s="31" t="s">
        <v>321</v>
      </c>
    </row>
    <row r="30" spans="1:9" x14ac:dyDescent="0.25">
      <c r="B30" s="32"/>
      <c r="C30" s="45"/>
      <c r="D30" s="46"/>
      <c r="E30" s="46"/>
      <c r="G30" s="31">
        <v>3.38</v>
      </c>
    </row>
    <row r="31" spans="1:9" x14ac:dyDescent="0.25">
      <c r="B31" s="44" t="s">
        <v>44</v>
      </c>
      <c r="C31" s="44"/>
      <c r="D31" s="44"/>
      <c r="E31" s="44"/>
      <c r="G31" s="118">
        <f>+G30-(G30*5%)</f>
        <v>3.2109999999999999</v>
      </c>
      <c r="H31" s="31" t="s">
        <v>319</v>
      </c>
      <c r="I31" s="31">
        <v>1</v>
      </c>
    </row>
    <row r="32" spans="1:9" x14ac:dyDescent="0.25">
      <c r="A32" s="293">
        <v>0</v>
      </c>
      <c r="B32" s="47" t="s">
        <v>377</v>
      </c>
      <c r="C32" s="48" t="s">
        <v>45</v>
      </c>
      <c r="D32" s="48">
        <f>3.38*(1-$A$32)</f>
        <v>3.38</v>
      </c>
      <c r="E32" s="48">
        <v>0</v>
      </c>
      <c r="H32" s="31">
        <v>18</v>
      </c>
      <c r="I32" s="31" t="s">
        <v>318</v>
      </c>
    </row>
    <row r="33" spans="2:11" x14ac:dyDescent="0.25">
      <c r="B33" s="49"/>
      <c r="C33" s="51" t="s">
        <v>45</v>
      </c>
      <c r="D33" s="50">
        <f>+D32</f>
        <v>3.38</v>
      </c>
      <c r="E33" s="50">
        <v>0</v>
      </c>
      <c r="H33" s="337">
        <v>9.7500000000000003E-2</v>
      </c>
      <c r="I33" s="336" t="s">
        <v>320</v>
      </c>
    </row>
    <row r="34" spans="2:11" x14ac:dyDescent="0.25">
      <c r="B34" s="32"/>
      <c r="C34" s="32"/>
      <c r="D34" s="32"/>
      <c r="E34" s="32"/>
      <c r="K34" s="31">
        <f>18*12</f>
        <v>216</v>
      </c>
    </row>
    <row r="35" spans="2:11" x14ac:dyDescent="0.25">
      <c r="B35" s="36" t="s">
        <v>46</v>
      </c>
      <c r="C35" s="36"/>
      <c r="D35" s="36"/>
      <c r="E35" s="36"/>
      <c r="H35" s="31" t="s">
        <v>322</v>
      </c>
      <c r="K35" s="31">
        <f>+K34/12</f>
        <v>18</v>
      </c>
    </row>
    <row r="36" spans="2:11" x14ac:dyDescent="0.25">
      <c r="B36" s="52" t="s">
        <v>305</v>
      </c>
      <c r="C36" s="54" t="s">
        <v>263</v>
      </c>
      <c r="D36" s="358">
        <v>4</v>
      </c>
      <c r="E36" s="53"/>
      <c r="F36" s="118"/>
      <c r="G36" s="31">
        <f>5.6*D36</f>
        <v>22.4</v>
      </c>
    </row>
    <row r="37" spans="2:11" x14ac:dyDescent="0.25">
      <c r="B37" s="52" t="s">
        <v>264</v>
      </c>
      <c r="C37" s="54"/>
      <c r="D37" s="53">
        <v>0</v>
      </c>
      <c r="E37" s="53"/>
    </row>
    <row r="38" spans="2:11" x14ac:dyDescent="0.25">
      <c r="B38" s="32" t="s">
        <v>48</v>
      </c>
      <c r="C38" s="48" t="s">
        <v>49</v>
      </c>
      <c r="D38" s="55">
        <v>0.03</v>
      </c>
      <c r="E38" s="55"/>
      <c r="F38" s="6"/>
    </row>
    <row r="39" spans="2:11" x14ac:dyDescent="0.25">
      <c r="B39" s="32" t="s">
        <v>47</v>
      </c>
      <c r="C39" s="48" t="s">
        <v>265</v>
      </c>
      <c r="D39" s="46">
        <v>1E-3</v>
      </c>
      <c r="E39" s="46"/>
    </row>
    <row r="40" spans="2:11" x14ac:dyDescent="0.25">
      <c r="B40" s="32" t="s">
        <v>324</v>
      </c>
      <c r="C40" s="48" t="s">
        <v>49</v>
      </c>
      <c r="D40" s="48">
        <f>+H40</f>
        <v>424543.842</v>
      </c>
      <c r="E40" s="53"/>
      <c r="G40" s="339" t="s">
        <v>327</v>
      </c>
      <c r="H40" s="340">
        <f>75090*I42</f>
        <v>424543.842</v>
      </c>
      <c r="I40" s="341" t="s">
        <v>379</v>
      </c>
    </row>
    <row r="41" spans="2:11" x14ac:dyDescent="0.25">
      <c r="B41" s="32" t="s">
        <v>325</v>
      </c>
      <c r="C41" s="48" t="s">
        <v>326</v>
      </c>
      <c r="D41" s="338">
        <v>0.05</v>
      </c>
      <c r="E41" s="338"/>
    </row>
    <row r="42" spans="2:11" x14ac:dyDescent="0.25">
      <c r="B42" s="32"/>
      <c r="C42" s="48"/>
      <c r="D42" s="53"/>
      <c r="E42" s="53"/>
      <c r="I42" s="31">
        <v>5.6538000000000004</v>
      </c>
      <c r="J42" s="31" t="s">
        <v>378</v>
      </c>
    </row>
    <row r="43" spans="2:11" x14ac:dyDescent="0.25">
      <c r="B43" s="32"/>
      <c r="C43" s="48"/>
      <c r="D43" s="53"/>
      <c r="E43" s="53"/>
    </row>
    <row r="44" spans="2:11" x14ac:dyDescent="0.25">
      <c r="B44" s="36" t="s">
        <v>50</v>
      </c>
      <c r="C44" s="36"/>
      <c r="D44" s="36"/>
      <c r="E44" s="36"/>
    </row>
    <row r="45" spans="2:11" x14ac:dyDescent="0.25">
      <c r="B45" s="56" t="s">
        <v>50</v>
      </c>
      <c r="C45" s="46" t="s">
        <v>51</v>
      </c>
      <c r="D45" s="55">
        <v>0</v>
      </c>
      <c r="E45" s="55">
        <v>0</v>
      </c>
    </row>
    <row r="46" spans="2:11" x14ac:dyDescent="0.25">
      <c r="B46" s="32" t="s">
        <v>52</v>
      </c>
      <c r="C46" s="46" t="s">
        <v>51</v>
      </c>
      <c r="D46" s="55">
        <v>0</v>
      </c>
      <c r="E46" s="55">
        <v>0</v>
      </c>
    </row>
    <row r="47" spans="2:11" x14ac:dyDescent="0.25">
      <c r="B47" s="32"/>
      <c r="C47" s="46"/>
      <c r="D47" s="55"/>
      <c r="E47" s="55"/>
    </row>
    <row r="48" spans="2:11" ht="15.75" x14ac:dyDescent="0.25">
      <c r="B48" s="33" t="s">
        <v>74</v>
      </c>
      <c r="C48" s="33"/>
      <c r="D48" s="33"/>
      <c r="E48" s="33"/>
    </row>
    <row r="49" spans="2:10" x14ac:dyDescent="0.25">
      <c r="B49" s="36" t="s">
        <v>53</v>
      </c>
      <c r="C49" s="36"/>
      <c r="D49" s="36"/>
      <c r="E49" s="36"/>
    </row>
    <row r="50" spans="2:10" x14ac:dyDescent="0.25">
      <c r="B50" s="32" t="s">
        <v>54</v>
      </c>
      <c r="C50" s="45" t="s">
        <v>55</v>
      </c>
      <c r="D50" s="46">
        <v>9.7500000000000003E-2</v>
      </c>
    </row>
    <row r="51" spans="2:10" x14ac:dyDescent="0.25">
      <c r="B51" s="32" t="s">
        <v>56</v>
      </c>
      <c r="C51" s="45" t="s">
        <v>57</v>
      </c>
      <c r="D51" s="57">
        <v>18</v>
      </c>
    </row>
    <row r="52" spans="2:10" x14ac:dyDescent="0.25">
      <c r="B52" s="32" t="s">
        <v>58</v>
      </c>
      <c r="C52" s="45" t="s">
        <v>59</v>
      </c>
      <c r="D52" s="57">
        <v>0</v>
      </c>
    </row>
    <row r="53" spans="2:10" x14ac:dyDescent="0.25">
      <c r="B53" s="32" t="s">
        <v>60</v>
      </c>
      <c r="C53" s="45" t="s">
        <v>59</v>
      </c>
      <c r="D53" s="57">
        <v>0</v>
      </c>
    </row>
    <row r="54" spans="2:10" x14ac:dyDescent="0.25">
      <c r="B54" s="32"/>
      <c r="C54" s="45"/>
      <c r="D54" s="57"/>
    </row>
    <row r="55" spans="2:10" hidden="1" x14ac:dyDescent="0.25">
      <c r="B55" s="36" t="s">
        <v>61</v>
      </c>
      <c r="C55" s="36"/>
      <c r="D55" s="36"/>
      <c r="E55" s="36"/>
    </row>
    <row r="56" spans="2:10" hidden="1" x14ac:dyDescent="0.25">
      <c r="B56" s="32" t="s">
        <v>62</v>
      </c>
      <c r="C56" s="45" t="s">
        <v>63</v>
      </c>
      <c r="E56" s="55">
        <v>0.1716</v>
      </c>
    </row>
    <row r="57" spans="2:10" hidden="1" x14ac:dyDescent="0.25">
      <c r="B57" s="59"/>
      <c r="C57" s="59"/>
    </row>
    <row r="58" spans="2:10" hidden="1" x14ac:dyDescent="0.25">
      <c r="B58" s="31" t="s">
        <v>64</v>
      </c>
      <c r="C58" s="45" t="s">
        <v>55</v>
      </c>
      <c r="E58" s="43">
        <v>0.25</v>
      </c>
    </row>
    <row r="59" spans="2:10" hidden="1" x14ac:dyDescent="0.25">
      <c r="B59" s="31" t="s">
        <v>65</v>
      </c>
      <c r="C59" s="45" t="s">
        <v>55</v>
      </c>
      <c r="E59" s="43">
        <v>7.0000000000000007E-2</v>
      </c>
    </row>
    <row r="60" spans="2:10" hidden="1" x14ac:dyDescent="0.25">
      <c r="B60" s="31" t="s">
        <v>66</v>
      </c>
      <c r="C60" s="45" t="s">
        <v>55</v>
      </c>
      <c r="E60" s="43">
        <v>0.04</v>
      </c>
    </row>
    <row r="61" spans="2:10" hidden="1" x14ac:dyDescent="0.25">
      <c r="B61" s="60" t="s">
        <v>67</v>
      </c>
      <c r="C61" s="62" t="s">
        <v>55</v>
      </c>
      <c r="E61" s="61">
        <v>0.29120000000000001</v>
      </c>
      <c r="J61" s="281"/>
    </row>
    <row r="62" spans="2:10" x14ac:dyDescent="0.25">
      <c r="C62" s="45"/>
      <c r="H62" s="118"/>
      <c r="J62" s="281"/>
    </row>
    <row r="63" spans="2:10" ht="30" x14ac:dyDescent="0.25">
      <c r="B63" s="70" t="s">
        <v>216</v>
      </c>
      <c r="C63" s="222" t="s">
        <v>205</v>
      </c>
      <c r="D63" s="71" t="s">
        <v>208</v>
      </c>
      <c r="E63" s="71" t="s">
        <v>209</v>
      </c>
      <c r="F63" s="31" t="s">
        <v>415</v>
      </c>
      <c r="J63" s="281"/>
    </row>
    <row r="64" spans="2:10" hidden="1" x14ac:dyDescent="0.25">
      <c r="B64" s="31" t="s">
        <v>1</v>
      </c>
      <c r="D64" s="223">
        <v>0</v>
      </c>
      <c r="E64" s="223">
        <v>0</v>
      </c>
      <c r="J64" s="281"/>
    </row>
    <row r="65" spans="2:10" hidden="1" x14ac:dyDescent="0.25">
      <c r="B65" s="31" t="s">
        <v>2</v>
      </c>
      <c r="C65" s="84">
        <v>30</v>
      </c>
      <c r="D65" s="223">
        <v>3.1699999999999999E-2</v>
      </c>
      <c r="E65" s="223">
        <v>9.5000000000000001E-2</v>
      </c>
      <c r="J65" s="281"/>
    </row>
    <row r="66" spans="2:10" x14ac:dyDescent="0.25">
      <c r="B66" s="31" t="s">
        <v>3</v>
      </c>
      <c r="C66" s="84">
        <v>25</v>
      </c>
      <c r="D66" s="223">
        <v>2.3800000000000002E-2</v>
      </c>
      <c r="E66" s="223">
        <v>7.22E-2</v>
      </c>
      <c r="F66" s="63">
        <v>0.15</v>
      </c>
      <c r="H66" s="282"/>
      <c r="J66" s="281"/>
    </row>
    <row r="67" spans="2:10" hidden="1" x14ac:dyDescent="0.25">
      <c r="B67" s="31" t="s">
        <v>4</v>
      </c>
      <c r="C67" s="84">
        <v>10</v>
      </c>
      <c r="D67" s="223">
        <f>1/C67</f>
        <v>0.1</v>
      </c>
      <c r="E67" s="223">
        <v>0.1</v>
      </c>
      <c r="H67" s="283"/>
      <c r="J67" s="281"/>
    </row>
    <row r="68" spans="2:10" hidden="1" x14ac:dyDescent="0.25">
      <c r="B68" s="31" t="s">
        <v>5</v>
      </c>
      <c r="C68" s="84">
        <v>8</v>
      </c>
      <c r="D68" s="223">
        <f>1/C68</f>
        <v>0.125</v>
      </c>
      <c r="E68" s="223">
        <v>0.4</v>
      </c>
      <c r="J68" s="281"/>
    </row>
    <row r="69" spans="2:10" hidden="1" x14ac:dyDescent="0.25">
      <c r="B69" s="31" t="s">
        <v>6</v>
      </c>
      <c r="C69" s="84">
        <v>5</v>
      </c>
      <c r="D69" s="223">
        <f>1/C69</f>
        <v>0.2</v>
      </c>
      <c r="E69" s="223">
        <v>0.15</v>
      </c>
      <c r="J69" s="281"/>
    </row>
    <row r="70" spans="2:10" x14ac:dyDescent="0.25">
      <c r="B70" s="95" t="s">
        <v>207</v>
      </c>
      <c r="C70" s="96"/>
      <c r="D70" s="224"/>
      <c r="E70" s="224"/>
      <c r="J70" s="281"/>
    </row>
    <row r="71" spans="2:10" x14ac:dyDescent="0.25">
      <c r="J71" s="281"/>
    </row>
    <row r="72" spans="2:10" x14ac:dyDescent="0.25">
      <c r="B72" s="122" t="s">
        <v>245</v>
      </c>
      <c r="J72" s="281"/>
    </row>
    <row r="73" spans="2:10" x14ac:dyDescent="0.25">
      <c r="B73" s="70" t="s">
        <v>244</v>
      </c>
      <c r="C73" s="280" t="s">
        <v>36</v>
      </c>
      <c r="D73" s="222"/>
      <c r="E73" s="222"/>
      <c r="J73" s="281"/>
    </row>
    <row r="74" spans="2:10" x14ac:dyDescent="0.25">
      <c r="B74" s="31" t="s">
        <v>46</v>
      </c>
      <c r="C74" s="31">
        <v>45</v>
      </c>
      <c r="J74" s="281"/>
    </row>
    <row r="75" spans="2:10" x14ac:dyDescent="0.25">
      <c r="B75" s="31" t="s">
        <v>246</v>
      </c>
      <c r="C75" s="31">
        <v>30</v>
      </c>
      <c r="J75" s="281"/>
    </row>
    <row r="76" spans="2:10" x14ac:dyDescent="0.25">
      <c r="J76" s="281"/>
    </row>
    <row r="77" spans="2:10" x14ac:dyDescent="0.25">
      <c r="J77" s="281"/>
    </row>
    <row r="78" spans="2:10" x14ac:dyDescent="0.25">
      <c r="J78" s="281"/>
    </row>
    <row r="79" spans="2:10" x14ac:dyDescent="0.25">
      <c r="J79" s="281"/>
    </row>
    <row r="80" spans="2:10" x14ac:dyDescent="0.25">
      <c r="J80" s="281"/>
    </row>
  </sheetData>
  <mergeCells count="2">
    <mergeCell ref="B1:E1"/>
    <mergeCell ref="B3:E3"/>
  </mergeCells>
  <dataValidations count="2">
    <dataValidation type="list" allowBlank="1" showInputMessage="1" showErrorMessage="1" sqref="D50" xr:uid="{00000000-0002-0000-0100-000000000000}">
      <formula1>"9.75%,10.75%,11.75%"</formula1>
    </dataValidation>
    <dataValidation type="list" allowBlank="1" showInputMessage="1" showErrorMessage="1" sqref="A32" xr:uid="{55A6DA04-1F02-48B7-A7EF-A701A358DFE1}">
      <formula1>"0%,5%,10%"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48"/>
  <sheetViews>
    <sheetView showGridLines="0" workbookViewId="0">
      <pane xSplit="2" ySplit="8" topLeftCell="D39" activePane="bottomRight" state="frozen"/>
      <selection activeCell="A9" sqref="A9"/>
      <selection pane="topRight" activeCell="A9" sqref="A9"/>
      <selection pane="bottomLeft" activeCell="A9" sqref="A9"/>
      <selection pane="bottomRight" activeCell="E46" sqref="E46"/>
    </sheetView>
  </sheetViews>
  <sheetFormatPr defaultColWidth="13.7109375" defaultRowHeight="15" x14ac:dyDescent="0.25"/>
  <cols>
    <col min="1" max="1" width="9.140625" style="67" bestFit="1" customWidth="1"/>
    <col min="2" max="2" width="64.7109375" style="67" customWidth="1"/>
    <col min="3" max="3" width="7.140625" style="67" customWidth="1"/>
    <col min="4" max="14" width="12.7109375" style="67" customWidth="1"/>
    <col min="15" max="16384" width="13.7109375" style="67"/>
  </cols>
  <sheetData>
    <row r="1" spans="1:29" s="1" customFormat="1" ht="19.899999999999999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</row>
    <row r="2" spans="1:29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9.899999999999999" customHeight="1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</row>
    <row r="4" spans="1:29" s="1" customFormat="1" ht="9" customHeight="1" x14ac:dyDescent="0.25">
      <c r="B4" s="2"/>
      <c r="C4" s="2"/>
      <c r="D4" s="2"/>
      <c r="E4" s="2"/>
      <c r="F4" s="273"/>
    </row>
    <row r="5" spans="1:29" customFormat="1" ht="15.75" x14ac:dyDescent="0.25">
      <c r="B5" s="68" t="s">
        <v>257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spans="1:29" customFormat="1" x14ac:dyDescent="0.25">
      <c r="B6" s="274" t="s">
        <v>256</v>
      </c>
      <c r="C6" s="65"/>
      <c r="D6" s="31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 spans="1:29" s="31" customFormat="1" ht="15.75" x14ac:dyDescent="0.25">
      <c r="A7" s="1"/>
      <c r="C7" s="65"/>
      <c r="D7" s="307"/>
      <c r="E7" s="377" t="s">
        <v>76</v>
      </c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</row>
    <row r="8" spans="1:29" s="31" customFormat="1" x14ac:dyDescent="0.25">
      <c r="A8" s="1"/>
      <c r="B8" s="70" t="s">
        <v>77</v>
      </c>
      <c r="C8" s="71" t="s">
        <v>78</v>
      </c>
      <c r="D8" s="72">
        <f>'Revenue &amp; Expenses Modeling'!E8</f>
        <v>45991</v>
      </c>
      <c r="E8" s="72">
        <f>'Revenue &amp; Expenses Modeling'!F8</f>
        <v>46112</v>
      </c>
      <c r="F8" s="72">
        <f>'Revenue &amp; Expenses Modeling'!G8</f>
        <v>46477</v>
      </c>
      <c r="G8" s="72">
        <f>'Revenue &amp; Expenses Modeling'!H8</f>
        <v>46843</v>
      </c>
      <c r="H8" s="72">
        <f>'Revenue &amp; Expenses Modeling'!I8</f>
        <v>47208</v>
      </c>
      <c r="I8" s="72">
        <f>'Revenue &amp; Expenses Modeling'!J8</f>
        <v>47573</v>
      </c>
      <c r="J8" s="72">
        <f>'Revenue &amp; Expenses Modeling'!K8</f>
        <v>47938</v>
      </c>
      <c r="K8" s="72">
        <f>'Revenue &amp; Expenses Modeling'!L8</f>
        <v>48304</v>
      </c>
      <c r="L8" s="72">
        <f>'Revenue &amp; Expenses Modeling'!M8</f>
        <v>48669</v>
      </c>
      <c r="M8" s="72">
        <f>'Revenue &amp; Expenses Modeling'!N8</f>
        <v>49034</v>
      </c>
      <c r="N8" s="72">
        <f>'Revenue &amp; Expenses Modeling'!O8</f>
        <v>49399</v>
      </c>
      <c r="O8" s="72">
        <f>'Revenue &amp; Expenses Modeling'!P8</f>
        <v>49765</v>
      </c>
      <c r="P8" s="72">
        <f>'Revenue &amp; Expenses Modeling'!Q8</f>
        <v>50130</v>
      </c>
      <c r="Q8" s="72">
        <f>'Revenue &amp; Expenses Modeling'!R8</f>
        <v>50495</v>
      </c>
      <c r="R8" s="72">
        <f>'Revenue &amp; Expenses Modeling'!S8</f>
        <v>50860</v>
      </c>
      <c r="S8" s="72">
        <f>'Revenue &amp; Expenses Modeling'!T8</f>
        <v>51226</v>
      </c>
      <c r="T8" s="72">
        <f>'Revenue &amp; Expenses Modeling'!U8</f>
        <v>51591</v>
      </c>
      <c r="U8" s="72">
        <f>'Revenue &amp; Expenses Modeling'!V8</f>
        <v>51956</v>
      </c>
      <c r="V8" s="72">
        <f>'Revenue &amp; Expenses Modeling'!W8</f>
        <v>52321</v>
      </c>
      <c r="W8" s="72">
        <f>'Revenue &amp; Expenses Modeling'!X8</f>
        <v>52687</v>
      </c>
      <c r="X8" s="72">
        <f>'Revenue &amp; Expenses Modeling'!Y8</f>
        <v>53052</v>
      </c>
      <c r="Y8" s="72">
        <f>'Revenue &amp; Expenses Modeling'!Z8</f>
        <v>53417</v>
      </c>
      <c r="Z8" s="72">
        <f>'Revenue &amp; Expenses Modeling'!AA8</f>
        <v>53782</v>
      </c>
      <c r="AA8" s="72">
        <f>'Revenue &amp; Expenses Modeling'!AB8</f>
        <v>54148</v>
      </c>
      <c r="AB8" s="72">
        <f>'Revenue &amp; Expenses Modeling'!AC8</f>
        <v>54513</v>
      </c>
      <c r="AC8" s="72">
        <f>'Revenue &amp; Expenses Modeling'!AD8</f>
        <v>54878</v>
      </c>
    </row>
    <row r="9" spans="1:29" s="77" customFormat="1" x14ac:dyDescent="0.25">
      <c r="A9" s="1"/>
      <c r="B9" s="73" t="s">
        <v>79</v>
      </c>
      <c r="C9" s="74"/>
      <c r="D9" s="75">
        <v>0</v>
      </c>
      <c r="E9" s="76">
        <v>1</v>
      </c>
      <c r="F9" s="76">
        <v>2</v>
      </c>
      <c r="G9" s="76">
        <v>3</v>
      </c>
      <c r="H9" s="76">
        <v>4</v>
      </c>
      <c r="I9" s="76">
        <v>5</v>
      </c>
      <c r="J9" s="76">
        <v>6</v>
      </c>
      <c r="K9" s="76">
        <v>7</v>
      </c>
      <c r="L9" s="76">
        <v>8</v>
      </c>
      <c r="M9" s="76">
        <v>9</v>
      </c>
      <c r="N9" s="76">
        <v>10</v>
      </c>
      <c r="O9" s="76">
        <v>11</v>
      </c>
      <c r="P9" s="76">
        <v>12</v>
      </c>
      <c r="Q9" s="76">
        <v>13</v>
      </c>
      <c r="R9" s="76">
        <v>14</v>
      </c>
      <c r="S9" s="76">
        <v>15</v>
      </c>
      <c r="T9" s="76">
        <v>16</v>
      </c>
      <c r="U9" s="76">
        <v>17</v>
      </c>
      <c r="V9" s="76">
        <v>18</v>
      </c>
      <c r="W9" s="76">
        <v>19</v>
      </c>
      <c r="X9" s="76">
        <v>20</v>
      </c>
      <c r="Y9" s="76">
        <v>21</v>
      </c>
      <c r="Z9" s="76">
        <v>22</v>
      </c>
      <c r="AA9" s="76">
        <v>23</v>
      </c>
      <c r="AB9" s="76">
        <v>24</v>
      </c>
      <c r="AC9" s="76">
        <v>25</v>
      </c>
    </row>
    <row r="10" spans="1:29" s="77" customFormat="1" x14ac:dyDescent="0.25">
      <c r="A10" s="1"/>
      <c r="B10" s="73" t="s">
        <v>80</v>
      </c>
      <c r="C10" s="74"/>
      <c r="D10" s="75">
        <f>+'Revenue &amp; Expenses Modeling'!E10</f>
        <v>8</v>
      </c>
      <c r="E10" s="74">
        <f t="shared" ref="E10:AC10" si="0">MONTH(E8-D8)</f>
        <v>4</v>
      </c>
      <c r="F10" s="74">
        <f t="shared" si="0"/>
        <v>12</v>
      </c>
      <c r="G10" s="74">
        <f t="shared" si="0"/>
        <v>12</v>
      </c>
      <c r="H10" s="74">
        <f t="shared" si="0"/>
        <v>12</v>
      </c>
      <c r="I10" s="74">
        <f t="shared" si="0"/>
        <v>12</v>
      </c>
      <c r="J10" s="74">
        <f t="shared" si="0"/>
        <v>12</v>
      </c>
      <c r="K10" s="74">
        <f t="shared" si="0"/>
        <v>12</v>
      </c>
      <c r="L10" s="74">
        <f t="shared" si="0"/>
        <v>12</v>
      </c>
      <c r="M10" s="74">
        <f t="shared" si="0"/>
        <v>12</v>
      </c>
      <c r="N10" s="74">
        <f t="shared" si="0"/>
        <v>12</v>
      </c>
      <c r="O10" s="74">
        <f t="shared" si="0"/>
        <v>12</v>
      </c>
      <c r="P10" s="74">
        <f t="shared" si="0"/>
        <v>12</v>
      </c>
      <c r="Q10" s="74">
        <f t="shared" si="0"/>
        <v>12</v>
      </c>
      <c r="R10" s="74">
        <f t="shared" si="0"/>
        <v>12</v>
      </c>
      <c r="S10" s="74">
        <f t="shared" si="0"/>
        <v>12</v>
      </c>
      <c r="T10" s="74">
        <f t="shared" si="0"/>
        <v>12</v>
      </c>
      <c r="U10" s="74">
        <f t="shared" si="0"/>
        <v>12</v>
      </c>
      <c r="V10" s="74">
        <f t="shared" si="0"/>
        <v>12</v>
      </c>
      <c r="W10" s="74">
        <f t="shared" si="0"/>
        <v>12</v>
      </c>
      <c r="X10" s="74">
        <f t="shared" si="0"/>
        <v>12</v>
      </c>
      <c r="Y10" s="74">
        <f t="shared" si="0"/>
        <v>12</v>
      </c>
      <c r="Z10" s="74">
        <f t="shared" si="0"/>
        <v>12</v>
      </c>
      <c r="AA10" s="74">
        <f t="shared" si="0"/>
        <v>12</v>
      </c>
      <c r="AB10" s="74">
        <f t="shared" si="0"/>
        <v>12</v>
      </c>
      <c r="AC10" s="74">
        <f t="shared" si="0"/>
        <v>12</v>
      </c>
    </row>
    <row r="11" spans="1:29" x14ac:dyDescent="0.25">
      <c r="A11" s="1"/>
      <c r="B11" s="59" t="s">
        <v>100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</row>
    <row r="12" spans="1:29" x14ac:dyDescent="0.25">
      <c r="A12" s="293">
        <v>0</v>
      </c>
      <c r="B12" s="60" t="s">
        <v>100</v>
      </c>
      <c r="C12" s="60"/>
      <c r="D12" s="60"/>
      <c r="E12" s="123">
        <f>'Revenue &amp; Expenses Modeling'!F38*(1-$A$12)</f>
        <v>1.0106692785691263</v>
      </c>
      <c r="F12" s="123">
        <f>'Revenue &amp; Expenses Modeling'!G38*(1-$A$12)</f>
        <v>3.0184646114727198</v>
      </c>
      <c r="G12" s="123">
        <f>'Revenue &amp; Expenses Modeling'!H38*(1-$A$12)</f>
        <v>3.776849625594207</v>
      </c>
      <c r="H12" s="123">
        <f>'Revenue &amp; Expenses Modeling'!I38*(1-$A$12)</f>
        <v>2.959441885935659</v>
      </c>
      <c r="I12" s="123">
        <f>'Revenue &amp; Expenses Modeling'!J38*(1-$A$12)</f>
        <v>2.9303724521171302</v>
      </c>
      <c r="J12" s="123">
        <f>'Revenue &amp; Expenses Modeling'!K38*(1-$A$12)</f>
        <v>2.9015937126367852</v>
      </c>
      <c r="K12" s="123">
        <f>'Revenue &amp; Expenses Modeling'!L38*(1-$A$12)</f>
        <v>2.8808304434456793</v>
      </c>
      <c r="L12" s="123">
        <f>'Revenue &amp; Expenses Modeling'!M38*(1-$A$12)</f>
        <v>2.8448967179865594</v>
      </c>
      <c r="M12" s="123">
        <f>'Revenue &amp; Expenses Modeling'!N38*(1-$A$12)</f>
        <v>2.8169727358475214</v>
      </c>
      <c r="N12" s="123">
        <f>'Revenue &amp; Expenses Modeling'!O38*(1-$A$12)</f>
        <v>2.7893279935298732</v>
      </c>
      <c r="O12" s="123">
        <f>'Revenue &amp; Expenses Modeling'!P38*(1-$A$12)</f>
        <v>2.7693828799903399</v>
      </c>
      <c r="P12" s="123">
        <f>'Revenue &amp; Expenses Modeling'!Q38*(1-$A$12)</f>
        <v>2.7348650866898745</v>
      </c>
      <c r="Q12" s="123">
        <f>'Revenue &amp; Expenses Modeling'!R38*(1-$A$12)</f>
        <v>2.7080414208638026</v>
      </c>
      <c r="R12" s="123">
        <f>'Revenue &amp; Expenses Modeling'!S38*(1-$A$12)</f>
        <v>2.6814859916959919</v>
      </c>
      <c r="S12" s="123">
        <f>'Revenue &amp; Expenses Modeling'!T38*(1-$A$12)</f>
        <v>2.6623267952109209</v>
      </c>
      <c r="T12" s="123">
        <f>'Revenue &amp; Expenses Modeling'!U38*(1-$A$12)</f>
        <v>2.6291691406924884</v>
      </c>
      <c r="U12" s="123">
        <f>'Revenue &amp; Expenses Modeling'!V38*(1-$A$12)</f>
        <v>2.6034024343263904</v>
      </c>
      <c r="V12" s="123">
        <f>'Revenue &amp; Expenses Modeling'!W38*(1-$A$12)</f>
        <v>2.5778933950239535</v>
      </c>
      <c r="W12" s="123">
        <f>'Revenue &amp; Expenses Modeling'!X38*(1-$A$12)</f>
        <v>2.559489147325587</v>
      </c>
      <c r="X12" s="123">
        <f>'Revenue &amp; Expenses Modeling'!Y38*(1-$A$12)</f>
        <v>2.5276380366942228</v>
      </c>
      <c r="Y12" s="123">
        <f>'Revenue &amp; Expenses Modeling'!Z38*(1-$A$12)</f>
        <v>2.5028866413681077</v>
      </c>
      <c r="Z12" s="123">
        <f>'Revenue &amp; Expenses Modeling'!AA38*(1-$A$12)</f>
        <v>2.4783827599952541</v>
      </c>
      <c r="AA12" s="123">
        <f>'Revenue &amp; Expenses Modeling'!AB38*(1-$A$12)</f>
        <v>2.4607037130891523</v>
      </c>
      <c r="AB12" s="123">
        <f>'Revenue &amp; Expenses Modeling'!AC38*(1-$A$12)</f>
        <v>2.4301076633025946</v>
      </c>
      <c r="AC12" s="123">
        <f>'Revenue &amp; Expenses Modeling'!AD38*(1-$A$12)</f>
        <v>2.4063315717103957</v>
      </c>
    </row>
    <row r="13" spans="1:29" x14ac:dyDescent="0.25">
      <c r="A13" s="1"/>
      <c r="B13" s="59" t="s">
        <v>94</v>
      </c>
      <c r="C13" s="31"/>
      <c r="D13" s="31"/>
      <c r="E13" s="124"/>
      <c r="F13" s="124"/>
      <c r="G13" s="124"/>
      <c r="H13" s="124"/>
      <c r="I13" s="124"/>
      <c r="J13" s="124"/>
      <c r="K13" s="124"/>
      <c r="L13" s="124"/>
      <c r="M13" s="124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</row>
    <row r="14" spans="1:29" x14ac:dyDescent="0.25">
      <c r="A14" s="293">
        <v>0</v>
      </c>
      <c r="B14" s="31" t="s">
        <v>46</v>
      </c>
      <c r="C14" s="31"/>
      <c r="D14" s="31"/>
      <c r="E14" s="124">
        <f>'Revenue &amp; Expenses Modeling'!F48*(1+$A$14)</f>
        <v>7.4666666666666659E-2</v>
      </c>
      <c r="F14" s="124">
        <f>'Revenue &amp; Expenses Modeling'!G48*(1+$A$14)</f>
        <v>0.23071999999999998</v>
      </c>
      <c r="G14" s="124">
        <f>'Revenue &amp; Expenses Modeling'!H48*(1+$A$14)</f>
        <v>0.23764159999999998</v>
      </c>
      <c r="H14" s="124">
        <f>'Revenue &amp; Expenses Modeling'!I48*(1+$A$14)</f>
        <v>0.24477084800000001</v>
      </c>
      <c r="I14" s="124">
        <f>'Revenue &amp; Expenses Modeling'!J48*(1+$A$14)</f>
        <v>0.25211397344000003</v>
      </c>
      <c r="J14" s="124">
        <f>'Revenue &amp; Expenses Modeling'!K48*(1+$A$14)</f>
        <v>0.2596773926432</v>
      </c>
      <c r="K14" s="124">
        <f>'Revenue &amp; Expenses Modeling'!L48*(1+$A$14)</f>
        <v>0.26746771442249601</v>
      </c>
      <c r="L14" s="124">
        <f>'Revenue &amp; Expenses Modeling'!M48*(1+$A$14)</f>
        <v>0.27549174585517089</v>
      </c>
      <c r="M14" s="124">
        <f>'Revenue &amp; Expenses Modeling'!N48*(1+$A$14)</f>
        <v>0.28375649823082605</v>
      </c>
      <c r="N14" s="124">
        <f>'Revenue &amp; Expenses Modeling'!O48*(1+$A$14)</f>
        <v>0.29226919317775085</v>
      </c>
      <c r="O14" s="124">
        <f>'Revenue &amp; Expenses Modeling'!P48*(1+$A$14)</f>
        <v>0.30103726897308336</v>
      </c>
      <c r="P14" s="124">
        <f>'Revenue &amp; Expenses Modeling'!Q48*(1+$A$14)</f>
        <v>0.31006838704227585</v>
      </c>
      <c r="Q14" s="124">
        <f>'Revenue &amp; Expenses Modeling'!R48*(1+$A$14)</f>
        <v>0.31937043865354414</v>
      </c>
      <c r="R14" s="124">
        <f>'Revenue &amp; Expenses Modeling'!S48*(1+$A$14)</f>
        <v>0.3289515518131505</v>
      </c>
      <c r="S14" s="124">
        <f>'Revenue &amp; Expenses Modeling'!T48*(1+$A$14)</f>
        <v>0.33882009836754506</v>
      </c>
      <c r="T14" s="124">
        <f>'Revenue &amp; Expenses Modeling'!U48*(1+$A$14)</f>
        <v>0.3489847013185714</v>
      </c>
      <c r="U14" s="124">
        <f>'Revenue &amp; Expenses Modeling'!V48*(1+$A$14)</f>
        <v>0.35945424235812856</v>
      </c>
      <c r="V14" s="124">
        <f>'Revenue &amp; Expenses Modeling'!W48*(1+$A$14)</f>
        <v>0.37023786962887245</v>
      </c>
      <c r="W14" s="124">
        <f>'Revenue &amp; Expenses Modeling'!X48*(1+$A$14)</f>
        <v>0.38134500571773861</v>
      </c>
      <c r="X14" s="124">
        <f>'Revenue &amp; Expenses Modeling'!Y48*(1+$A$14)</f>
        <v>0.39278535588927077</v>
      </c>
      <c r="Y14" s="124">
        <f>'Revenue &amp; Expenses Modeling'!Z48*(1+$A$14)</f>
        <v>0.4045689165659489</v>
      </c>
      <c r="Z14" s="124">
        <f>'Revenue &amp; Expenses Modeling'!AA48*(1+$A$14)</f>
        <v>0.41670598406292747</v>
      </c>
      <c r="AA14" s="124">
        <f>'Revenue &amp; Expenses Modeling'!AB48*(1+$A$14)</f>
        <v>0.42920716358481525</v>
      </c>
      <c r="AB14" s="124">
        <f>'Revenue &amp; Expenses Modeling'!AC48*(1+$A$14)</f>
        <v>0.44208337849235974</v>
      </c>
      <c r="AC14" s="124">
        <f>'Revenue &amp; Expenses Modeling'!AD48*(1+$A$14)</f>
        <v>0.45534587984713054</v>
      </c>
    </row>
    <row r="15" spans="1:29" x14ac:dyDescent="0.25">
      <c r="A15" s="1"/>
      <c r="B15" s="31" t="s">
        <v>47</v>
      </c>
      <c r="C15" s="31"/>
      <c r="D15" s="31"/>
      <c r="E15" s="124">
        <f>'Revenue &amp; Expenses Modeling'!F60</f>
        <v>2.2773354615607758E-2</v>
      </c>
      <c r="F15" s="124">
        <f>'Revenue &amp; Expenses Modeling'!G60</f>
        <v>2.1129118412360877E-2</v>
      </c>
      <c r="G15" s="124">
        <f>'Revenue &amp; Expenses Modeling'!H60</f>
        <v>1.9599416549702472E-2</v>
      </c>
      <c r="H15" s="124">
        <f>'Revenue &amp; Expenses Modeling'!I60</f>
        <v>1.8184338674813953E-2</v>
      </c>
      <c r="I15" s="124">
        <f>'Revenue &amp; Expenses Modeling'!J60</f>
        <v>1.6871429422492385E-2</v>
      </c>
      <c r="J15" s="124">
        <f>'Revenue &amp; Expenses Modeling'!K60</f>
        <v>1.5653312218188435E-2</v>
      </c>
      <c r="K15" s="124">
        <f>'Revenue &amp; Expenses Modeling'!L60</f>
        <v>1.4520046722221113E-2</v>
      </c>
      <c r="L15" s="124">
        <f>'Revenue &amp; Expenses Modeling'!M60</f>
        <v>1.3471699348876747E-2</v>
      </c>
      <c r="M15" s="124">
        <f>'Revenue &amp; Expenses Modeling'!N60</f>
        <v>1.2499042655887846E-2</v>
      </c>
      <c r="N15" s="124">
        <f>'Revenue &amp; Expenses Modeling'!O60</f>
        <v>1.1596611776132743E-2</v>
      </c>
      <c r="O15" s="124">
        <f>'Revenue &amp; Expenses Modeling'!P60</f>
        <v>1.0757042500772024E-2</v>
      </c>
      <c r="P15" s="124">
        <f>'Revenue &amp; Expenses Modeling'!Q60</f>
        <v>9.9803840322162836E-3</v>
      </c>
      <c r="Q15" s="124">
        <f>'Revenue &amp; Expenses Modeling'!R60</f>
        <v>9.2598003050902676E-3</v>
      </c>
      <c r="R15" s="124">
        <f>'Revenue &amp; Expenses Modeling'!S60</f>
        <v>8.591242723062751E-3</v>
      </c>
      <c r="S15" s="124">
        <f>'Revenue &amp; Expenses Modeling'!T60</f>
        <v>7.9692555800340448E-3</v>
      </c>
      <c r="T15" s="124">
        <f>'Revenue &amp; Expenses Modeling'!U60</f>
        <v>7.3938753271555859E-3</v>
      </c>
      <c r="U15" s="124">
        <f>'Revenue &amp; Expenses Modeling'!V60</f>
        <v>6.860037528534953E-3</v>
      </c>
      <c r="V15" s="124">
        <f>'Revenue &amp; Expenses Modeling'!W60</f>
        <v>6.3647428189747297E-3</v>
      </c>
      <c r="W15" s="124">
        <f>'Revenue &amp; Expenses Modeling'!X60</f>
        <v>5.9039493890022075E-3</v>
      </c>
      <c r="X15" s="124">
        <f>'Revenue &amp; Expenses Modeling'!Y60</f>
        <v>5.4776842431162476E-3</v>
      </c>
      <c r="Y15" s="124">
        <f>'Revenue &amp; Expenses Modeling'!Z60</f>
        <v>5.0821954407632543E-3</v>
      </c>
      <c r="Z15" s="124">
        <f>'Revenue &amp; Expenses Modeling'!AA60</f>
        <v>4.7152609299401472E-3</v>
      </c>
      <c r="AA15" s="124">
        <f>'Revenue &amp; Expenses Modeling'!AB60</f>
        <v>4.3738863734309559E-3</v>
      </c>
      <c r="AB15" s="124">
        <f>'Revenue &amp; Expenses Modeling'!AC60</f>
        <v>4.0580917772692401E-3</v>
      </c>
      <c r="AC15" s="124">
        <f>'Revenue &amp; Expenses Modeling'!AD60</f>
        <v>3.765097550950401E-3</v>
      </c>
    </row>
    <row r="16" spans="1:29" s="125" customFormat="1" x14ac:dyDescent="0.25">
      <c r="A16" s="255"/>
      <c r="B16" s="144" t="s">
        <v>101</v>
      </c>
      <c r="C16" s="144"/>
      <c r="D16" s="144"/>
      <c r="E16" s="124">
        <f>'Dep Schedule'!F54</f>
        <v>0.55844175185037748</v>
      </c>
      <c r="F16" s="124">
        <f>'Dep Schedule'!G54</f>
        <v>1.64423620324688</v>
      </c>
      <c r="G16" s="124">
        <f>'Dep Schedule'!H54</f>
        <v>1.5297018626584074</v>
      </c>
      <c r="H16" s="124">
        <f>'Dep Schedule'!I54</f>
        <v>1.4150778748885184</v>
      </c>
      <c r="I16" s="124">
        <f>'Dep Schedule'!J54</f>
        <v>1.3129092523215675</v>
      </c>
      <c r="J16" s="124">
        <f>'Dep Schedule'!K54</f>
        <v>1.2181172043039503</v>
      </c>
      <c r="K16" s="124">
        <f>'Dep Schedule'!L54</f>
        <v>1.1332654959673234</v>
      </c>
      <c r="L16" s="124">
        <f>'Dep Schedule'!M54</f>
        <v>1.0483473733443642</v>
      </c>
      <c r="M16" s="124">
        <f>'Dep Schedule'!N54</f>
        <v>0.97265669298890112</v>
      </c>
      <c r="N16" s="124">
        <f>'Dep Schedule'!O54</f>
        <v>0.9024308797551025</v>
      </c>
      <c r="O16" s="124">
        <f>'Dep Schedule'!P54</f>
        <v>0.83956927536072046</v>
      </c>
      <c r="P16" s="124">
        <f>'Dep Schedule'!Q54</f>
        <v>0.77665846855574006</v>
      </c>
      <c r="Q16" s="124">
        <f>'Dep Schedule'!R54</f>
        <v>0.72058372712601582</v>
      </c>
      <c r="R16" s="124">
        <f>'Dep Schedule'!S54</f>
        <v>0.66855758202751736</v>
      </c>
      <c r="S16" s="124">
        <f>'Dep Schedule'!T54</f>
        <v>0.62198714302870628</v>
      </c>
      <c r="T16" s="124">
        <f>'Dep Schedule'!U54</f>
        <v>0.57538025287845795</v>
      </c>
      <c r="U16" s="124">
        <f>'Dep Schedule'!V54</f>
        <v>0.53383779862063341</v>
      </c>
      <c r="V16" s="124">
        <f>'Dep Schedule'!W54</f>
        <v>0.49529470956022364</v>
      </c>
      <c r="W16" s="124">
        <f>'Dep Schedule'!X54</f>
        <v>0.46079342997252337</v>
      </c>
      <c r="X16" s="124">
        <f>'Dep Schedule'!Y54</f>
        <v>0.42626514588595926</v>
      </c>
      <c r="Y16" s="124">
        <f>'Dep Schedule'!Z54</f>
        <v>0.395488802352993</v>
      </c>
      <c r="Z16" s="124">
        <f>'Dep Schedule'!AA54</f>
        <v>0.36693451082310691</v>
      </c>
      <c r="AA16" s="124">
        <f>'Dep Schedule'!AB54</f>
        <v>0.34137455650919002</v>
      </c>
      <c r="AB16" s="124">
        <f>'Dep Schedule'!AC54</f>
        <v>0.31579459616171507</v>
      </c>
      <c r="AC16" s="124">
        <f>'Dep Schedule'!AD54</f>
        <v>0.29299422631883926</v>
      </c>
    </row>
    <row r="17" spans="1:29" s="125" customFormat="1" x14ac:dyDescent="0.25">
      <c r="A17" s="255"/>
      <c r="B17" s="31" t="s">
        <v>370</v>
      </c>
      <c r="C17" s="144"/>
      <c r="D17" s="144"/>
      <c r="E17" s="124">
        <f>+'Revenue &amp; Expenses Modeling'!F53</f>
        <v>1.4073919145753424E-2</v>
      </c>
      <c r="F17" s="124">
        <f>+'Revenue &amp; Expenses Modeling'!G53</f>
        <v>4.24543842E-2</v>
      </c>
      <c r="G17" s="124">
        <f>+'Revenue &amp; Expenses Modeling'!H53</f>
        <v>4.469923246043836E-2</v>
      </c>
      <c r="H17" s="124">
        <f>+'Revenue &amp; Expenses Modeling'!I53</f>
        <v>4.4577103410000006E-2</v>
      </c>
      <c r="I17" s="124">
        <f>+'Revenue &amp; Expenses Modeling'!J53</f>
        <v>4.4577103410000006E-2</v>
      </c>
      <c r="J17" s="124">
        <f>+'Revenue &amp; Expenses Modeling'!K53</f>
        <v>4.6805958580499997E-2</v>
      </c>
      <c r="K17" s="124">
        <f>+'Revenue &amp; Expenses Modeling'!L53</f>
        <v>4.6934194083460272E-2</v>
      </c>
      <c r="L17" s="124">
        <f>+'Revenue &amp; Expenses Modeling'!M53</f>
        <v>4.6805958580499997E-2</v>
      </c>
      <c r="M17" s="124">
        <f>+'Revenue &amp; Expenses Modeling'!N53</f>
        <v>4.9146256509525005E-2</v>
      </c>
      <c r="N17" s="124">
        <f>+'Revenue &amp; Expenses Modeling'!O53</f>
        <v>4.9146256509525005E-2</v>
      </c>
      <c r="O17" s="124">
        <f>+'Revenue &amp; Expenses Modeling'!P53</f>
        <v>4.9280903787633286E-2</v>
      </c>
      <c r="P17" s="124">
        <f>+'Revenue &amp; Expenses Modeling'!Q53</f>
        <v>5.1603569335001244E-2</v>
      </c>
      <c r="Q17" s="124">
        <f>+'Revenue &amp; Expenses Modeling'!R53</f>
        <v>5.1603569335001244E-2</v>
      </c>
      <c r="R17" s="124">
        <f>+'Revenue &amp; Expenses Modeling'!S53</f>
        <v>5.1603569335001244E-2</v>
      </c>
      <c r="S17" s="124">
        <f>+'Revenue &amp; Expenses Modeling'!T53</f>
        <v>5.4332196425865696E-2</v>
      </c>
      <c r="T17" s="124">
        <f>+'Revenue &amp; Expenses Modeling'!U53</f>
        <v>5.4183747801751309E-2</v>
      </c>
      <c r="U17" s="124">
        <f>+'Revenue &amp; Expenses Modeling'!V53</f>
        <v>5.4183747801751309E-2</v>
      </c>
      <c r="V17" s="124">
        <f>+'Revenue &amp; Expenses Modeling'!W53</f>
        <v>5.6892935191838877E-2</v>
      </c>
      <c r="W17" s="124">
        <f>+'Revenue &amp; Expenses Modeling'!X53</f>
        <v>5.7048806247158974E-2</v>
      </c>
      <c r="X17" s="124">
        <f>+'Revenue &amp; Expenses Modeling'!Y53</f>
        <v>5.6892935191838877E-2</v>
      </c>
      <c r="Y17" s="124">
        <f>+'Revenue &amp; Expenses Modeling'!Z53</f>
        <v>5.9737581951430814E-2</v>
      </c>
      <c r="Z17" s="124">
        <f>+'Revenue &amp; Expenses Modeling'!AA53</f>
        <v>5.9737581951430814E-2</v>
      </c>
      <c r="AA17" s="124">
        <f>+'Revenue &amp; Expenses Modeling'!AB53</f>
        <v>5.9901246559516924E-2</v>
      </c>
      <c r="AB17" s="124">
        <f>+'Revenue &amp; Expenses Modeling'!AC53</f>
        <v>6.2724461049002353E-2</v>
      </c>
      <c r="AC17" s="124">
        <f>+'Revenue &amp; Expenses Modeling'!AD53</f>
        <v>6.2724461049002353E-2</v>
      </c>
    </row>
    <row r="18" spans="1:29" x14ac:dyDescent="0.25">
      <c r="A18" s="293">
        <v>0</v>
      </c>
      <c r="B18" s="60" t="s">
        <v>102</v>
      </c>
      <c r="C18" s="60"/>
      <c r="D18" s="60"/>
      <c r="E18" s="123">
        <f>SUM(E14:E17)*(1+$A$18)</f>
        <v>0.66995569227840523</v>
      </c>
      <c r="F18" s="123">
        <f t="shared" ref="F18:AC18" si="1">SUM(F14:F17)*(1+$A$18)</f>
        <v>1.9385397058592408</v>
      </c>
      <c r="G18" s="123">
        <f t="shared" si="1"/>
        <v>1.831642111668548</v>
      </c>
      <c r="H18" s="123">
        <f t="shared" si="1"/>
        <v>1.7226101649733323</v>
      </c>
      <c r="I18" s="123">
        <f t="shared" si="1"/>
        <v>1.62647175859406</v>
      </c>
      <c r="J18" s="123">
        <f t="shared" si="1"/>
        <v>1.5402538677458388</v>
      </c>
      <c r="K18" s="123">
        <f t="shared" si="1"/>
        <v>1.4621874511955006</v>
      </c>
      <c r="L18" s="123">
        <f t="shared" si="1"/>
        <v>1.384116777128912</v>
      </c>
      <c r="M18" s="123">
        <f t="shared" si="1"/>
        <v>1.3180584903851402</v>
      </c>
      <c r="N18" s="123">
        <f t="shared" si="1"/>
        <v>1.2554429412185111</v>
      </c>
      <c r="O18" s="123">
        <f t="shared" si="1"/>
        <v>1.2006444906222093</v>
      </c>
      <c r="P18" s="123">
        <f t="shared" si="1"/>
        <v>1.1483108089652334</v>
      </c>
      <c r="Q18" s="123">
        <f t="shared" si="1"/>
        <v>1.1008175354196514</v>
      </c>
      <c r="R18" s="123">
        <f t="shared" si="1"/>
        <v>1.0577039458987318</v>
      </c>
      <c r="S18" s="123">
        <f t="shared" si="1"/>
        <v>1.0231086934021509</v>
      </c>
      <c r="T18" s="123">
        <f t="shared" si="1"/>
        <v>0.98594257732593626</v>
      </c>
      <c r="U18" s="123">
        <f t="shared" si="1"/>
        <v>0.95433582630904823</v>
      </c>
      <c r="V18" s="123">
        <f t="shared" si="1"/>
        <v>0.92879025719990971</v>
      </c>
      <c r="W18" s="123">
        <f t="shared" si="1"/>
        <v>0.90509119132642324</v>
      </c>
      <c r="X18" s="123">
        <f t="shared" si="1"/>
        <v>0.88142112121018512</v>
      </c>
      <c r="Y18" s="123">
        <f t="shared" si="1"/>
        <v>0.86487749631113597</v>
      </c>
      <c r="Z18" s="123">
        <f t="shared" si="1"/>
        <v>0.84809333776740536</v>
      </c>
      <c r="AA18" s="123">
        <f t="shared" si="1"/>
        <v>0.83485685302695312</v>
      </c>
      <c r="AB18" s="123">
        <f t="shared" si="1"/>
        <v>0.82466052748034635</v>
      </c>
      <c r="AC18" s="123">
        <f t="shared" si="1"/>
        <v>0.81482966476592256</v>
      </c>
    </row>
    <row r="19" spans="1:29" x14ac:dyDescent="0.25">
      <c r="A19" s="1"/>
      <c r="B19" s="31" t="s">
        <v>103</v>
      </c>
      <c r="C19" s="31"/>
      <c r="D19" s="31"/>
      <c r="E19" s="124">
        <f>E12-E18</f>
        <v>0.34071358629072102</v>
      </c>
      <c r="F19" s="124">
        <f t="shared" ref="F19:AC19" si="2">F12-F18</f>
        <v>1.079924905613479</v>
      </c>
      <c r="G19" s="124">
        <f t="shared" si="2"/>
        <v>1.945207513925659</v>
      </c>
      <c r="H19" s="124">
        <f t="shared" si="2"/>
        <v>1.2368317209623267</v>
      </c>
      <c r="I19" s="124">
        <f t="shared" si="2"/>
        <v>1.3039006935230701</v>
      </c>
      <c r="J19" s="124">
        <f t="shared" si="2"/>
        <v>1.3613398448909464</v>
      </c>
      <c r="K19" s="124">
        <f t="shared" si="2"/>
        <v>1.4186429922501786</v>
      </c>
      <c r="L19" s="124">
        <f t="shared" si="2"/>
        <v>1.4607799408576474</v>
      </c>
      <c r="M19" s="124">
        <f t="shared" si="2"/>
        <v>1.4989142454623812</v>
      </c>
      <c r="N19" s="124">
        <f t="shared" si="2"/>
        <v>1.5338850523113621</v>
      </c>
      <c r="O19" s="124">
        <f t="shared" si="2"/>
        <v>1.5687383893681306</v>
      </c>
      <c r="P19" s="124">
        <f t="shared" si="2"/>
        <v>1.5865542777246411</v>
      </c>
      <c r="Q19" s="124">
        <f t="shared" si="2"/>
        <v>1.6072238854441512</v>
      </c>
      <c r="R19" s="124">
        <f t="shared" si="2"/>
        <v>1.62378204579726</v>
      </c>
      <c r="S19" s="124">
        <f t="shared" si="2"/>
        <v>1.6392181018087699</v>
      </c>
      <c r="T19" s="124">
        <f t="shared" si="2"/>
        <v>1.6432265633665522</v>
      </c>
      <c r="U19" s="124">
        <f t="shared" si="2"/>
        <v>1.6490666080173422</v>
      </c>
      <c r="V19" s="124">
        <f t="shared" si="2"/>
        <v>1.6491031378240439</v>
      </c>
      <c r="W19" s="124">
        <f>W12-W18</f>
        <v>1.6543979559991637</v>
      </c>
      <c r="X19" s="124">
        <f>X12-X18</f>
        <v>1.6462169154840378</v>
      </c>
      <c r="Y19" s="124">
        <f t="shared" si="2"/>
        <v>1.6380091450569716</v>
      </c>
      <c r="Z19" s="124">
        <f t="shared" si="2"/>
        <v>1.6302894222278488</v>
      </c>
      <c r="AA19" s="124">
        <f t="shared" si="2"/>
        <v>1.6258468600621991</v>
      </c>
      <c r="AB19" s="124">
        <f t="shared" si="2"/>
        <v>1.6054471358222484</v>
      </c>
      <c r="AC19" s="124">
        <f t="shared" si="2"/>
        <v>1.5915019069444731</v>
      </c>
    </row>
    <row r="20" spans="1:29" x14ac:dyDescent="0.25">
      <c r="A20" s="1"/>
      <c r="B20" s="59" t="s">
        <v>104</v>
      </c>
      <c r="C20" s="31"/>
      <c r="D20" s="31"/>
      <c r="E20" s="118"/>
      <c r="F20" s="31"/>
      <c r="G20" s="31"/>
      <c r="H20" s="31"/>
      <c r="I20" s="31"/>
      <c r="J20" s="31"/>
      <c r="K20" s="31"/>
      <c r="L20" s="31"/>
      <c r="M20" s="31"/>
      <c r="N20" s="31"/>
    </row>
    <row r="21" spans="1:29" s="125" customFormat="1" x14ac:dyDescent="0.25">
      <c r="A21" s="255"/>
      <c r="B21" s="144" t="s">
        <v>105</v>
      </c>
      <c r="C21" s="144"/>
      <c r="D21" s="144"/>
      <c r="E21" s="124">
        <f>'Loan Schedule'!F17</f>
        <v>0.54572762945819631</v>
      </c>
      <c r="F21" s="124">
        <f>'Loan Schedule'!G17</f>
        <v>1.5845328883745893</v>
      </c>
      <c r="G21" s="124">
        <f>'Loan Schedule'!H17</f>
        <v>1.4792328883745895</v>
      </c>
      <c r="H21" s="124">
        <f>'Loan Schedule'!I17</f>
        <v>1.3739328883745894</v>
      </c>
      <c r="I21" s="124">
        <f>'Loan Schedule'!J17</f>
        <v>1.2686328883745897</v>
      </c>
      <c r="J21" s="124">
        <f>'Loan Schedule'!K17</f>
        <v>1.1633328883745895</v>
      </c>
      <c r="K21" s="124">
        <f>'Loan Schedule'!L17</f>
        <v>1.0580328883745898</v>
      </c>
      <c r="L21" s="124">
        <f>'Loan Schedule'!M17</f>
        <v>0.95723045048122002</v>
      </c>
      <c r="M21" s="124">
        <f>'Loan Schedule'!N17</f>
        <v>0.86092557469447983</v>
      </c>
      <c r="N21" s="124">
        <f>'Loan Schedule'!O17</f>
        <v>0.76462069890773954</v>
      </c>
      <c r="O21" s="124">
        <f>'Loan Schedule'!P17</f>
        <v>0.66831582312099946</v>
      </c>
      <c r="P21" s="124">
        <f>'Loan Schedule'!Q17</f>
        <v>0.57201094733425939</v>
      </c>
      <c r="Q21" s="124">
        <f>'Loan Schedule'!R17</f>
        <v>0.4757060715475192</v>
      </c>
      <c r="R21" s="124">
        <f>'Loan Schedule'!S17</f>
        <v>0.37940119576077896</v>
      </c>
      <c r="S21" s="124">
        <f>'Loan Schedule'!T17</f>
        <v>0.29029875786740872</v>
      </c>
      <c r="T21" s="124">
        <f>'Loan Schedule'!U17</f>
        <v>0.20839875786740888</v>
      </c>
      <c r="U21" s="124">
        <f>'Loan Schedule'!V17</f>
        <v>0.12649875786740888</v>
      </c>
      <c r="V21" s="124">
        <f>'Loan Schedule'!W17</f>
        <v>4.4446726289600093E-2</v>
      </c>
      <c r="W21" s="124">
        <f>'Loan Schedule'!X17</f>
        <v>0</v>
      </c>
      <c r="X21" s="124">
        <f>'Loan Schedule'!Y17</f>
        <v>0</v>
      </c>
      <c r="Y21" s="124">
        <f>'Loan Schedule'!Z17</f>
        <v>0</v>
      </c>
      <c r="Z21" s="124">
        <f>'Loan Schedule'!AA17</f>
        <v>0</v>
      </c>
      <c r="AA21" s="124">
        <f>'Loan Schedule'!AB17</f>
        <v>0</v>
      </c>
      <c r="AB21" s="124">
        <f>'Loan Schedule'!AC17</f>
        <v>0</v>
      </c>
      <c r="AC21" s="124">
        <f>'Loan Schedule'!AD17</f>
        <v>0</v>
      </c>
    </row>
    <row r="22" spans="1:29" s="125" customFormat="1" x14ac:dyDescent="0.25">
      <c r="A22" s="255"/>
      <c r="B22" s="144" t="s">
        <v>314</v>
      </c>
      <c r="C22" s="144"/>
      <c r="D22" s="144"/>
      <c r="E22" s="124">
        <f>+'Revenue &amp; Expenses Modeling'!F55</f>
        <v>0</v>
      </c>
      <c r="F22" s="124">
        <f>+'Revenue &amp; Expenses Modeling'!G55</f>
        <v>0</v>
      </c>
      <c r="G22" s="124">
        <f>+'Revenue &amp; Expenses Modeling'!H55</f>
        <v>0</v>
      </c>
      <c r="H22" s="124">
        <f>+'Revenue &amp; Expenses Modeling'!I55</f>
        <v>0</v>
      </c>
      <c r="I22" s="124">
        <f>+'Revenue &amp; Expenses Modeling'!J55</f>
        <v>0</v>
      </c>
      <c r="J22" s="124">
        <f>+'Revenue &amp; Expenses Modeling'!K55</f>
        <v>0</v>
      </c>
      <c r="K22" s="124">
        <f>+'Revenue &amp; Expenses Modeling'!L55</f>
        <v>0</v>
      </c>
      <c r="L22" s="124">
        <f>+'Revenue &amp; Expenses Modeling'!M55</f>
        <v>0</v>
      </c>
      <c r="M22" s="124">
        <f>+'Revenue &amp; Expenses Modeling'!N55</f>
        <v>0</v>
      </c>
      <c r="N22" s="124">
        <f>+'Revenue &amp; Expenses Modeling'!O55</f>
        <v>0</v>
      </c>
      <c r="O22" s="124">
        <f>+'Revenue &amp; Expenses Modeling'!P55</f>
        <v>0</v>
      </c>
      <c r="P22" s="124">
        <f>+'Revenue &amp; Expenses Modeling'!Q55</f>
        <v>0</v>
      </c>
      <c r="Q22" s="124">
        <f>+'Revenue &amp; Expenses Modeling'!R55</f>
        <v>0</v>
      </c>
      <c r="R22" s="124">
        <f>+'Revenue &amp; Expenses Modeling'!S55</f>
        <v>0</v>
      </c>
      <c r="S22" s="124">
        <f>+'Revenue &amp; Expenses Modeling'!T55</f>
        <v>0</v>
      </c>
      <c r="T22" s="124">
        <f>+'Revenue &amp; Expenses Modeling'!U55</f>
        <v>0</v>
      </c>
      <c r="U22" s="124">
        <f>+'Revenue &amp; Expenses Modeling'!V55</f>
        <v>0</v>
      </c>
      <c r="V22" s="124">
        <f>+'Revenue &amp; Expenses Modeling'!W55</f>
        <v>0</v>
      </c>
      <c r="W22" s="124">
        <f>+'Revenue &amp; Expenses Modeling'!X55</f>
        <v>0</v>
      </c>
      <c r="X22" s="124">
        <f>+'Revenue &amp; Expenses Modeling'!Y55</f>
        <v>0</v>
      </c>
      <c r="Y22" s="124">
        <f>+'Revenue &amp; Expenses Modeling'!Z55</f>
        <v>0</v>
      </c>
      <c r="Z22" s="124">
        <f>+'Revenue &amp; Expenses Modeling'!AA55</f>
        <v>0</v>
      </c>
      <c r="AA22" s="124">
        <f>+'Revenue &amp; Expenses Modeling'!AB55</f>
        <v>0</v>
      </c>
      <c r="AB22" s="124">
        <f>+'Revenue &amp; Expenses Modeling'!AC55</f>
        <v>0</v>
      </c>
      <c r="AC22" s="124">
        <f>+'Revenue &amp; Expenses Modeling'!AD55</f>
        <v>0</v>
      </c>
    </row>
    <row r="23" spans="1:29" x14ac:dyDescent="0.25">
      <c r="A23" s="1"/>
      <c r="B23" s="60" t="s">
        <v>106</v>
      </c>
      <c r="C23" s="60"/>
      <c r="D23" s="60"/>
      <c r="E23" s="117">
        <f>E19-E21</f>
        <v>-0.20501404316747529</v>
      </c>
      <c r="F23" s="117">
        <f t="shared" ref="F23:AC23" si="3">F19-F21</f>
        <v>-0.5046079827611103</v>
      </c>
      <c r="G23" s="117">
        <f>G19-G21</f>
        <v>0.4659746255510695</v>
      </c>
      <c r="H23" s="117">
        <f t="shared" si="3"/>
        <v>-0.13710116741226264</v>
      </c>
      <c r="I23" s="117">
        <f t="shared" si="3"/>
        <v>3.5267805148480491E-2</v>
      </c>
      <c r="J23" s="117">
        <f t="shared" si="3"/>
        <v>0.19800695651635691</v>
      </c>
      <c r="K23" s="117">
        <f t="shared" si="3"/>
        <v>0.36061010387558889</v>
      </c>
      <c r="L23" s="117">
        <f t="shared" si="3"/>
        <v>0.50354949037642738</v>
      </c>
      <c r="M23" s="117">
        <f t="shared" si="3"/>
        <v>0.63798867076790133</v>
      </c>
      <c r="N23" s="117">
        <f t="shared" si="3"/>
        <v>0.76926435340362254</v>
      </c>
      <c r="O23" s="117">
        <f t="shared" si="3"/>
        <v>0.90042256624713113</v>
      </c>
      <c r="P23" s="117">
        <f t="shared" si="3"/>
        <v>1.0145433303903817</v>
      </c>
      <c r="Q23" s="117">
        <f t="shared" si="3"/>
        <v>1.131517813896632</v>
      </c>
      <c r="R23" s="117">
        <f t="shared" si="3"/>
        <v>1.244380850036481</v>
      </c>
      <c r="S23" s="117">
        <f t="shared" si="3"/>
        <v>1.3489193439413611</v>
      </c>
      <c r="T23" s="117">
        <f t="shared" si="3"/>
        <v>1.4348278054991432</v>
      </c>
      <c r="U23" s="117">
        <f t="shared" si="3"/>
        <v>1.5225678501499333</v>
      </c>
      <c r="V23" s="117">
        <f t="shared" si="3"/>
        <v>1.6046564115344439</v>
      </c>
      <c r="W23" s="117">
        <f t="shared" si="3"/>
        <v>1.6543979559991637</v>
      </c>
      <c r="X23" s="117">
        <f t="shared" si="3"/>
        <v>1.6462169154840378</v>
      </c>
      <c r="Y23" s="117">
        <f t="shared" si="3"/>
        <v>1.6380091450569716</v>
      </c>
      <c r="Z23" s="117">
        <f t="shared" si="3"/>
        <v>1.6302894222278488</v>
      </c>
      <c r="AA23" s="117">
        <f t="shared" si="3"/>
        <v>1.6258468600621991</v>
      </c>
      <c r="AB23" s="117">
        <f t="shared" si="3"/>
        <v>1.6054471358222484</v>
      </c>
      <c r="AC23" s="117">
        <f t="shared" si="3"/>
        <v>1.5915019069444731</v>
      </c>
    </row>
    <row r="24" spans="1:29" s="125" customFormat="1" x14ac:dyDescent="0.25">
      <c r="A24" s="355">
        <f>22%*(1.04)*(1.1)</f>
        <v>0.25168000000000001</v>
      </c>
      <c r="B24" s="144" t="s">
        <v>107</v>
      </c>
      <c r="C24" s="256"/>
      <c r="D24" s="144"/>
      <c r="E24" s="124">
        <f>+'Tax Schedule'!F40</f>
        <v>0</v>
      </c>
      <c r="F24" s="124">
        <f>+'Tax Schedule'!G40</f>
        <v>0</v>
      </c>
      <c r="G24" s="124">
        <f>+'Tax Schedule'!H40</f>
        <v>7.9961245744563522E-2</v>
      </c>
      <c r="H24" s="124">
        <f>+'Tax Schedule'!I40</f>
        <v>0</v>
      </c>
      <c r="I24" s="124">
        <f>+'Tax Schedule'!J40</f>
        <v>6.0519553634792523E-3</v>
      </c>
      <c r="J24" s="124">
        <f>+'Tax Schedule'!K40</f>
        <v>3.3977993738206848E-2</v>
      </c>
      <c r="K24" s="124">
        <f>+'Tax Schedule'!L40</f>
        <v>6.1880693825051056E-2</v>
      </c>
      <c r="L24" s="124">
        <f>+'Tax Schedule'!M40</f>
        <v>8.640909254859494E-2</v>
      </c>
      <c r="M24" s="124">
        <f>+'Tax Schedule'!N40</f>
        <v>0.10947885590377188</v>
      </c>
      <c r="N24" s="124">
        <f>+'Tax Schedule'!O40</f>
        <v>0.13200576304406164</v>
      </c>
      <c r="O24" s="124">
        <f>+'Tax Schedule'!P40</f>
        <v>0.1545125123680077</v>
      </c>
      <c r="P24" s="124">
        <f>+'Tax Schedule'!Q40</f>
        <v>0.17409563549498949</v>
      </c>
      <c r="Q24" s="124">
        <f>+'Tax Schedule'!R40</f>
        <v>0.19416845686466205</v>
      </c>
      <c r="R24" s="124">
        <f>+'Tax Schedule'!S40</f>
        <v>0.21353575386626014</v>
      </c>
      <c r="S24" s="124">
        <f>+'Tax Schedule'!T40</f>
        <v>0.23147455942033757</v>
      </c>
      <c r="T24" s="124">
        <f>+'Tax Schedule'!U40</f>
        <v>0.24621645142365298</v>
      </c>
      <c r="U24" s="124">
        <f>+'Tax Schedule'!V40</f>
        <v>0.26127264308572856</v>
      </c>
      <c r="V24" s="124">
        <f>+'Tax Schedule'!W40</f>
        <v>0.27535904021931057</v>
      </c>
      <c r="W24" s="124">
        <f>+'Tax Schedule'!X40</f>
        <v>0.28389468924945649</v>
      </c>
      <c r="X24" s="124">
        <f>+'Tax Schedule'!Y40</f>
        <v>0.28249082269706088</v>
      </c>
      <c r="Y24" s="124">
        <f>+'Tax Schedule'!Z40</f>
        <v>0.3290661625213766</v>
      </c>
      <c r="Z24" s="124">
        <f>+'Tax Schedule'!AA40</f>
        <v>0.47029708262557141</v>
      </c>
      <c r="AA24" s="124">
        <f>+'Tax Schedule'!AB40</f>
        <v>0.46752531603396391</v>
      </c>
      <c r="AB24" s="124">
        <f>+'Tax Schedule'!AC40</f>
        <v>0.46016626330104332</v>
      </c>
      <c r="AC24" s="124">
        <f>+'Tax Schedule'!AD40</f>
        <v>0.45442390938573196</v>
      </c>
    </row>
    <row r="25" spans="1:29" s="125" customFormat="1" x14ac:dyDescent="0.25">
      <c r="A25" s="355"/>
      <c r="B25" s="144"/>
      <c r="C25" s="256"/>
      <c r="D25" s="14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</row>
    <row r="26" spans="1:29" x14ac:dyDescent="0.25">
      <c r="A26" s="1"/>
      <c r="B26" s="70" t="s">
        <v>108</v>
      </c>
      <c r="C26" s="70"/>
      <c r="D26" s="70"/>
      <c r="E26" s="119">
        <f>E23-E24</f>
        <v>-0.20501404316747529</v>
      </c>
      <c r="F26" s="119">
        <f t="shared" ref="F26:AC26" si="4">F23-F24</f>
        <v>-0.5046079827611103</v>
      </c>
      <c r="G26" s="119">
        <f t="shared" si="4"/>
        <v>0.38601337980650596</v>
      </c>
      <c r="H26" s="119">
        <f t="shared" si="4"/>
        <v>-0.13710116741226264</v>
      </c>
      <c r="I26" s="119">
        <f t="shared" si="4"/>
        <v>2.921584978500124E-2</v>
      </c>
      <c r="J26" s="119">
        <f t="shared" si="4"/>
        <v>0.16402896277815007</v>
      </c>
      <c r="K26" s="119">
        <f t="shared" si="4"/>
        <v>0.29872941005053782</v>
      </c>
      <c r="L26" s="119">
        <f t="shared" si="4"/>
        <v>0.41714039782783241</v>
      </c>
      <c r="M26" s="119">
        <f t="shared" si="4"/>
        <v>0.5285098148641294</v>
      </c>
      <c r="N26" s="119">
        <f t="shared" si="4"/>
        <v>0.63725859035956089</v>
      </c>
      <c r="O26" s="119">
        <f t="shared" si="4"/>
        <v>0.74591005387912346</v>
      </c>
      <c r="P26" s="119">
        <f t="shared" si="4"/>
        <v>0.84044769489539217</v>
      </c>
      <c r="Q26" s="119">
        <f t="shared" si="4"/>
        <v>0.93734935703196998</v>
      </c>
      <c r="R26" s="119">
        <f t="shared" si="4"/>
        <v>1.0308450961702209</v>
      </c>
      <c r="S26" s="119">
        <f t="shared" si="4"/>
        <v>1.1174447845210236</v>
      </c>
      <c r="T26" s="119">
        <f t="shared" si="4"/>
        <v>1.1886113540754903</v>
      </c>
      <c r="U26" s="119">
        <f t="shared" si="4"/>
        <v>1.2612952070642047</v>
      </c>
      <c r="V26" s="119">
        <f t="shared" si="4"/>
        <v>1.3292973713151333</v>
      </c>
      <c r="W26" s="119">
        <f t="shared" si="4"/>
        <v>1.3705032667497072</v>
      </c>
      <c r="X26" s="119">
        <f>X23-X24</f>
        <v>1.363726092786977</v>
      </c>
      <c r="Y26" s="119">
        <f t="shared" si="4"/>
        <v>1.3089429825355949</v>
      </c>
      <c r="Z26" s="119">
        <f t="shared" si="4"/>
        <v>1.1599923396022773</v>
      </c>
      <c r="AA26" s="119">
        <f t="shared" si="4"/>
        <v>1.1583215440282353</v>
      </c>
      <c r="AB26" s="119">
        <f t="shared" si="4"/>
        <v>1.1452808725212051</v>
      </c>
      <c r="AC26" s="119">
        <f t="shared" si="4"/>
        <v>1.1370779975587411</v>
      </c>
    </row>
    <row r="27" spans="1:29" x14ac:dyDescent="0.25">
      <c r="A27" s="1"/>
      <c r="E27" s="110"/>
    </row>
    <row r="28" spans="1:29" x14ac:dyDescent="0.25">
      <c r="A28" s="1"/>
      <c r="B28" s="59" t="s">
        <v>109</v>
      </c>
      <c r="C28" s="31"/>
      <c r="D28" s="31"/>
      <c r="E28" s="31"/>
      <c r="F28" s="31"/>
      <c r="G28" s="31"/>
    </row>
    <row r="29" spans="1:29" x14ac:dyDescent="0.25">
      <c r="A29" s="1"/>
      <c r="B29" s="31" t="s">
        <v>110</v>
      </c>
      <c r="C29" s="31"/>
      <c r="D29" s="31"/>
      <c r="E29" s="83">
        <f>E26</f>
        <v>-0.20501404316747529</v>
      </c>
      <c r="F29" s="83">
        <f t="shared" ref="F29:AC29" si="5">F26</f>
        <v>-0.5046079827611103</v>
      </c>
      <c r="G29" s="83">
        <f t="shared" si="5"/>
        <v>0.38601337980650596</v>
      </c>
      <c r="H29" s="83">
        <f t="shared" si="5"/>
        <v>-0.13710116741226264</v>
      </c>
      <c r="I29" s="83">
        <f t="shared" si="5"/>
        <v>2.921584978500124E-2</v>
      </c>
      <c r="J29" s="83">
        <f t="shared" si="5"/>
        <v>0.16402896277815007</v>
      </c>
      <c r="K29" s="83">
        <f t="shared" si="5"/>
        <v>0.29872941005053782</v>
      </c>
      <c r="L29" s="83">
        <f t="shared" si="5"/>
        <v>0.41714039782783241</v>
      </c>
      <c r="M29" s="83">
        <f t="shared" si="5"/>
        <v>0.5285098148641294</v>
      </c>
      <c r="N29" s="83">
        <f t="shared" si="5"/>
        <v>0.63725859035956089</v>
      </c>
      <c r="O29" s="83">
        <f t="shared" si="5"/>
        <v>0.74591005387912346</v>
      </c>
      <c r="P29" s="83">
        <f t="shared" si="5"/>
        <v>0.84044769489539217</v>
      </c>
      <c r="Q29" s="83">
        <f t="shared" si="5"/>
        <v>0.93734935703196998</v>
      </c>
      <c r="R29" s="83">
        <f t="shared" si="5"/>
        <v>1.0308450961702209</v>
      </c>
      <c r="S29" s="83">
        <f t="shared" si="5"/>
        <v>1.1174447845210236</v>
      </c>
      <c r="T29" s="83">
        <f t="shared" si="5"/>
        <v>1.1886113540754903</v>
      </c>
      <c r="U29" s="83">
        <f t="shared" si="5"/>
        <v>1.2612952070642047</v>
      </c>
      <c r="V29" s="83">
        <f t="shared" si="5"/>
        <v>1.3292973713151333</v>
      </c>
      <c r="W29" s="83">
        <f t="shared" si="5"/>
        <v>1.3705032667497072</v>
      </c>
      <c r="X29" s="83">
        <f t="shared" si="5"/>
        <v>1.363726092786977</v>
      </c>
      <c r="Y29" s="83">
        <f t="shared" si="5"/>
        <v>1.3089429825355949</v>
      </c>
      <c r="Z29" s="83">
        <f t="shared" si="5"/>
        <v>1.1599923396022773</v>
      </c>
      <c r="AA29" s="83">
        <f t="shared" si="5"/>
        <v>1.1583215440282353</v>
      </c>
      <c r="AB29" s="83">
        <f t="shared" si="5"/>
        <v>1.1452808725212051</v>
      </c>
      <c r="AC29" s="83">
        <f t="shared" si="5"/>
        <v>1.1370779975587411</v>
      </c>
    </row>
    <row r="30" spans="1:29" x14ac:dyDescent="0.25">
      <c r="A30" s="1"/>
      <c r="B30" s="31" t="s">
        <v>111</v>
      </c>
      <c r="C30" s="31"/>
      <c r="D30" s="31"/>
      <c r="E30" s="83">
        <f>E16</f>
        <v>0.55844175185037748</v>
      </c>
      <c r="F30" s="83">
        <f t="shared" ref="F30:AC30" si="6">F16</f>
        <v>1.64423620324688</v>
      </c>
      <c r="G30" s="83">
        <f t="shared" si="6"/>
        <v>1.5297018626584074</v>
      </c>
      <c r="H30" s="83">
        <f t="shared" si="6"/>
        <v>1.4150778748885184</v>
      </c>
      <c r="I30" s="83">
        <f t="shared" si="6"/>
        <v>1.3129092523215675</v>
      </c>
      <c r="J30" s="83">
        <f t="shared" si="6"/>
        <v>1.2181172043039503</v>
      </c>
      <c r="K30" s="83">
        <f t="shared" si="6"/>
        <v>1.1332654959673234</v>
      </c>
      <c r="L30" s="83">
        <f t="shared" si="6"/>
        <v>1.0483473733443642</v>
      </c>
      <c r="M30" s="83">
        <f t="shared" si="6"/>
        <v>0.97265669298890112</v>
      </c>
      <c r="N30" s="83">
        <f t="shared" si="6"/>
        <v>0.9024308797551025</v>
      </c>
      <c r="O30" s="83">
        <f t="shared" si="6"/>
        <v>0.83956927536072046</v>
      </c>
      <c r="P30" s="83">
        <f t="shared" si="6"/>
        <v>0.77665846855574006</v>
      </c>
      <c r="Q30" s="83">
        <f t="shared" si="6"/>
        <v>0.72058372712601582</v>
      </c>
      <c r="R30" s="83">
        <f t="shared" si="6"/>
        <v>0.66855758202751736</v>
      </c>
      <c r="S30" s="83">
        <f t="shared" si="6"/>
        <v>0.62198714302870628</v>
      </c>
      <c r="T30" s="83">
        <f t="shared" si="6"/>
        <v>0.57538025287845795</v>
      </c>
      <c r="U30" s="83">
        <f t="shared" si="6"/>
        <v>0.53383779862063341</v>
      </c>
      <c r="V30" s="83">
        <f t="shared" si="6"/>
        <v>0.49529470956022364</v>
      </c>
      <c r="W30" s="83">
        <f t="shared" si="6"/>
        <v>0.46079342997252337</v>
      </c>
      <c r="X30" s="83">
        <f t="shared" si="6"/>
        <v>0.42626514588595926</v>
      </c>
      <c r="Y30" s="83">
        <f t="shared" si="6"/>
        <v>0.395488802352993</v>
      </c>
      <c r="Z30" s="83">
        <f t="shared" si="6"/>
        <v>0.36693451082310691</v>
      </c>
      <c r="AA30" s="83">
        <f t="shared" si="6"/>
        <v>0.34137455650919002</v>
      </c>
      <c r="AB30" s="83">
        <f t="shared" si="6"/>
        <v>0.31579459616171507</v>
      </c>
      <c r="AC30" s="83">
        <f t="shared" si="6"/>
        <v>0.29299422631883926</v>
      </c>
    </row>
    <row r="31" spans="1:29" x14ac:dyDescent="0.25">
      <c r="A31" s="1"/>
      <c r="B31" s="60" t="s">
        <v>109</v>
      </c>
      <c r="C31" s="60"/>
      <c r="D31" s="60"/>
      <c r="E31" s="117">
        <f>SUM(E29:E30)</f>
        <v>0.35342770868290219</v>
      </c>
      <c r="F31" s="117">
        <f t="shared" ref="F31:AC31" si="7">SUM(F29:F30)</f>
        <v>1.1396282204857697</v>
      </c>
      <c r="G31" s="117">
        <f t="shared" si="7"/>
        <v>1.9157152424649133</v>
      </c>
      <c r="H31" s="117">
        <f t="shared" si="7"/>
        <v>1.2779767074762558</v>
      </c>
      <c r="I31" s="117">
        <f t="shared" si="7"/>
        <v>1.3421251021065688</v>
      </c>
      <c r="J31" s="117">
        <f t="shared" si="7"/>
        <v>1.3821461670821005</v>
      </c>
      <c r="K31" s="117">
        <f t="shared" si="7"/>
        <v>1.4319949060178612</v>
      </c>
      <c r="L31" s="117">
        <f t="shared" si="7"/>
        <v>1.4654877711721968</v>
      </c>
      <c r="M31" s="117">
        <f t="shared" si="7"/>
        <v>1.5011665078530305</v>
      </c>
      <c r="N31" s="117">
        <f t="shared" si="7"/>
        <v>1.5396894701146633</v>
      </c>
      <c r="O31" s="117">
        <f t="shared" si="7"/>
        <v>1.5854793292398439</v>
      </c>
      <c r="P31" s="117">
        <f t="shared" si="7"/>
        <v>1.6171061634511323</v>
      </c>
      <c r="Q31" s="117">
        <f t="shared" si="7"/>
        <v>1.6579330841579858</v>
      </c>
      <c r="R31" s="117">
        <f t="shared" si="7"/>
        <v>1.6994026781977383</v>
      </c>
      <c r="S31" s="117">
        <f t="shared" si="7"/>
        <v>1.7394319275497299</v>
      </c>
      <c r="T31" s="117">
        <f t="shared" si="7"/>
        <v>1.7639916069539483</v>
      </c>
      <c r="U31" s="117">
        <f t="shared" si="7"/>
        <v>1.7951330056848382</v>
      </c>
      <c r="V31" s="117">
        <f t="shared" si="7"/>
        <v>1.8245920808753568</v>
      </c>
      <c r="W31" s="117">
        <f t="shared" si="7"/>
        <v>1.8312966967222306</v>
      </c>
      <c r="X31" s="117">
        <f t="shared" si="7"/>
        <v>1.7899912386729362</v>
      </c>
      <c r="Y31" s="117">
        <f t="shared" si="7"/>
        <v>1.7044317848885879</v>
      </c>
      <c r="Z31" s="117">
        <f t="shared" si="7"/>
        <v>1.5269268504253843</v>
      </c>
      <c r="AA31" s="117">
        <f t="shared" si="7"/>
        <v>1.4996961005374252</v>
      </c>
      <c r="AB31" s="117">
        <f t="shared" si="7"/>
        <v>1.4610754686829202</v>
      </c>
      <c r="AC31" s="117">
        <f t="shared" si="7"/>
        <v>1.4300722238775803</v>
      </c>
    </row>
    <row r="32" spans="1:29" s="129" customFormat="1" x14ac:dyDescent="0.25">
      <c r="A32" s="126"/>
      <c r="B32" s="127" t="s">
        <v>114</v>
      </c>
      <c r="C32" s="127"/>
      <c r="D32" s="127"/>
      <c r="E32" s="128">
        <f>'Loan Schedule'!F13</f>
        <v>0</v>
      </c>
      <c r="F32" s="128">
        <f>'Loan Schedule'!G13</f>
        <v>1.0799999999999998</v>
      </c>
      <c r="G32" s="128">
        <f>'Loan Schedule'!H13</f>
        <v>1.0799999999999998</v>
      </c>
      <c r="H32" s="128">
        <f>'Loan Schedule'!I13</f>
        <v>1.0799999999999998</v>
      </c>
      <c r="I32" s="128">
        <f>'Loan Schedule'!J13</f>
        <v>1.0799999999999998</v>
      </c>
      <c r="J32" s="128">
        <f>'Loan Schedule'!K13</f>
        <v>1.0799999999999998</v>
      </c>
      <c r="K32" s="128">
        <f>'Loan Schedule'!L13</f>
        <v>1.0799999999999998</v>
      </c>
      <c r="L32" s="128">
        <f>'Loan Schedule'!M13</f>
        <v>0.98774231576144134</v>
      </c>
      <c r="M32" s="128">
        <f>'Loan Schedule'!N13</f>
        <v>0.98774231576144134</v>
      </c>
      <c r="N32" s="128">
        <f>'Loan Schedule'!O13</f>
        <v>0.98774231576144134</v>
      </c>
      <c r="O32" s="128">
        <f>'Loan Schedule'!P13</f>
        <v>0.98774231576144134</v>
      </c>
      <c r="P32" s="128">
        <f>'Loan Schedule'!Q13</f>
        <v>0.98774231576144134</v>
      </c>
      <c r="Q32" s="128">
        <f>'Loan Schedule'!R13</f>
        <v>0.98774231576144134</v>
      </c>
      <c r="R32" s="128">
        <f>'Loan Schedule'!S13</f>
        <v>0.98774231576144134</v>
      </c>
      <c r="S32" s="128">
        <f>'Loan Schedule'!T13</f>
        <v>0.8400000000000003</v>
      </c>
      <c r="T32" s="128">
        <f>'Loan Schedule'!U13</f>
        <v>0.8400000000000003</v>
      </c>
      <c r="U32" s="128">
        <f>'Loan Schedule'!V13</f>
        <v>0.8400000000000003</v>
      </c>
      <c r="V32" s="128">
        <f>'Loan Schedule'!W13</f>
        <v>0.87742315761444944</v>
      </c>
      <c r="W32" s="128">
        <f>'Loan Schedule'!X13</f>
        <v>0</v>
      </c>
      <c r="X32" s="128">
        <f>'Loan Schedule'!Y13</f>
        <v>0</v>
      </c>
      <c r="Y32" s="128">
        <f>'Loan Schedule'!Z13</f>
        <v>0</v>
      </c>
      <c r="Z32" s="128">
        <f>'Loan Schedule'!AA13</f>
        <v>0</v>
      </c>
      <c r="AA32" s="128">
        <f>'Loan Schedule'!AB13</f>
        <v>0</v>
      </c>
      <c r="AB32" s="128">
        <f>'Loan Schedule'!AC13</f>
        <v>0</v>
      </c>
      <c r="AC32" s="128">
        <f>'Loan Schedule'!AD13</f>
        <v>0</v>
      </c>
    </row>
    <row r="33" spans="1:29" x14ac:dyDescent="0.25">
      <c r="A33" s="1"/>
      <c r="B33" s="60" t="s">
        <v>112</v>
      </c>
      <c r="C33" s="60"/>
      <c r="D33" s="60"/>
      <c r="E33" s="117">
        <f>E31-E32</f>
        <v>0.35342770868290219</v>
      </c>
      <c r="F33" s="117">
        <f>F31-F32</f>
        <v>5.9628220485769878E-2</v>
      </c>
      <c r="G33" s="117">
        <f t="shared" ref="G33:AC33" si="8">G31-G32</f>
        <v>0.83571524246491347</v>
      </c>
      <c r="H33" s="117">
        <f t="shared" si="8"/>
        <v>0.19797670747625595</v>
      </c>
      <c r="I33" s="117">
        <f t="shared" si="8"/>
        <v>0.26212510210656892</v>
      </c>
      <c r="J33" s="117">
        <f t="shared" si="8"/>
        <v>0.30214616708210063</v>
      </c>
      <c r="K33" s="117">
        <f t="shared" si="8"/>
        <v>0.35199490601786132</v>
      </c>
      <c r="L33" s="117">
        <f t="shared" si="8"/>
        <v>0.47774545541075542</v>
      </c>
      <c r="M33" s="117">
        <f t="shared" si="8"/>
        <v>0.51342419209158918</v>
      </c>
      <c r="N33" s="117">
        <f t="shared" si="8"/>
        <v>0.55194715435322195</v>
      </c>
      <c r="O33" s="117">
        <f t="shared" si="8"/>
        <v>0.59773701347840258</v>
      </c>
      <c r="P33" s="117">
        <f t="shared" si="8"/>
        <v>0.629363847689691</v>
      </c>
      <c r="Q33" s="117">
        <f t="shared" si="8"/>
        <v>0.67019076839654446</v>
      </c>
      <c r="R33" s="117">
        <f t="shared" si="8"/>
        <v>0.71166036243629693</v>
      </c>
      <c r="S33" s="117">
        <f t="shared" si="8"/>
        <v>0.89943192754972956</v>
      </c>
      <c r="T33" s="117">
        <f t="shared" si="8"/>
        <v>0.923991606953948</v>
      </c>
      <c r="U33" s="117">
        <f t="shared" si="8"/>
        <v>0.95513300568483794</v>
      </c>
      <c r="V33" s="117">
        <f t="shared" si="8"/>
        <v>0.9471689232609074</v>
      </c>
      <c r="W33" s="117">
        <f t="shared" si="8"/>
        <v>1.8312966967222306</v>
      </c>
      <c r="X33" s="117">
        <f t="shared" si="8"/>
        <v>1.7899912386729362</v>
      </c>
      <c r="Y33" s="117">
        <f t="shared" si="8"/>
        <v>1.7044317848885879</v>
      </c>
      <c r="Z33" s="117">
        <f t="shared" si="8"/>
        <v>1.5269268504253843</v>
      </c>
      <c r="AA33" s="117">
        <f t="shared" si="8"/>
        <v>1.4996961005374252</v>
      </c>
      <c r="AB33" s="117">
        <f t="shared" si="8"/>
        <v>1.4610754686829202</v>
      </c>
      <c r="AC33" s="117">
        <f t="shared" si="8"/>
        <v>1.4300722238775803</v>
      </c>
    </row>
    <row r="34" spans="1:29" x14ac:dyDescent="0.25">
      <c r="A34" s="1"/>
      <c r="B34" s="120" t="s">
        <v>113</v>
      </c>
      <c r="C34" s="120"/>
      <c r="D34" s="120"/>
      <c r="E34" s="121">
        <f>D34+E33</f>
        <v>0.35342770868290219</v>
      </c>
      <c r="F34" s="121">
        <f t="shared" ref="F34:AC34" si="9">E34+F33</f>
        <v>0.41305592916867206</v>
      </c>
      <c r="G34" s="121">
        <f t="shared" si="9"/>
        <v>1.2487711716335856</v>
      </c>
      <c r="H34" s="121">
        <f t="shared" si="9"/>
        <v>1.4467478791098416</v>
      </c>
      <c r="I34" s="121">
        <f t="shared" si="9"/>
        <v>1.7088729812164105</v>
      </c>
      <c r="J34" s="121">
        <f t="shared" si="9"/>
        <v>2.0110191482985114</v>
      </c>
      <c r="K34" s="121">
        <f t="shared" si="9"/>
        <v>2.3630140543163725</v>
      </c>
      <c r="L34" s="121">
        <f t="shared" si="9"/>
        <v>2.8407595097271279</v>
      </c>
      <c r="M34" s="121">
        <f t="shared" si="9"/>
        <v>3.3541837018187168</v>
      </c>
      <c r="N34" s="121">
        <f t="shared" si="9"/>
        <v>3.9061308561719388</v>
      </c>
      <c r="O34" s="121">
        <f t="shared" si="9"/>
        <v>4.5038678696503416</v>
      </c>
      <c r="P34" s="121">
        <f t="shared" si="9"/>
        <v>5.133231717340033</v>
      </c>
      <c r="Q34" s="121">
        <f t="shared" si="9"/>
        <v>5.8034224857365775</v>
      </c>
      <c r="R34" s="121">
        <f t="shared" si="9"/>
        <v>6.5150828481728746</v>
      </c>
      <c r="S34" s="121">
        <f t="shared" si="9"/>
        <v>7.414514775722604</v>
      </c>
      <c r="T34" s="121">
        <f t="shared" si="9"/>
        <v>8.3385063826765524</v>
      </c>
      <c r="U34" s="121">
        <f t="shared" si="9"/>
        <v>9.2936393883613899</v>
      </c>
      <c r="V34" s="121">
        <f t="shared" si="9"/>
        <v>10.240808311622297</v>
      </c>
      <c r="W34" s="121">
        <f t="shared" si="9"/>
        <v>12.072105008344527</v>
      </c>
      <c r="X34" s="121">
        <f t="shared" si="9"/>
        <v>13.862096247017464</v>
      </c>
      <c r="Y34" s="121">
        <f t="shared" si="9"/>
        <v>15.566528031906051</v>
      </c>
      <c r="Z34" s="121">
        <f t="shared" si="9"/>
        <v>17.093454882331436</v>
      </c>
      <c r="AA34" s="121">
        <f t="shared" si="9"/>
        <v>18.59315098286886</v>
      </c>
      <c r="AB34" s="121">
        <f t="shared" si="9"/>
        <v>20.054226451551781</v>
      </c>
      <c r="AC34" s="121">
        <f t="shared" si="9"/>
        <v>21.484298675429361</v>
      </c>
    </row>
    <row r="35" spans="1:29" x14ac:dyDescent="0.25">
      <c r="A35" s="1"/>
      <c r="B35" s="31"/>
      <c r="C35" s="31"/>
      <c r="D35" s="31"/>
      <c r="E35" s="31"/>
      <c r="F35" s="31"/>
      <c r="G35" s="31"/>
    </row>
    <row r="38" spans="1:29" x14ac:dyDescent="0.25">
      <c r="B38" s="67" t="s">
        <v>100</v>
      </c>
      <c r="D38" s="111"/>
      <c r="E38" s="111">
        <f t="shared" ref="E38:AC38" si="10">E12</f>
        <v>1.0106692785691263</v>
      </c>
      <c r="F38" s="111">
        <f t="shared" si="10"/>
        <v>3.0184646114727198</v>
      </c>
      <c r="G38" s="111">
        <f t="shared" si="10"/>
        <v>3.776849625594207</v>
      </c>
      <c r="H38" s="111">
        <f t="shared" si="10"/>
        <v>2.959441885935659</v>
      </c>
      <c r="I38" s="111">
        <f t="shared" si="10"/>
        <v>2.9303724521171302</v>
      </c>
      <c r="J38" s="111">
        <f t="shared" si="10"/>
        <v>2.9015937126367852</v>
      </c>
      <c r="K38" s="111">
        <f t="shared" si="10"/>
        <v>2.8808304434456793</v>
      </c>
      <c r="L38" s="111">
        <f t="shared" si="10"/>
        <v>2.8448967179865594</v>
      </c>
      <c r="M38" s="111">
        <f t="shared" si="10"/>
        <v>2.8169727358475214</v>
      </c>
      <c r="N38" s="111">
        <f t="shared" si="10"/>
        <v>2.7893279935298732</v>
      </c>
      <c r="O38" s="111">
        <f t="shared" si="10"/>
        <v>2.7693828799903399</v>
      </c>
      <c r="P38" s="111">
        <f t="shared" si="10"/>
        <v>2.7348650866898745</v>
      </c>
      <c r="Q38" s="111">
        <f t="shared" si="10"/>
        <v>2.7080414208638026</v>
      </c>
      <c r="R38" s="111">
        <f t="shared" si="10"/>
        <v>2.6814859916959919</v>
      </c>
      <c r="S38" s="111">
        <f t="shared" si="10"/>
        <v>2.6623267952109209</v>
      </c>
      <c r="T38" s="111">
        <f t="shared" si="10"/>
        <v>2.6291691406924884</v>
      </c>
      <c r="U38" s="111">
        <f t="shared" si="10"/>
        <v>2.6034024343263904</v>
      </c>
      <c r="V38" s="111">
        <f t="shared" si="10"/>
        <v>2.5778933950239535</v>
      </c>
      <c r="W38" s="111">
        <f t="shared" si="10"/>
        <v>2.559489147325587</v>
      </c>
      <c r="X38" s="111">
        <f t="shared" si="10"/>
        <v>2.5276380366942228</v>
      </c>
      <c r="Y38" s="111">
        <f t="shared" si="10"/>
        <v>2.5028866413681077</v>
      </c>
      <c r="Z38" s="111">
        <f t="shared" si="10"/>
        <v>2.4783827599952541</v>
      </c>
      <c r="AA38" s="111">
        <f t="shared" si="10"/>
        <v>2.4607037130891523</v>
      </c>
      <c r="AB38" s="111">
        <f t="shared" si="10"/>
        <v>2.4301076633025946</v>
      </c>
      <c r="AC38" s="111">
        <f t="shared" si="10"/>
        <v>2.4063315717103957</v>
      </c>
    </row>
    <row r="39" spans="1:29" x14ac:dyDescent="0.25">
      <c r="B39" s="67" t="s">
        <v>268</v>
      </c>
      <c r="D39" s="111"/>
      <c r="E39" s="111">
        <f>E19+E16</f>
        <v>0.89915533814109849</v>
      </c>
      <c r="F39" s="111">
        <f t="shared" ref="F39:AC39" si="11">F19+F16</f>
        <v>2.724161108860359</v>
      </c>
      <c r="G39" s="111">
        <f t="shared" si="11"/>
        <v>3.4749093765840664</v>
      </c>
      <c r="H39" s="111">
        <f t="shared" si="11"/>
        <v>2.651909595850845</v>
      </c>
      <c r="I39" s="111">
        <f t="shared" si="11"/>
        <v>2.6168099458446377</v>
      </c>
      <c r="J39" s="111">
        <f t="shared" si="11"/>
        <v>2.5794570491948967</v>
      </c>
      <c r="K39" s="111">
        <f t="shared" si="11"/>
        <v>2.551908488217502</v>
      </c>
      <c r="L39" s="111">
        <f t="shared" si="11"/>
        <v>2.5091273142020114</v>
      </c>
      <c r="M39" s="111">
        <f t="shared" si="11"/>
        <v>2.4715709384512823</v>
      </c>
      <c r="N39" s="111">
        <f t="shared" si="11"/>
        <v>2.4363159320664645</v>
      </c>
      <c r="O39" s="111">
        <f t="shared" si="11"/>
        <v>2.4083076647288513</v>
      </c>
      <c r="P39" s="111">
        <f t="shared" si="11"/>
        <v>2.3632127462803814</v>
      </c>
      <c r="Q39" s="111">
        <f t="shared" si="11"/>
        <v>2.327807612570167</v>
      </c>
      <c r="R39" s="111">
        <f t="shared" si="11"/>
        <v>2.2923396278247772</v>
      </c>
      <c r="S39" s="111">
        <f t="shared" si="11"/>
        <v>2.261205244837476</v>
      </c>
      <c r="T39" s="111">
        <f t="shared" si="11"/>
        <v>2.2186068162450101</v>
      </c>
      <c r="U39" s="111">
        <f t="shared" si="11"/>
        <v>2.1829044066379755</v>
      </c>
      <c r="V39" s="111">
        <f t="shared" si="11"/>
        <v>2.1443978473842678</v>
      </c>
      <c r="W39" s="111">
        <f t="shared" si="11"/>
        <v>2.1151913859716869</v>
      </c>
      <c r="X39" s="111">
        <f t="shared" si="11"/>
        <v>2.072482061369997</v>
      </c>
      <c r="Y39" s="111">
        <f t="shared" si="11"/>
        <v>2.0334979474099644</v>
      </c>
      <c r="Z39" s="111">
        <f t="shared" si="11"/>
        <v>1.9972239330509556</v>
      </c>
      <c r="AA39" s="111">
        <f t="shared" si="11"/>
        <v>1.9672214165713893</v>
      </c>
      <c r="AB39" s="111">
        <f t="shared" si="11"/>
        <v>1.9212417319839634</v>
      </c>
      <c r="AC39" s="111">
        <f t="shared" si="11"/>
        <v>1.8844961332633123</v>
      </c>
    </row>
    <row r="40" spans="1:29" x14ac:dyDescent="0.25">
      <c r="B40" s="67" t="s">
        <v>103</v>
      </c>
      <c r="D40" s="111"/>
      <c r="E40" s="111">
        <f t="shared" ref="E40:AC40" si="12">E19</f>
        <v>0.34071358629072102</v>
      </c>
      <c r="F40" s="111">
        <f t="shared" si="12"/>
        <v>1.079924905613479</v>
      </c>
      <c r="G40" s="111">
        <f t="shared" si="12"/>
        <v>1.945207513925659</v>
      </c>
      <c r="H40" s="111">
        <f t="shared" si="12"/>
        <v>1.2368317209623267</v>
      </c>
      <c r="I40" s="111">
        <f t="shared" si="12"/>
        <v>1.3039006935230701</v>
      </c>
      <c r="J40" s="111">
        <f t="shared" si="12"/>
        <v>1.3613398448909464</v>
      </c>
      <c r="K40" s="111">
        <f t="shared" si="12"/>
        <v>1.4186429922501786</v>
      </c>
      <c r="L40" s="111">
        <f t="shared" si="12"/>
        <v>1.4607799408576474</v>
      </c>
      <c r="M40" s="111">
        <f t="shared" si="12"/>
        <v>1.4989142454623812</v>
      </c>
      <c r="N40" s="111">
        <f t="shared" si="12"/>
        <v>1.5338850523113621</v>
      </c>
      <c r="O40" s="111">
        <f t="shared" si="12"/>
        <v>1.5687383893681306</v>
      </c>
      <c r="P40" s="111">
        <f t="shared" si="12"/>
        <v>1.5865542777246411</v>
      </c>
      <c r="Q40" s="111">
        <f t="shared" si="12"/>
        <v>1.6072238854441512</v>
      </c>
      <c r="R40" s="111">
        <f t="shared" si="12"/>
        <v>1.62378204579726</v>
      </c>
      <c r="S40" s="111">
        <f t="shared" si="12"/>
        <v>1.6392181018087699</v>
      </c>
      <c r="T40" s="111">
        <f t="shared" si="12"/>
        <v>1.6432265633665522</v>
      </c>
      <c r="U40" s="111">
        <f t="shared" si="12"/>
        <v>1.6490666080173422</v>
      </c>
      <c r="V40" s="111">
        <f t="shared" si="12"/>
        <v>1.6491031378240439</v>
      </c>
      <c r="W40" s="111">
        <f t="shared" si="12"/>
        <v>1.6543979559991637</v>
      </c>
      <c r="X40" s="111">
        <f t="shared" si="12"/>
        <v>1.6462169154840378</v>
      </c>
      <c r="Y40" s="111">
        <f t="shared" si="12"/>
        <v>1.6380091450569716</v>
      </c>
      <c r="Z40" s="111">
        <f t="shared" si="12"/>
        <v>1.6302894222278488</v>
      </c>
      <c r="AA40" s="111">
        <f t="shared" si="12"/>
        <v>1.6258468600621991</v>
      </c>
      <c r="AB40" s="111">
        <f t="shared" si="12"/>
        <v>1.6054471358222484</v>
      </c>
      <c r="AC40" s="111">
        <f t="shared" si="12"/>
        <v>1.5915019069444731</v>
      </c>
    </row>
    <row r="41" spans="1:29" x14ac:dyDescent="0.25">
      <c r="B41" s="67" t="s">
        <v>110</v>
      </c>
      <c r="D41" s="111"/>
      <c r="E41" s="111">
        <f t="shared" ref="E41:AC41" si="13">E26</f>
        <v>-0.20501404316747529</v>
      </c>
      <c r="F41" s="111">
        <f t="shared" si="13"/>
        <v>-0.5046079827611103</v>
      </c>
      <c r="G41" s="111">
        <f t="shared" si="13"/>
        <v>0.38601337980650596</v>
      </c>
      <c r="H41" s="111">
        <f t="shared" si="13"/>
        <v>-0.13710116741226264</v>
      </c>
      <c r="I41" s="111">
        <f t="shared" si="13"/>
        <v>2.921584978500124E-2</v>
      </c>
      <c r="J41" s="111">
        <f t="shared" si="13"/>
        <v>0.16402896277815007</v>
      </c>
      <c r="K41" s="111">
        <f t="shared" si="13"/>
        <v>0.29872941005053782</v>
      </c>
      <c r="L41" s="111">
        <f t="shared" si="13"/>
        <v>0.41714039782783241</v>
      </c>
      <c r="M41" s="111">
        <f t="shared" si="13"/>
        <v>0.5285098148641294</v>
      </c>
      <c r="N41" s="111">
        <f t="shared" si="13"/>
        <v>0.63725859035956089</v>
      </c>
      <c r="O41" s="111">
        <f t="shared" si="13"/>
        <v>0.74591005387912346</v>
      </c>
      <c r="P41" s="111">
        <f t="shared" si="13"/>
        <v>0.84044769489539217</v>
      </c>
      <c r="Q41" s="111">
        <f t="shared" si="13"/>
        <v>0.93734935703196998</v>
      </c>
      <c r="R41" s="111">
        <f t="shared" si="13"/>
        <v>1.0308450961702209</v>
      </c>
      <c r="S41" s="111">
        <f t="shared" si="13"/>
        <v>1.1174447845210236</v>
      </c>
      <c r="T41" s="111">
        <f t="shared" si="13"/>
        <v>1.1886113540754903</v>
      </c>
      <c r="U41" s="111">
        <f t="shared" si="13"/>
        <v>1.2612952070642047</v>
      </c>
      <c r="V41" s="111">
        <f t="shared" si="13"/>
        <v>1.3292973713151333</v>
      </c>
      <c r="W41" s="111">
        <f t="shared" si="13"/>
        <v>1.3705032667497072</v>
      </c>
      <c r="X41" s="111">
        <f t="shared" si="13"/>
        <v>1.363726092786977</v>
      </c>
      <c r="Y41" s="111">
        <f t="shared" si="13"/>
        <v>1.3089429825355949</v>
      </c>
      <c r="Z41" s="111">
        <f t="shared" si="13"/>
        <v>1.1599923396022773</v>
      </c>
      <c r="AA41" s="111">
        <f t="shared" si="13"/>
        <v>1.1583215440282353</v>
      </c>
      <c r="AB41" s="111">
        <f t="shared" si="13"/>
        <v>1.1452808725212051</v>
      </c>
      <c r="AC41" s="111">
        <f t="shared" si="13"/>
        <v>1.1370779975587411</v>
      </c>
    </row>
    <row r="43" spans="1:29" x14ac:dyDescent="0.25">
      <c r="B43" s="67" t="s">
        <v>269</v>
      </c>
      <c r="E43" s="290">
        <f t="shared" ref="E43:AC43" si="14">E39/E38</f>
        <v>0.88966327285033764</v>
      </c>
      <c r="F43" s="290">
        <f t="shared" si="14"/>
        <v>0.90249893886654875</v>
      </c>
      <c r="G43" s="290">
        <f t="shared" si="14"/>
        <v>0.92005499849292072</v>
      </c>
      <c r="H43" s="290">
        <f t="shared" si="14"/>
        <v>0.89608436254608714</v>
      </c>
      <c r="I43" s="290">
        <f t="shared" si="14"/>
        <v>0.89299568181309152</v>
      </c>
      <c r="J43" s="290">
        <f t="shared" si="14"/>
        <v>0.88897940396033215</v>
      </c>
      <c r="K43" s="290">
        <f t="shared" si="14"/>
        <v>0.88582391026291607</v>
      </c>
      <c r="L43" s="290">
        <f t="shared" si="14"/>
        <v>0.88197483526847165</v>
      </c>
      <c r="M43" s="290">
        <f t="shared" si="14"/>
        <v>0.87738546667462836</v>
      </c>
      <c r="N43" s="290">
        <f t="shared" si="14"/>
        <v>0.87344189629822822</v>
      </c>
      <c r="O43" s="290">
        <f t="shared" si="14"/>
        <v>0.86961888951131661</v>
      </c>
      <c r="P43" s="290">
        <f t="shared" si="14"/>
        <v>0.86410578634453961</v>
      </c>
      <c r="Q43" s="290">
        <f t="shared" si="14"/>
        <v>0.85959084474699432</v>
      </c>
      <c r="R43" s="290">
        <f t="shared" si="14"/>
        <v>0.85487660011041622</v>
      </c>
      <c r="S43" s="290">
        <f t="shared" si="14"/>
        <v>0.84933421731134018</v>
      </c>
      <c r="T43" s="290">
        <f t="shared" si="14"/>
        <v>0.84384331989407813</v>
      </c>
      <c r="U43" s="290">
        <f t="shared" si="14"/>
        <v>0.83848135726383943</v>
      </c>
      <c r="V43" s="290">
        <f t="shared" si="14"/>
        <v>0.83184116593942481</v>
      </c>
      <c r="W43" s="290">
        <f t="shared" si="14"/>
        <v>0.82641154707838971</v>
      </c>
      <c r="X43" s="290">
        <f t="shared" si="14"/>
        <v>0.81992834072100662</v>
      </c>
      <c r="Y43" s="290">
        <f t="shared" si="14"/>
        <v>0.81246106547535457</v>
      </c>
      <c r="Z43" s="290">
        <f t="shared" si="14"/>
        <v>0.80585774130174315</v>
      </c>
      <c r="AA43" s="290">
        <f t="shared" si="14"/>
        <v>0.79945480884480469</v>
      </c>
      <c r="AB43" s="290">
        <f t="shared" si="14"/>
        <v>0.79059942939850414</v>
      </c>
      <c r="AC43" s="290">
        <f t="shared" si="14"/>
        <v>0.7831406757979873</v>
      </c>
    </row>
    <row r="44" spans="1:29" x14ac:dyDescent="0.25">
      <c r="B44" s="67" t="s">
        <v>272</v>
      </c>
      <c r="E44" s="290">
        <f>AVERAGE(E43:AC43)</f>
        <v>0.85433794227093207</v>
      </c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  <c r="V44" s="290"/>
      <c r="W44" s="290"/>
      <c r="X44" s="290"/>
      <c r="Y44" s="290"/>
      <c r="Z44" s="290"/>
      <c r="AA44" s="290"/>
      <c r="AB44" s="290"/>
      <c r="AC44" s="290"/>
    </row>
    <row r="45" spans="1:29" x14ac:dyDescent="0.25">
      <c r="B45" s="67" t="s">
        <v>270</v>
      </c>
      <c r="E45" s="290">
        <f>E40/E38</f>
        <v>0.33711679331253896</v>
      </c>
      <c r="F45" s="290">
        <f t="shared" ref="F45:AC45" si="15">F40/F38</f>
        <v>0.35777292253447346</v>
      </c>
      <c r="G45" s="290">
        <f t="shared" si="15"/>
        <v>0.51503440876855722</v>
      </c>
      <c r="H45" s="290">
        <f t="shared" si="15"/>
        <v>0.41792735543826676</v>
      </c>
      <c r="I45" s="290">
        <f t="shared" si="15"/>
        <v>0.44496073957459925</v>
      </c>
      <c r="J45" s="290">
        <f t="shared" si="15"/>
        <v>0.46916969766034083</v>
      </c>
      <c r="K45" s="290">
        <f t="shared" si="15"/>
        <v>0.49244237732831653</v>
      </c>
      <c r="L45" s="290">
        <f t="shared" si="15"/>
        <v>0.51347380438172685</v>
      </c>
      <c r="M45" s="290">
        <f t="shared" si="15"/>
        <v>0.5321010836874196</v>
      </c>
      <c r="N45" s="290">
        <f t="shared" si="15"/>
        <v>0.54991204184999498</v>
      </c>
      <c r="O45" s="290">
        <f t="shared" si="15"/>
        <v>0.56645774793465997</v>
      </c>
      <c r="P45" s="290">
        <f t="shared" si="15"/>
        <v>0.58012158824438265</v>
      </c>
      <c r="Q45" s="290">
        <f t="shared" si="15"/>
        <v>0.59350048084991402</v>
      </c>
      <c r="R45" s="290">
        <f t="shared" si="15"/>
        <v>0.60555305932075632</v>
      </c>
      <c r="S45" s="290">
        <f t="shared" si="15"/>
        <v>0.61570882461065568</v>
      </c>
      <c r="T45" s="290">
        <f t="shared" si="15"/>
        <v>0.62499842171955056</v>
      </c>
      <c r="U45" s="290">
        <f t="shared" si="15"/>
        <v>0.63342746640859815</v>
      </c>
      <c r="V45" s="290">
        <f t="shared" si="15"/>
        <v>0.6397095942785177</v>
      </c>
      <c r="W45" s="290">
        <f t="shared" si="15"/>
        <v>0.64637818750974041</v>
      </c>
      <c r="X45" s="290">
        <f t="shared" si="15"/>
        <v>0.65128665243424111</v>
      </c>
      <c r="Y45" s="290">
        <f t="shared" si="15"/>
        <v>0.654447995360116</v>
      </c>
      <c r="Z45" s="290">
        <f t="shared" si="15"/>
        <v>0.65780372932830222</v>
      </c>
      <c r="AA45" s="290">
        <f t="shared" si="15"/>
        <v>0.66072434946713721</v>
      </c>
      <c r="AB45" s="290">
        <f t="shared" si="15"/>
        <v>0.66064856305189124</v>
      </c>
      <c r="AC45" s="290">
        <f t="shared" si="15"/>
        <v>0.66138096912939137</v>
      </c>
    </row>
    <row r="46" spans="1:29" x14ac:dyDescent="0.25">
      <c r="B46" s="67" t="s">
        <v>272</v>
      </c>
      <c r="E46" s="290">
        <f>AVERAGE(E45:AC45)</f>
        <v>0.5632823541673635</v>
      </c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</row>
    <row r="47" spans="1:29" x14ac:dyDescent="0.25">
      <c r="B47" s="67" t="s">
        <v>271</v>
      </c>
      <c r="E47" s="290">
        <f t="shared" ref="E47:AC47" si="16">E41/E38</f>
        <v>-0.20284978233208761</v>
      </c>
      <c r="F47" s="290">
        <f t="shared" si="16"/>
        <v>-0.16717372827336552</v>
      </c>
      <c r="G47" s="290">
        <f t="shared" si="16"/>
        <v>0.10220512280675589</v>
      </c>
      <c r="H47" s="290">
        <f t="shared" si="16"/>
        <v>-4.6326696957225987E-2</v>
      </c>
      <c r="I47" s="290">
        <f t="shared" si="16"/>
        <v>9.9700124343898421E-3</v>
      </c>
      <c r="J47" s="290">
        <f t="shared" si="16"/>
        <v>5.6530644543301999E-2</v>
      </c>
      <c r="K47" s="290">
        <f t="shared" si="16"/>
        <v>0.10369558914173237</v>
      </c>
      <c r="L47" s="290">
        <f t="shared" si="16"/>
        <v>0.14662760696741861</v>
      </c>
      <c r="M47" s="290">
        <f t="shared" si="16"/>
        <v>0.18761623360373797</v>
      </c>
      <c r="N47" s="290">
        <f t="shared" si="16"/>
        <v>0.2284631251103299</v>
      </c>
      <c r="O47" s="290">
        <f t="shared" si="16"/>
        <v>0.26934161371060594</v>
      </c>
      <c r="P47" s="290">
        <f t="shared" si="16"/>
        <v>0.3073086489661625</v>
      </c>
      <c r="Q47" s="290">
        <f t="shared" si="16"/>
        <v>0.34613553168362438</v>
      </c>
      <c r="R47" s="290">
        <f t="shared" si="16"/>
        <v>0.38443053566661739</v>
      </c>
      <c r="S47" s="290">
        <f t="shared" si="16"/>
        <v>0.41972487619893967</v>
      </c>
      <c r="T47" s="290">
        <f t="shared" si="16"/>
        <v>0.45208630197235078</v>
      </c>
      <c r="U47" s="290">
        <f t="shared" si="16"/>
        <v>0.48447953740603872</v>
      </c>
      <c r="V47" s="290">
        <f t="shared" si="16"/>
        <v>0.51565257658871555</v>
      </c>
      <c r="W47" s="290">
        <f t="shared" si="16"/>
        <v>0.53545969053306897</v>
      </c>
      <c r="X47" s="290">
        <f t="shared" si="16"/>
        <v>0.53952586287652538</v>
      </c>
      <c r="Y47" s="290">
        <f t="shared" si="16"/>
        <v>0.52297333842499194</v>
      </c>
      <c r="Z47" s="290">
        <f t="shared" si="16"/>
        <v>0.46804406418825256</v>
      </c>
      <c r="AA47" s="290">
        <f t="shared" si="16"/>
        <v>0.47072775883858264</v>
      </c>
      <c r="AB47" s="290">
        <f t="shared" si="16"/>
        <v>0.47128812019988098</v>
      </c>
      <c r="AC47" s="290">
        <f t="shared" si="16"/>
        <v>0.47253587615546999</v>
      </c>
    </row>
    <row r="48" spans="1:29" x14ac:dyDescent="0.25">
      <c r="B48" s="67" t="s">
        <v>272</v>
      </c>
      <c r="E48" s="290">
        <f>AVERAGE(E47:AC47)</f>
        <v>0.28313889841819256</v>
      </c>
      <c r="F48" s="290"/>
      <c r="G48" s="290"/>
      <c r="H48" s="290"/>
      <c r="I48" s="290"/>
      <c r="J48" s="290"/>
      <c r="K48" s="290"/>
      <c r="L48" s="290"/>
      <c r="M48" s="290"/>
      <c r="N48" s="290"/>
      <c r="O48" s="290"/>
      <c r="P48" s="290"/>
      <c r="Q48" s="290"/>
      <c r="R48" s="290"/>
      <c r="S48" s="290"/>
      <c r="T48" s="290"/>
      <c r="U48" s="290"/>
      <c r="V48" s="290"/>
      <c r="W48" s="290"/>
      <c r="X48" s="290"/>
      <c r="Y48" s="290"/>
      <c r="Z48" s="290"/>
      <c r="AA48" s="290"/>
      <c r="AB48" s="290"/>
      <c r="AC48" s="290"/>
    </row>
  </sheetData>
  <mergeCells count="1">
    <mergeCell ref="E7:AC7"/>
  </mergeCells>
  <dataValidations count="1">
    <dataValidation type="list" allowBlank="1" showInputMessage="1" showErrorMessage="1" sqref="A12 A18 A14" xr:uid="{00000000-0002-0000-0300-000000000000}">
      <formula1>"0%,5%,10%"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E44"/>
  <sheetViews>
    <sheetView showGridLines="0" workbookViewId="0">
      <pane xSplit="2" ySplit="8" topLeftCell="S29" activePane="bottomRight" state="frozen"/>
      <selection activeCell="A9" sqref="A9"/>
      <selection pane="topRight" activeCell="A9" sqref="A9"/>
      <selection pane="bottomLeft" activeCell="A9" sqref="A9"/>
      <selection pane="bottomRight" activeCell="V42" sqref="V42"/>
    </sheetView>
  </sheetViews>
  <sheetFormatPr defaultColWidth="13.7109375" defaultRowHeight="15" x14ac:dyDescent="0.25"/>
  <cols>
    <col min="1" max="1" width="2.28515625" style="67" customWidth="1"/>
    <col min="2" max="2" width="64.7109375" style="67" customWidth="1"/>
    <col min="3" max="13" width="12.7109375" style="67" customWidth="1"/>
    <col min="14" max="16384" width="13.7109375" style="67"/>
  </cols>
  <sheetData>
    <row r="1" spans="2:31" s="1" customFormat="1" ht="19.899999999999999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</row>
    <row r="2" spans="2:31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2:31" s="1" customFormat="1" ht="19.899999999999999" customHeight="1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</row>
    <row r="4" spans="2:31" s="1" customFormat="1" ht="9" customHeight="1" x14ac:dyDescent="0.25">
      <c r="B4" s="2"/>
      <c r="C4" s="2"/>
      <c r="D4" s="2"/>
      <c r="E4" s="273"/>
    </row>
    <row r="5" spans="2:31" customFormat="1" ht="15.75" x14ac:dyDescent="0.25">
      <c r="B5" s="68" t="s">
        <v>258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</row>
    <row r="6" spans="2:31" customFormat="1" x14ac:dyDescent="0.25">
      <c r="B6" s="274" t="s">
        <v>256</v>
      </c>
      <c r="C6" s="31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</row>
    <row r="7" spans="2:31" s="31" customFormat="1" ht="15.75" x14ac:dyDescent="0.25">
      <c r="C7" s="307"/>
      <c r="D7" s="377" t="s">
        <v>76</v>
      </c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</row>
    <row r="8" spans="2:31" s="31" customFormat="1" x14ac:dyDescent="0.25">
      <c r="B8" s="70" t="s">
        <v>77</v>
      </c>
      <c r="C8" s="72">
        <f>'Revenue &amp; Expenses Modeling'!E8</f>
        <v>45991</v>
      </c>
      <c r="D8" s="72">
        <f>'Revenue &amp; Expenses Modeling'!F8</f>
        <v>46112</v>
      </c>
      <c r="E8" s="72">
        <f>'Revenue &amp; Expenses Modeling'!G8</f>
        <v>46477</v>
      </c>
      <c r="F8" s="72">
        <f>'Revenue &amp; Expenses Modeling'!H8</f>
        <v>46843</v>
      </c>
      <c r="G8" s="72">
        <f>'Revenue &amp; Expenses Modeling'!I8</f>
        <v>47208</v>
      </c>
      <c r="H8" s="72">
        <f>'Revenue &amp; Expenses Modeling'!J8</f>
        <v>47573</v>
      </c>
      <c r="I8" s="72">
        <f>'Revenue &amp; Expenses Modeling'!K8</f>
        <v>47938</v>
      </c>
      <c r="J8" s="72">
        <f>'Revenue &amp; Expenses Modeling'!L8</f>
        <v>48304</v>
      </c>
      <c r="K8" s="72">
        <f>'Revenue &amp; Expenses Modeling'!M8</f>
        <v>48669</v>
      </c>
      <c r="L8" s="72">
        <f>'Revenue &amp; Expenses Modeling'!N8</f>
        <v>49034</v>
      </c>
      <c r="M8" s="72">
        <f>'Revenue &amp; Expenses Modeling'!O8</f>
        <v>49399</v>
      </c>
      <c r="N8" s="72">
        <f>'Revenue &amp; Expenses Modeling'!P8</f>
        <v>49765</v>
      </c>
      <c r="O8" s="72">
        <f>'Revenue &amp; Expenses Modeling'!Q8</f>
        <v>50130</v>
      </c>
      <c r="P8" s="72">
        <f>'Revenue &amp; Expenses Modeling'!R8</f>
        <v>50495</v>
      </c>
      <c r="Q8" s="72">
        <f>'Revenue &amp; Expenses Modeling'!S8</f>
        <v>50860</v>
      </c>
      <c r="R8" s="72">
        <f>'Revenue &amp; Expenses Modeling'!T8</f>
        <v>51226</v>
      </c>
      <c r="S8" s="72">
        <f>'Revenue &amp; Expenses Modeling'!U8</f>
        <v>51591</v>
      </c>
      <c r="T8" s="72">
        <f>'Revenue &amp; Expenses Modeling'!V8</f>
        <v>51956</v>
      </c>
      <c r="U8" s="72">
        <f>'Revenue &amp; Expenses Modeling'!W8</f>
        <v>52321</v>
      </c>
      <c r="V8" s="72">
        <f>'Revenue &amp; Expenses Modeling'!X8</f>
        <v>52687</v>
      </c>
      <c r="W8" s="72">
        <f>'Revenue &amp; Expenses Modeling'!Y8</f>
        <v>53052</v>
      </c>
      <c r="X8" s="72">
        <f>'Revenue &amp; Expenses Modeling'!Z8</f>
        <v>53417</v>
      </c>
      <c r="Y8" s="72">
        <f>'Revenue &amp; Expenses Modeling'!AA8</f>
        <v>53782</v>
      </c>
      <c r="Z8" s="72">
        <f>'Revenue &amp; Expenses Modeling'!AB8</f>
        <v>54148</v>
      </c>
      <c r="AA8" s="72">
        <f>'Revenue &amp; Expenses Modeling'!AC8</f>
        <v>54513</v>
      </c>
      <c r="AB8" s="72">
        <f>'Revenue &amp; Expenses Modeling'!AD8</f>
        <v>54878</v>
      </c>
    </row>
    <row r="9" spans="2:31" s="77" customFormat="1" ht="12.75" x14ac:dyDescent="0.25">
      <c r="B9" s="73" t="s">
        <v>79</v>
      </c>
      <c r="C9" s="75">
        <v>0</v>
      </c>
      <c r="D9" s="76">
        <v>1</v>
      </c>
      <c r="E9" s="76">
        <v>2</v>
      </c>
      <c r="F9" s="76">
        <v>3</v>
      </c>
      <c r="G9" s="76">
        <v>4</v>
      </c>
      <c r="H9" s="76">
        <v>5</v>
      </c>
      <c r="I9" s="76">
        <v>6</v>
      </c>
      <c r="J9" s="76">
        <v>7</v>
      </c>
      <c r="K9" s="76">
        <v>8</v>
      </c>
      <c r="L9" s="76">
        <v>9</v>
      </c>
      <c r="M9" s="76">
        <v>10</v>
      </c>
      <c r="N9" s="76">
        <v>11</v>
      </c>
      <c r="O9" s="76">
        <v>12</v>
      </c>
      <c r="P9" s="76">
        <v>13</v>
      </c>
      <c r="Q9" s="76">
        <v>14</v>
      </c>
      <c r="R9" s="76">
        <v>15</v>
      </c>
      <c r="S9" s="76">
        <v>16</v>
      </c>
      <c r="T9" s="76">
        <v>17</v>
      </c>
      <c r="U9" s="76">
        <v>18</v>
      </c>
      <c r="V9" s="76">
        <v>19</v>
      </c>
      <c r="W9" s="76">
        <v>20</v>
      </c>
      <c r="X9" s="76">
        <v>21</v>
      </c>
      <c r="Y9" s="76">
        <v>22</v>
      </c>
      <c r="Z9" s="76">
        <v>23</v>
      </c>
      <c r="AA9" s="76">
        <v>24</v>
      </c>
      <c r="AB9" s="76">
        <v>25</v>
      </c>
    </row>
    <row r="10" spans="2:31" s="77" customFormat="1" ht="12.75" x14ac:dyDescent="0.25">
      <c r="B10" s="73" t="s">
        <v>80</v>
      </c>
      <c r="C10" s="75">
        <f>+IS!D10</f>
        <v>8</v>
      </c>
      <c r="D10" s="74">
        <f t="shared" ref="D10:AB10" si="0">MONTH(D8-C8)</f>
        <v>4</v>
      </c>
      <c r="E10" s="74">
        <f t="shared" si="0"/>
        <v>12</v>
      </c>
      <c r="F10" s="74">
        <f t="shared" si="0"/>
        <v>12</v>
      </c>
      <c r="G10" s="74">
        <f t="shared" si="0"/>
        <v>12</v>
      </c>
      <c r="H10" s="74">
        <f t="shared" si="0"/>
        <v>12</v>
      </c>
      <c r="I10" s="74">
        <f t="shared" si="0"/>
        <v>12</v>
      </c>
      <c r="J10" s="74">
        <f t="shared" si="0"/>
        <v>12</v>
      </c>
      <c r="K10" s="74">
        <f t="shared" si="0"/>
        <v>12</v>
      </c>
      <c r="L10" s="74">
        <f t="shared" si="0"/>
        <v>12</v>
      </c>
      <c r="M10" s="74">
        <f t="shared" si="0"/>
        <v>12</v>
      </c>
      <c r="N10" s="74">
        <f t="shared" si="0"/>
        <v>12</v>
      </c>
      <c r="O10" s="74">
        <f t="shared" si="0"/>
        <v>12</v>
      </c>
      <c r="P10" s="74">
        <f t="shared" si="0"/>
        <v>12</v>
      </c>
      <c r="Q10" s="74">
        <f t="shared" si="0"/>
        <v>12</v>
      </c>
      <c r="R10" s="74">
        <f t="shared" si="0"/>
        <v>12</v>
      </c>
      <c r="S10" s="74">
        <f t="shared" si="0"/>
        <v>12</v>
      </c>
      <c r="T10" s="74">
        <f t="shared" si="0"/>
        <v>12</v>
      </c>
      <c r="U10" s="74">
        <f t="shared" si="0"/>
        <v>12</v>
      </c>
      <c r="V10" s="74">
        <f t="shared" si="0"/>
        <v>12</v>
      </c>
      <c r="W10" s="74">
        <f t="shared" si="0"/>
        <v>12</v>
      </c>
      <c r="X10" s="74">
        <f t="shared" si="0"/>
        <v>12</v>
      </c>
      <c r="Y10" s="74">
        <f t="shared" si="0"/>
        <v>12</v>
      </c>
      <c r="Z10" s="74">
        <f t="shared" si="0"/>
        <v>12</v>
      </c>
      <c r="AA10" s="74">
        <f t="shared" si="0"/>
        <v>12</v>
      </c>
      <c r="AB10" s="74">
        <f t="shared" si="0"/>
        <v>12</v>
      </c>
    </row>
    <row r="11" spans="2:31" x14ac:dyDescent="0.25">
      <c r="B11" s="130" t="s">
        <v>115</v>
      </c>
    </row>
    <row r="12" spans="2:31" x14ac:dyDescent="0.25">
      <c r="B12" s="67" t="s">
        <v>116</v>
      </c>
      <c r="C12" s="141">
        <f>CFS!D13</f>
        <v>7.1964083005476454</v>
      </c>
      <c r="D12" s="141">
        <f t="shared" ref="D12:AB12" si="1">C12</f>
        <v>7.1964083005476454</v>
      </c>
      <c r="E12" s="141">
        <f t="shared" si="1"/>
        <v>7.1964083005476454</v>
      </c>
      <c r="F12" s="141">
        <f t="shared" si="1"/>
        <v>7.1964083005476454</v>
      </c>
      <c r="G12" s="141">
        <f t="shared" si="1"/>
        <v>7.1964083005476454</v>
      </c>
      <c r="H12" s="141">
        <f t="shared" si="1"/>
        <v>7.1964083005476454</v>
      </c>
      <c r="I12" s="141">
        <f t="shared" si="1"/>
        <v>7.1964083005476454</v>
      </c>
      <c r="J12" s="141">
        <f t="shared" si="1"/>
        <v>7.1964083005476454</v>
      </c>
      <c r="K12" s="141">
        <f t="shared" si="1"/>
        <v>7.1964083005476454</v>
      </c>
      <c r="L12" s="141">
        <f t="shared" si="1"/>
        <v>7.1964083005476454</v>
      </c>
      <c r="M12" s="141">
        <f t="shared" si="1"/>
        <v>7.1964083005476454</v>
      </c>
      <c r="N12" s="141">
        <f t="shared" si="1"/>
        <v>7.1964083005476454</v>
      </c>
      <c r="O12" s="141">
        <f t="shared" si="1"/>
        <v>7.1964083005476454</v>
      </c>
      <c r="P12" s="141">
        <f t="shared" si="1"/>
        <v>7.1964083005476454</v>
      </c>
      <c r="Q12" s="141">
        <f t="shared" si="1"/>
        <v>7.1964083005476454</v>
      </c>
      <c r="R12" s="141">
        <f t="shared" si="1"/>
        <v>7.1964083005476454</v>
      </c>
      <c r="S12" s="141">
        <f t="shared" si="1"/>
        <v>7.1964083005476454</v>
      </c>
      <c r="T12" s="141">
        <f t="shared" si="1"/>
        <v>7.1964083005476454</v>
      </c>
      <c r="U12" s="141">
        <f t="shared" si="1"/>
        <v>7.1964083005476454</v>
      </c>
      <c r="V12" s="141">
        <f t="shared" si="1"/>
        <v>7.1964083005476454</v>
      </c>
      <c r="W12" s="141">
        <f t="shared" si="1"/>
        <v>7.1964083005476454</v>
      </c>
      <c r="X12" s="141">
        <f t="shared" si="1"/>
        <v>7.1964083005476454</v>
      </c>
      <c r="Y12" s="141">
        <f t="shared" si="1"/>
        <v>7.1964083005476454</v>
      </c>
      <c r="Z12" s="141">
        <f t="shared" si="1"/>
        <v>7.1964083005476454</v>
      </c>
      <c r="AA12" s="141">
        <f t="shared" si="1"/>
        <v>7.1964083005476454</v>
      </c>
      <c r="AB12" s="141">
        <f t="shared" si="1"/>
        <v>7.1964083005476454</v>
      </c>
      <c r="AC12" s="125"/>
      <c r="AD12" s="125"/>
      <c r="AE12" s="125"/>
    </row>
    <row r="13" spans="2:31" x14ac:dyDescent="0.25">
      <c r="B13" s="67" t="s">
        <v>117</v>
      </c>
      <c r="C13" s="141">
        <f>+IS!D26</f>
        <v>0</v>
      </c>
      <c r="D13" s="141">
        <f>C13+IS!E26</f>
        <v>-0.20501404316747529</v>
      </c>
      <c r="E13" s="141">
        <f>D13+IS!F26</f>
        <v>-0.70962202592858559</v>
      </c>
      <c r="F13" s="141">
        <f>E13+IS!G26</f>
        <v>-0.32360864612207962</v>
      </c>
      <c r="G13" s="141">
        <f>F13+IS!H26</f>
        <v>-0.46070981353434226</v>
      </c>
      <c r="H13" s="141">
        <f>G13+IS!I26</f>
        <v>-0.43149396374934101</v>
      </c>
      <c r="I13" s="141">
        <f>H13+IS!J26</f>
        <v>-0.26746500097119097</v>
      </c>
      <c r="J13" s="141">
        <f>I13+IS!K26</f>
        <v>3.1264409079346855E-2</v>
      </c>
      <c r="K13" s="141">
        <f>J13+IS!L26</f>
        <v>0.44840480690717927</v>
      </c>
      <c r="L13" s="141">
        <f>K13+IS!M26</f>
        <v>0.97691462177130872</v>
      </c>
      <c r="M13" s="141">
        <f>L13+IS!N26</f>
        <v>1.6141732121308696</v>
      </c>
      <c r="N13" s="141">
        <f>M13+IS!O26</f>
        <v>2.3600832660099931</v>
      </c>
      <c r="O13" s="141">
        <f>N13+IS!P26</f>
        <v>3.2005309609053851</v>
      </c>
      <c r="P13" s="141">
        <f>O13+IS!Q26</f>
        <v>4.1378803179373556</v>
      </c>
      <c r="Q13" s="141">
        <f>P13+IS!R26</f>
        <v>5.1687254141075769</v>
      </c>
      <c r="R13" s="141">
        <f>Q13+IS!S26</f>
        <v>6.2861701986286</v>
      </c>
      <c r="S13" s="141">
        <f>R13+IS!T26</f>
        <v>7.4747815527040906</v>
      </c>
      <c r="T13" s="141">
        <f>S13+IS!U26</f>
        <v>8.7360767597682951</v>
      </c>
      <c r="U13" s="141">
        <f>T13+IS!V26</f>
        <v>10.065374131083429</v>
      </c>
      <c r="V13" s="141">
        <f>U13+IS!W26</f>
        <v>11.435877397833137</v>
      </c>
      <c r="W13" s="141">
        <f>V13+IS!X26</f>
        <v>12.799603490620115</v>
      </c>
      <c r="X13" s="141">
        <f>W13+IS!Y26</f>
        <v>14.108546473155709</v>
      </c>
      <c r="Y13" s="141">
        <f>X13+IS!Z26</f>
        <v>15.268538812757987</v>
      </c>
      <c r="Z13" s="141">
        <f>Y13+IS!AA26</f>
        <v>16.426860356786221</v>
      </c>
      <c r="AA13" s="141">
        <f>Z13+IS!AB26</f>
        <v>17.572141229307427</v>
      </c>
      <c r="AB13" s="141">
        <f>AA13+IS!AC26</f>
        <v>18.709219226866168</v>
      </c>
      <c r="AC13" s="125"/>
      <c r="AD13" s="125"/>
      <c r="AE13" s="125"/>
    </row>
    <row r="14" spans="2:31" x14ac:dyDescent="0.25">
      <c r="B14" s="67" t="s">
        <v>118</v>
      </c>
      <c r="C14" s="141">
        <f>CFS!D14-BS!C17</f>
        <v>16.791619367944502</v>
      </c>
      <c r="D14" s="141">
        <f>C14+CFS!E14-BS!D17</f>
        <v>15.711619367944502</v>
      </c>
      <c r="E14" s="141">
        <f>D14+CFS!F14-BS!E17</f>
        <v>14.631619367944502</v>
      </c>
      <c r="F14" s="141">
        <f>E14+CFS!G14-BS!F17</f>
        <v>13.551619367944502</v>
      </c>
      <c r="G14" s="141">
        <f>F14+CFS!H14-BS!G17</f>
        <v>12.471619367944502</v>
      </c>
      <c r="H14" s="141">
        <f>G14+CFS!I14-BS!H17</f>
        <v>11.391619367944502</v>
      </c>
      <c r="I14" s="141">
        <f>H14+CFS!J14-BS!I17</f>
        <v>10.311619367944502</v>
      </c>
      <c r="J14" s="141">
        <f>I14+CFS!K14-BS!J17</f>
        <v>9.323877052183061</v>
      </c>
      <c r="K14" s="141">
        <f>J14+CFS!L14-BS!K17</f>
        <v>8.3361347364216201</v>
      </c>
      <c r="L14" s="141">
        <f>K14+CFS!M14-BS!L17</f>
        <v>7.3483924206601792</v>
      </c>
      <c r="M14" s="141">
        <f>L14+CFS!N14-BS!M17</f>
        <v>6.3606501048987383</v>
      </c>
      <c r="N14" s="141">
        <f>M14+CFS!O14-BS!N17</f>
        <v>5.3729077891372974</v>
      </c>
      <c r="O14" s="141">
        <f>N14+CFS!P14-BS!O17</f>
        <v>4.3851654733758565</v>
      </c>
      <c r="P14" s="141">
        <f>O14+CFS!Q14-BS!P17</f>
        <v>3.3974231576144152</v>
      </c>
      <c r="Q14" s="141">
        <f>P14+CFS!R14-BS!Q17</f>
        <v>2.5574231576144149</v>
      </c>
      <c r="R14" s="141">
        <f>Q14+CFS!S14-BS!R17</f>
        <v>1.7174231576144146</v>
      </c>
      <c r="S14" s="141">
        <f>R14+CFS!T14-BS!S17</f>
        <v>0.87742315761441425</v>
      </c>
      <c r="T14" s="141">
        <f>S14+CFS!U14-BS!T17</f>
        <v>-3.5194069880617462E-14</v>
      </c>
      <c r="U14" s="141">
        <f>T14+CFS!V14-BS!U17</f>
        <v>-3.5194069880617462E-14</v>
      </c>
      <c r="V14" s="141">
        <f>U14+CFS!W14-BS!V17</f>
        <v>-3.5194069880617462E-14</v>
      </c>
      <c r="W14" s="141">
        <f>V14+CFS!X14-BS!W17</f>
        <v>-3.5194069880617462E-14</v>
      </c>
      <c r="X14" s="141">
        <f>W14+CFS!Y14-BS!X17</f>
        <v>-3.5194069880617462E-14</v>
      </c>
      <c r="Y14" s="141">
        <f>X14+CFS!Z14-BS!Y17</f>
        <v>-3.5194069880617462E-14</v>
      </c>
      <c r="Z14" s="141">
        <f>Y14+CFS!AA14-BS!Z17</f>
        <v>-3.5194069880617462E-14</v>
      </c>
      <c r="AA14" s="141">
        <f>Z14+CFS!AB14-BS!AA17</f>
        <v>-3.5194069880617462E-14</v>
      </c>
      <c r="AB14" s="141">
        <f>AA14+CFS!AC14-BS!AB17</f>
        <v>-3.5194069880617462E-14</v>
      </c>
      <c r="AC14" s="125"/>
      <c r="AD14" s="125"/>
      <c r="AE14" s="125"/>
    </row>
    <row r="15" spans="2:31" x14ac:dyDescent="0.25">
      <c r="B15" s="130" t="s">
        <v>119</v>
      </c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</row>
    <row r="16" spans="2:31" x14ac:dyDescent="0.25">
      <c r="B16" s="67" t="s">
        <v>120</v>
      </c>
      <c r="D16" s="141">
        <f>+IS!E18/365*45</f>
        <v>8.2597277130214336E-2</v>
      </c>
      <c r="E16" s="141">
        <f>+IS!F18/365*45</f>
        <v>0.23899804592785162</v>
      </c>
      <c r="F16" s="141">
        <f>+IS!G18/365*45</f>
        <v>0.22581889047968401</v>
      </c>
      <c r="G16" s="141">
        <f>+IS!H18/365*45</f>
        <v>0.21237659568164369</v>
      </c>
      <c r="H16" s="141">
        <f>+IS!I18/365*45</f>
        <v>0.2005239154431033</v>
      </c>
      <c r="I16" s="141">
        <f>+IS!J18/365*45</f>
        <v>0.18989431246181573</v>
      </c>
      <c r="J16" s="141">
        <f>+IS!K18/365*45</f>
        <v>0.18026968576382885</v>
      </c>
      <c r="K16" s="141">
        <f>+IS!L18/365*45</f>
        <v>0.17064453416657821</v>
      </c>
      <c r="L16" s="141">
        <f>+IS!M18/365*45</f>
        <v>0.16250036182830496</v>
      </c>
      <c r="M16" s="141">
        <f>+IS!N18/365*45</f>
        <v>0.15478063658858357</v>
      </c>
      <c r="N16" s="141">
        <f>+IS!O18/365*45</f>
        <v>0.14802466322739569</v>
      </c>
      <c r="O16" s="141">
        <f>+IS!P18/365*45</f>
        <v>0.1415725654888644</v>
      </c>
      <c r="P16" s="141">
        <f>+IS!Q18/365*45</f>
        <v>0.13571723039420361</v>
      </c>
      <c r="Q16" s="141">
        <f>+IS!R18/365*45</f>
        <v>0.13040185634367926</v>
      </c>
      <c r="R16" s="141">
        <f>+IS!S18/365*45</f>
        <v>0.12613668822766244</v>
      </c>
      <c r="S16" s="141">
        <f>+IS!T18/365*45</f>
        <v>0.12155456432785515</v>
      </c>
      <c r="T16" s="141">
        <f>+IS!U18/365*45</f>
        <v>0.11765784159974567</v>
      </c>
      <c r="U16" s="141">
        <f>+IS!V18/365*45</f>
        <v>0.11450838787396146</v>
      </c>
      <c r="V16" s="141">
        <f>+IS!W18/365*45</f>
        <v>0.11158658523202478</v>
      </c>
      <c r="W16" s="141">
        <f>+IS!X18/365*45</f>
        <v>0.10866835740947488</v>
      </c>
      <c r="X16" s="141">
        <f>+IS!Y18/365*45</f>
        <v>0.10662873242192086</v>
      </c>
      <c r="Y16" s="141">
        <f>+IS!Z18/365*45</f>
        <v>0.10455945260146093</v>
      </c>
      <c r="Z16" s="141">
        <f>+IS!AA18/365*45</f>
        <v>0.10292755722250108</v>
      </c>
      <c r="AA16" s="141">
        <f>+IS!AB18/365*45</f>
        <v>0.10167047599072764</v>
      </c>
      <c r="AB16" s="141">
        <f>+IS!AC18/365*45</f>
        <v>0.10045845182045619</v>
      </c>
      <c r="AC16" s="141">
        <f>+IS!AD18/365*30</f>
        <v>0</v>
      </c>
      <c r="AD16" s="125"/>
      <c r="AE16" s="125"/>
    </row>
    <row r="17" spans="2:31" x14ac:dyDescent="0.25">
      <c r="B17" s="67" t="s">
        <v>121</v>
      </c>
      <c r="C17" s="141">
        <f>'Loan Schedule'!F13</f>
        <v>0</v>
      </c>
      <c r="D17" s="141">
        <f>'Loan Schedule'!G13</f>
        <v>1.0799999999999998</v>
      </c>
      <c r="E17" s="141">
        <f>'Loan Schedule'!H13</f>
        <v>1.0799999999999998</v>
      </c>
      <c r="F17" s="141">
        <f>'Loan Schedule'!I13</f>
        <v>1.0799999999999998</v>
      </c>
      <c r="G17" s="141">
        <f>'Loan Schedule'!J13</f>
        <v>1.0799999999999998</v>
      </c>
      <c r="H17" s="141">
        <f>'Loan Schedule'!K13</f>
        <v>1.0799999999999998</v>
      </c>
      <c r="I17" s="141">
        <f>'Loan Schedule'!L13</f>
        <v>1.0799999999999998</v>
      </c>
      <c r="J17" s="141">
        <f>'Loan Schedule'!M13</f>
        <v>0.98774231576144134</v>
      </c>
      <c r="K17" s="141">
        <f>'Loan Schedule'!N13</f>
        <v>0.98774231576144134</v>
      </c>
      <c r="L17" s="141">
        <f>'Loan Schedule'!O13</f>
        <v>0.98774231576144134</v>
      </c>
      <c r="M17" s="141">
        <f>'Loan Schedule'!P13</f>
        <v>0.98774231576144134</v>
      </c>
      <c r="N17" s="141">
        <f>'Loan Schedule'!Q13</f>
        <v>0.98774231576144134</v>
      </c>
      <c r="O17" s="141">
        <f>'Loan Schedule'!R13</f>
        <v>0.98774231576144134</v>
      </c>
      <c r="P17" s="141">
        <f>'Loan Schedule'!S13</f>
        <v>0.98774231576144134</v>
      </c>
      <c r="Q17" s="141">
        <f>'Loan Schedule'!T13</f>
        <v>0.8400000000000003</v>
      </c>
      <c r="R17" s="141">
        <f>'Loan Schedule'!U13</f>
        <v>0.8400000000000003</v>
      </c>
      <c r="S17" s="141">
        <f>'Loan Schedule'!V13</f>
        <v>0.8400000000000003</v>
      </c>
      <c r="T17" s="141">
        <f>'Loan Schedule'!W13</f>
        <v>0.87742315761444944</v>
      </c>
      <c r="U17" s="141">
        <f>'Loan Schedule'!X13</f>
        <v>0</v>
      </c>
      <c r="V17" s="141">
        <f>'Loan Schedule'!Y13</f>
        <v>0</v>
      </c>
      <c r="W17" s="141">
        <f>'Loan Schedule'!Z13</f>
        <v>0</v>
      </c>
      <c r="X17" s="141">
        <f>'Loan Schedule'!AA13</f>
        <v>0</v>
      </c>
      <c r="Y17" s="141">
        <f>'Loan Schedule'!AB13</f>
        <v>0</v>
      </c>
      <c r="Z17" s="141">
        <f>'Loan Schedule'!AC13</f>
        <v>0</v>
      </c>
      <c r="AA17" s="141">
        <f>'Loan Schedule'!AD13</f>
        <v>0</v>
      </c>
      <c r="AB17" s="141">
        <v>0</v>
      </c>
      <c r="AC17" s="125"/>
      <c r="AD17" s="125"/>
      <c r="AE17" s="125"/>
    </row>
    <row r="18" spans="2:31" x14ac:dyDescent="0.25">
      <c r="B18" s="67" t="s">
        <v>122</v>
      </c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25"/>
      <c r="AD18" s="125"/>
      <c r="AE18" s="125"/>
    </row>
    <row r="19" spans="2:31" x14ac:dyDescent="0.25">
      <c r="B19" s="132" t="s">
        <v>123</v>
      </c>
      <c r="C19" s="133">
        <f t="shared" ref="C19:AB19" si="2">SUM(C11:C18)</f>
        <v>23.988027668492148</v>
      </c>
      <c r="D19" s="133">
        <f t="shared" si="2"/>
        <v>23.865610902454886</v>
      </c>
      <c r="E19" s="133">
        <f t="shared" si="2"/>
        <v>22.437403688491411</v>
      </c>
      <c r="F19" s="133">
        <f t="shared" si="2"/>
        <v>21.730237912849748</v>
      </c>
      <c r="G19" s="133">
        <f t="shared" si="2"/>
        <v>20.499694450639446</v>
      </c>
      <c r="H19" s="133">
        <f t="shared" si="2"/>
        <v>19.437057620185907</v>
      </c>
      <c r="I19" s="133">
        <f t="shared" si="2"/>
        <v>18.51045697998277</v>
      </c>
      <c r="J19" s="133">
        <f t="shared" si="2"/>
        <v>17.719561763335321</v>
      </c>
      <c r="K19" s="133">
        <f t="shared" si="2"/>
        <v>17.139334693804464</v>
      </c>
      <c r="L19" s="133">
        <f t="shared" si="2"/>
        <v>16.67195802056888</v>
      </c>
      <c r="M19" s="133">
        <f t="shared" si="2"/>
        <v>16.31375456992728</v>
      </c>
      <c r="N19" s="133">
        <f t="shared" si="2"/>
        <v>16.065166334683774</v>
      </c>
      <c r="O19" s="133">
        <f t="shared" si="2"/>
        <v>15.911419616079193</v>
      </c>
      <c r="P19" s="133">
        <f t="shared" si="2"/>
        <v>15.85517132225506</v>
      </c>
      <c r="Q19" s="133">
        <f t="shared" si="2"/>
        <v>15.892958728613317</v>
      </c>
      <c r="R19" s="133">
        <f t="shared" si="2"/>
        <v>16.166138345018322</v>
      </c>
      <c r="S19" s="133">
        <f t="shared" si="2"/>
        <v>16.510167575194007</v>
      </c>
      <c r="T19" s="133">
        <f t="shared" si="2"/>
        <v>16.927566059530097</v>
      </c>
      <c r="U19" s="133">
        <f t="shared" si="2"/>
        <v>17.376290819505002</v>
      </c>
      <c r="V19" s="133">
        <f t="shared" si="2"/>
        <v>18.743872283612774</v>
      </c>
      <c r="W19" s="133">
        <f t="shared" si="2"/>
        <v>20.104680148577199</v>
      </c>
      <c r="X19" s="133">
        <f t="shared" si="2"/>
        <v>21.41158350612524</v>
      </c>
      <c r="Y19" s="133">
        <f t="shared" si="2"/>
        <v>22.569506565907059</v>
      </c>
      <c r="Z19" s="133">
        <f t="shared" si="2"/>
        <v>23.726196214556332</v>
      </c>
      <c r="AA19" s="133">
        <f t="shared" si="2"/>
        <v>24.870220005845763</v>
      </c>
      <c r="AB19" s="133">
        <f t="shared" si="2"/>
        <v>26.006085979234232</v>
      </c>
    </row>
    <row r="20" spans="2:31" x14ac:dyDescent="0.25">
      <c r="B20" s="130" t="s">
        <v>124</v>
      </c>
    </row>
    <row r="21" spans="2:31" x14ac:dyDescent="0.25">
      <c r="B21" s="67" t="s">
        <v>125</v>
      </c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</row>
    <row r="22" spans="2:31" hidden="1" x14ac:dyDescent="0.25">
      <c r="B22" s="67" t="s">
        <v>126</v>
      </c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</row>
    <row r="23" spans="2:31" x14ac:dyDescent="0.25">
      <c r="B23" s="67" t="s">
        <v>127</v>
      </c>
      <c r="C23" s="111">
        <f>+'PC &amp; MoF'!H9</f>
        <v>23.331796367458136</v>
      </c>
      <c r="D23" s="111">
        <f t="shared" ref="D23:AB23" si="3">C23</f>
        <v>23.331796367458136</v>
      </c>
      <c r="E23" s="111">
        <f t="shared" si="3"/>
        <v>23.331796367458136</v>
      </c>
      <c r="F23" s="111">
        <f t="shared" si="3"/>
        <v>23.331796367458136</v>
      </c>
      <c r="G23" s="111">
        <f t="shared" si="3"/>
        <v>23.331796367458136</v>
      </c>
      <c r="H23" s="111">
        <f t="shared" si="3"/>
        <v>23.331796367458136</v>
      </c>
      <c r="I23" s="111">
        <f t="shared" si="3"/>
        <v>23.331796367458136</v>
      </c>
      <c r="J23" s="111">
        <f t="shared" si="3"/>
        <v>23.331796367458136</v>
      </c>
      <c r="K23" s="111">
        <f t="shared" si="3"/>
        <v>23.331796367458136</v>
      </c>
      <c r="L23" s="111">
        <f t="shared" si="3"/>
        <v>23.331796367458136</v>
      </c>
      <c r="M23" s="111">
        <f t="shared" si="3"/>
        <v>23.331796367458136</v>
      </c>
      <c r="N23" s="111">
        <f t="shared" si="3"/>
        <v>23.331796367458136</v>
      </c>
      <c r="O23" s="111">
        <f t="shared" si="3"/>
        <v>23.331796367458136</v>
      </c>
      <c r="P23" s="111">
        <f t="shared" si="3"/>
        <v>23.331796367458136</v>
      </c>
      <c r="Q23" s="111">
        <f t="shared" si="3"/>
        <v>23.331796367458136</v>
      </c>
      <c r="R23" s="111">
        <f t="shared" si="3"/>
        <v>23.331796367458136</v>
      </c>
      <c r="S23" s="111">
        <f t="shared" si="3"/>
        <v>23.331796367458136</v>
      </c>
      <c r="T23" s="111">
        <f t="shared" si="3"/>
        <v>23.331796367458136</v>
      </c>
      <c r="U23" s="111">
        <f t="shared" si="3"/>
        <v>23.331796367458136</v>
      </c>
      <c r="V23" s="111">
        <f t="shared" si="3"/>
        <v>23.331796367458136</v>
      </c>
      <c r="W23" s="111">
        <f t="shared" si="3"/>
        <v>23.331796367458136</v>
      </c>
      <c r="X23" s="111">
        <f t="shared" si="3"/>
        <v>23.331796367458136</v>
      </c>
      <c r="Y23" s="111">
        <f t="shared" si="3"/>
        <v>23.331796367458136</v>
      </c>
      <c r="Z23" s="111">
        <f t="shared" si="3"/>
        <v>23.331796367458136</v>
      </c>
      <c r="AA23" s="111">
        <f t="shared" si="3"/>
        <v>23.331796367458136</v>
      </c>
      <c r="AB23" s="111">
        <f t="shared" si="3"/>
        <v>23.331796367458136</v>
      </c>
    </row>
    <row r="24" spans="2:31" hidden="1" x14ac:dyDescent="0.25">
      <c r="B24" s="67" t="s">
        <v>128</v>
      </c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</row>
    <row r="25" spans="2:31" hidden="1" x14ac:dyDescent="0.25">
      <c r="B25" s="67" t="s">
        <v>5</v>
      </c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</row>
    <row r="26" spans="2:31" hidden="1" x14ac:dyDescent="0.25">
      <c r="B26" s="67" t="s">
        <v>129</v>
      </c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</row>
    <row r="27" spans="2:31" x14ac:dyDescent="0.25">
      <c r="B27" s="134" t="s">
        <v>130</v>
      </c>
      <c r="C27" s="135">
        <f t="shared" ref="C27:AB27" si="4">SUM(C21:C26)</f>
        <v>23.331796367458136</v>
      </c>
      <c r="D27" s="135">
        <f>SUM(D21:D26)</f>
        <v>23.331796367458136</v>
      </c>
      <c r="E27" s="135">
        <f t="shared" si="4"/>
        <v>23.331796367458136</v>
      </c>
      <c r="F27" s="135">
        <f t="shared" si="4"/>
        <v>23.331796367458136</v>
      </c>
      <c r="G27" s="135">
        <f t="shared" si="4"/>
        <v>23.331796367458136</v>
      </c>
      <c r="H27" s="135">
        <f t="shared" si="4"/>
        <v>23.331796367458136</v>
      </c>
      <c r="I27" s="135">
        <f t="shared" si="4"/>
        <v>23.331796367458136</v>
      </c>
      <c r="J27" s="135">
        <f t="shared" si="4"/>
        <v>23.331796367458136</v>
      </c>
      <c r="K27" s="135">
        <f t="shared" si="4"/>
        <v>23.331796367458136</v>
      </c>
      <c r="L27" s="135">
        <f t="shared" si="4"/>
        <v>23.331796367458136</v>
      </c>
      <c r="M27" s="135">
        <f t="shared" si="4"/>
        <v>23.331796367458136</v>
      </c>
      <c r="N27" s="135">
        <f t="shared" si="4"/>
        <v>23.331796367458136</v>
      </c>
      <c r="O27" s="135">
        <f t="shared" si="4"/>
        <v>23.331796367458136</v>
      </c>
      <c r="P27" s="135">
        <f t="shared" si="4"/>
        <v>23.331796367458136</v>
      </c>
      <c r="Q27" s="135">
        <f t="shared" si="4"/>
        <v>23.331796367458136</v>
      </c>
      <c r="R27" s="135">
        <f t="shared" si="4"/>
        <v>23.331796367458136</v>
      </c>
      <c r="S27" s="135">
        <f t="shared" si="4"/>
        <v>23.331796367458136</v>
      </c>
      <c r="T27" s="135">
        <f t="shared" si="4"/>
        <v>23.331796367458136</v>
      </c>
      <c r="U27" s="135">
        <f t="shared" si="4"/>
        <v>23.331796367458136</v>
      </c>
      <c r="V27" s="135">
        <f t="shared" si="4"/>
        <v>23.331796367458136</v>
      </c>
      <c r="W27" s="135">
        <f t="shared" si="4"/>
        <v>23.331796367458136</v>
      </c>
      <c r="X27" s="135">
        <f t="shared" si="4"/>
        <v>23.331796367458136</v>
      </c>
      <c r="Y27" s="135">
        <f t="shared" si="4"/>
        <v>23.331796367458136</v>
      </c>
      <c r="Z27" s="135">
        <f t="shared" si="4"/>
        <v>23.331796367458136</v>
      </c>
      <c r="AA27" s="135">
        <f t="shared" si="4"/>
        <v>23.331796367458136</v>
      </c>
      <c r="AB27" s="135">
        <f t="shared" si="4"/>
        <v>23.331796367458136</v>
      </c>
    </row>
    <row r="28" spans="2:31" x14ac:dyDescent="0.25">
      <c r="B28" s="67" t="s">
        <v>142</v>
      </c>
      <c r="C28" s="111"/>
      <c r="D28" s="111">
        <f>IS!E16+C28</f>
        <v>0.55844175185037748</v>
      </c>
      <c r="E28" s="111">
        <f>IS!F16+D28</f>
        <v>2.2026779550972577</v>
      </c>
      <c r="F28" s="111">
        <f>IS!G16+E28</f>
        <v>3.7323798177556649</v>
      </c>
      <c r="G28" s="111">
        <f>IS!H16+F28</f>
        <v>5.1474576926441831</v>
      </c>
      <c r="H28" s="111">
        <f>IS!I16+G28</f>
        <v>6.4603669449657506</v>
      </c>
      <c r="I28" s="111">
        <f>IS!J16+H28</f>
        <v>7.6784841492697007</v>
      </c>
      <c r="J28" s="111">
        <f>IS!K16+I28</f>
        <v>8.8117496452370236</v>
      </c>
      <c r="K28" s="111">
        <f>IS!L16+J28</f>
        <v>9.8600970185813885</v>
      </c>
      <c r="L28" s="111">
        <f>IS!M16+K28</f>
        <v>10.832753711570289</v>
      </c>
      <c r="M28" s="111">
        <f>IS!N16+L28</f>
        <v>11.735184591325392</v>
      </c>
      <c r="N28" s="111">
        <f>IS!O16+M28</f>
        <v>12.574753866686113</v>
      </c>
      <c r="O28" s="111">
        <f>IS!P16+N28</f>
        <v>13.351412335241852</v>
      </c>
      <c r="P28" s="111">
        <f>IS!Q16+O28</f>
        <v>14.071996062367868</v>
      </c>
      <c r="Q28" s="111">
        <f>IS!R16+P28</f>
        <v>14.740553644395385</v>
      </c>
      <c r="R28" s="111">
        <f>IS!S16+Q28</f>
        <v>15.362540787424091</v>
      </c>
      <c r="S28" s="111">
        <f>IS!T16+R28</f>
        <v>15.93792104030255</v>
      </c>
      <c r="T28" s="111">
        <f>IS!U16+S28</f>
        <v>16.471758838923183</v>
      </c>
      <c r="U28" s="111">
        <f>IS!V16+T28</f>
        <v>16.967053548483406</v>
      </c>
      <c r="V28" s="111">
        <f>IS!W16+U28</f>
        <v>17.427846978455928</v>
      </c>
      <c r="W28" s="111">
        <f>IS!X16+V28</f>
        <v>17.854112124341889</v>
      </c>
      <c r="X28" s="111">
        <f>IS!Y16+W28</f>
        <v>18.249600926694882</v>
      </c>
      <c r="Y28" s="111">
        <f>IS!Z16+X28</f>
        <v>18.616535437517989</v>
      </c>
      <c r="Z28" s="111">
        <f>IS!AA16+Y28</f>
        <v>18.95790999402718</v>
      </c>
      <c r="AA28" s="111">
        <f>IS!AB16+Z28</f>
        <v>19.273704590188895</v>
      </c>
      <c r="AB28" s="111">
        <f>IS!AC16+AA28</f>
        <v>19.566698816507735</v>
      </c>
    </row>
    <row r="29" spans="2:31" x14ac:dyDescent="0.25">
      <c r="B29" s="136" t="s">
        <v>131</v>
      </c>
      <c r="C29" s="137">
        <f t="shared" ref="C29:AB29" si="5">C27-C28</f>
        <v>23.331796367458136</v>
      </c>
      <c r="D29" s="137">
        <f>D27-D28</f>
        <v>22.773354615607758</v>
      </c>
      <c r="E29" s="137">
        <f t="shared" si="5"/>
        <v>21.129118412360878</v>
      </c>
      <c r="F29" s="137">
        <f t="shared" si="5"/>
        <v>19.599416549702472</v>
      </c>
      <c r="G29" s="137">
        <f t="shared" si="5"/>
        <v>18.184338674813951</v>
      </c>
      <c r="H29" s="137">
        <f t="shared" si="5"/>
        <v>16.871429422492383</v>
      </c>
      <c r="I29" s="137">
        <f t="shared" si="5"/>
        <v>15.653312218188436</v>
      </c>
      <c r="J29" s="137">
        <f t="shared" si="5"/>
        <v>14.520046722221112</v>
      </c>
      <c r="K29" s="137">
        <f t="shared" si="5"/>
        <v>13.471699348876747</v>
      </c>
      <c r="L29" s="137">
        <f t="shared" si="5"/>
        <v>12.499042655887846</v>
      </c>
      <c r="M29" s="137">
        <f t="shared" si="5"/>
        <v>11.596611776132743</v>
      </c>
      <c r="N29" s="137">
        <f t="shared" si="5"/>
        <v>10.757042500772023</v>
      </c>
      <c r="O29" s="137">
        <f t="shared" si="5"/>
        <v>9.9803840322162838</v>
      </c>
      <c r="P29" s="137">
        <f t="shared" si="5"/>
        <v>9.259800305090268</v>
      </c>
      <c r="Q29" s="137">
        <f t="shared" si="5"/>
        <v>8.5912427230627504</v>
      </c>
      <c r="R29" s="137">
        <f t="shared" si="5"/>
        <v>7.9692555800340443</v>
      </c>
      <c r="S29" s="137">
        <f t="shared" si="5"/>
        <v>7.3938753271555857</v>
      </c>
      <c r="T29" s="137">
        <f t="shared" si="5"/>
        <v>6.8600375285349529</v>
      </c>
      <c r="U29" s="137">
        <f t="shared" si="5"/>
        <v>6.3647428189747295</v>
      </c>
      <c r="V29" s="137">
        <f t="shared" si="5"/>
        <v>5.9039493890022072</v>
      </c>
      <c r="W29" s="137">
        <f t="shared" si="5"/>
        <v>5.4776842431162471</v>
      </c>
      <c r="X29" s="137">
        <f t="shared" si="5"/>
        <v>5.0821954407632539</v>
      </c>
      <c r="Y29" s="137">
        <f t="shared" si="5"/>
        <v>4.7152609299401469</v>
      </c>
      <c r="Z29" s="137">
        <f t="shared" si="5"/>
        <v>4.3738863734309561</v>
      </c>
      <c r="AA29" s="137">
        <f t="shared" si="5"/>
        <v>4.0580917772692402</v>
      </c>
      <c r="AB29" s="137">
        <f t="shared" si="5"/>
        <v>3.7650975509504008</v>
      </c>
    </row>
    <row r="30" spans="2:31" x14ac:dyDescent="0.25">
      <c r="B30" s="67" t="s">
        <v>132</v>
      </c>
      <c r="C30" s="112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</row>
    <row r="31" spans="2:31" x14ac:dyDescent="0.25">
      <c r="B31" s="136" t="s">
        <v>133</v>
      </c>
      <c r="C31" s="137">
        <f t="shared" ref="C31:AB31" si="6">C29+C30</f>
        <v>23.331796367458136</v>
      </c>
      <c r="D31" s="137">
        <f t="shared" si="6"/>
        <v>22.773354615607758</v>
      </c>
      <c r="E31" s="137">
        <f t="shared" si="6"/>
        <v>21.129118412360878</v>
      </c>
      <c r="F31" s="137">
        <f t="shared" si="6"/>
        <v>19.599416549702472</v>
      </c>
      <c r="G31" s="137">
        <f t="shared" si="6"/>
        <v>18.184338674813951</v>
      </c>
      <c r="H31" s="137">
        <f t="shared" si="6"/>
        <v>16.871429422492383</v>
      </c>
      <c r="I31" s="137">
        <f t="shared" si="6"/>
        <v>15.653312218188436</v>
      </c>
      <c r="J31" s="137">
        <f t="shared" si="6"/>
        <v>14.520046722221112</v>
      </c>
      <c r="K31" s="137">
        <f t="shared" si="6"/>
        <v>13.471699348876747</v>
      </c>
      <c r="L31" s="137">
        <f t="shared" si="6"/>
        <v>12.499042655887846</v>
      </c>
      <c r="M31" s="137">
        <f t="shared" si="6"/>
        <v>11.596611776132743</v>
      </c>
      <c r="N31" s="137">
        <f t="shared" si="6"/>
        <v>10.757042500772023</v>
      </c>
      <c r="O31" s="137">
        <f t="shared" si="6"/>
        <v>9.9803840322162838</v>
      </c>
      <c r="P31" s="137">
        <f t="shared" si="6"/>
        <v>9.259800305090268</v>
      </c>
      <c r="Q31" s="137">
        <f t="shared" si="6"/>
        <v>8.5912427230627504</v>
      </c>
      <c r="R31" s="137">
        <f t="shared" si="6"/>
        <v>7.9692555800340443</v>
      </c>
      <c r="S31" s="137">
        <f t="shared" si="6"/>
        <v>7.3938753271555857</v>
      </c>
      <c r="T31" s="137">
        <f t="shared" si="6"/>
        <v>6.8600375285349529</v>
      </c>
      <c r="U31" s="137">
        <f t="shared" si="6"/>
        <v>6.3647428189747295</v>
      </c>
      <c r="V31" s="137">
        <f t="shared" si="6"/>
        <v>5.9039493890022072</v>
      </c>
      <c r="W31" s="137">
        <f t="shared" si="6"/>
        <v>5.4776842431162471</v>
      </c>
      <c r="X31" s="137">
        <f t="shared" si="6"/>
        <v>5.0821954407632539</v>
      </c>
      <c r="Y31" s="137">
        <f t="shared" si="6"/>
        <v>4.7152609299401469</v>
      </c>
      <c r="Z31" s="137">
        <f t="shared" si="6"/>
        <v>4.3738863734309561</v>
      </c>
      <c r="AA31" s="137">
        <f t="shared" si="6"/>
        <v>4.0580917772692402</v>
      </c>
      <c r="AB31" s="137">
        <f t="shared" si="6"/>
        <v>3.7650975509504008</v>
      </c>
    </row>
    <row r="32" spans="2:31" x14ac:dyDescent="0.25">
      <c r="B32" s="130" t="s">
        <v>134</v>
      </c>
    </row>
    <row r="33" spans="2:29" x14ac:dyDescent="0.25">
      <c r="B33" s="67" t="s">
        <v>135</v>
      </c>
      <c r="C33" s="111">
        <v>0</v>
      </c>
      <c r="D33" s="111">
        <f>+'Revenue &amp; Expenses Modeling'!F29/365*20</f>
        <v>5.4420261764833937E-2</v>
      </c>
      <c r="E33" s="111">
        <f>+'Revenue &amp; Expenses Modeling'!G29/365*20</f>
        <v>0.1625186908158904</v>
      </c>
      <c r="F33" s="111">
        <f>+'Revenue &amp; Expenses Modeling'!H29/365*20</f>
        <v>0.16133430802802667</v>
      </c>
      <c r="G33" s="111">
        <f>+'Revenue &amp; Expenses Modeling'!I29/365*20</f>
        <v>0.15928456886865419</v>
      </c>
      <c r="H33" s="111">
        <f>+'Revenue &amp; Expenses Modeling'!J29/365*20</f>
        <v>0.15769172317996766</v>
      </c>
      <c r="I33" s="111">
        <f>+'Revenue &amp; Expenses Modeling'!K29/365*20</f>
        <v>0.15611480594816793</v>
      </c>
      <c r="J33" s="111">
        <f>+'Revenue &amp; Expenses Modeling'!L29/365*20</f>
        <v>0.15497709256783337</v>
      </c>
      <c r="K33" s="111">
        <f>+'Revenue &amp; Expenses Modeling'!M29/365*20</f>
        <v>0.15300812130979941</v>
      </c>
      <c r="L33" s="111">
        <f>+'Revenue &amp; Expenses Modeling'!N29/365*20</f>
        <v>0.15147804009670143</v>
      </c>
      <c r="M33" s="111">
        <f>+'Revenue &amp; Expenses Modeling'!O29/365*20</f>
        <v>0.1499632596957344</v>
      </c>
      <c r="N33" s="111">
        <f>+'Revenue &amp; Expenses Modeling'!P29/365*20</f>
        <v>0.14887037676206136</v>
      </c>
      <c r="O33" s="111">
        <f>+'Revenue &amp; Expenses Modeling'!Q29/365*20</f>
        <v>0.14697899082778926</v>
      </c>
      <c r="P33" s="111">
        <f>+'Revenue &amp; Expenses Modeling'!R29/365*20</f>
        <v>0.14550920091951136</v>
      </c>
      <c r="Q33" s="111">
        <f>+'Revenue &amp; Expenses Modeling'!S29/365*20</f>
        <v>0.14405410891031623</v>
      </c>
      <c r="R33" s="111">
        <f>+'Revenue &amp; Expenses Modeling'!T29/365*20</f>
        <v>0.14300428992483291</v>
      </c>
      <c r="S33" s="111">
        <f>+'Revenue &amp; Expenses Modeling'!U29/365*20</f>
        <v>0.14118743214300097</v>
      </c>
      <c r="T33" s="111">
        <f>+'Revenue &amp; Expenses Modeling'!V29/365*20</f>
        <v>0.13977555782157094</v>
      </c>
      <c r="U33" s="111">
        <f>+'Revenue &amp; Expenses Modeling'!W29/365*20</f>
        <v>0.13837780224335522</v>
      </c>
      <c r="V33" s="111">
        <f>+'Revenue &amp; Expenses Modeling'!X29/365*20</f>
        <v>0.13736935031467762</v>
      </c>
      <c r="W33" s="111">
        <f>+'Revenue &amp; Expenses Modeling'!Y29/365*20</f>
        <v>0.13562408397871245</v>
      </c>
      <c r="X33" s="111">
        <f>+'Revenue &amp; Expenses Modeling'!Z29/365*20</f>
        <v>0.13426784313892531</v>
      </c>
      <c r="Y33" s="111">
        <f>+'Revenue &amp; Expenses Modeling'!AA29/365*20</f>
        <v>0.1329251647075361</v>
      </c>
      <c r="Z33" s="111">
        <f>+'Revenue &amp; Expenses Modeling'!AB29/365*20</f>
        <v>0.1319564498085716</v>
      </c>
      <c r="AA33" s="111">
        <f>+'Revenue &amp; Expenses Modeling'!AC29/365*20</f>
        <v>0.13027995392985611</v>
      </c>
      <c r="AB33" s="111">
        <f>+'Revenue &amp; Expenses Modeling'!AD29/365*20</f>
        <v>0.12897715439055757</v>
      </c>
    </row>
    <row r="34" spans="2:29" hidden="1" x14ac:dyDescent="0.25">
      <c r="B34" s="67" t="s">
        <v>136</v>
      </c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</row>
    <row r="35" spans="2:29" x14ac:dyDescent="0.25">
      <c r="B35" s="67" t="s">
        <v>137</v>
      </c>
      <c r="C35" s="111">
        <f>CFS!D30</f>
        <v>0</v>
      </c>
      <c r="D35" s="111">
        <f>CFS!E30</f>
        <v>0.38160472404828261</v>
      </c>
      <c r="E35" s="111">
        <f>CFS!F30</f>
        <v>0.4895352842806332</v>
      </c>
      <c r="F35" s="111">
        <f>CFS!G30</f>
        <v>1.313255754085243</v>
      </c>
      <c r="G35" s="111">
        <f>CFS!H30</f>
        <v>1.4998399059228311</v>
      </c>
      <c r="H35" s="111">
        <f>CFS!I30</f>
        <v>1.7517051734795461</v>
      </c>
      <c r="I35" s="111">
        <f>CFS!J30</f>
        <v>2.0447986548121588</v>
      </c>
      <c r="J35" s="111">
        <f>CFS!K30</f>
        <v>2.3883066475123678</v>
      </c>
      <c r="K35" s="111">
        <f>CFS!L30</f>
        <v>2.8583959225839068</v>
      </c>
      <c r="L35" s="111">
        <f>CFS!M30</f>
        <v>3.3652060235503205</v>
      </c>
      <c r="M35" s="111">
        <f>CFS!N30</f>
        <v>3.9109482330647882</v>
      </c>
      <c r="N35" s="111">
        <f>CFS!O30</f>
        <v>4.5030221561156756</v>
      </c>
      <c r="O35" s="111">
        <f>CFS!P30</f>
        <v>5.1278252920011074</v>
      </c>
      <c r="P35" s="111">
        <f>CFS!Q30</f>
        <v>5.7936305152112686</v>
      </c>
      <c r="Q35" s="111">
        <f>CFS!R30</f>
        <v>6.5014305956062364</v>
      </c>
      <c r="R35" s="111">
        <f>CFS!S30</f>
        <v>7.3976471740254324</v>
      </c>
      <c r="S35" s="111">
        <f>CFS!T30</f>
        <v>8.318873514861405</v>
      </c>
      <c r="T35" s="111">
        <f>CFS!U30</f>
        <v>9.2715216721395635</v>
      </c>
      <c r="U35" s="111">
        <f>CFS!V30</f>
        <v>10.216938897252902</v>
      </c>
      <c r="V35" s="111">
        <f>CFS!W30</f>
        <v>12.046322243261873</v>
      </c>
      <c r="W35" s="111">
        <f>CFS!X30</f>
        <v>13.835140520448224</v>
      </c>
      <c r="X35" s="111">
        <f>CFS!Y30</f>
        <v>15.538888921189045</v>
      </c>
      <c r="Y35" s="111">
        <f>CFS!Z30</f>
        <v>17.06508917022536</v>
      </c>
      <c r="Z35" s="111">
        <f>CFS!AA30</f>
        <v>18.56412209028279</v>
      </c>
      <c r="AA35" s="111">
        <f>CFS!AB30</f>
        <v>20.025616973612653</v>
      </c>
      <c r="AB35" s="111">
        <f>CFS!AC30</f>
        <v>21.455779972859261</v>
      </c>
    </row>
    <row r="36" spans="2:29" x14ac:dyDescent="0.25">
      <c r="B36" s="67" t="s">
        <v>138</v>
      </c>
      <c r="C36" s="138">
        <f>+CFS!$D$26</f>
        <v>0.65623130103400751</v>
      </c>
      <c r="D36" s="138">
        <f>+CFS!$D$26</f>
        <v>0.65623130103400751</v>
      </c>
      <c r="E36" s="138">
        <f>+CFS!$D$26</f>
        <v>0.65623130103400751</v>
      </c>
      <c r="F36" s="138">
        <f>+CFS!$D$26</f>
        <v>0.65623130103400751</v>
      </c>
      <c r="G36" s="138">
        <f>+CFS!$D$26</f>
        <v>0.65623130103400751</v>
      </c>
      <c r="H36" s="138">
        <f>+CFS!$D$26</f>
        <v>0.65623130103400751</v>
      </c>
      <c r="I36" s="138">
        <f>+CFS!$D$26</f>
        <v>0.65623130103400751</v>
      </c>
      <c r="J36" s="138">
        <f>+CFS!$D$26</f>
        <v>0.65623130103400751</v>
      </c>
      <c r="K36" s="138">
        <f>+CFS!$D$26</f>
        <v>0.65623130103400751</v>
      </c>
      <c r="L36" s="138">
        <f>+CFS!$D$26</f>
        <v>0.65623130103400751</v>
      </c>
      <c r="M36" s="138">
        <f>+CFS!$D$26</f>
        <v>0.65623130103400751</v>
      </c>
      <c r="N36" s="138">
        <f>+CFS!$D$26</f>
        <v>0.65623130103400751</v>
      </c>
      <c r="O36" s="138">
        <f>+CFS!$D$26</f>
        <v>0.65623130103400751</v>
      </c>
      <c r="P36" s="138">
        <f>+CFS!$D$26</f>
        <v>0.65623130103400751</v>
      </c>
      <c r="Q36" s="138">
        <f>+CFS!$D$26</f>
        <v>0.65623130103400751</v>
      </c>
      <c r="R36" s="138">
        <f>+CFS!$D$26</f>
        <v>0.65623130103400751</v>
      </c>
      <c r="S36" s="138">
        <f>+CFS!$D$26</f>
        <v>0.65623130103400751</v>
      </c>
      <c r="T36" s="138">
        <f>+CFS!$D$26</f>
        <v>0.65623130103400751</v>
      </c>
      <c r="U36" s="138">
        <f>+CFS!$D$26</f>
        <v>0.65623130103400751</v>
      </c>
      <c r="V36" s="138">
        <f>+CFS!$D$26</f>
        <v>0.65623130103400751</v>
      </c>
      <c r="W36" s="138">
        <f>+CFS!$D$26</f>
        <v>0.65623130103400751</v>
      </c>
      <c r="X36" s="138">
        <f>+CFS!$D$26</f>
        <v>0.65623130103400751</v>
      </c>
      <c r="Y36" s="138">
        <f>+CFS!$D$26</f>
        <v>0.65623130103400751</v>
      </c>
      <c r="Z36" s="138">
        <f>+CFS!$D$26</f>
        <v>0.65623130103400751</v>
      </c>
      <c r="AA36" s="138">
        <f>+CFS!$D$26</f>
        <v>0.65623130103400751</v>
      </c>
      <c r="AB36" s="138">
        <f>+CFS!$D$26</f>
        <v>0.65623130103400751</v>
      </c>
    </row>
    <row r="37" spans="2:29" x14ac:dyDescent="0.25">
      <c r="B37" s="136" t="s">
        <v>139</v>
      </c>
      <c r="C37" s="137">
        <f t="shared" ref="C37:AB37" si="7">SUM(C33:C36)</f>
        <v>0.65623130103400751</v>
      </c>
      <c r="D37" s="137">
        <f t="shared" si="7"/>
        <v>1.0922562868471242</v>
      </c>
      <c r="E37" s="137">
        <f t="shared" si="7"/>
        <v>1.308285276130531</v>
      </c>
      <c r="F37" s="137">
        <f t="shared" si="7"/>
        <v>2.1308213631472772</v>
      </c>
      <c r="G37" s="137">
        <f t="shared" si="7"/>
        <v>2.315355775825493</v>
      </c>
      <c r="H37" s="137">
        <f t="shared" si="7"/>
        <v>2.5656281976935214</v>
      </c>
      <c r="I37" s="137">
        <f t="shared" si="7"/>
        <v>2.8571447617943342</v>
      </c>
      <c r="J37" s="137">
        <f t="shared" si="7"/>
        <v>3.1995150411142088</v>
      </c>
      <c r="K37" s="137">
        <f t="shared" si="7"/>
        <v>3.6676353449277137</v>
      </c>
      <c r="L37" s="137">
        <f t="shared" si="7"/>
        <v>4.17291536468103</v>
      </c>
      <c r="M37" s="137">
        <f t="shared" si="7"/>
        <v>4.7171427937945305</v>
      </c>
      <c r="N37" s="137">
        <f t="shared" si="7"/>
        <v>5.3081238339117442</v>
      </c>
      <c r="O37" s="137">
        <f t="shared" si="7"/>
        <v>5.9310355838629043</v>
      </c>
      <c r="P37" s="137">
        <f t="shared" si="7"/>
        <v>6.5953710171647879</v>
      </c>
      <c r="Q37" s="137">
        <f t="shared" si="7"/>
        <v>7.3017160055505599</v>
      </c>
      <c r="R37" s="137">
        <f t="shared" si="7"/>
        <v>8.1968827649842737</v>
      </c>
      <c r="S37" s="137">
        <f t="shared" si="7"/>
        <v>9.1162922480384125</v>
      </c>
      <c r="T37" s="137">
        <f t="shared" si="7"/>
        <v>10.067528530995141</v>
      </c>
      <c r="U37" s="137">
        <f t="shared" si="7"/>
        <v>11.011548000530265</v>
      </c>
      <c r="V37" s="137">
        <f t="shared" si="7"/>
        <v>12.839922894610559</v>
      </c>
      <c r="W37" s="137">
        <f t="shared" si="7"/>
        <v>14.626995905460944</v>
      </c>
      <c r="X37" s="137">
        <f t="shared" si="7"/>
        <v>16.329388065361979</v>
      </c>
      <c r="Y37" s="137">
        <f t="shared" si="7"/>
        <v>17.854245635966905</v>
      </c>
      <c r="Z37" s="137">
        <f t="shared" si="7"/>
        <v>19.352309841125372</v>
      </c>
      <c r="AA37" s="137">
        <f t="shared" si="7"/>
        <v>20.812128228576519</v>
      </c>
      <c r="AB37" s="137">
        <f t="shared" si="7"/>
        <v>22.240988428283828</v>
      </c>
    </row>
    <row r="38" spans="2:29" x14ac:dyDescent="0.25">
      <c r="B38" s="132" t="s">
        <v>140</v>
      </c>
      <c r="C38" s="133">
        <f t="shared" ref="C38:AB38" si="8">C37+C31</f>
        <v>23.988027668492144</v>
      </c>
      <c r="D38" s="133">
        <f t="shared" si="8"/>
        <v>23.865610902454883</v>
      </c>
      <c r="E38" s="133">
        <f t="shared" si="8"/>
        <v>22.437403688491408</v>
      </c>
      <c r="F38" s="133">
        <f t="shared" si="8"/>
        <v>21.730237912849748</v>
      </c>
      <c r="G38" s="133">
        <f t="shared" si="8"/>
        <v>20.499694450639446</v>
      </c>
      <c r="H38" s="133">
        <f t="shared" si="8"/>
        <v>19.437057620185904</v>
      </c>
      <c r="I38" s="133">
        <f t="shared" si="8"/>
        <v>18.51045697998277</v>
      </c>
      <c r="J38" s="133">
        <f t="shared" si="8"/>
        <v>17.719561763335321</v>
      </c>
      <c r="K38" s="133">
        <f t="shared" si="8"/>
        <v>17.139334693804461</v>
      </c>
      <c r="L38" s="133">
        <f t="shared" si="8"/>
        <v>16.671958020568876</v>
      </c>
      <c r="M38" s="133">
        <f t="shared" si="8"/>
        <v>16.313754569927273</v>
      </c>
      <c r="N38" s="133">
        <f t="shared" si="8"/>
        <v>16.065166334683767</v>
      </c>
      <c r="O38" s="133">
        <f t="shared" si="8"/>
        <v>15.911419616079188</v>
      </c>
      <c r="P38" s="133">
        <f t="shared" si="8"/>
        <v>15.855171322255057</v>
      </c>
      <c r="Q38" s="133">
        <f t="shared" si="8"/>
        <v>15.89295872861331</v>
      </c>
      <c r="R38" s="133">
        <f t="shared" si="8"/>
        <v>16.166138345018318</v>
      </c>
      <c r="S38" s="133">
        <f t="shared" si="8"/>
        <v>16.510167575193996</v>
      </c>
      <c r="T38" s="133">
        <f t="shared" si="8"/>
        <v>16.927566059530093</v>
      </c>
      <c r="U38" s="133">
        <f t="shared" si="8"/>
        <v>17.376290819504995</v>
      </c>
      <c r="V38" s="133">
        <f t="shared" si="8"/>
        <v>18.743872283612767</v>
      </c>
      <c r="W38" s="133">
        <f t="shared" si="8"/>
        <v>20.104680148577192</v>
      </c>
      <c r="X38" s="133">
        <f t="shared" si="8"/>
        <v>21.411583506125233</v>
      </c>
      <c r="Y38" s="133">
        <f t="shared" si="8"/>
        <v>22.569506565907052</v>
      </c>
      <c r="Z38" s="133">
        <f t="shared" si="8"/>
        <v>23.726196214556328</v>
      </c>
      <c r="AA38" s="133">
        <f t="shared" si="8"/>
        <v>24.870220005845759</v>
      </c>
      <c r="AB38" s="133">
        <f t="shared" si="8"/>
        <v>26.006085979234228</v>
      </c>
    </row>
    <row r="40" spans="2:29" s="31" customFormat="1" x14ac:dyDescent="0.25">
      <c r="B40" s="139" t="s">
        <v>141</v>
      </c>
      <c r="C40" s="140">
        <f t="shared" ref="C40:AB40" si="9">C19-C38</f>
        <v>0</v>
      </c>
      <c r="D40" s="140">
        <f t="shared" si="9"/>
        <v>0</v>
      </c>
      <c r="E40" s="140">
        <f t="shared" si="9"/>
        <v>0</v>
      </c>
      <c r="F40" s="140">
        <f t="shared" si="9"/>
        <v>0</v>
      </c>
      <c r="G40" s="140">
        <f t="shared" si="9"/>
        <v>0</v>
      </c>
      <c r="H40" s="140">
        <f t="shared" si="9"/>
        <v>0</v>
      </c>
      <c r="I40" s="140">
        <f t="shared" si="9"/>
        <v>0</v>
      </c>
      <c r="J40" s="140">
        <f t="shared" si="9"/>
        <v>0</v>
      </c>
      <c r="K40" s="140">
        <f t="shared" si="9"/>
        <v>0</v>
      </c>
      <c r="L40" s="140">
        <f t="shared" si="9"/>
        <v>0</v>
      </c>
      <c r="M40" s="140">
        <f t="shared" si="9"/>
        <v>0</v>
      </c>
      <c r="N40" s="140">
        <f t="shared" si="9"/>
        <v>0</v>
      </c>
      <c r="O40" s="140">
        <f t="shared" si="9"/>
        <v>0</v>
      </c>
      <c r="P40" s="140">
        <f t="shared" si="9"/>
        <v>0</v>
      </c>
      <c r="Q40" s="140">
        <f t="shared" si="9"/>
        <v>0</v>
      </c>
      <c r="R40" s="140">
        <f t="shared" si="9"/>
        <v>0</v>
      </c>
      <c r="S40" s="140">
        <f t="shared" si="9"/>
        <v>0</v>
      </c>
      <c r="T40" s="140">
        <f t="shared" si="9"/>
        <v>0</v>
      </c>
      <c r="U40" s="140">
        <f t="shared" si="9"/>
        <v>0</v>
      </c>
      <c r="V40" s="140">
        <f t="shared" si="9"/>
        <v>0</v>
      </c>
      <c r="W40" s="140">
        <f t="shared" si="9"/>
        <v>0</v>
      </c>
      <c r="X40" s="140">
        <f t="shared" si="9"/>
        <v>0</v>
      </c>
      <c r="Y40" s="140">
        <f t="shared" si="9"/>
        <v>0</v>
      </c>
      <c r="Z40" s="140">
        <f t="shared" si="9"/>
        <v>0</v>
      </c>
      <c r="AA40" s="140">
        <f t="shared" si="9"/>
        <v>0</v>
      </c>
      <c r="AB40" s="140">
        <f t="shared" si="9"/>
        <v>0</v>
      </c>
    </row>
    <row r="43" spans="2:29" x14ac:dyDescent="0.25">
      <c r="B43" s="67" t="s">
        <v>388</v>
      </c>
      <c r="C43" s="272">
        <f t="shared" ref="C43:AB43" si="10">+C33+C36-C16</f>
        <v>0.65623130103400751</v>
      </c>
      <c r="D43" s="272">
        <f t="shared" si="10"/>
        <v>0.62805428566862709</v>
      </c>
      <c r="E43" s="272">
        <f t="shared" si="10"/>
        <v>0.57975194592204637</v>
      </c>
      <c r="F43" s="272">
        <f t="shared" si="10"/>
        <v>0.59174671858235017</v>
      </c>
      <c r="G43" s="272">
        <f t="shared" si="10"/>
        <v>0.60313927422101798</v>
      </c>
      <c r="H43" s="272">
        <f t="shared" si="10"/>
        <v>0.61339910877087189</v>
      </c>
      <c r="I43" s="272">
        <f t="shared" si="10"/>
        <v>0.6224517945203597</v>
      </c>
      <c r="J43" s="272">
        <f t="shared" si="10"/>
        <v>0.63093870783801198</v>
      </c>
      <c r="K43" s="272">
        <f t="shared" si="10"/>
        <v>0.63859488817722865</v>
      </c>
      <c r="L43" s="272">
        <f t="shared" si="10"/>
        <v>0.64520897930240395</v>
      </c>
      <c r="M43" s="272">
        <f t="shared" si="10"/>
        <v>0.6514139241411584</v>
      </c>
      <c r="N43" s="272">
        <f t="shared" si="10"/>
        <v>0.65707701456867318</v>
      </c>
      <c r="O43" s="272">
        <f t="shared" si="10"/>
        <v>0.66163772637293228</v>
      </c>
      <c r="P43" s="272">
        <f t="shared" si="10"/>
        <v>0.66602327155931529</v>
      </c>
      <c r="Q43" s="272">
        <f t="shared" si="10"/>
        <v>0.66988355360064444</v>
      </c>
      <c r="R43" s="272">
        <f t="shared" si="10"/>
        <v>0.67309890273117801</v>
      </c>
      <c r="S43" s="272">
        <f t="shared" si="10"/>
        <v>0.67586416884915335</v>
      </c>
      <c r="T43" s="272">
        <f t="shared" si="10"/>
        <v>0.67834901725583274</v>
      </c>
      <c r="U43" s="272">
        <f t="shared" si="10"/>
        <v>0.68010071540340133</v>
      </c>
      <c r="V43" s="272">
        <f t="shared" si="10"/>
        <v>0.68201406611666027</v>
      </c>
      <c r="W43" s="272">
        <f t="shared" si="10"/>
        <v>0.68318702760324501</v>
      </c>
      <c r="X43" s="272">
        <f t="shared" si="10"/>
        <v>0.68387041175101193</v>
      </c>
      <c r="Y43" s="272">
        <f t="shared" si="10"/>
        <v>0.6845970131400827</v>
      </c>
      <c r="Z43" s="272">
        <f t="shared" si="10"/>
        <v>0.68526019362007795</v>
      </c>
      <c r="AA43" s="272">
        <f t="shared" si="10"/>
        <v>0.684840778973136</v>
      </c>
      <c r="AB43" s="272">
        <f t="shared" si="10"/>
        <v>0.68475000360410887</v>
      </c>
      <c r="AC43" s="272"/>
    </row>
    <row r="44" spans="2:29" x14ac:dyDescent="0.25">
      <c r="C44" s="362">
        <f>+C43</f>
        <v>0.65623130103400751</v>
      </c>
      <c r="D44" s="362">
        <f t="shared" ref="D44:AB44" si="11">+D43-C43</f>
        <v>-2.817701536538042E-2</v>
      </c>
      <c r="E44" s="362">
        <f t="shared" si="11"/>
        <v>-4.8302339746580714E-2</v>
      </c>
      <c r="F44" s="362">
        <f t="shared" si="11"/>
        <v>1.1994772660303799E-2</v>
      </c>
      <c r="G44" s="362">
        <f t="shared" si="11"/>
        <v>1.1392555638667812E-2</v>
      </c>
      <c r="H44" s="362">
        <f t="shared" si="11"/>
        <v>1.0259834549853908E-2</v>
      </c>
      <c r="I44" s="362">
        <f t="shared" si="11"/>
        <v>9.0526857494878099E-3</v>
      </c>
      <c r="J44" s="362">
        <f t="shared" si="11"/>
        <v>8.4869133176522782E-3</v>
      </c>
      <c r="K44" s="362">
        <f t="shared" si="11"/>
        <v>7.6561803392166672E-3</v>
      </c>
      <c r="L44" s="362">
        <f t="shared" si="11"/>
        <v>6.6140911251753032E-3</v>
      </c>
      <c r="M44" s="362">
        <f t="shared" si="11"/>
        <v>6.2049448387544448E-3</v>
      </c>
      <c r="N44" s="362">
        <f t="shared" si="11"/>
        <v>5.6630904275147831E-3</v>
      </c>
      <c r="O44" s="362">
        <f t="shared" si="11"/>
        <v>4.5607118042590988E-3</v>
      </c>
      <c r="P44" s="362">
        <f t="shared" si="11"/>
        <v>4.3855451863830108E-3</v>
      </c>
      <c r="Q44" s="362">
        <f t="shared" si="11"/>
        <v>3.860282041329155E-3</v>
      </c>
      <c r="R44" s="362">
        <f t="shared" si="11"/>
        <v>3.2153491305335624E-3</v>
      </c>
      <c r="S44" s="362">
        <f t="shared" si="11"/>
        <v>2.7652661179753402E-3</v>
      </c>
      <c r="T44" s="362">
        <f t="shared" si="11"/>
        <v>2.4848484066793963E-3</v>
      </c>
      <c r="U44" s="362">
        <f t="shared" si="11"/>
        <v>1.7516981475685922E-3</v>
      </c>
      <c r="V44" s="362">
        <f t="shared" si="11"/>
        <v>1.9133507132589322E-3</v>
      </c>
      <c r="W44" s="362">
        <f t="shared" si="11"/>
        <v>1.1729614865847449E-3</v>
      </c>
      <c r="X44" s="362">
        <f t="shared" si="11"/>
        <v>6.8338414776691891E-4</v>
      </c>
      <c r="Y44" s="362">
        <f t="shared" si="11"/>
        <v>7.2660138907076899E-4</v>
      </c>
      <c r="Z44" s="362">
        <f t="shared" si="11"/>
        <v>6.631804799952512E-4</v>
      </c>
      <c r="AA44" s="362">
        <f t="shared" si="11"/>
        <v>-4.194146469419513E-4</v>
      </c>
      <c r="AB44" s="362">
        <f t="shared" si="11"/>
        <v>-9.0775369027129571E-5</v>
      </c>
      <c r="AC44" s="362"/>
    </row>
  </sheetData>
  <mergeCells count="1">
    <mergeCell ref="D7:AB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D32"/>
  <sheetViews>
    <sheetView showGridLines="0" workbookViewId="0">
      <pane xSplit="2" ySplit="8" topLeftCell="T49" activePane="bottomRight" state="frozen"/>
      <selection activeCell="A9" sqref="A9"/>
      <selection pane="topRight" activeCell="A9" sqref="A9"/>
      <selection pane="bottomLeft" activeCell="A9" sqref="A9"/>
      <selection pane="bottomRight" activeCell="W32" sqref="W32"/>
    </sheetView>
  </sheetViews>
  <sheetFormatPr defaultColWidth="13.7109375" defaultRowHeight="15" x14ac:dyDescent="0.25"/>
  <cols>
    <col min="1" max="1" width="2.28515625" style="67" customWidth="1"/>
    <col min="2" max="2" width="64.7109375" style="67" customWidth="1"/>
    <col min="3" max="3" width="7.140625" style="67" customWidth="1"/>
    <col min="4" max="14" width="12.7109375" style="67" customWidth="1"/>
    <col min="15" max="16384" width="13.7109375" style="67"/>
  </cols>
  <sheetData>
    <row r="1" spans="2:30" s="1" customFormat="1" ht="19.899999999999999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</row>
    <row r="2" spans="2:30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2:30" s="1" customFormat="1" ht="19.899999999999999" customHeight="1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</row>
    <row r="4" spans="2:30" s="1" customFormat="1" ht="9" customHeight="1" x14ac:dyDescent="0.25">
      <c r="B4" s="2"/>
      <c r="C4" s="2"/>
      <c r="D4" s="2"/>
      <c r="E4" s="2"/>
      <c r="F4" s="273"/>
    </row>
    <row r="5" spans="2:30" customFormat="1" ht="15.75" x14ac:dyDescent="0.25">
      <c r="B5" s="68" t="s">
        <v>259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spans="2:30" customFormat="1" x14ac:dyDescent="0.25">
      <c r="B6" s="274" t="s">
        <v>256</v>
      </c>
      <c r="C6" s="65"/>
      <c r="D6" s="31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 spans="2:30" s="31" customFormat="1" ht="15.75" x14ac:dyDescent="0.25">
      <c r="C7" s="65"/>
      <c r="D7" s="307"/>
      <c r="E7" s="374" t="s">
        <v>76</v>
      </c>
      <c r="F7" s="374"/>
      <c r="G7" s="374"/>
      <c r="H7" s="374"/>
      <c r="I7" s="374"/>
      <c r="J7" s="374"/>
      <c r="K7" s="374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  <c r="AA7" s="374"/>
      <c r="AB7" s="374"/>
      <c r="AC7" s="374"/>
    </row>
    <row r="8" spans="2:30" s="31" customFormat="1" x14ac:dyDescent="0.25">
      <c r="B8" s="70" t="s">
        <v>77</v>
      </c>
      <c r="C8" s="71" t="s">
        <v>78</v>
      </c>
      <c r="D8" s="72">
        <f>'Revenue &amp; Expenses Modeling'!E8</f>
        <v>45991</v>
      </c>
      <c r="E8" s="72">
        <f>'Revenue &amp; Expenses Modeling'!F8</f>
        <v>46112</v>
      </c>
      <c r="F8" s="72">
        <f>'Revenue &amp; Expenses Modeling'!G8</f>
        <v>46477</v>
      </c>
      <c r="G8" s="72">
        <f>'Revenue &amp; Expenses Modeling'!H8</f>
        <v>46843</v>
      </c>
      <c r="H8" s="72">
        <f>'Revenue &amp; Expenses Modeling'!I8</f>
        <v>47208</v>
      </c>
      <c r="I8" s="72">
        <f>'Revenue &amp; Expenses Modeling'!J8</f>
        <v>47573</v>
      </c>
      <c r="J8" s="72">
        <f>'Revenue &amp; Expenses Modeling'!K8</f>
        <v>47938</v>
      </c>
      <c r="K8" s="72">
        <f>'Revenue &amp; Expenses Modeling'!L8</f>
        <v>48304</v>
      </c>
      <c r="L8" s="72">
        <f>'Revenue &amp; Expenses Modeling'!M8</f>
        <v>48669</v>
      </c>
      <c r="M8" s="72">
        <f>'Revenue &amp; Expenses Modeling'!N8</f>
        <v>49034</v>
      </c>
      <c r="N8" s="72">
        <f>'Revenue &amp; Expenses Modeling'!O8</f>
        <v>49399</v>
      </c>
      <c r="O8" s="72">
        <f>'Revenue &amp; Expenses Modeling'!P8</f>
        <v>49765</v>
      </c>
      <c r="P8" s="72">
        <f>'Revenue &amp; Expenses Modeling'!Q8</f>
        <v>50130</v>
      </c>
      <c r="Q8" s="72">
        <f>'Revenue &amp; Expenses Modeling'!R8</f>
        <v>50495</v>
      </c>
      <c r="R8" s="72">
        <f>'Revenue &amp; Expenses Modeling'!S8</f>
        <v>50860</v>
      </c>
      <c r="S8" s="72">
        <f>'Revenue &amp; Expenses Modeling'!T8</f>
        <v>51226</v>
      </c>
      <c r="T8" s="72">
        <f>'Revenue &amp; Expenses Modeling'!U8</f>
        <v>51591</v>
      </c>
      <c r="U8" s="72">
        <f>'Revenue &amp; Expenses Modeling'!V8</f>
        <v>51956</v>
      </c>
      <c r="V8" s="72">
        <f>'Revenue &amp; Expenses Modeling'!W8</f>
        <v>52321</v>
      </c>
      <c r="W8" s="72">
        <f>'Revenue &amp; Expenses Modeling'!X8</f>
        <v>52687</v>
      </c>
      <c r="X8" s="72">
        <f>'Revenue &amp; Expenses Modeling'!Y8</f>
        <v>53052</v>
      </c>
      <c r="Y8" s="72">
        <f>'Revenue &amp; Expenses Modeling'!Z8</f>
        <v>53417</v>
      </c>
      <c r="Z8" s="72">
        <f>'Revenue &amp; Expenses Modeling'!AA8</f>
        <v>53782</v>
      </c>
      <c r="AA8" s="72">
        <f>'Revenue &amp; Expenses Modeling'!AB8</f>
        <v>54148</v>
      </c>
      <c r="AB8" s="72">
        <f>'Revenue &amp; Expenses Modeling'!AC8</f>
        <v>54513</v>
      </c>
      <c r="AC8" s="72">
        <f>'Revenue &amp; Expenses Modeling'!AD8</f>
        <v>54878</v>
      </c>
    </row>
    <row r="9" spans="2:30" s="77" customFormat="1" ht="12.75" x14ac:dyDescent="0.25">
      <c r="B9" s="73" t="s">
        <v>79</v>
      </c>
      <c r="C9" s="74"/>
      <c r="D9" s="75">
        <v>0</v>
      </c>
      <c r="E9" s="76">
        <v>1</v>
      </c>
      <c r="F9" s="76">
        <v>2</v>
      </c>
      <c r="G9" s="76">
        <v>3</v>
      </c>
      <c r="H9" s="76">
        <v>4</v>
      </c>
      <c r="I9" s="76">
        <v>5</v>
      </c>
      <c r="J9" s="76">
        <v>6</v>
      </c>
      <c r="K9" s="76">
        <v>7</v>
      </c>
      <c r="L9" s="76">
        <v>8</v>
      </c>
      <c r="M9" s="76">
        <v>9</v>
      </c>
      <c r="N9" s="76">
        <v>10</v>
      </c>
      <c r="O9" s="76">
        <v>11</v>
      </c>
      <c r="P9" s="76">
        <v>12</v>
      </c>
      <c r="Q9" s="76">
        <v>13</v>
      </c>
      <c r="R9" s="76">
        <v>14</v>
      </c>
      <c r="S9" s="76">
        <v>15</v>
      </c>
      <c r="T9" s="76">
        <v>16</v>
      </c>
      <c r="U9" s="76">
        <v>17</v>
      </c>
      <c r="V9" s="76">
        <v>18</v>
      </c>
      <c r="W9" s="76">
        <v>19</v>
      </c>
      <c r="X9" s="76">
        <v>20</v>
      </c>
      <c r="Y9" s="76">
        <v>21</v>
      </c>
      <c r="Z9" s="76">
        <v>22</v>
      </c>
      <c r="AA9" s="76">
        <v>23</v>
      </c>
      <c r="AB9" s="76">
        <v>24</v>
      </c>
      <c r="AC9" s="76">
        <v>25</v>
      </c>
    </row>
    <row r="10" spans="2:30" s="77" customFormat="1" ht="12.75" x14ac:dyDescent="0.25">
      <c r="B10" s="73" t="s">
        <v>80</v>
      </c>
      <c r="C10" s="74"/>
      <c r="D10" s="75">
        <f>+BS!C10</f>
        <v>8</v>
      </c>
      <c r="E10" s="74">
        <f t="shared" ref="E10:AC10" si="0">MONTH(E8-D8)</f>
        <v>4</v>
      </c>
      <c r="F10" s="74">
        <f t="shared" si="0"/>
        <v>12</v>
      </c>
      <c r="G10" s="74">
        <f t="shared" si="0"/>
        <v>12</v>
      </c>
      <c r="H10" s="74">
        <f t="shared" si="0"/>
        <v>12</v>
      </c>
      <c r="I10" s="74">
        <f t="shared" si="0"/>
        <v>12</v>
      </c>
      <c r="J10" s="74">
        <f t="shared" si="0"/>
        <v>12</v>
      </c>
      <c r="K10" s="74">
        <f t="shared" si="0"/>
        <v>12</v>
      </c>
      <c r="L10" s="74">
        <f t="shared" si="0"/>
        <v>12</v>
      </c>
      <c r="M10" s="74">
        <f t="shared" si="0"/>
        <v>12</v>
      </c>
      <c r="N10" s="74">
        <f t="shared" si="0"/>
        <v>12</v>
      </c>
      <c r="O10" s="74">
        <f t="shared" si="0"/>
        <v>12</v>
      </c>
      <c r="P10" s="74">
        <f t="shared" si="0"/>
        <v>12</v>
      </c>
      <c r="Q10" s="74">
        <f t="shared" si="0"/>
        <v>12</v>
      </c>
      <c r="R10" s="74">
        <f t="shared" si="0"/>
        <v>12</v>
      </c>
      <c r="S10" s="74">
        <f t="shared" si="0"/>
        <v>12</v>
      </c>
      <c r="T10" s="74">
        <f t="shared" si="0"/>
        <v>12</v>
      </c>
      <c r="U10" s="74">
        <f t="shared" si="0"/>
        <v>12</v>
      </c>
      <c r="V10" s="74">
        <f t="shared" si="0"/>
        <v>12</v>
      </c>
      <c r="W10" s="74">
        <f t="shared" si="0"/>
        <v>12</v>
      </c>
      <c r="X10" s="74">
        <f t="shared" si="0"/>
        <v>12</v>
      </c>
      <c r="Y10" s="74">
        <f t="shared" si="0"/>
        <v>12</v>
      </c>
      <c r="Z10" s="74">
        <f t="shared" si="0"/>
        <v>12</v>
      </c>
      <c r="AA10" s="74">
        <f t="shared" si="0"/>
        <v>12</v>
      </c>
      <c r="AB10" s="74">
        <f t="shared" si="0"/>
        <v>12</v>
      </c>
      <c r="AC10" s="74">
        <f t="shared" si="0"/>
        <v>12</v>
      </c>
    </row>
    <row r="11" spans="2:30" x14ac:dyDescent="0.25">
      <c r="B11" s="130" t="s">
        <v>143</v>
      </c>
    </row>
    <row r="12" spans="2:30" x14ac:dyDescent="0.25">
      <c r="B12" s="67" t="s">
        <v>144</v>
      </c>
      <c r="D12" s="111">
        <f>IS!D26</f>
        <v>0</v>
      </c>
      <c r="E12" s="111">
        <f>IS!E26</f>
        <v>-0.20501404316747529</v>
      </c>
      <c r="F12" s="111">
        <f>IS!F26</f>
        <v>-0.5046079827611103</v>
      </c>
      <c r="G12" s="111">
        <f>IS!G26</f>
        <v>0.38601337980650596</v>
      </c>
      <c r="H12" s="111">
        <f>IS!H26</f>
        <v>-0.13710116741226264</v>
      </c>
      <c r="I12" s="111">
        <f>IS!I26</f>
        <v>2.921584978500124E-2</v>
      </c>
      <c r="J12" s="111">
        <f>IS!J26</f>
        <v>0.16402896277815007</v>
      </c>
      <c r="K12" s="111">
        <f>IS!K26</f>
        <v>0.29872941005053782</v>
      </c>
      <c r="L12" s="111">
        <f>IS!L26</f>
        <v>0.41714039782783241</v>
      </c>
      <c r="M12" s="111">
        <f>IS!M26</f>
        <v>0.5285098148641294</v>
      </c>
      <c r="N12" s="111">
        <f>IS!N26</f>
        <v>0.63725859035956089</v>
      </c>
      <c r="O12" s="111">
        <f>IS!O26</f>
        <v>0.74591005387912346</v>
      </c>
      <c r="P12" s="111">
        <f>IS!P26</f>
        <v>0.84044769489539217</v>
      </c>
      <c r="Q12" s="111">
        <f>IS!Q26</f>
        <v>0.93734935703196998</v>
      </c>
      <c r="R12" s="111">
        <f>IS!R26</f>
        <v>1.0308450961702209</v>
      </c>
      <c r="S12" s="111">
        <f>IS!S26</f>
        <v>1.1174447845210236</v>
      </c>
      <c r="T12" s="111">
        <f>IS!T26</f>
        <v>1.1886113540754903</v>
      </c>
      <c r="U12" s="111">
        <f>IS!U26</f>
        <v>1.2612952070642047</v>
      </c>
      <c r="V12" s="111">
        <f>IS!V26</f>
        <v>1.3292973713151333</v>
      </c>
      <c r="W12" s="111">
        <f>IS!W26</f>
        <v>1.3705032667497072</v>
      </c>
      <c r="X12" s="111">
        <f>IS!X26</f>
        <v>1.363726092786977</v>
      </c>
      <c r="Y12" s="111">
        <f>IS!Y26</f>
        <v>1.3089429825355949</v>
      </c>
      <c r="Z12" s="111">
        <f>IS!Z26</f>
        <v>1.1599923396022773</v>
      </c>
      <c r="AA12" s="111">
        <f>IS!AA26</f>
        <v>1.1583215440282353</v>
      </c>
      <c r="AB12" s="111">
        <f>IS!AB26</f>
        <v>1.1452808725212051</v>
      </c>
      <c r="AC12" s="111">
        <f>IS!AC26</f>
        <v>1.1370779975587411</v>
      </c>
    </row>
    <row r="13" spans="2:30" x14ac:dyDescent="0.25">
      <c r="B13" s="67" t="s">
        <v>145</v>
      </c>
      <c r="D13" s="111">
        <f>+'PC &amp; MoF'!F24</f>
        <v>7.1964083005476454</v>
      </c>
      <c r="E13" s="111">
        <f>BS!D12-BS!C12</f>
        <v>0</v>
      </c>
      <c r="F13" s="111">
        <f>BS!E12-BS!D12</f>
        <v>0</v>
      </c>
      <c r="G13" s="111">
        <f>BS!F12-BS!E12</f>
        <v>0</v>
      </c>
      <c r="H13" s="111">
        <f>BS!G12-BS!F12</f>
        <v>0</v>
      </c>
      <c r="I13" s="111">
        <f>BS!H12-BS!G12</f>
        <v>0</v>
      </c>
      <c r="J13" s="111">
        <f>BS!I12-BS!H12</f>
        <v>0</v>
      </c>
      <c r="K13" s="111">
        <f>BS!J12-BS!I12</f>
        <v>0</v>
      </c>
      <c r="L13" s="111">
        <f>BS!K12-BS!J12</f>
        <v>0</v>
      </c>
      <c r="M13" s="111">
        <f>BS!L12-BS!K12</f>
        <v>0</v>
      </c>
      <c r="N13" s="111">
        <f>BS!M12-BS!L12</f>
        <v>0</v>
      </c>
      <c r="O13" s="111">
        <f>BS!N12-BS!M12</f>
        <v>0</v>
      </c>
      <c r="P13" s="111">
        <f>BS!O12-BS!N12</f>
        <v>0</v>
      </c>
      <c r="Q13" s="111">
        <f>BS!P12-BS!O12</f>
        <v>0</v>
      </c>
      <c r="R13" s="111">
        <f>BS!Q12-BS!P12</f>
        <v>0</v>
      </c>
      <c r="S13" s="111">
        <f>BS!R12-BS!Q12</f>
        <v>0</v>
      </c>
      <c r="T13" s="111">
        <f>BS!S12-BS!R12</f>
        <v>0</v>
      </c>
      <c r="U13" s="111">
        <f>BS!T12-BS!S12</f>
        <v>0</v>
      </c>
      <c r="V13" s="111">
        <f>BS!U12-BS!T12</f>
        <v>0</v>
      </c>
      <c r="W13" s="111">
        <f>BS!V12-BS!U12</f>
        <v>0</v>
      </c>
      <c r="X13" s="111">
        <f>BS!W12-BS!V12</f>
        <v>0</v>
      </c>
      <c r="Y13" s="111">
        <f>BS!X12-BS!W12</f>
        <v>0</v>
      </c>
      <c r="Z13" s="111">
        <f>BS!Y12-BS!X12</f>
        <v>0</v>
      </c>
      <c r="AA13" s="111">
        <f>BS!Z12-BS!Y12</f>
        <v>0</v>
      </c>
      <c r="AB13" s="111">
        <f>BS!AA12-BS!Z12</f>
        <v>0</v>
      </c>
      <c r="AC13" s="111">
        <f>BS!AB12-BS!AA12</f>
        <v>0</v>
      </c>
    </row>
    <row r="14" spans="2:30" x14ac:dyDescent="0.25">
      <c r="B14" s="67" t="s">
        <v>146</v>
      </c>
      <c r="D14" s="111">
        <f>+'PC &amp; MoF'!F25</f>
        <v>16.791619367944502</v>
      </c>
      <c r="E14" s="111">
        <f>'Loan Schedule'!F12</f>
        <v>0</v>
      </c>
      <c r="F14" s="111">
        <f>'Loan Schedule'!G12</f>
        <v>0</v>
      </c>
      <c r="G14" s="111">
        <f>'Loan Schedule'!H12</f>
        <v>0</v>
      </c>
      <c r="H14" s="111">
        <f>'Loan Schedule'!I12</f>
        <v>0</v>
      </c>
      <c r="I14" s="111">
        <f>'Loan Schedule'!J12</f>
        <v>0</v>
      </c>
      <c r="J14" s="111">
        <f>'Loan Schedule'!K12</f>
        <v>0</v>
      </c>
      <c r="K14" s="111">
        <f>'Loan Schedule'!L12</f>
        <v>0</v>
      </c>
      <c r="L14" s="111">
        <f>'Loan Schedule'!M12</f>
        <v>0</v>
      </c>
      <c r="M14" s="111">
        <f>'Loan Schedule'!N12</f>
        <v>0</v>
      </c>
      <c r="N14" s="111">
        <f>'Loan Schedule'!O12</f>
        <v>0</v>
      </c>
      <c r="O14" s="111">
        <f>'Loan Schedule'!P12</f>
        <v>0</v>
      </c>
      <c r="P14" s="111">
        <f>'Loan Schedule'!Q12</f>
        <v>0</v>
      </c>
      <c r="Q14" s="111">
        <f>'Loan Schedule'!R12</f>
        <v>0</v>
      </c>
      <c r="R14" s="111">
        <f>'Loan Schedule'!S12</f>
        <v>0</v>
      </c>
      <c r="S14" s="111">
        <f>'Loan Schedule'!T12</f>
        <v>0</v>
      </c>
      <c r="T14" s="111">
        <f>'Loan Schedule'!U12</f>
        <v>0</v>
      </c>
      <c r="U14" s="111">
        <f>'Loan Schedule'!V12</f>
        <v>0</v>
      </c>
      <c r="V14" s="111">
        <f>'Loan Schedule'!W12</f>
        <v>0</v>
      </c>
      <c r="W14" s="111">
        <f>'Loan Schedule'!X12</f>
        <v>0</v>
      </c>
      <c r="X14" s="111">
        <f>'Loan Schedule'!Y12</f>
        <v>0</v>
      </c>
      <c r="Y14" s="111">
        <f>'Loan Schedule'!Z12</f>
        <v>0</v>
      </c>
      <c r="Z14" s="111">
        <f>'Loan Schedule'!AA12</f>
        <v>0</v>
      </c>
      <c r="AA14" s="111">
        <f>'Loan Schedule'!AB12</f>
        <v>0</v>
      </c>
      <c r="AB14" s="111">
        <f>'Loan Schedule'!AC12</f>
        <v>0</v>
      </c>
      <c r="AC14" s="111">
        <f>'Loan Schedule'!AD12</f>
        <v>0</v>
      </c>
    </row>
    <row r="15" spans="2:30" x14ac:dyDescent="0.25">
      <c r="B15" s="67" t="s">
        <v>147</v>
      </c>
      <c r="D15" s="111">
        <f>IS!D16</f>
        <v>0</v>
      </c>
      <c r="E15" s="111">
        <f>IS!E16</f>
        <v>0.55844175185037748</v>
      </c>
      <c r="F15" s="111">
        <f>IS!F16</f>
        <v>1.64423620324688</v>
      </c>
      <c r="G15" s="111">
        <f>IS!G16</f>
        <v>1.5297018626584074</v>
      </c>
      <c r="H15" s="111">
        <f>IS!H16</f>
        <v>1.4150778748885184</v>
      </c>
      <c r="I15" s="111">
        <f>IS!I16</f>
        <v>1.3129092523215675</v>
      </c>
      <c r="J15" s="111">
        <f>IS!J16</f>
        <v>1.2181172043039503</v>
      </c>
      <c r="K15" s="111">
        <f>IS!K16</f>
        <v>1.1332654959673234</v>
      </c>
      <c r="L15" s="111">
        <f>IS!L16</f>
        <v>1.0483473733443642</v>
      </c>
      <c r="M15" s="111">
        <f>IS!M16</f>
        <v>0.97265669298890112</v>
      </c>
      <c r="N15" s="111">
        <f>IS!N16</f>
        <v>0.9024308797551025</v>
      </c>
      <c r="O15" s="111">
        <f>IS!O16</f>
        <v>0.83956927536072046</v>
      </c>
      <c r="P15" s="111">
        <f>IS!P16</f>
        <v>0.77665846855574006</v>
      </c>
      <c r="Q15" s="111">
        <f>IS!Q16</f>
        <v>0.72058372712601582</v>
      </c>
      <c r="R15" s="111">
        <f>IS!R16</f>
        <v>0.66855758202751736</v>
      </c>
      <c r="S15" s="111">
        <f>IS!S16</f>
        <v>0.62198714302870628</v>
      </c>
      <c r="T15" s="111">
        <f>IS!T16</f>
        <v>0.57538025287845795</v>
      </c>
      <c r="U15" s="111">
        <f>IS!U16</f>
        <v>0.53383779862063341</v>
      </c>
      <c r="V15" s="111">
        <f>IS!V16</f>
        <v>0.49529470956022364</v>
      </c>
      <c r="W15" s="111">
        <f>IS!W16</f>
        <v>0.46079342997252337</v>
      </c>
      <c r="X15" s="111">
        <f>IS!X16</f>
        <v>0.42626514588595926</v>
      </c>
      <c r="Y15" s="111">
        <f>IS!Y16</f>
        <v>0.395488802352993</v>
      </c>
      <c r="Z15" s="111">
        <f>IS!Z16</f>
        <v>0.36693451082310691</v>
      </c>
      <c r="AA15" s="111">
        <f>IS!AA16</f>
        <v>0.34137455650919002</v>
      </c>
      <c r="AB15" s="111">
        <f>IS!AB16</f>
        <v>0.31579459616171507</v>
      </c>
      <c r="AC15" s="111">
        <f>IS!AC16</f>
        <v>0.29299422631883926</v>
      </c>
    </row>
    <row r="16" spans="2:30" x14ac:dyDescent="0.25">
      <c r="B16" s="67" t="s">
        <v>148</v>
      </c>
      <c r="E16" s="111">
        <f>+BS!D16</f>
        <v>8.2597277130214336E-2</v>
      </c>
      <c r="F16" s="111">
        <f>+BS!E16-BS!D16</f>
        <v>0.15640076879763729</v>
      </c>
      <c r="G16" s="111">
        <f>+BS!F16-BS!E16</f>
        <v>-1.3179155448167612E-2</v>
      </c>
      <c r="H16" s="111">
        <f>+BS!G16-BS!F16</f>
        <v>-1.3442294798040322E-2</v>
      </c>
      <c r="I16" s="111">
        <f>+BS!H16-BS!G16</f>
        <v>-1.1852680238540386E-2</v>
      </c>
      <c r="J16" s="111">
        <f>+BS!I16-BS!H16</f>
        <v>-1.0629602981287567E-2</v>
      </c>
      <c r="K16" s="111">
        <f>+BS!J16-BS!I16</f>
        <v>-9.6246266979868877E-3</v>
      </c>
      <c r="L16" s="111">
        <f>+BS!K16-BS!J16</f>
        <v>-9.6251515972506363E-3</v>
      </c>
      <c r="M16" s="111">
        <f>+BS!L16-BS!K16</f>
        <v>-8.1441723382732478E-3</v>
      </c>
      <c r="N16" s="111">
        <f>+BS!M16-BS!L16</f>
        <v>-7.7197252397213922E-3</v>
      </c>
      <c r="O16" s="111">
        <f>+BS!N16-BS!M16</f>
        <v>-6.7559733611878836E-3</v>
      </c>
      <c r="P16" s="111">
        <f>+BS!O16-BS!N16</f>
        <v>-6.4520977385312817E-3</v>
      </c>
      <c r="Q16" s="111">
        <f>+BS!P16-BS!O16</f>
        <v>-5.8553350946607963E-3</v>
      </c>
      <c r="R16" s="111">
        <f>+BS!Q16-BS!P16</f>
        <v>-5.3153740505243463E-3</v>
      </c>
      <c r="S16" s="111">
        <f>+BS!R16-BS!Q16</f>
        <v>-4.2651681160168209E-3</v>
      </c>
      <c r="T16" s="111">
        <f>+BS!S16-BS!R16</f>
        <v>-4.5821238998072916E-3</v>
      </c>
      <c r="U16" s="111">
        <f>+BS!T16-BS!S16</f>
        <v>-3.8967227281094807E-3</v>
      </c>
      <c r="V16" s="111">
        <f>+BS!U16-BS!T16</f>
        <v>-3.149453725784207E-3</v>
      </c>
      <c r="W16" s="111">
        <f>+BS!V16-BS!U16</f>
        <v>-2.9218026419366855E-3</v>
      </c>
      <c r="X16" s="111">
        <f>+BS!W16-BS!V16</f>
        <v>-2.9182278225498987E-3</v>
      </c>
      <c r="Y16" s="111">
        <f>+BS!X16-BS!W16</f>
        <v>-2.0396249875540146E-3</v>
      </c>
      <c r="Z16" s="111">
        <f>+BS!Y16-BS!X16</f>
        <v>-2.0692798204599294E-3</v>
      </c>
      <c r="AA16" s="111">
        <f>+BS!Z16-BS!Y16</f>
        <v>-1.6318953789598578E-3</v>
      </c>
      <c r="AB16" s="111">
        <f>+BS!AA16-BS!Z16</f>
        <v>-1.2570812317734409E-3</v>
      </c>
      <c r="AC16" s="111">
        <f>+BS!AB16-BS!AA16</f>
        <v>-1.2120241702714418E-3</v>
      </c>
      <c r="AD16" s="111"/>
    </row>
    <row r="17" spans="2:29" x14ac:dyDescent="0.25"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</row>
    <row r="18" spans="2:29" x14ac:dyDescent="0.25">
      <c r="B18" s="142" t="s">
        <v>123</v>
      </c>
      <c r="C18" s="142"/>
      <c r="D18" s="143">
        <f t="shared" ref="D18:AC18" si="1">SUM(D12:D16)</f>
        <v>23.988027668492148</v>
      </c>
      <c r="E18" s="143">
        <f t="shared" si="1"/>
        <v>0.43602498581311655</v>
      </c>
      <c r="F18" s="143">
        <f t="shared" si="1"/>
        <v>1.2960289892834069</v>
      </c>
      <c r="G18" s="143">
        <f t="shared" si="1"/>
        <v>1.9025360870167458</v>
      </c>
      <c r="H18" s="143">
        <f t="shared" si="1"/>
        <v>1.2645344126782154</v>
      </c>
      <c r="I18" s="143">
        <f t="shared" si="1"/>
        <v>1.3302724218680284</v>
      </c>
      <c r="J18" s="143">
        <f t="shared" si="1"/>
        <v>1.3715165641008129</v>
      </c>
      <c r="K18" s="143">
        <f t="shared" si="1"/>
        <v>1.4223702793198743</v>
      </c>
      <c r="L18" s="143">
        <f t="shared" si="1"/>
        <v>1.4558626195749462</v>
      </c>
      <c r="M18" s="143">
        <f t="shared" si="1"/>
        <v>1.4930223355147572</v>
      </c>
      <c r="N18" s="143">
        <f t="shared" si="1"/>
        <v>1.5319697448749419</v>
      </c>
      <c r="O18" s="143">
        <f t="shared" si="1"/>
        <v>1.578723355878656</v>
      </c>
      <c r="P18" s="143">
        <f t="shared" si="1"/>
        <v>1.6106540657126009</v>
      </c>
      <c r="Q18" s="143">
        <f t="shared" si="1"/>
        <v>1.6520777490633249</v>
      </c>
      <c r="R18" s="143">
        <f t="shared" si="1"/>
        <v>1.694087304147214</v>
      </c>
      <c r="S18" s="143">
        <f t="shared" si="1"/>
        <v>1.735166759433713</v>
      </c>
      <c r="T18" s="143">
        <f t="shared" si="1"/>
        <v>1.7594094830541409</v>
      </c>
      <c r="U18" s="143">
        <f t="shared" si="1"/>
        <v>1.7912362829567288</v>
      </c>
      <c r="V18" s="143">
        <f t="shared" si="1"/>
        <v>1.8214426271495727</v>
      </c>
      <c r="W18" s="143">
        <f t="shared" si="1"/>
        <v>1.828374894080294</v>
      </c>
      <c r="X18" s="143">
        <f t="shared" si="1"/>
        <v>1.7870730108503863</v>
      </c>
      <c r="Y18" s="143">
        <f t="shared" si="1"/>
        <v>1.7023921599010339</v>
      </c>
      <c r="Z18" s="143">
        <f t="shared" si="1"/>
        <v>1.5248575706049243</v>
      </c>
      <c r="AA18" s="143">
        <f t="shared" si="1"/>
        <v>1.4980642051584654</v>
      </c>
      <c r="AB18" s="143">
        <f t="shared" si="1"/>
        <v>1.4598183874511468</v>
      </c>
      <c r="AC18" s="143">
        <f t="shared" si="1"/>
        <v>1.4288601997073087</v>
      </c>
    </row>
    <row r="20" spans="2:29" x14ac:dyDescent="0.25">
      <c r="B20" s="130" t="s">
        <v>149</v>
      </c>
    </row>
    <row r="21" spans="2:29" x14ac:dyDescent="0.25">
      <c r="B21" s="67" t="s">
        <v>150</v>
      </c>
      <c r="D21" s="111">
        <f>BS!C23</f>
        <v>23.331796367458136</v>
      </c>
      <c r="E21" s="111">
        <f>BS!D23-BS!C23</f>
        <v>0</v>
      </c>
      <c r="F21" s="111">
        <f>BS!E23-BS!D23</f>
        <v>0</v>
      </c>
      <c r="G21" s="111">
        <f>BS!F23-BS!E23</f>
        <v>0</v>
      </c>
      <c r="H21" s="111">
        <f>BS!G23-BS!F23</f>
        <v>0</v>
      </c>
      <c r="I21" s="111">
        <f>BS!H23-BS!G23</f>
        <v>0</v>
      </c>
      <c r="J21" s="111">
        <f>BS!I23-BS!H23</f>
        <v>0</v>
      </c>
      <c r="K21" s="111">
        <f>BS!J23-BS!I23</f>
        <v>0</v>
      </c>
      <c r="L21" s="111">
        <f>BS!K23-BS!J23</f>
        <v>0</v>
      </c>
      <c r="M21" s="111">
        <f>BS!L23-BS!K23</f>
        <v>0</v>
      </c>
      <c r="N21" s="111">
        <f>BS!M23-BS!L23</f>
        <v>0</v>
      </c>
      <c r="O21" s="111">
        <f>BS!N23-BS!M23</f>
        <v>0</v>
      </c>
      <c r="P21" s="111">
        <f>BS!O23-BS!N23</f>
        <v>0</v>
      </c>
      <c r="Q21" s="111">
        <f>BS!P23-BS!O23</f>
        <v>0</v>
      </c>
      <c r="R21" s="111">
        <f>BS!Q23-BS!P23</f>
        <v>0</v>
      </c>
      <c r="S21" s="111">
        <f>BS!R23-BS!Q23</f>
        <v>0</v>
      </c>
      <c r="T21" s="111">
        <f>BS!S23-BS!R23</f>
        <v>0</v>
      </c>
      <c r="U21" s="111">
        <f>BS!T23-BS!S23</f>
        <v>0</v>
      </c>
      <c r="V21" s="111">
        <f>BS!U23-BS!T23</f>
        <v>0</v>
      </c>
      <c r="W21" s="111">
        <f>BS!V23-BS!U23</f>
        <v>0</v>
      </c>
      <c r="X21" s="111">
        <f>BS!W23-BS!V23</f>
        <v>0</v>
      </c>
      <c r="Y21" s="111">
        <f>BS!X23-BS!W23</f>
        <v>0</v>
      </c>
      <c r="Z21" s="111">
        <f>BS!Y23-BS!X23</f>
        <v>0</v>
      </c>
      <c r="AA21" s="111">
        <f>BS!Z23-BS!Y23</f>
        <v>0</v>
      </c>
      <c r="AB21" s="111">
        <f>BS!AA23-BS!Z23</f>
        <v>0</v>
      </c>
      <c r="AC21" s="111">
        <f>BS!AB23-BS!AA23</f>
        <v>0</v>
      </c>
    </row>
    <row r="22" spans="2:29" x14ac:dyDescent="0.25">
      <c r="B22" s="67" t="s">
        <v>151</v>
      </c>
      <c r="D22" s="111">
        <f>'Loan Schedule'!E13</f>
        <v>0</v>
      </c>
      <c r="E22" s="111">
        <f>'Loan Schedule'!F13</f>
        <v>0</v>
      </c>
      <c r="F22" s="111">
        <f>'Loan Schedule'!G13</f>
        <v>1.0799999999999998</v>
      </c>
      <c r="G22" s="111">
        <f>'Loan Schedule'!H13</f>
        <v>1.0799999999999998</v>
      </c>
      <c r="H22" s="111">
        <f>'Loan Schedule'!I13</f>
        <v>1.0799999999999998</v>
      </c>
      <c r="I22" s="111">
        <f>'Loan Schedule'!J13</f>
        <v>1.0799999999999998</v>
      </c>
      <c r="J22" s="111">
        <f>'Loan Schedule'!K13</f>
        <v>1.0799999999999998</v>
      </c>
      <c r="K22" s="111">
        <f>'Loan Schedule'!L13</f>
        <v>1.0799999999999998</v>
      </c>
      <c r="L22" s="111">
        <f>'Loan Schedule'!M13</f>
        <v>0.98774231576144134</v>
      </c>
      <c r="M22" s="111">
        <f>'Loan Schedule'!N13</f>
        <v>0.98774231576144134</v>
      </c>
      <c r="N22" s="111">
        <f>'Loan Schedule'!O13</f>
        <v>0.98774231576144134</v>
      </c>
      <c r="O22" s="111">
        <f>'Loan Schedule'!P13</f>
        <v>0.98774231576144134</v>
      </c>
      <c r="P22" s="111">
        <f>'Loan Schedule'!Q13</f>
        <v>0.98774231576144134</v>
      </c>
      <c r="Q22" s="111">
        <f>'Loan Schedule'!R13</f>
        <v>0.98774231576144134</v>
      </c>
      <c r="R22" s="111">
        <f>'Loan Schedule'!S13</f>
        <v>0.98774231576144134</v>
      </c>
      <c r="S22" s="111">
        <f>'Loan Schedule'!T13</f>
        <v>0.8400000000000003</v>
      </c>
      <c r="T22" s="111">
        <f>'Loan Schedule'!U13</f>
        <v>0.8400000000000003</v>
      </c>
      <c r="U22" s="111">
        <f>'Loan Schedule'!V13</f>
        <v>0.8400000000000003</v>
      </c>
      <c r="V22" s="111">
        <f>'Loan Schedule'!W13</f>
        <v>0.87742315761444944</v>
      </c>
      <c r="W22" s="111">
        <f>'Loan Schedule'!X13</f>
        <v>0</v>
      </c>
      <c r="X22" s="111">
        <f>'Loan Schedule'!Y13</f>
        <v>0</v>
      </c>
      <c r="Y22" s="111">
        <f>'Loan Schedule'!Z13</f>
        <v>0</v>
      </c>
      <c r="Z22" s="111">
        <f>'Loan Schedule'!AA13</f>
        <v>0</v>
      </c>
      <c r="AA22" s="111">
        <f>'Loan Schedule'!AB13</f>
        <v>0</v>
      </c>
      <c r="AB22" s="111">
        <f>'Loan Schedule'!AC13</f>
        <v>0</v>
      </c>
      <c r="AC22" s="111">
        <f>'Loan Schedule'!AD13</f>
        <v>0</v>
      </c>
    </row>
    <row r="23" spans="2:29" x14ac:dyDescent="0.25">
      <c r="B23" s="67" t="s">
        <v>152</v>
      </c>
      <c r="D23" s="138">
        <v>0</v>
      </c>
      <c r="E23" s="111">
        <f>+BS!D33</f>
        <v>5.4420261764833937E-2</v>
      </c>
      <c r="F23" s="111">
        <f>+BS!E33-BS!D33</f>
        <v>0.10809842905105646</v>
      </c>
      <c r="G23" s="111">
        <f>+BS!F33-BS!E33</f>
        <v>-1.1843827878637303E-3</v>
      </c>
      <c r="H23" s="111">
        <f>+BS!G33-BS!F33</f>
        <v>-2.0497391593724823E-3</v>
      </c>
      <c r="I23" s="111">
        <f>+BS!H33-BS!G33</f>
        <v>-1.5928456886865339E-3</v>
      </c>
      <c r="J23" s="111">
        <f>+BS!I33-BS!H33</f>
        <v>-1.5769172317997293E-3</v>
      </c>
      <c r="K23" s="111">
        <f>+BS!J33-BS!I33</f>
        <v>-1.137713380334554E-3</v>
      </c>
      <c r="L23" s="111">
        <f>+BS!K33-BS!J33</f>
        <v>-1.9689712580339691E-3</v>
      </c>
      <c r="M23" s="111">
        <f>+BS!L33-BS!K33</f>
        <v>-1.5300812130979724E-3</v>
      </c>
      <c r="N23" s="111">
        <f>+BS!M33-BS!L33</f>
        <v>-1.5147804009670307E-3</v>
      </c>
      <c r="O23" s="111">
        <f>+BS!N33-BS!M33</f>
        <v>-1.092882933673045E-3</v>
      </c>
      <c r="P23" s="111">
        <f>+BS!O33-BS!N33</f>
        <v>-1.8913859342720996E-3</v>
      </c>
      <c r="Q23" s="111">
        <f>+BS!P33-BS!O33</f>
        <v>-1.4697899082778965E-3</v>
      </c>
      <c r="R23" s="111">
        <f>+BS!Q33-BS!P33</f>
        <v>-1.4550920091951358E-3</v>
      </c>
      <c r="S23" s="111">
        <f>+BS!R33-BS!Q33</f>
        <v>-1.049818985483314E-3</v>
      </c>
      <c r="T23" s="111">
        <f>+BS!S33-BS!R33</f>
        <v>-1.8168577818319376E-3</v>
      </c>
      <c r="U23" s="111">
        <f>+BS!T33-BS!S33</f>
        <v>-1.4118743214300289E-3</v>
      </c>
      <c r="V23" s="111">
        <f>+BS!U33-BS!T33</f>
        <v>-1.3977555782157258E-3</v>
      </c>
      <c r="W23" s="111">
        <f>+BS!V33-BS!U33</f>
        <v>-1.0084519286776006E-3</v>
      </c>
      <c r="X23" s="111">
        <f>+BS!W33-BS!V33</f>
        <v>-1.7452663359651677E-3</v>
      </c>
      <c r="Y23" s="111">
        <f>+BS!X33-BS!W33</f>
        <v>-1.3562408397871373E-3</v>
      </c>
      <c r="Z23" s="111">
        <f>+BS!Y33-BS!X33</f>
        <v>-1.3426784313892159E-3</v>
      </c>
      <c r="AA23" s="111">
        <f>+BS!Z33-BS!Y33</f>
        <v>-9.6871489896449559E-4</v>
      </c>
      <c r="AB23" s="111">
        <f>+BS!AA33-BS!Z33</f>
        <v>-1.6764958787154893E-3</v>
      </c>
      <c r="AC23" s="111">
        <f>+BS!AB33-BS!AA33</f>
        <v>-1.3027995392985436E-3</v>
      </c>
    </row>
    <row r="24" spans="2:29" hidden="1" x14ac:dyDescent="0.25">
      <c r="B24" s="67" t="s">
        <v>153</v>
      </c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</row>
    <row r="25" spans="2:29" x14ac:dyDescent="0.25">
      <c r="B25" s="67" t="s">
        <v>138</v>
      </c>
      <c r="D25" s="138">
        <v>0</v>
      </c>
      <c r="E25" s="138">
        <v>0</v>
      </c>
      <c r="F25" s="138">
        <v>0</v>
      </c>
      <c r="G25" s="138">
        <v>0</v>
      </c>
      <c r="H25" s="138">
        <v>0</v>
      </c>
      <c r="I25" s="138">
        <v>0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0</v>
      </c>
      <c r="P25" s="138">
        <v>0</v>
      </c>
      <c r="Q25" s="138">
        <v>0</v>
      </c>
      <c r="R25" s="138">
        <v>0</v>
      </c>
      <c r="S25" s="138">
        <v>0</v>
      </c>
      <c r="T25" s="138">
        <v>0</v>
      </c>
      <c r="U25" s="138">
        <v>0</v>
      </c>
      <c r="V25" s="138">
        <v>0</v>
      </c>
      <c r="W25" s="138">
        <v>0</v>
      </c>
      <c r="X25" s="138">
        <v>0</v>
      </c>
      <c r="Y25" s="138">
        <v>0</v>
      </c>
      <c r="Z25" s="138">
        <v>0</v>
      </c>
      <c r="AA25" s="138">
        <v>0</v>
      </c>
      <c r="AB25" s="138">
        <v>0</v>
      </c>
      <c r="AC25" s="138">
        <v>0</v>
      </c>
    </row>
    <row r="26" spans="2:29" x14ac:dyDescent="0.25">
      <c r="B26" s="67" t="s">
        <v>132</v>
      </c>
      <c r="D26" s="138">
        <f>+SUM('PC &amp; MoF'!L23+'PC &amp; MoF'!L24)</f>
        <v>0.65623130103400751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0</v>
      </c>
      <c r="K26" s="111">
        <v>0</v>
      </c>
      <c r="L26" s="111">
        <v>0</v>
      </c>
      <c r="M26" s="111">
        <v>0</v>
      </c>
      <c r="N26" s="111">
        <v>0</v>
      </c>
      <c r="O26" s="111">
        <v>0</v>
      </c>
      <c r="P26" s="111">
        <v>0</v>
      </c>
      <c r="Q26" s="111">
        <v>0</v>
      </c>
      <c r="R26" s="111">
        <v>0</v>
      </c>
      <c r="S26" s="111">
        <v>0</v>
      </c>
      <c r="T26" s="111">
        <v>0</v>
      </c>
      <c r="U26" s="111">
        <v>0</v>
      </c>
      <c r="V26" s="111">
        <v>0</v>
      </c>
      <c r="W26" s="111">
        <v>0</v>
      </c>
      <c r="X26" s="111">
        <v>0</v>
      </c>
      <c r="Y26" s="111">
        <v>0</v>
      </c>
      <c r="Z26" s="111">
        <v>0</v>
      </c>
      <c r="AA26" s="111">
        <v>0</v>
      </c>
      <c r="AB26" s="111">
        <v>0</v>
      </c>
      <c r="AC26" s="111">
        <v>0</v>
      </c>
    </row>
    <row r="27" spans="2:29" x14ac:dyDescent="0.25">
      <c r="B27" s="142" t="s">
        <v>123</v>
      </c>
      <c r="C27" s="142"/>
      <c r="D27" s="143">
        <f>SUM(D21:D26)</f>
        <v>23.988027668492144</v>
      </c>
      <c r="E27" s="143">
        <f t="shared" ref="E27:AC27" si="2">SUM(E21:E26)</f>
        <v>5.4420261764833937E-2</v>
      </c>
      <c r="F27" s="143">
        <f t="shared" si="2"/>
        <v>1.1880984290510563</v>
      </c>
      <c r="G27" s="143">
        <f t="shared" si="2"/>
        <v>1.0788156172121361</v>
      </c>
      <c r="H27" s="143">
        <f t="shared" si="2"/>
        <v>1.0779502608406273</v>
      </c>
      <c r="I27" s="143">
        <f t="shared" si="2"/>
        <v>1.0784071543113134</v>
      </c>
      <c r="J27" s="143">
        <f t="shared" si="2"/>
        <v>1.0784230827682002</v>
      </c>
      <c r="K27" s="143">
        <f t="shared" si="2"/>
        <v>1.0788622866196653</v>
      </c>
      <c r="L27" s="143">
        <f t="shared" si="2"/>
        <v>0.98577334450340737</v>
      </c>
      <c r="M27" s="143">
        <f t="shared" si="2"/>
        <v>0.98621223454834339</v>
      </c>
      <c r="N27" s="143">
        <f t="shared" si="2"/>
        <v>0.98622753536047436</v>
      </c>
      <c r="O27" s="143">
        <f t="shared" si="2"/>
        <v>0.98664943282776829</v>
      </c>
      <c r="P27" s="143">
        <f t="shared" si="2"/>
        <v>0.98585092982716926</v>
      </c>
      <c r="Q27" s="143">
        <f t="shared" si="2"/>
        <v>0.9862725258531635</v>
      </c>
      <c r="R27" s="143">
        <f t="shared" si="2"/>
        <v>0.9862872237522462</v>
      </c>
      <c r="S27" s="143">
        <f t="shared" si="2"/>
        <v>0.83895018101451702</v>
      </c>
      <c r="T27" s="143">
        <f t="shared" si="2"/>
        <v>0.83818314221816836</v>
      </c>
      <c r="U27" s="143">
        <f t="shared" si="2"/>
        <v>0.83858812567857033</v>
      </c>
      <c r="V27" s="143">
        <f t="shared" si="2"/>
        <v>0.87602540203623369</v>
      </c>
      <c r="W27" s="143">
        <f t="shared" si="2"/>
        <v>-1.0084519286776006E-3</v>
      </c>
      <c r="X27" s="143">
        <f t="shared" si="2"/>
        <v>-1.7452663359651677E-3</v>
      </c>
      <c r="Y27" s="143">
        <f t="shared" si="2"/>
        <v>-1.3562408397871373E-3</v>
      </c>
      <c r="Z27" s="143">
        <f t="shared" si="2"/>
        <v>-1.3426784313892159E-3</v>
      </c>
      <c r="AA27" s="143">
        <f t="shared" si="2"/>
        <v>-9.6871489896449559E-4</v>
      </c>
      <c r="AB27" s="143">
        <f t="shared" si="2"/>
        <v>-1.6764958787154893E-3</v>
      </c>
      <c r="AC27" s="143">
        <f t="shared" si="2"/>
        <v>-1.3027995392985436E-3</v>
      </c>
    </row>
    <row r="28" spans="2:29" x14ac:dyDescent="0.25">
      <c r="B28" s="67" t="s">
        <v>154</v>
      </c>
      <c r="D28" s="111">
        <v>0</v>
      </c>
      <c r="E28" s="111">
        <f t="shared" ref="E28:AC28" si="3">D30</f>
        <v>0</v>
      </c>
      <c r="F28" s="111">
        <f t="shared" si="3"/>
        <v>0.38160472404828261</v>
      </c>
      <c r="G28" s="111">
        <f t="shared" si="3"/>
        <v>0.4895352842806332</v>
      </c>
      <c r="H28" s="111">
        <f t="shared" si="3"/>
        <v>1.313255754085243</v>
      </c>
      <c r="I28" s="111">
        <f t="shared" si="3"/>
        <v>1.4998399059228311</v>
      </c>
      <c r="J28" s="111">
        <f t="shared" si="3"/>
        <v>1.7517051734795461</v>
      </c>
      <c r="K28" s="111">
        <f t="shared" si="3"/>
        <v>2.0447986548121588</v>
      </c>
      <c r="L28" s="111">
        <f t="shared" si="3"/>
        <v>2.3883066475123678</v>
      </c>
      <c r="M28" s="111">
        <f t="shared" si="3"/>
        <v>2.8583959225839068</v>
      </c>
      <c r="N28" s="111">
        <f t="shared" si="3"/>
        <v>3.3652060235503205</v>
      </c>
      <c r="O28" s="111">
        <f t="shared" si="3"/>
        <v>3.9109482330647882</v>
      </c>
      <c r="P28" s="111">
        <f t="shared" si="3"/>
        <v>4.5030221561156756</v>
      </c>
      <c r="Q28" s="111">
        <f t="shared" si="3"/>
        <v>5.1278252920011074</v>
      </c>
      <c r="R28" s="111">
        <f t="shared" si="3"/>
        <v>5.7936305152112686</v>
      </c>
      <c r="S28" s="111">
        <f t="shared" si="3"/>
        <v>6.5014305956062364</v>
      </c>
      <c r="T28" s="111">
        <f t="shared" si="3"/>
        <v>7.3976471740254324</v>
      </c>
      <c r="U28" s="111">
        <f t="shared" si="3"/>
        <v>8.318873514861405</v>
      </c>
      <c r="V28" s="111">
        <f t="shared" si="3"/>
        <v>9.2715216721395635</v>
      </c>
      <c r="W28" s="111">
        <f t="shared" si="3"/>
        <v>10.216938897252902</v>
      </c>
      <c r="X28" s="111">
        <f t="shared" si="3"/>
        <v>12.046322243261873</v>
      </c>
      <c r="Y28" s="111">
        <f t="shared" si="3"/>
        <v>13.835140520448224</v>
      </c>
      <c r="Z28" s="111">
        <f t="shared" si="3"/>
        <v>15.538888921189045</v>
      </c>
      <c r="AA28" s="111">
        <f t="shared" si="3"/>
        <v>17.06508917022536</v>
      </c>
      <c r="AB28" s="111">
        <f t="shared" si="3"/>
        <v>18.56412209028279</v>
      </c>
      <c r="AC28" s="111">
        <f t="shared" si="3"/>
        <v>20.025616973612653</v>
      </c>
    </row>
    <row r="29" spans="2:29" x14ac:dyDescent="0.25">
      <c r="B29" s="67" t="s">
        <v>155</v>
      </c>
      <c r="D29" s="111">
        <f t="shared" ref="D29:AC29" si="4">D18-D27</f>
        <v>0</v>
      </c>
      <c r="E29" s="111">
        <f t="shared" si="4"/>
        <v>0.38160472404828261</v>
      </c>
      <c r="F29" s="111">
        <f>F18-F27</f>
        <v>0.10793056023235059</v>
      </c>
      <c r="G29" s="111">
        <f t="shared" si="4"/>
        <v>0.82372046980460967</v>
      </c>
      <c r="H29" s="111">
        <f t="shared" si="4"/>
        <v>0.18658415183758814</v>
      </c>
      <c r="I29" s="111">
        <f t="shared" si="4"/>
        <v>0.25186526755671501</v>
      </c>
      <c r="J29" s="111">
        <f t="shared" si="4"/>
        <v>0.2930934813326127</v>
      </c>
      <c r="K29" s="111">
        <f t="shared" si="4"/>
        <v>0.34350799270020893</v>
      </c>
      <c r="L29" s="111">
        <f t="shared" si="4"/>
        <v>0.47008927507153886</v>
      </c>
      <c r="M29" s="111">
        <f t="shared" si="4"/>
        <v>0.50681010096641377</v>
      </c>
      <c r="N29" s="111">
        <f t="shared" si="4"/>
        <v>0.5457422095144675</v>
      </c>
      <c r="O29" s="111">
        <f t="shared" si="4"/>
        <v>0.59207392305088768</v>
      </c>
      <c r="P29" s="111">
        <f t="shared" si="4"/>
        <v>0.62480313588543168</v>
      </c>
      <c r="Q29" s="111">
        <f t="shared" si="4"/>
        <v>0.66580522321016145</v>
      </c>
      <c r="R29" s="111">
        <f t="shared" si="4"/>
        <v>0.70780008039496778</v>
      </c>
      <c r="S29" s="111">
        <f t="shared" si="4"/>
        <v>0.896216578419196</v>
      </c>
      <c r="T29" s="111">
        <f t="shared" si="4"/>
        <v>0.92122634083597255</v>
      </c>
      <c r="U29" s="111">
        <f t="shared" si="4"/>
        <v>0.95264815727815844</v>
      </c>
      <c r="V29" s="111">
        <f t="shared" si="4"/>
        <v>0.94541722511333903</v>
      </c>
      <c r="W29" s="111">
        <f t="shared" si="4"/>
        <v>1.8293833460089717</v>
      </c>
      <c r="X29" s="111">
        <f t="shared" si="4"/>
        <v>1.7888182771863514</v>
      </c>
      <c r="Y29" s="111">
        <f t="shared" si="4"/>
        <v>1.703748400740821</v>
      </c>
      <c r="Z29" s="111">
        <f t="shared" si="4"/>
        <v>1.5262002490363136</v>
      </c>
      <c r="AA29" s="111">
        <f t="shared" si="4"/>
        <v>1.4990329200574299</v>
      </c>
      <c r="AB29" s="111">
        <f t="shared" si="4"/>
        <v>1.4614948833298622</v>
      </c>
      <c r="AC29" s="111">
        <f t="shared" si="4"/>
        <v>1.4301629992466072</v>
      </c>
    </row>
    <row r="30" spans="2:29" x14ac:dyDescent="0.25">
      <c r="B30" s="67" t="s">
        <v>156</v>
      </c>
      <c r="D30" s="111">
        <f t="shared" ref="D30:AC30" si="5">D28+D29</f>
        <v>0</v>
      </c>
      <c r="E30" s="111">
        <f t="shared" si="5"/>
        <v>0.38160472404828261</v>
      </c>
      <c r="F30" s="111">
        <f t="shared" si="5"/>
        <v>0.4895352842806332</v>
      </c>
      <c r="G30" s="111">
        <f t="shared" si="5"/>
        <v>1.313255754085243</v>
      </c>
      <c r="H30" s="111">
        <f t="shared" si="5"/>
        <v>1.4998399059228311</v>
      </c>
      <c r="I30" s="111">
        <f t="shared" si="5"/>
        <v>1.7517051734795461</v>
      </c>
      <c r="J30" s="111">
        <f t="shared" si="5"/>
        <v>2.0447986548121588</v>
      </c>
      <c r="K30" s="111">
        <f t="shared" si="5"/>
        <v>2.3883066475123678</v>
      </c>
      <c r="L30" s="111">
        <f t="shared" si="5"/>
        <v>2.8583959225839068</v>
      </c>
      <c r="M30" s="111">
        <f t="shared" si="5"/>
        <v>3.3652060235503205</v>
      </c>
      <c r="N30" s="111">
        <f t="shared" si="5"/>
        <v>3.9109482330647882</v>
      </c>
      <c r="O30" s="111">
        <f t="shared" si="5"/>
        <v>4.5030221561156756</v>
      </c>
      <c r="P30" s="111">
        <f t="shared" si="5"/>
        <v>5.1278252920011074</v>
      </c>
      <c r="Q30" s="111">
        <f t="shared" si="5"/>
        <v>5.7936305152112686</v>
      </c>
      <c r="R30" s="111">
        <f t="shared" si="5"/>
        <v>6.5014305956062364</v>
      </c>
      <c r="S30" s="111">
        <f t="shared" si="5"/>
        <v>7.3976471740254324</v>
      </c>
      <c r="T30" s="111">
        <f t="shared" si="5"/>
        <v>8.318873514861405</v>
      </c>
      <c r="U30" s="111">
        <f t="shared" si="5"/>
        <v>9.2715216721395635</v>
      </c>
      <c r="V30" s="111">
        <f t="shared" si="5"/>
        <v>10.216938897252902</v>
      </c>
      <c r="W30" s="111">
        <f t="shared" si="5"/>
        <v>12.046322243261873</v>
      </c>
      <c r="X30" s="111">
        <f t="shared" si="5"/>
        <v>13.835140520448224</v>
      </c>
      <c r="Y30" s="111">
        <f t="shared" si="5"/>
        <v>15.538888921189045</v>
      </c>
      <c r="Z30" s="111">
        <f t="shared" si="5"/>
        <v>17.06508917022536</v>
      </c>
      <c r="AA30" s="111">
        <f t="shared" si="5"/>
        <v>18.56412209028279</v>
      </c>
      <c r="AB30" s="111">
        <f t="shared" si="5"/>
        <v>20.025616973612653</v>
      </c>
      <c r="AC30" s="111">
        <f t="shared" si="5"/>
        <v>21.455779972859261</v>
      </c>
    </row>
    <row r="32" spans="2:29" x14ac:dyDescent="0.25">
      <c r="D32" s="257"/>
    </row>
  </sheetData>
  <mergeCells count="1">
    <mergeCell ref="E7:AC7"/>
  </mergeCells>
  <conditionalFormatting sqref="D28:AC30">
    <cfRule type="cellIs" dxfId="1" priority="1" operator="lessThan">
      <formula>0</formula>
    </cfRule>
  </conditionalFormatting>
  <conditionalFormatting sqref="D29:AC30">
    <cfRule type="cellIs" dxfId="0" priority="3" operator="less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297"/>
  <sheetViews>
    <sheetView showGridLines="0" workbookViewId="0">
      <pane xSplit="2" ySplit="8" topLeftCell="O9" activePane="bottomRight" state="frozen"/>
      <selection activeCell="A9" sqref="A9"/>
      <selection pane="topRight" activeCell="A9" sqref="A9"/>
      <selection pane="bottomLeft" activeCell="A9" sqref="A9"/>
      <selection pane="bottomRight" activeCell="T21" sqref="T21"/>
    </sheetView>
  </sheetViews>
  <sheetFormatPr defaultColWidth="13.7109375" defaultRowHeight="15" x14ac:dyDescent="0.25"/>
  <cols>
    <col min="1" max="1" width="4.85546875" style="67" customWidth="1"/>
    <col min="2" max="2" width="64.7109375" style="67" customWidth="1"/>
    <col min="3" max="3" width="7.140625" style="67" customWidth="1"/>
    <col min="4" max="4" width="11" style="67" customWidth="1"/>
    <col min="5" max="5" width="11.28515625" style="67" customWidth="1"/>
    <col min="6" max="6" width="11.5703125" style="67" customWidth="1"/>
    <col min="7" max="7" width="14.28515625" style="67" customWidth="1"/>
    <col min="8" max="8" width="13.7109375" style="112" customWidth="1"/>
    <col min="9" max="9" width="11.28515625" style="67" customWidth="1"/>
    <col min="10" max="10" width="11.5703125" style="67" customWidth="1"/>
    <col min="11" max="11" width="11.7109375" style="67" customWidth="1"/>
    <col min="12" max="12" width="11.42578125" style="67" customWidth="1"/>
    <col min="13" max="15" width="12.7109375" style="67" customWidth="1"/>
    <col min="16" max="16384" width="13.7109375" style="67"/>
  </cols>
  <sheetData>
    <row r="1" spans="2:30" s="1" customFormat="1" ht="19.899999999999999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2:30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</row>
    <row r="4" spans="2:30" s="1" customFormat="1" ht="9" customHeight="1" x14ac:dyDescent="0.25">
      <c r="B4" s="2"/>
      <c r="C4" s="2"/>
      <c r="D4" s="2"/>
      <c r="E4" s="2"/>
      <c r="F4" s="2"/>
      <c r="G4" s="273"/>
    </row>
    <row r="5" spans="2:30" customFormat="1" ht="15.75" x14ac:dyDescent="0.25">
      <c r="B5" s="68" t="s">
        <v>260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</row>
    <row r="6" spans="2:30" customFormat="1" x14ac:dyDescent="0.25">
      <c r="B6" s="274" t="s">
        <v>256</v>
      </c>
      <c r="C6" s="65"/>
      <c r="D6" s="65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s="31" customFormat="1" ht="15.75" x14ac:dyDescent="0.25">
      <c r="C7" s="65"/>
      <c r="D7" s="373" t="s">
        <v>20</v>
      </c>
      <c r="E7" s="373"/>
      <c r="F7" s="221" t="s">
        <v>76</v>
      </c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</row>
    <row r="8" spans="2:30" s="31" customFormat="1" x14ac:dyDescent="0.25">
      <c r="B8" s="70" t="s">
        <v>255</v>
      </c>
      <c r="C8" s="71" t="s">
        <v>78</v>
      </c>
      <c r="D8" s="72"/>
      <c r="E8" s="72">
        <f>'Revenue &amp; Expenses Modeling'!E8</f>
        <v>45991</v>
      </c>
      <c r="F8" s="72">
        <f>'Revenue &amp; Expenses Modeling'!F8</f>
        <v>46112</v>
      </c>
      <c r="G8" s="72">
        <f>'Revenue &amp; Expenses Modeling'!G8</f>
        <v>46477</v>
      </c>
      <c r="H8" s="72">
        <f>'Revenue &amp; Expenses Modeling'!H8</f>
        <v>46843</v>
      </c>
      <c r="I8" s="72">
        <f>'Revenue &amp; Expenses Modeling'!I8</f>
        <v>47208</v>
      </c>
      <c r="J8" s="72">
        <f>'Revenue &amp; Expenses Modeling'!J8</f>
        <v>47573</v>
      </c>
      <c r="K8" s="72">
        <f>'Revenue &amp; Expenses Modeling'!K8</f>
        <v>47938</v>
      </c>
      <c r="L8" s="72">
        <f>'Revenue &amp; Expenses Modeling'!L8</f>
        <v>48304</v>
      </c>
      <c r="M8" s="72">
        <f>'Revenue &amp; Expenses Modeling'!M8</f>
        <v>48669</v>
      </c>
      <c r="N8" s="72">
        <f>'Revenue &amp; Expenses Modeling'!N8</f>
        <v>49034</v>
      </c>
      <c r="O8" s="72">
        <f>'Revenue &amp; Expenses Modeling'!O8</f>
        <v>49399</v>
      </c>
      <c r="P8" s="72">
        <f>'Revenue &amp; Expenses Modeling'!P8</f>
        <v>49765</v>
      </c>
      <c r="Q8" s="72">
        <f>'Revenue &amp; Expenses Modeling'!Q8</f>
        <v>50130</v>
      </c>
      <c r="R8" s="72">
        <f>'Revenue &amp; Expenses Modeling'!R8</f>
        <v>50495</v>
      </c>
      <c r="S8" s="72">
        <f>'Revenue &amp; Expenses Modeling'!S8</f>
        <v>50860</v>
      </c>
      <c r="T8" s="72">
        <f>'Revenue &amp; Expenses Modeling'!T8</f>
        <v>51226</v>
      </c>
      <c r="U8" s="72">
        <f>'Revenue &amp; Expenses Modeling'!U8</f>
        <v>51591</v>
      </c>
      <c r="V8" s="72">
        <f>'Revenue &amp; Expenses Modeling'!V8</f>
        <v>51956</v>
      </c>
      <c r="W8" s="72">
        <f>'Revenue &amp; Expenses Modeling'!W8</f>
        <v>52321</v>
      </c>
      <c r="X8" s="72"/>
      <c r="Y8" s="72"/>
      <c r="Z8" s="72"/>
      <c r="AA8" s="72"/>
      <c r="AB8" s="72"/>
      <c r="AC8" s="72"/>
      <c r="AD8" s="72"/>
    </row>
    <row r="9" spans="2:30" s="77" customFormat="1" ht="12.75" x14ac:dyDescent="0.25">
      <c r="B9" s="73" t="s">
        <v>79</v>
      </c>
      <c r="C9" s="74"/>
      <c r="D9" s="75"/>
      <c r="E9" s="75">
        <v>0</v>
      </c>
      <c r="F9" s="76">
        <v>1</v>
      </c>
      <c r="G9" s="76">
        <f>F9+1</f>
        <v>2</v>
      </c>
      <c r="H9" s="76">
        <f t="shared" ref="H9:W9" si="0">G9+1</f>
        <v>3</v>
      </c>
      <c r="I9" s="76">
        <f t="shared" si="0"/>
        <v>4</v>
      </c>
      <c r="J9" s="76">
        <f t="shared" si="0"/>
        <v>5</v>
      </c>
      <c r="K9" s="76">
        <f t="shared" si="0"/>
        <v>6</v>
      </c>
      <c r="L9" s="76">
        <f t="shared" si="0"/>
        <v>7</v>
      </c>
      <c r="M9" s="76">
        <f t="shared" si="0"/>
        <v>8</v>
      </c>
      <c r="N9" s="76">
        <f t="shared" si="0"/>
        <v>9</v>
      </c>
      <c r="O9" s="76">
        <f t="shared" si="0"/>
        <v>10</v>
      </c>
      <c r="P9" s="76">
        <f t="shared" si="0"/>
        <v>11</v>
      </c>
      <c r="Q9" s="76">
        <f t="shared" si="0"/>
        <v>12</v>
      </c>
      <c r="R9" s="76">
        <f t="shared" si="0"/>
        <v>13</v>
      </c>
      <c r="S9" s="76">
        <f t="shared" si="0"/>
        <v>14</v>
      </c>
      <c r="T9" s="76">
        <f t="shared" si="0"/>
        <v>15</v>
      </c>
      <c r="U9" s="76">
        <f t="shared" si="0"/>
        <v>16</v>
      </c>
      <c r="V9" s="76">
        <f t="shared" si="0"/>
        <v>17</v>
      </c>
      <c r="W9" s="76">
        <f t="shared" si="0"/>
        <v>18</v>
      </c>
      <c r="X9" s="76"/>
      <c r="Y9" s="76"/>
      <c r="Z9" s="76"/>
      <c r="AA9" s="76"/>
      <c r="AB9" s="76"/>
      <c r="AC9" s="76"/>
      <c r="AD9" s="76"/>
    </row>
    <row r="10" spans="2:30" s="77" customFormat="1" ht="12.75" x14ac:dyDescent="0.25">
      <c r="B10" s="73" t="s">
        <v>80</v>
      </c>
      <c r="C10" s="74"/>
      <c r="D10" s="75"/>
      <c r="E10" s="75">
        <v>8</v>
      </c>
      <c r="F10" s="74">
        <f t="shared" ref="F10:W10" si="1">MONTH(F8-E8)</f>
        <v>4</v>
      </c>
      <c r="G10" s="74">
        <f t="shared" si="1"/>
        <v>12</v>
      </c>
      <c r="H10" s="74">
        <f t="shared" si="1"/>
        <v>12</v>
      </c>
      <c r="I10" s="74">
        <f t="shared" si="1"/>
        <v>12</v>
      </c>
      <c r="J10" s="74">
        <f t="shared" si="1"/>
        <v>12</v>
      </c>
      <c r="K10" s="74">
        <f t="shared" si="1"/>
        <v>12</v>
      </c>
      <c r="L10" s="74">
        <f t="shared" si="1"/>
        <v>12</v>
      </c>
      <c r="M10" s="74">
        <f t="shared" si="1"/>
        <v>12</v>
      </c>
      <c r="N10" s="74">
        <f t="shared" si="1"/>
        <v>12</v>
      </c>
      <c r="O10" s="74">
        <f t="shared" si="1"/>
        <v>12</v>
      </c>
      <c r="P10" s="74">
        <f t="shared" si="1"/>
        <v>12</v>
      </c>
      <c r="Q10" s="74">
        <f t="shared" si="1"/>
        <v>12</v>
      </c>
      <c r="R10" s="74">
        <f t="shared" si="1"/>
        <v>12</v>
      </c>
      <c r="S10" s="74">
        <f t="shared" si="1"/>
        <v>12</v>
      </c>
      <c r="T10" s="74">
        <f t="shared" si="1"/>
        <v>12</v>
      </c>
      <c r="U10" s="74">
        <f t="shared" si="1"/>
        <v>12</v>
      </c>
      <c r="V10" s="74">
        <f t="shared" si="1"/>
        <v>12</v>
      </c>
      <c r="W10" s="74">
        <f t="shared" si="1"/>
        <v>12</v>
      </c>
      <c r="X10" s="74"/>
      <c r="Y10" s="74"/>
      <c r="Z10" s="74"/>
      <c r="AA10" s="74"/>
      <c r="AB10" s="74"/>
      <c r="AC10" s="74"/>
      <c r="AD10" s="74"/>
    </row>
    <row r="11" spans="2:30" x14ac:dyDescent="0.25">
      <c r="B11" s="31" t="s">
        <v>157</v>
      </c>
      <c r="D11" s="111">
        <f>C14</f>
        <v>0</v>
      </c>
      <c r="E11" s="111">
        <f t="shared" ref="E11:W11" si="2">D14</f>
        <v>0</v>
      </c>
      <c r="F11" s="111">
        <f>E14</f>
        <v>16.791619367944502</v>
      </c>
      <c r="G11" s="111">
        <f t="shared" si="2"/>
        <v>16.791619367944502</v>
      </c>
      <c r="H11" s="111">
        <f t="shared" si="2"/>
        <v>15.711619367944502</v>
      </c>
      <c r="I11" s="111">
        <f t="shared" si="2"/>
        <v>14.631619367944502</v>
      </c>
      <c r="J11" s="111">
        <f t="shared" si="2"/>
        <v>13.551619367944502</v>
      </c>
      <c r="K11" s="111">
        <f t="shared" si="2"/>
        <v>12.471619367944502</v>
      </c>
      <c r="L11" s="111">
        <f t="shared" si="2"/>
        <v>11.391619367944502</v>
      </c>
      <c r="M11" s="111">
        <f t="shared" si="2"/>
        <v>10.311619367944502</v>
      </c>
      <c r="N11" s="111">
        <f t="shared" si="2"/>
        <v>9.323877052183061</v>
      </c>
      <c r="O11" s="111">
        <f t="shared" si="2"/>
        <v>8.3361347364216201</v>
      </c>
      <c r="P11" s="111">
        <f t="shared" si="2"/>
        <v>7.3483924206601792</v>
      </c>
      <c r="Q11" s="111">
        <f t="shared" si="2"/>
        <v>6.3606501048987383</v>
      </c>
      <c r="R11" s="111">
        <f t="shared" si="2"/>
        <v>5.3729077891372974</v>
      </c>
      <c r="S11" s="111">
        <f t="shared" si="2"/>
        <v>4.3851654733758565</v>
      </c>
      <c r="T11" s="111">
        <f t="shared" si="2"/>
        <v>3.3974231576144152</v>
      </c>
      <c r="U11" s="111">
        <f t="shared" si="2"/>
        <v>2.5574231576144149</v>
      </c>
      <c r="V11" s="111">
        <f t="shared" si="2"/>
        <v>1.7174231576144146</v>
      </c>
      <c r="W11" s="111">
        <f t="shared" si="2"/>
        <v>0.87742315761441425</v>
      </c>
      <c r="X11" s="111"/>
      <c r="Y11" s="111"/>
      <c r="Z11" s="111"/>
      <c r="AA11" s="111"/>
      <c r="AB11" s="111"/>
      <c r="AC11" s="111"/>
      <c r="AD11" s="111"/>
    </row>
    <row r="12" spans="2:30" x14ac:dyDescent="0.25">
      <c r="B12" s="31" t="s">
        <v>158</v>
      </c>
      <c r="D12" s="111">
        <v>0</v>
      </c>
      <c r="E12" s="111">
        <f>+C21</f>
        <v>16.791619367944502</v>
      </c>
      <c r="F12" s="111">
        <v>0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0</v>
      </c>
      <c r="M12" s="111">
        <v>0</v>
      </c>
      <c r="N12" s="111">
        <v>0</v>
      </c>
      <c r="O12" s="111">
        <v>0</v>
      </c>
      <c r="P12" s="111">
        <v>0</v>
      </c>
      <c r="Q12" s="111">
        <v>0</v>
      </c>
      <c r="R12" s="111">
        <v>0</v>
      </c>
      <c r="S12" s="111">
        <v>0</v>
      </c>
      <c r="T12" s="111">
        <v>0</v>
      </c>
      <c r="U12" s="111">
        <v>0</v>
      </c>
      <c r="V12" s="111">
        <v>0</v>
      </c>
      <c r="W12" s="111">
        <v>0</v>
      </c>
      <c r="X12" s="111"/>
      <c r="Y12" s="111"/>
      <c r="Z12" s="111"/>
      <c r="AA12" s="111"/>
      <c r="AB12" s="111"/>
      <c r="AC12" s="111"/>
      <c r="AD12" s="111"/>
    </row>
    <row r="13" spans="2:30" x14ac:dyDescent="0.25">
      <c r="B13" s="31" t="s">
        <v>159</v>
      </c>
      <c r="D13" s="111">
        <f>SUM(D25:D36)</f>
        <v>0</v>
      </c>
      <c r="E13" s="111">
        <v>0</v>
      </c>
      <c r="F13" s="111">
        <f>+SUM(D38:D49)</f>
        <v>0</v>
      </c>
      <c r="G13" s="111">
        <f>SUM(D51:D62)</f>
        <v>1.0799999999999998</v>
      </c>
      <c r="H13" s="111">
        <f>SUM(D64:D75)</f>
        <v>1.0799999999999998</v>
      </c>
      <c r="I13" s="111">
        <f>SUM(D77:D88)</f>
        <v>1.0799999999999998</v>
      </c>
      <c r="J13" s="111">
        <f>SUM(D90:D101)</f>
        <v>1.0799999999999998</v>
      </c>
      <c r="K13" s="111">
        <f>SUM(D103:D114)</f>
        <v>1.0799999999999998</v>
      </c>
      <c r="L13" s="111">
        <f>SUM(D116:D127)</f>
        <v>1.0799999999999998</v>
      </c>
      <c r="M13" s="111">
        <f>SUM(D129:D140)</f>
        <v>0.98774231576144134</v>
      </c>
      <c r="N13" s="111">
        <f>SUM(D142:D153)</f>
        <v>0.98774231576144134</v>
      </c>
      <c r="O13" s="111">
        <f>SUM(D155:D166)</f>
        <v>0.98774231576144134</v>
      </c>
      <c r="P13" s="111">
        <f>SUM(D168:D179)</f>
        <v>0.98774231576144134</v>
      </c>
      <c r="Q13" s="111">
        <f>SUM(D181:D192)</f>
        <v>0.98774231576144134</v>
      </c>
      <c r="R13" s="111">
        <f>SUM(D194:D205)</f>
        <v>0.98774231576144134</v>
      </c>
      <c r="S13" s="111">
        <f>SUM(D207:D218)</f>
        <v>0.98774231576144134</v>
      </c>
      <c r="T13" s="111">
        <f>SUM(D220:D231)</f>
        <v>0.8400000000000003</v>
      </c>
      <c r="U13" s="111">
        <f>+SUM(D233:D244)</f>
        <v>0.8400000000000003</v>
      </c>
      <c r="V13" s="111">
        <f>SUM(D246:D257)</f>
        <v>0.8400000000000003</v>
      </c>
      <c r="W13" s="111">
        <f>SUM(D259:D270)</f>
        <v>0.87742315761444944</v>
      </c>
      <c r="X13" s="111"/>
      <c r="Y13" s="111"/>
      <c r="Z13" s="111"/>
      <c r="AA13" s="111"/>
      <c r="AB13" s="111"/>
      <c r="AC13" s="111"/>
      <c r="AD13" s="111"/>
    </row>
    <row r="14" spans="2:30" x14ac:dyDescent="0.25">
      <c r="B14" s="31" t="s">
        <v>160</v>
      </c>
      <c r="C14" s="131">
        <v>0</v>
      </c>
      <c r="D14" s="111">
        <f>D11+D12-D13</f>
        <v>0</v>
      </c>
      <c r="E14" s="111">
        <f t="shared" ref="E14:W14" si="3">E11+E12-E13</f>
        <v>16.791619367944502</v>
      </c>
      <c r="F14" s="111">
        <f>F11+F12-F13</f>
        <v>16.791619367944502</v>
      </c>
      <c r="G14" s="111">
        <f t="shared" si="3"/>
        <v>15.711619367944502</v>
      </c>
      <c r="H14" s="111">
        <f t="shared" si="3"/>
        <v>14.631619367944502</v>
      </c>
      <c r="I14" s="111">
        <f t="shared" si="3"/>
        <v>13.551619367944502</v>
      </c>
      <c r="J14" s="111">
        <f t="shared" si="3"/>
        <v>12.471619367944502</v>
      </c>
      <c r="K14" s="111">
        <f t="shared" si="3"/>
        <v>11.391619367944502</v>
      </c>
      <c r="L14" s="111">
        <f t="shared" si="3"/>
        <v>10.311619367944502</v>
      </c>
      <c r="M14" s="111">
        <f t="shared" si="3"/>
        <v>9.323877052183061</v>
      </c>
      <c r="N14" s="111">
        <f t="shared" si="3"/>
        <v>8.3361347364216201</v>
      </c>
      <c r="O14" s="111">
        <f t="shared" si="3"/>
        <v>7.3483924206601792</v>
      </c>
      <c r="P14" s="111">
        <f t="shared" si="3"/>
        <v>6.3606501048987383</v>
      </c>
      <c r="Q14" s="111">
        <f t="shared" si="3"/>
        <v>5.3729077891372974</v>
      </c>
      <c r="R14" s="111">
        <f t="shared" si="3"/>
        <v>4.3851654733758565</v>
      </c>
      <c r="S14" s="111">
        <f t="shared" si="3"/>
        <v>3.3974231576144152</v>
      </c>
      <c r="T14" s="111">
        <f t="shared" si="3"/>
        <v>2.5574231576144149</v>
      </c>
      <c r="U14" s="111">
        <f t="shared" si="3"/>
        <v>1.7174231576144146</v>
      </c>
      <c r="V14" s="111">
        <f t="shared" si="3"/>
        <v>0.87742315761441425</v>
      </c>
      <c r="W14" s="111">
        <f t="shared" si="3"/>
        <v>-3.5194069880617462E-14</v>
      </c>
      <c r="X14" s="111"/>
      <c r="Y14" s="111"/>
      <c r="Z14" s="111"/>
      <c r="AA14" s="111"/>
      <c r="AB14" s="111"/>
      <c r="AC14" s="111"/>
      <c r="AD14" s="111"/>
    </row>
    <row r="15" spans="2:30" x14ac:dyDescent="0.25">
      <c r="B15" s="31" t="s">
        <v>161</v>
      </c>
      <c r="D15" s="111">
        <v>0</v>
      </c>
      <c r="E15" s="111">
        <f>+E14*C22/12*8</f>
        <v>1.0914552589163926</v>
      </c>
      <c r="F15" s="111">
        <f>SUM(F46:F49)</f>
        <v>0.54572762945819631</v>
      </c>
      <c r="G15" s="111">
        <f>SUM(F51:F62)</f>
        <v>1.5845328883745893</v>
      </c>
      <c r="H15" s="111">
        <f>SUM(F64:F75)</f>
        <v>1.4792328883745895</v>
      </c>
      <c r="I15" s="111">
        <f>SUM(F77:F88)</f>
        <v>1.3739328883745894</v>
      </c>
      <c r="J15" s="111">
        <f>SUM(F90:F101)</f>
        <v>1.2686328883745897</v>
      </c>
      <c r="K15" s="111">
        <f>SUM(F103:F114)</f>
        <v>1.1633328883745895</v>
      </c>
      <c r="L15" s="111">
        <f>SUM(F116:F127)</f>
        <v>1.0580328883745898</v>
      </c>
      <c r="M15" s="111">
        <f>SUM(F129:F140)</f>
        <v>0.95723045048122002</v>
      </c>
      <c r="N15" s="111">
        <f>SUM(F142:F153)</f>
        <v>0.86092557469447983</v>
      </c>
      <c r="O15" s="111">
        <f>SUM(F155:F166)</f>
        <v>0.76462069890773954</v>
      </c>
      <c r="P15" s="111">
        <f>SUM(F168:F179)</f>
        <v>0.66831582312099946</v>
      </c>
      <c r="Q15" s="111">
        <f>SUM(F181:F192)</f>
        <v>0.57201094733425939</v>
      </c>
      <c r="R15" s="111">
        <f>SUM(F194:F205)</f>
        <v>0.4757060715475192</v>
      </c>
      <c r="S15" s="111">
        <f>SUM(F207:F218)</f>
        <v>0.37940119576077896</v>
      </c>
      <c r="T15" s="111">
        <f>SUM(F220:F231)</f>
        <v>0.29029875786740872</v>
      </c>
      <c r="U15" s="111">
        <f>SUM(F233:F244)</f>
        <v>0.20839875786740888</v>
      </c>
      <c r="V15" s="111">
        <f>SUM(F246:F257)</f>
        <v>0.12649875786740888</v>
      </c>
      <c r="W15" s="111">
        <f>SUM(F259:F270)</f>
        <v>4.4446726289600093E-2</v>
      </c>
      <c r="X15" s="111"/>
      <c r="Y15" s="111"/>
      <c r="Z15" s="111"/>
      <c r="AA15" s="111"/>
      <c r="AB15" s="111"/>
      <c r="AC15" s="111"/>
      <c r="AD15" s="111"/>
    </row>
    <row r="16" spans="2:30" x14ac:dyDescent="0.25">
      <c r="B16" s="144" t="s">
        <v>162</v>
      </c>
      <c r="D16" s="145">
        <f>D15</f>
        <v>0</v>
      </c>
      <c r="E16" s="145">
        <f>E15</f>
        <v>1.0914552589163926</v>
      </c>
      <c r="F16" s="111">
        <v>0</v>
      </c>
      <c r="G16" s="111">
        <v>0</v>
      </c>
      <c r="H16" s="111">
        <v>0</v>
      </c>
      <c r="I16" s="111">
        <v>0</v>
      </c>
      <c r="J16" s="111">
        <v>0</v>
      </c>
      <c r="K16" s="111">
        <v>0</v>
      </c>
      <c r="L16" s="111">
        <v>0</v>
      </c>
      <c r="M16" s="111">
        <v>0</v>
      </c>
      <c r="N16" s="111">
        <v>0</v>
      </c>
      <c r="O16" s="111">
        <v>0</v>
      </c>
      <c r="P16" s="111">
        <v>0</v>
      </c>
      <c r="Q16" s="111">
        <v>0</v>
      </c>
      <c r="R16" s="111">
        <v>0</v>
      </c>
      <c r="S16" s="111">
        <v>0</v>
      </c>
      <c r="T16" s="111">
        <v>0</v>
      </c>
      <c r="U16" s="111">
        <v>0</v>
      </c>
      <c r="V16" s="111">
        <v>0</v>
      </c>
      <c r="W16" s="111">
        <v>0</v>
      </c>
      <c r="X16" s="111"/>
      <c r="Y16" s="111"/>
      <c r="Z16" s="111"/>
      <c r="AA16" s="111"/>
      <c r="AB16" s="111"/>
      <c r="AC16" s="111"/>
      <c r="AD16" s="111"/>
    </row>
    <row r="17" spans="2:30" x14ac:dyDescent="0.25">
      <c r="B17" s="70" t="s">
        <v>163</v>
      </c>
      <c r="C17" s="71"/>
      <c r="D17" s="119">
        <f>D15-D16</f>
        <v>0</v>
      </c>
      <c r="E17" s="119">
        <f>E15-E16</f>
        <v>0</v>
      </c>
      <c r="F17" s="119">
        <f t="shared" ref="F17:W17" si="4">F15-F16</f>
        <v>0.54572762945819631</v>
      </c>
      <c r="G17" s="119">
        <f t="shared" si="4"/>
        <v>1.5845328883745893</v>
      </c>
      <c r="H17" s="119">
        <f t="shared" si="4"/>
        <v>1.4792328883745895</v>
      </c>
      <c r="I17" s="119">
        <f t="shared" si="4"/>
        <v>1.3739328883745894</v>
      </c>
      <c r="J17" s="119">
        <f t="shared" si="4"/>
        <v>1.2686328883745897</v>
      </c>
      <c r="K17" s="119">
        <f t="shared" si="4"/>
        <v>1.1633328883745895</v>
      </c>
      <c r="L17" s="119">
        <f t="shared" si="4"/>
        <v>1.0580328883745898</v>
      </c>
      <c r="M17" s="119">
        <f t="shared" si="4"/>
        <v>0.95723045048122002</v>
      </c>
      <c r="N17" s="119">
        <f t="shared" si="4"/>
        <v>0.86092557469447983</v>
      </c>
      <c r="O17" s="119">
        <f t="shared" si="4"/>
        <v>0.76462069890773954</v>
      </c>
      <c r="P17" s="119">
        <f t="shared" si="4"/>
        <v>0.66831582312099946</v>
      </c>
      <c r="Q17" s="119">
        <f t="shared" si="4"/>
        <v>0.57201094733425939</v>
      </c>
      <c r="R17" s="119">
        <f t="shared" si="4"/>
        <v>0.4757060715475192</v>
      </c>
      <c r="S17" s="119">
        <f t="shared" si="4"/>
        <v>0.37940119576077896</v>
      </c>
      <c r="T17" s="119">
        <f t="shared" si="4"/>
        <v>0.29029875786740872</v>
      </c>
      <c r="U17" s="119">
        <f t="shared" si="4"/>
        <v>0.20839875786740888</v>
      </c>
      <c r="V17" s="119">
        <f t="shared" si="4"/>
        <v>0.12649875786740888</v>
      </c>
      <c r="W17" s="119">
        <f t="shared" si="4"/>
        <v>4.4446726289600093E-2</v>
      </c>
      <c r="X17" s="119"/>
      <c r="Y17" s="119"/>
      <c r="Z17" s="119"/>
      <c r="AA17" s="119"/>
      <c r="AB17" s="119"/>
      <c r="AC17" s="119"/>
      <c r="AD17" s="119"/>
    </row>
    <row r="19" spans="2:30" x14ac:dyDescent="0.25">
      <c r="B19" s="70" t="s">
        <v>53</v>
      </c>
      <c r="C19" s="71"/>
      <c r="D19" s="146"/>
      <c r="E19" s="146"/>
      <c r="F19" s="146"/>
      <c r="G19" s="71"/>
      <c r="H19" s="71"/>
      <c r="I19" s="71"/>
      <c r="J19" s="71"/>
      <c r="K19" s="71"/>
      <c r="L19" s="71"/>
      <c r="M19" s="71"/>
      <c r="N19" s="71"/>
    </row>
    <row r="21" spans="2:30" x14ac:dyDescent="0.25">
      <c r="B21" s="70" t="s">
        <v>164</v>
      </c>
      <c r="C21" s="119">
        <f>'PC &amp; MoF'!F25</f>
        <v>16.791619367944502</v>
      </c>
      <c r="D21" s="71"/>
      <c r="E21" s="71" t="s">
        <v>165</v>
      </c>
      <c r="F21" s="71">
        <v>17</v>
      </c>
      <c r="G21" s="71" t="s">
        <v>373</v>
      </c>
      <c r="H21" s="71" t="s">
        <v>374</v>
      </c>
      <c r="I21" s="71"/>
    </row>
    <row r="22" spans="2:30" x14ac:dyDescent="0.25">
      <c r="B22" s="70" t="s">
        <v>166</v>
      </c>
      <c r="C22" s="147">
        <f>Assumptions!D50</f>
        <v>9.7500000000000003E-2</v>
      </c>
      <c r="D22" s="147"/>
      <c r="E22" s="71" t="s">
        <v>301</v>
      </c>
      <c r="F22" s="310">
        <f>+C21/204</f>
        <v>8.2311859646786778E-2</v>
      </c>
      <c r="G22" s="71"/>
      <c r="H22" s="71" t="s">
        <v>167</v>
      </c>
      <c r="I22" s="71" t="s">
        <v>167</v>
      </c>
    </row>
    <row r="23" spans="2:30" x14ac:dyDescent="0.25">
      <c r="B23" s="120" t="s">
        <v>0</v>
      </c>
      <c r="C23" s="37" t="s">
        <v>168</v>
      </c>
      <c r="D23" s="37" t="s">
        <v>169</v>
      </c>
      <c r="E23" s="37" t="s">
        <v>170</v>
      </c>
      <c r="F23" s="37" t="s">
        <v>161</v>
      </c>
      <c r="G23" s="37"/>
      <c r="H23" s="37" t="s">
        <v>171</v>
      </c>
      <c r="I23" s="37" t="s">
        <v>172</v>
      </c>
    </row>
    <row r="24" spans="2:30" x14ac:dyDescent="0.25">
      <c r="B24" s="60" t="s">
        <v>173</v>
      </c>
      <c r="C24" s="60"/>
      <c r="D24" s="60"/>
      <c r="E24" s="60"/>
      <c r="F24" s="60"/>
      <c r="G24" s="60"/>
      <c r="H24" s="60"/>
      <c r="I24" s="60"/>
    </row>
    <row r="25" spans="2:30" x14ac:dyDescent="0.25">
      <c r="B25" s="31" t="s">
        <v>174</v>
      </c>
      <c r="C25" s="83">
        <v>0</v>
      </c>
      <c r="D25" s="83">
        <v>0</v>
      </c>
      <c r="E25" s="83">
        <v>0</v>
      </c>
      <c r="F25" s="83">
        <v>0</v>
      </c>
      <c r="G25" s="83"/>
      <c r="H25" s="83"/>
      <c r="I25" s="83"/>
    </row>
    <row r="26" spans="2:30" x14ac:dyDescent="0.25">
      <c r="B26" s="31" t="s">
        <v>175</v>
      </c>
      <c r="C26" s="83">
        <v>0</v>
      </c>
      <c r="D26" s="83">
        <v>0</v>
      </c>
      <c r="E26" s="83">
        <v>0</v>
      </c>
      <c r="F26" s="83">
        <v>0</v>
      </c>
      <c r="G26" s="83"/>
      <c r="H26" s="83"/>
      <c r="I26" s="83"/>
      <c r="L26" s="31">
        <v>18</v>
      </c>
      <c r="M26" s="31" t="s">
        <v>318</v>
      </c>
    </row>
    <row r="27" spans="2:30" x14ac:dyDescent="0.25">
      <c r="B27" s="31" t="s">
        <v>176</v>
      </c>
      <c r="C27" s="83">
        <v>0</v>
      </c>
      <c r="D27" s="83">
        <v>0</v>
      </c>
      <c r="E27" s="83">
        <v>0</v>
      </c>
      <c r="F27" s="83">
        <v>0</v>
      </c>
      <c r="G27" s="83"/>
      <c r="H27" s="83"/>
      <c r="I27" s="83"/>
    </row>
    <row r="28" spans="2:30" x14ac:dyDescent="0.25">
      <c r="B28" s="31" t="s">
        <v>177</v>
      </c>
      <c r="C28" s="83">
        <v>0</v>
      </c>
      <c r="D28" s="83">
        <v>0</v>
      </c>
      <c r="E28" s="83">
        <v>0</v>
      </c>
      <c r="F28" s="83">
        <v>0</v>
      </c>
      <c r="G28" s="83"/>
      <c r="H28" s="83"/>
      <c r="I28" s="83"/>
      <c r="L28" s="67">
        <f>204/12</f>
        <v>17</v>
      </c>
    </row>
    <row r="29" spans="2:30" x14ac:dyDescent="0.25">
      <c r="B29" s="31" t="s">
        <v>178</v>
      </c>
      <c r="C29" s="83">
        <f>E28+$C$19*H29</f>
        <v>0</v>
      </c>
      <c r="D29" s="83">
        <v>0</v>
      </c>
      <c r="E29" s="83">
        <f>C29-D29</f>
        <v>0</v>
      </c>
      <c r="F29" s="83">
        <f>AVERAGE(C29,E29)*$C$20/12</f>
        <v>0</v>
      </c>
      <c r="G29" s="83"/>
      <c r="H29" s="83"/>
      <c r="I29" s="83"/>
    </row>
    <row r="30" spans="2:30" x14ac:dyDescent="0.25">
      <c r="B30" s="31" t="s">
        <v>179</v>
      </c>
      <c r="C30" s="83">
        <f>E29+$C$21*H30</f>
        <v>0</v>
      </c>
      <c r="D30" s="83">
        <v>0</v>
      </c>
      <c r="E30" s="83">
        <f t="shared" ref="E30:E93" si="5">C30-D30</f>
        <v>0</v>
      </c>
      <c r="F30" s="83">
        <f>AVERAGE(C30,E30)*$C$22/12</f>
        <v>0</v>
      </c>
      <c r="G30" s="83"/>
      <c r="H30" s="83"/>
      <c r="I30" s="83"/>
    </row>
    <row r="31" spans="2:30" x14ac:dyDescent="0.25">
      <c r="B31" s="31" t="s">
        <v>180</v>
      </c>
      <c r="C31" s="83">
        <f>E30+$C$21*H31</f>
        <v>0</v>
      </c>
      <c r="D31" s="83">
        <v>0</v>
      </c>
      <c r="E31" s="83">
        <f t="shared" si="5"/>
        <v>0</v>
      </c>
      <c r="F31" s="83">
        <f t="shared" ref="F31:F32" si="6">AVERAGE(C31,E31)*$D$22/12</f>
        <v>0</v>
      </c>
      <c r="G31" s="83"/>
      <c r="H31" s="83"/>
      <c r="I31" s="83"/>
    </row>
    <row r="32" spans="2:30" x14ac:dyDescent="0.25">
      <c r="B32" s="31" t="s">
        <v>181</v>
      </c>
      <c r="C32" s="83">
        <f>E31+$C$21*H32</f>
        <v>0</v>
      </c>
      <c r="D32" s="83">
        <v>0</v>
      </c>
      <c r="E32" s="83">
        <f t="shared" si="5"/>
        <v>0</v>
      </c>
      <c r="F32" s="83">
        <f t="shared" si="6"/>
        <v>0</v>
      </c>
      <c r="G32" s="83"/>
      <c r="H32" s="83"/>
      <c r="I32" s="83"/>
    </row>
    <row r="33" spans="2:9" x14ac:dyDescent="0.25">
      <c r="B33" s="31" t="s">
        <v>182</v>
      </c>
      <c r="C33" s="83">
        <v>0</v>
      </c>
      <c r="D33" s="83">
        <v>0</v>
      </c>
      <c r="E33" s="83">
        <f t="shared" si="5"/>
        <v>0</v>
      </c>
      <c r="F33" s="308">
        <f>AVERAGE(C33,E33)*$C$22/12</f>
        <v>0</v>
      </c>
      <c r="G33" s="308"/>
      <c r="H33" s="309"/>
      <c r="I33" s="309"/>
    </row>
    <row r="34" spans="2:9" x14ac:dyDescent="0.25">
      <c r="B34" s="150" t="s">
        <v>183</v>
      </c>
      <c r="C34" s="151">
        <f>E33+$C$21*H34</f>
        <v>0</v>
      </c>
      <c r="D34" s="151">
        <v>0</v>
      </c>
      <c r="E34" s="151">
        <f t="shared" si="5"/>
        <v>0</v>
      </c>
      <c r="F34" s="151">
        <f t="shared" ref="F34:F36" si="7">AVERAGE(C34,E34)*$C$22/12</f>
        <v>0</v>
      </c>
      <c r="G34" s="151"/>
      <c r="H34" s="196"/>
      <c r="I34" s="196"/>
    </row>
    <row r="35" spans="2:9" x14ac:dyDescent="0.25">
      <c r="B35" s="150" t="s">
        <v>184</v>
      </c>
      <c r="C35" s="151">
        <f>E34+$C$21*H35</f>
        <v>0</v>
      </c>
      <c r="D35" s="151">
        <v>0</v>
      </c>
      <c r="E35" s="151">
        <f t="shared" si="5"/>
        <v>0</v>
      </c>
      <c r="F35" s="151">
        <f t="shared" si="7"/>
        <v>0</v>
      </c>
      <c r="G35" s="151"/>
      <c r="H35" s="196"/>
      <c r="I35" s="196"/>
    </row>
    <row r="36" spans="2:9" x14ac:dyDescent="0.25">
      <c r="B36" s="31" t="s">
        <v>185</v>
      </c>
      <c r="C36" s="83">
        <v>0</v>
      </c>
      <c r="D36" s="83">
        <v>0</v>
      </c>
      <c r="E36" s="83">
        <f t="shared" si="5"/>
        <v>0</v>
      </c>
      <c r="F36" s="83">
        <f t="shared" si="7"/>
        <v>0</v>
      </c>
      <c r="G36" s="83"/>
      <c r="H36" s="309"/>
      <c r="I36" s="309"/>
    </row>
    <row r="37" spans="2:9" x14ac:dyDescent="0.25">
      <c r="B37" s="98" t="s">
        <v>186</v>
      </c>
      <c r="C37" s="98"/>
      <c r="D37" s="98"/>
      <c r="E37" s="98"/>
      <c r="F37" s="98"/>
      <c r="G37" s="98"/>
      <c r="H37" s="197"/>
      <c r="I37" s="197"/>
    </row>
    <row r="38" spans="2:9" x14ac:dyDescent="0.25">
      <c r="B38" s="148" t="s">
        <v>174</v>
      </c>
      <c r="C38" s="149">
        <f>+C21</f>
        <v>16.791619367944502</v>
      </c>
      <c r="D38" s="149">
        <v>0</v>
      </c>
      <c r="E38" s="149">
        <f t="shared" si="5"/>
        <v>16.791619367944502</v>
      </c>
      <c r="F38" s="149">
        <f t="shared" ref="F38:F101" si="8">AVERAGE(C38,E38)*$C$22/12</f>
        <v>0.13643190736454908</v>
      </c>
      <c r="G38" s="149"/>
      <c r="H38" s="195"/>
      <c r="I38" s="195"/>
    </row>
    <row r="39" spans="2:9" x14ac:dyDescent="0.25">
      <c r="B39" s="148" t="s">
        <v>175</v>
      </c>
      <c r="C39" s="149">
        <f t="shared" ref="C39:C46" si="9">E38+$C$21*H39</f>
        <v>16.791619367944502</v>
      </c>
      <c r="D39" s="149">
        <v>0</v>
      </c>
      <c r="E39" s="149">
        <f t="shared" si="5"/>
        <v>16.791619367944502</v>
      </c>
      <c r="F39" s="149">
        <f t="shared" si="8"/>
        <v>0.13643190736454908</v>
      </c>
      <c r="G39" s="149"/>
      <c r="H39" s="195"/>
      <c r="I39" s="195"/>
    </row>
    <row r="40" spans="2:9" x14ac:dyDescent="0.25">
      <c r="B40" s="148" t="s">
        <v>176</v>
      </c>
      <c r="C40" s="149">
        <f t="shared" si="9"/>
        <v>16.791619367944502</v>
      </c>
      <c r="D40" s="149">
        <v>0</v>
      </c>
      <c r="E40" s="149">
        <f t="shared" si="5"/>
        <v>16.791619367944502</v>
      </c>
      <c r="F40" s="149">
        <f t="shared" si="8"/>
        <v>0.13643190736454908</v>
      </c>
      <c r="G40" s="149"/>
      <c r="H40" s="195"/>
      <c r="I40" s="195"/>
    </row>
    <row r="41" spans="2:9" x14ac:dyDescent="0.25">
      <c r="B41" s="148" t="s">
        <v>177</v>
      </c>
      <c r="C41" s="149">
        <f t="shared" si="9"/>
        <v>16.791619367944502</v>
      </c>
      <c r="D41" s="149">
        <v>0</v>
      </c>
      <c r="E41" s="149">
        <f t="shared" si="5"/>
        <v>16.791619367944502</v>
      </c>
      <c r="F41" s="149">
        <f t="shared" si="8"/>
        <v>0.13643190736454908</v>
      </c>
      <c r="G41" s="149"/>
      <c r="H41" s="195"/>
      <c r="I41" s="195"/>
    </row>
    <row r="42" spans="2:9" x14ac:dyDescent="0.25">
      <c r="B42" s="148" t="s">
        <v>178</v>
      </c>
      <c r="C42" s="149">
        <f t="shared" si="9"/>
        <v>16.791619367944502</v>
      </c>
      <c r="D42" s="149">
        <v>0</v>
      </c>
      <c r="E42" s="149">
        <f t="shared" si="5"/>
        <v>16.791619367944502</v>
      </c>
      <c r="F42" s="149">
        <f t="shared" si="8"/>
        <v>0.13643190736454908</v>
      </c>
      <c r="G42" s="149"/>
      <c r="H42" s="195"/>
      <c r="I42" s="195"/>
    </row>
    <row r="43" spans="2:9" x14ac:dyDescent="0.25">
      <c r="B43" s="148" t="s">
        <v>179</v>
      </c>
      <c r="C43" s="149">
        <f t="shared" si="9"/>
        <v>16.791619367944502</v>
      </c>
      <c r="D43" s="149">
        <v>0</v>
      </c>
      <c r="E43" s="149">
        <f t="shared" si="5"/>
        <v>16.791619367944502</v>
      </c>
      <c r="F43" s="149">
        <f t="shared" si="8"/>
        <v>0.13643190736454908</v>
      </c>
      <c r="G43" s="149"/>
      <c r="H43" s="195"/>
      <c r="I43" s="195"/>
    </row>
    <row r="44" spans="2:9" x14ac:dyDescent="0.25">
      <c r="B44" s="148" t="s">
        <v>180</v>
      </c>
      <c r="C44" s="149">
        <f t="shared" si="9"/>
        <v>16.791619367944502</v>
      </c>
      <c r="D44" s="149">
        <v>0</v>
      </c>
      <c r="E44" s="149">
        <f t="shared" si="5"/>
        <v>16.791619367944502</v>
      </c>
      <c r="F44" s="149">
        <f t="shared" si="8"/>
        <v>0.13643190736454908</v>
      </c>
      <c r="G44" s="149"/>
      <c r="H44" s="195"/>
      <c r="I44" s="195"/>
    </row>
    <row r="45" spans="2:9" x14ac:dyDescent="0.25">
      <c r="B45" s="148" t="s">
        <v>181</v>
      </c>
      <c r="C45" s="149">
        <f t="shared" si="9"/>
        <v>16.791619367944502</v>
      </c>
      <c r="D45" s="149">
        <v>0</v>
      </c>
      <c r="E45" s="149">
        <f t="shared" si="5"/>
        <v>16.791619367944502</v>
      </c>
      <c r="F45" s="149">
        <f t="shared" si="8"/>
        <v>0.13643190736454908</v>
      </c>
      <c r="G45" s="149" t="s">
        <v>371</v>
      </c>
      <c r="H45" s="195"/>
      <c r="I45" s="195"/>
    </row>
    <row r="46" spans="2:9" x14ac:dyDescent="0.25">
      <c r="B46" s="152" t="s">
        <v>182</v>
      </c>
      <c r="C46" s="153">
        <f t="shared" si="9"/>
        <v>16.791619367944502</v>
      </c>
      <c r="D46" s="353">
        <v>0</v>
      </c>
      <c r="E46" s="153">
        <f t="shared" si="5"/>
        <v>16.791619367944502</v>
      </c>
      <c r="F46" s="153">
        <f t="shared" si="8"/>
        <v>0.13643190736454908</v>
      </c>
      <c r="G46" s="153" t="s">
        <v>24</v>
      </c>
      <c r="H46" s="198"/>
      <c r="I46" s="198"/>
    </row>
    <row r="47" spans="2:9" x14ac:dyDescent="0.25">
      <c r="B47" s="152" t="s">
        <v>183</v>
      </c>
      <c r="C47" s="153">
        <f>E46+$C$19*H47</f>
        <v>16.791619367944502</v>
      </c>
      <c r="D47" s="353">
        <v>0</v>
      </c>
      <c r="E47" s="153">
        <f t="shared" si="5"/>
        <v>16.791619367944502</v>
      </c>
      <c r="F47" s="153">
        <f t="shared" si="8"/>
        <v>0.13643190736454908</v>
      </c>
      <c r="G47" s="153"/>
      <c r="H47" s="198"/>
      <c r="I47" s="198"/>
    </row>
    <row r="48" spans="2:9" x14ac:dyDescent="0.25">
      <c r="B48" s="152" t="s">
        <v>184</v>
      </c>
      <c r="C48" s="153">
        <f>E47+$C$19*H48</f>
        <v>16.791619367944502</v>
      </c>
      <c r="D48" s="353">
        <v>0</v>
      </c>
      <c r="E48" s="153">
        <f t="shared" si="5"/>
        <v>16.791619367944502</v>
      </c>
      <c r="F48" s="153">
        <f t="shared" si="8"/>
        <v>0.13643190736454908</v>
      </c>
      <c r="G48" s="153"/>
      <c r="H48" s="198"/>
      <c r="I48" s="198"/>
    </row>
    <row r="49" spans="1:13" x14ac:dyDescent="0.25">
      <c r="B49" s="152" t="s">
        <v>185</v>
      </c>
      <c r="C49" s="153">
        <f>E48+$C$19*H49</f>
        <v>16.791619367944502</v>
      </c>
      <c r="D49" s="353">
        <v>0</v>
      </c>
      <c r="E49" s="153">
        <f t="shared" si="5"/>
        <v>16.791619367944502</v>
      </c>
      <c r="F49" s="153">
        <f t="shared" si="8"/>
        <v>0.13643190736454908</v>
      </c>
      <c r="G49" s="326" t="s">
        <v>372</v>
      </c>
      <c r="H49" s="198"/>
      <c r="I49" s="198"/>
    </row>
    <row r="50" spans="1:13" x14ac:dyDescent="0.25">
      <c r="B50" s="154" t="s">
        <v>187</v>
      </c>
      <c r="C50" s="154"/>
      <c r="D50" s="154"/>
      <c r="E50" s="155"/>
      <c r="F50" s="155"/>
      <c r="G50" s="155"/>
      <c r="H50" s="199"/>
      <c r="I50" s="199"/>
    </row>
    <row r="51" spans="1:13" x14ac:dyDescent="0.25">
      <c r="B51" s="156" t="s">
        <v>174</v>
      </c>
      <c r="C51" s="157">
        <f>E49</f>
        <v>16.791619367944502</v>
      </c>
      <c r="D51" s="157">
        <v>0.09</v>
      </c>
      <c r="E51" s="157">
        <f t="shared" si="5"/>
        <v>16.701619367944502</v>
      </c>
      <c r="F51" s="157">
        <f t="shared" si="8"/>
        <v>0.1360662823645491</v>
      </c>
      <c r="G51" s="157"/>
      <c r="H51" s="200"/>
      <c r="I51" s="200"/>
    </row>
    <row r="52" spans="1:13" x14ac:dyDescent="0.25">
      <c r="B52" s="156" t="s">
        <v>175</v>
      </c>
      <c r="C52" s="157">
        <f>E51</f>
        <v>16.701619367944502</v>
      </c>
      <c r="D52" s="157">
        <f>+D51</f>
        <v>0.09</v>
      </c>
      <c r="E52" s="157">
        <f t="shared" si="5"/>
        <v>16.611619367944503</v>
      </c>
      <c r="F52" s="157">
        <f t="shared" si="8"/>
        <v>0.13533503236454908</v>
      </c>
      <c r="G52" s="157"/>
      <c r="H52" s="200"/>
      <c r="I52" s="200"/>
    </row>
    <row r="53" spans="1:13" x14ac:dyDescent="0.25">
      <c r="B53" s="156" t="s">
        <v>176</v>
      </c>
      <c r="C53" s="157">
        <f t="shared" ref="C53:C62" si="10">E52</f>
        <v>16.611619367944503</v>
      </c>
      <c r="D53" s="157">
        <f t="shared" ref="D53:D62" si="11">+D52</f>
        <v>0.09</v>
      </c>
      <c r="E53" s="157">
        <f t="shared" si="5"/>
        <v>16.521619367944503</v>
      </c>
      <c r="F53" s="157">
        <f t="shared" si="8"/>
        <v>0.13460378236454909</v>
      </c>
      <c r="G53" s="157"/>
      <c r="H53" s="200"/>
      <c r="I53" s="200"/>
    </row>
    <row r="54" spans="1:13" x14ac:dyDescent="0.25">
      <c r="B54" s="156" t="s">
        <v>177</v>
      </c>
      <c r="C54" s="157">
        <f t="shared" si="10"/>
        <v>16.521619367944503</v>
      </c>
      <c r="D54" s="157">
        <f t="shared" si="11"/>
        <v>0.09</v>
      </c>
      <c r="E54" s="157">
        <f t="shared" si="5"/>
        <v>16.431619367944503</v>
      </c>
      <c r="F54" s="157">
        <f t="shared" si="8"/>
        <v>0.13387253236454907</v>
      </c>
      <c r="G54" s="157"/>
      <c r="H54" s="200"/>
      <c r="I54" s="200"/>
    </row>
    <row r="55" spans="1:13" x14ac:dyDescent="0.25">
      <c r="B55" s="156" t="s">
        <v>178</v>
      </c>
      <c r="C55" s="157">
        <f t="shared" si="10"/>
        <v>16.431619367944503</v>
      </c>
      <c r="D55" s="157">
        <f t="shared" si="11"/>
        <v>0.09</v>
      </c>
      <c r="E55" s="157">
        <f t="shared" si="5"/>
        <v>16.341619367944503</v>
      </c>
      <c r="F55" s="157">
        <f t="shared" si="8"/>
        <v>0.13314128236454911</v>
      </c>
      <c r="G55" s="157"/>
      <c r="H55" s="200"/>
      <c r="I55" s="200"/>
    </row>
    <row r="56" spans="1:13" x14ac:dyDescent="0.25">
      <c r="B56" s="156" t="s">
        <v>179</v>
      </c>
      <c r="C56" s="157">
        <f t="shared" si="10"/>
        <v>16.341619367944503</v>
      </c>
      <c r="D56" s="157">
        <f t="shared" si="11"/>
        <v>0.09</v>
      </c>
      <c r="E56" s="157">
        <f t="shared" si="5"/>
        <v>16.251619367944503</v>
      </c>
      <c r="F56" s="157">
        <f t="shared" si="8"/>
        <v>0.13241003236454907</v>
      </c>
      <c r="G56" s="157"/>
      <c r="H56" s="200"/>
      <c r="I56" s="200"/>
    </row>
    <row r="57" spans="1:13" x14ac:dyDescent="0.25">
      <c r="B57" s="156" t="s">
        <v>180</v>
      </c>
      <c r="C57" s="157">
        <f t="shared" si="10"/>
        <v>16.251619367944503</v>
      </c>
      <c r="D57" s="157">
        <f t="shared" si="11"/>
        <v>0.09</v>
      </c>
      <c r="E57" s="157">
        <f t="shared" si="5"/>
        <v>16.161619367944503</v>
      </c>
      <c r="F57" s="157">
        <f t="shared" si="8"/>
        <v>0.13167878236454911</v>
      </c>
      <c r="G57" s="157"/>
      <c r="H57" s="200"/>
      <c r="I57" s="200"/>
    </row>
    <row r="58" spans="1:13" x14ac:dyDescent="0.25">
      <c r="B58" s="156" t="s">
        <v>181</v>
      </c>
      <c r="C58" s="157">
        <f t="shared" si="10"/>
        <v>16.161619367944503</v>
      </c>
      <c r="D58" s="157">
        <f t="shared" si="11"/>
        <v>0.09</v>
      </c>
      <c r="E58" s="157">
        <f t="shared" si="5"/>
        <v>16.071619367944503</v>
      </c>
      <c r="F58" s="157">
        <f t="shared" si="8"/>
        <v>0.13094753236454906</v>
      </c>
      <c r="G58" s="157"/>
      <c r="H58" s="200"/>
      <c r="I58" s="200"/>
    </row>
    <row r="59" spans="1:13" x14ac:dyDescent="0.25">
      <c r="B59" s="156" t="s">
        <v>182</v>
      </c>
      <c r="C59" s="157">
        <f t="shared" si="10"/>
        <v>16.071619367944503</v>
      </c>
      <c r="D59" s="157">
        <f t="shared" si="11"/>
        <v>0.09</v>
      </c>
      <c r="E59" s="157">
        <f t="shared" si="5"/>
        <v>15.981619367944504</v>
      </c>
      <c r="F59" s="157">
        <f t="shared" si="8"/>
        <v>0.1302162823645491</v>
      </c>
      <c r="G59" s="157"/>
      <c r="H59" s="200"/>
      <c r="I59" s="200"/>
    </row>
    <row r="60" spans="1:13" x14ac:dyDescent="0.25">
      <c r="B60" s="156" t="s">
        <v>183</v>
      </c>
      <c r="C60" s="157">
        <f t="shared" si="10"/>
        <v>15.981619367944504</v>
      </c>
      <c r="D60" s="157">
        <f t="shared" si="11"/>
        <v>0.09</v>
      </c>
      <c r="E60" s="157">
        <f t="shared" si="5"/>
        <v>15.891619367944504</v>
      </c>
      <c r="F60" s="157">
        <f t="shared" si="8"/>
        <v>0.12948503236454909</v>
      </c>
      <c r="G60" s="157"/>
      <c r="H60" s="200"/>
      <c r="I60" s="200"/>
    </row>
    <row r="61" spans="1:13" x14ac:dyDescent="0.25">
      <c r="B61" s="156" t="s">
        <v>184</v>
      </c>
      <c r="C61" s="157">
        <f t="shared" si="10"/>
        <v>15.891619367944504</v>
      </c>
      <c r="D61" s="157">
        <f t="shared" si="11"/>
        <v>0.09</v>
      </c>
      <c r="E61" s="157">
        <f t="shared" si="5"/>
        <v>15.801619367944504</v>
      </c>
      <c r="F61" s="157">
        <f t="shared" si="8"/>
        <v>0.1287537823645491</v>
      </c>
      <c r="G61" s="157"/>
      <c r="H61" s="200"/>
      <c r="I61" s="200"/>
    </row>
    <row r="62" spans="1:13" x14ac:dyDescent="0.25">
      <c r="B62" s="156" t="s">
        <v>185</v>
      </c>
      <c r="C62" s="157">
        <f t="shared" si="10"/>
        <v>15.801619367944504</v>
      </c>
      <c r="D62" s="157">
        <f t="shared" si="11"/>
        <v>0.09</v>
      </c>
      <c r="E62" s="157">
        <f t="shared" si="5"/>
        <v>15.711619367944504</v>
      </c>
      <c r="F62" s="157">
        <f t="shared" si="8"/>
        <v>0.12802253236454911</v>
      </c>
      <c r="G62" s="157"/>
      <c r="H62" s="200"/>
      <c r="I62" s="200"/>
      <c r="M62" s="158"/>
    </row>
    <row r="63" spans="1:13" x14ac:dyDescent="0.25">
      <c r="A63" s="378">
        <v>1</v>
      </c>
      <c r="B63" s="159" t="s">
        <v>188</v>
      </c>
      <c r="C63" s="160"/>
      <c r="D63" s="160"/>
      <c r="E63" s="161"/>
      <c r="F63" s="161"/>
      <c r="G63" s="161"/>
      <c r="H63" s="201"/>
      <c r="I63" s="201"/>
    </row>
    <row r="64" spans="1:13" x14ac:dyDescent="0.25">
      <c r="A64" s="378"/>
      <c r="B64" s="162" t="s">
        <v>174</v>
      </c>
      <c r="C64" s="163">
        <f>E62</f>
        <v>15.711619367944504</v>
      </c>
      <c r="D64" s="82">
        <f>+D62</f>
        <v>0.09</v>
      </c>
      <c r="E64" s="163">
        <f t="shared" si="5"/>
        <v>15.621619367944504</v>
      </c>
      <c r="F64" s="163">
        <f t="shared" si="8"/>
        <v>0.12729128236454909</v>
      </c>
      <c r="G64" s="163"/>
      <c r="H64" s="202"/>
      <c r="I64" s="202"/>
    </row>
    <row r="65" spans="1:9" x14ac:dyDescent="0.25">
      <c r="A65" s="378"/>
      <c r="B65" s="162" t="s">
        <v>175</v>
      </c>
      <c r="C65" s="163">
        <f>E64</f>
        <v>15.621619367944504</v>
      </c>
      <c r="D65" s="82">
        <f>+D64</f>
        <v>0.09</v>
      </c>
      <c r="E65" s="163">
        <f t="shared" si="5"/>
        <v>15.531619367944504</v>
      </c>
      <c r="F65" s="163">
        <f t="shared" si="8"/>
        <v>0.1265600323645491</v>
      </c>
      <c r="G65" s="163"/>
      <c r="H65" s="202"/>
      <c r="I65" s="202"/>
    </row>
    <row r="66" spans="1:9" x14ac:dyDescent="0.25">
      <c r="A66" s="378"/>
      <c r="B66" s="162" t="s">
        <v>176</v>
      </c>
      <c r="C66" s="163">
        <f t="shared" ref="C66:C75" si="12">E65</f>
        <v>15.531619367944504</v>
      </c>
      <c r="D66" s="82">
        <f t="shared" ref="D66:D75" si="13">+D65</f>
        <v>0.09</v>
      </c>
      <c r="E66" s="163">
        <f t="shared" si="5"/>
        <v>15.441619367944504</v>
      </c>
      <c r="F66" s="163">
        <f t="shared" si="8"/>
        <v>0.12582878236454911</v>
      </c>
      <c r="G66" s="163"/>
      <c r="H66" s="202"/>
      <c r="I66" s="202"/>
    </row>
    <row r="67" spans="1:9" x14ac:dyDescent="0.25">
      <c r="A67" s="378"/>
      <c r="B67" s="162" t="s">
        <v>177</v>
      </c>
      <c r="C67" s="163">
        <f t="shared" si="12"/>
        <v>15.441619367944504</v>
      </c>
      <c r="D67" s="82">
        <f t="shared" si="13"/>
        <v>0.09</v>
      </c>
      <c r="E67" s="163">
        <f t="shared" si="5"/>
        <v>15.351619367944505</v>
      </c>
      <c r="F67" s="163">
        <f t="shared" si="8"/>
        <v>0.1250975323645491</v>
      </c>
      <c r="G67" s="163"/>
      <c r="H67" s="202"/>
      <c r="I67" s="202"/>
    </row>
    <row r="68" spans="1:9" x14ac:dyDescent="0.25">
      <c r="A68" s="378"/>
      <c r="B68" s="162" t="s">
        <v>178</v>
      </c>
      <c r="C68" s="163">
        <f t="shared" si="12"/>
        <v>15.351619367944505</v>
      </c>
      <c r="D68" s="82">
        <f t="shared" si="13"/>
        <v>0.09</v>
      </c>
      <c r="E68" s="163">
        <f t="shared" si="5"/>
        <v>15.261619367944505</v>
      </c>
      <c r="F68" s="163">
        <f t="shared" si="8"/>
        <v>0.12436628236454911</v>
      </c>
      <c r="G68" s="163"/>
      <c r="H68" s="202"/>
      <c r="I68" s="202"/>
    </row>
    <row r="69" spans="1:9" x14ac:dyDescent="0.25">
      <c r="A69" s="378"/>
      <c r="B69" s="162" t="s">
        <v>179</v>
      </c>
      <c r="C69" s="163">
        <f t="shared" si="12"/>
        <v>15.261619367944505</v>
      </c>
      <c r="D69" s="82">
        <f t="shared" si="13"/>
        <v>0.09</v>
      </c>
      <c r="E69" s="163">
        <f t="shared" si="5"/>
        <v>15.171619367944505</v>
      </c>
      <c r="F69" s="163">
        <f t="shared" si="8"/>
        <v>0.12363503236454911</v>
      </c>
      <c r="G69" s="163"/>
      <c r="H69" s="202"/>
      <c r="I69" s="202"/>
    </row>
    <row r="70" spans="1:9" x14ac:dyDescent="0.25">
      <c r="A70" s="378"/>
      <c r="B70" s="162" t="s">
        <v>180</v>
      </c>
      <c r="C70" s="163">
        <f t="shared" si="12"/>
        <v>15.171619367944505</v>
      </c>
      <c r="D70" s="82">
        <f t="shared" si="13"/>
        <v>0.09</v>
      </c>
      <c r="E70" s="163">
        <f t="shared" si="5"/>
        <v>15.081619367944505</v>
      </c>
      <c r="F70" s="163">
        <f t="shared" si="8"/>
        <v>0.12290378236454912</v>
      </c>
      <c r="G70" s="163"/>
      <c r="H70" s="202"/>
      <c r="I70" s="202"/>
    </row>
    <row r="71" spans="1:9" x14ac:dyDescent="0.25">
      <c r="A71" s="378"/>
      <c r="B71" s="162" t="s">
        <v>181</v>
      </c>
      <c r="C71" s="163">
        <f t="shared" si="12"/>
        <v>15.081619367944505</v>
      </c>
      <c r="D71" s="82">
        <f t="shared" si="13"/>
        <v>0.09</v>
      </c>
      <c r="E71" s="163">
        <f t="shared" si="5"/>
        <v>14.991619367944505</v>
      </c>
      <c r="F71" s="163">
        <f t="shared" si="8"/>
        <v>0.12217253236454911</v>
      </c>
      <c r="G71" s="163"/>
      <c r="H71" s="202"/>
      <c r="I71" s="202"/>
    </row>
    <row r="72" spans="1:9" x14ac:dyDescent="0.25">
      <c r="A72" s="378"/>
      <c r="B72" s="162" t="s">
        <v>182</v>
      </c>
      <c r="C72" s="163">
        <f t="shared" si="12"/>
        <v>14.991619367944505</v>
      </c>
      <c r="D72" s="82">
        <f t="shared" si="13"/>
        <v>0.09</v>
      </c>
      <c r="E72" s="163">
        <f t="shared" si="5"/>
        <v>14.901619367944505</v>
      </c>
      <c r="F72" s="163">
        <f t="shared" si="8"/>
        <v>0.12144128236454911</v>
      </c>
      <c r="G72" s="163"/>
      <c r="H72" s="202"/>
      <c r="I72" s="202"/>
    </row>
    <row r="73" spans="1:9" x14ac:dyDescent="0.25">
      <c r="A73" s="378"/>
      <c r="B73" s="162" t="s">
        <v>183</v>
      </c>
      <c r="C73" s="163">
        <f t="shared" si="12"/>
        <v>14.901619367944505</v>
      </c>
      <c r="D73" s="82">
        <f t="shared" si="13"/>
        <v>0.09</v>
      </c>
      <c r="E73" s="163">
        <f t="shared" si="5"/>
        <v>14.811619367944505</v>
      </c>
      <c r="F73" s="163">
        <f t="shared" si="8"/>
        <v>0.12071003236454912</v>
      </c>
      <c r="G73" s="163"/>
      <c r="H73" s="202"/>
      <c r="I73" s="202"/>
    </row>
    <row r="74" spans="1:9" x14ac:dyDescent="0.25">
      <c r="A74" s="378"/>
      <c r="B74" s="162" t="s">
        <v>184</v>
      </c>
      <c r="C74" s="163">
        <f t="shared" si="12"/>
        <v>14.811619367944505</v>
      </c>
      <c r="D74" s="82">
        <f t="shared" si="13"/>
        <v>0.09</v>
      </c>
      <c r="E74" s="163">
        <f t="shared" si="5"/>
        <v>14.721619367944506</v>
      </c>
      <c r="F74" s="163">
        <f t="shared" si="8"/>
        <v>0.11997878236454912</v>
      </c>
      <c r="G74" s="163"/>
      <c r="H74" s="202"/>
      <c r="I74" s="202"/>
    </row>
    <row r="75" spans="1:9" x14ac:dyDescent="0.25">
      <c r="A75" s="378"/>
      <c r="B75" s="162" t="s">
        <v>185</v>
      </c>
      <c r="C75" s="163">
        <f t="shared" si="12"/>
        <v>14.721619367944506</v>
      </c>
      <c r="D75" s="82">
        <f t="shared" si="13"/>
        <v>0.09</v>
      </c>
      <c r="E75" s="163">
        <f t="shared" si="5"/>
        <v>14.631619367944506</v>
      </c>
      <c r="F75" s="163">
        <f t="shared" si="8"/>
        <v>0.11924753236454912</v>
      </c>
      <c r="G75" s="163"/>
      <c r="H75" s="202"/>
      <c r="I75" s="202"/>
    </row>
    <row r="76" spans="1:9" x14ac:dyDescent="0.25">
      <c r="A76" s="378">
        <f>A63+1</f>
        <v>2</v>
      </c>
      <c r="B76" s="164" t="s">
        <v>189</v>
      </c>
      <c r="C76" s="164"/>
      <c r="D76" s="164"/>
      <c r="E76" s="165"/>
      <c r="F76" s="165"/>
      <c r="G76" s="165"/>
      <c r="H76" s="203"/>
      <c r="I76" s="203"/>
    </row>
    <row r="77" spans="1:9" x14ac:dyDescent="0.25">
      <c r="A77" s="378"/>
      <c r="B77" s="166" t="s">
        <v>174</v>
      </c>
      <c r="C77" s="167">
        <f>E75</f>
        <v>14.631619367944506</v>
      </c>
      <c r="D77" s="167">
        <f>+D75</f>
        <v>0.09</v>
      </c>
      <c r="E77" s="167">
        <f t="shared" si="5"/>
        <v>14.541619367944506</v>
      </c>
      <c r="F77" s="167">
        <f t="shared" si="8"/>
        <v>0.1185162823645491</v>
      </c>
      <c r="G77" s="167"/>
      <c r="H77" s="204"/>
      <c r="I77" s="204"/>
    </row>
    <row r="78" spans="1:9" x14ac:dyDescent="0.25">
      <c r="A78" s="378"/>
      <c r="B78" s="166" t="s">
        <v>175</v>
      </c>
      <c r="C78" s="167">
        <f t="shared" ref="C78:C114" si="14">E77</f>
        <v>14.541619367944506</v>
      </c>
      <c r="D78" s="167">
        <f>+D77</f>
        <v>0.09</v>
      </c>
      <c r="E78" s="167">
        <f t="shared" si="5"/>
        <v>14.451619367944506</v>
      </c>
      <c r="F78" s="167">
        <f t="shared" si="8"/>
        <v>0.11778503236454911</v>
      </c>
      <c r="G78" s="167"/>
      <c r="H78" s="204"/>
      <c r="I78" s="204"/>
    </row>
    <row r="79" spans="1:9" x14ac:dyDescent="0.25">
      <c r="A79" s="378"/>
      <c r="B79" s="166" t="s">
        <v>176</v>
      </c>
      <c r="C79" s="167">
        <f t="shared" si="14"/>
        <v>14.451619367944506</v>
      </c>
      <c r="D79" s="167">
        <f t="shared" ref="D79:D88" si="15">+D78</f>
        <v>0.09</v>
      </c>
      <c r="E79" s="167">
        <f t="shared" si="5"/>
        <v>14.361619367944506</v>
      </c>
      <c r="F79" s="167">
        <f t="shared" si="8"/>
        <v>0.11705378236454911</v>
      </c>
      <c r="G79" s="167"/>
      <c r="H79" s="204"/>
      <c r="I79" s="204"/>
    </row>
    <row r="80" spans="1:9" x14ac:dyDescent="0.25">
      <c r="A80" s="378"/>
      <c r="B80" s="166" t="s">
        <v>177</v>
      </c>
      <c r="C80" s="167">
        <f t="shared" si="14"/>
        <v>14.361619367944506</v>
      </c>
      <c r="D80" s="167">
        <f t="shared" si="15"/>
        <v>0.09</v>
      </c>
      <c r="E80" s="167">
        <f t="shared" si="5"/>
        <v>14.271619367944506</v>
      </c>
      <c r="F80" s="167">
        <f t="shared" si="8"/>
        <v>0.11632253236454911</v>
      </c>
      <c r="G80" s="167"/>
      <c r="H80" s="204"/>
      <c r="I80" s="204"/>
    </row>
    <row r="81" spans="1:9" x14ac:dyDescent="0.25">
      <c r="A81" s="378"/>
      <c r="B81" s="166" t="s">
        <v>178</v>
      </c>
      <c r="C81" s="167">
        <f t="shared" si="14"/>
        <v>14.271619367944506</v>
      </c>
      <c r="D81" s="167">
        <f t="shared" si="15"/>
        <v>0.09</v>
      </c>
      <c r="E81" s="167">
        <f t="shared" si="5"/>
        <v>14.181619367944506</v>
      </c>
      <c r="F81" s="167">
        <f t="shared" si="8"/>
        <v>0.11559128236454912</v>
      </c>
      <c r="G81" s="167"/>
      <c r="H81" s="204"/>
      <c r="I81" s="204"/>
    </row>
    <row r="82" spans="1:9" x14ac:dyDescent="0.25">
      <c r="A82" s="378"/>
      <c r="B82" s="166" t="s">
        <v>179</v>
      </c>
      <c r="C82" s="167">
        <f t="shared" si="14"/>
        <v>14.181619367944506</v>
      </c>
      <c r="D82" s="167">
        <f t="shared" si="15"/>
        <v>0.09</v>
      </c>
      <c r="E82" s="167">
        <f t="shared" si="5"/>
        <v>14.091619367944507</v>
      </c>
      <c r="F82" s="167">
        <f t="shared" si="8"/>
        <v>0.11486003236454911</v>
      </c>
      <c r="G82" s="167"/>
      <c r="H82" s="204"/>
      <c r="I82" s="204"/>
    </row>
    <row r="83" spans="1:9" x14ac:dyDescent="0.25">
      <c r="A83" s="378"/>
      <c r="B83" s="166" t="s">
        <v>180</v>
      </c>
      <c r="C83" s="167">
        <f t="shared" si="14"/>
        <v>14.091619367944507</v>
      </c>
      <c r="D83" s="167">
        <f t="shared" si="15"/>
        <v>0.09</v>
      </c>
      <c r="E83" s="167">
        <f t="shared" si="5"/>
        <v>14.001619367944507</v>
      </c>
      <c r="F83" s="167">
        <f t="shared" si="8"/>
        <v>0.11412878236454911</v>
      </c>
      <c r="G83" s="167"/>
      <c r="H83" s="204"/>
      <c r="I83" s="204"/>
    </row>
    <row r="84" spans="1:9" x14ac:dyDescent="0.25">
      <c r="A84" s="378"/>
      <c r="B84" s="166" t="s">
        <v>181</v>
      </c>
      <c r="C84" s="167">
        <f t="shared" si="14"/>
        <v>14.001619367944507</v>
      </c>
      <c r="D84" s="167">
        <f t="shared" si="15"/>
        <v>0.09</v>
      </c>
      <c r="E84" s="167">
        <f t="shared" si="5"/>
        <v>13.911619367944507</v>
      </c>
      <c r="F84" s="167">
        <f t="shared" si="8"/>
        <v>0.11339753236454912</v>
      </c>
      <c r="G84" s="167"/>
      <c r="H84" s="204"/>
      <c r="I84" s="204"/>
    </row>
    <row r="85" spans="1:9" x14ac:dyDescent="0.25">
      <c r="A85" s="378"/>
      <c r="B85" s="166" t="s">
        <v>182</v>
      </c>
      <c r="C85" s="167">
        <f t="shared" si="14"/>
        <v>13.911619367944507</v>
      </c>
      <c r="D85" s="167">
        <f t="shared" si="15"/>
        <v>0.09</v>
      </c>
      <c r="E85" s="167">
        <f t="shared" si="5"/>
        <v>13.821619367944507</v>
      </c>
      <c r="F85" s="167">
        <f t="shared" si="8"/>
        <v>0.11266628236454912</v>
      </c>
      <c r="G85" s="167"/>
      <c r="H85" s="204"/>
      <c r="I85" s="204"/>
    </row>
    <row r="86" spans="1:9" x14ac:dyDescent="0.25">
      <c r="A86" s="378"/>
      <c r="B86" s="166" t="s">
        <v>183</v>
      </c>
      <c r="C86" s="167">
        <f t="shared" si="14"/>
        <v>13.821619367944507</v>
      </c>
      <c r="D86" s="167">
        <f t="shared" si="15"/>
        <v>0.09</v>
      </c>
      <c r="E86" s="167">
        <f t="shared" si="5"/>
        <v>13.731619367944507</v>
      </c>
      <c r="F86" s="167">
        <f t="shared" si="8"/>
        <v>0.11193503236454912</v>
      </c>
      <c r="G86" s="167"/>
      <c r="H86" s="204"/>
      <c r="I86" s="204"/>
    </row>
    <row r="87" spans="1:9" x14ac:dyDescent="0.25">
      <c r="A87" s="378"/>
      <c r="B87" s="166" t="s">
        <v>184</v>
      </c>
      <c r="C87" s="167">
        <f t="shared" si="14"/>
        <v>13.731619367944507</v>
      </c>
      <c r="D87" s="167">
        <f t="shared" si="15"/>
        <v>0.09</v>
      </c>
      <c r="E87" s="167">
        <f t="shared" si="5"/>
        <v>13.641619367944507</v>
      </c>
      <c r="F87" s="167">
        <f t="shared" si="8"/>
        <v>0.11120378236454913</v>
      </c>
      <c r="G87" s="167"/>
      <c r="H87" s="204"/>
      <c r="I87" s="204"/>
    </row>
    <row r="88" spans="1:9" x14ac:dyDescent="0.25">
      <c r="A88" s="378"/>
      <c r="B88" s="166" t="s">
        <v>185</v>
      </c>
      <c r="C88" s="167">
        <f t="shared" si="14"/>
        <v>13.641619367944507</v>
      </c>
      <c r="D88" s="167">
        <f t="shared" si="15"/>
        <v>0.09</v>
      </c>
      <c r="E88" s="167">
        <f t="shared" si="5"/>
        <v>13.551619367944507</v>
      </c>
      <c r="F88" s="167">
        <f t="shared" si="8"/>
        <v>0.11047253236454913</v>
      </c>
      <c r="G88" s="167"/>
      <c r="H88" s="204"/>
      <c r="I88" s="204"/>
    </row>
    <row r="89" spans="1:9" x14ac:dyDescent="0.25">
      <c r="A89" s="378">
        <f>A76+1</f>
        <v>3</v>
      </c>
      <c r="B89" s="168" t="s">
        <v>190</v>
      </c>
      <c r="C89" s="169"/>
      <c r="D89" s="168"/>
      <c r="E89" s="169"/>
      <c r="F89" s="169"/>
      <c r="G89" s="169"/>
      <c r="H89" s="205"/>
      <c r="I89" s="205"/>
    </row>
    <row r="90" spans="1:9" x14ac:dyDescent="0.25">
      <c r="A90" s="378"/>
      <c r="B90" s="170" t="s">
        <v>174</v>
      </c>
      <c r="C90" s="171">
        <f>E88</f>
        <v>13.551619367944507</v>
      </c>
      <c r="D90" s="171">
        <f>+D88</f>
        <v>0.09</v>
      </c>
      <c r="E90" s="171">
        <f t="shared" si="5"/>
        <v>13.461619367944508</v>
      </c>
      <c r="F90" s="171">
        <f t="shared" si="8"/>
        <v>0.10974128236454912</v>
      </c>
      <c r="G90" s="171"/>
      <c r="H90" s="206"/>
      <c r="I90" s="206"/>
    </row>
    <row r="91" spans="1:9" x14ac:dyDescent="0.25">
      <c r="A91" s="378"/>
      <c r="B91" s="170" t="s">
        <v>175</v>
      </c>
      <c r="C91" s="171">
        <f t="shared" si="14"/>
        <v>13.461619367944508</v>
      </c>
      <c r="D91" s="171">
        <f>+D90</f>
        <v>0.09</v>
      </c>
      <c r="E91" s="171">
        <f t="shared" si="5"/>
        <v>13.371619367944508</v>
      </c>
      <c r="F91" s="171">
        <f t="shared" si="8"/>
        <v>0.10901003236454913</v>
      </c>
      <c r="G91" s="171"/>
      <c r="H91" s="206"/>
      <c r="I91" s="206"/>
    </row>
    <row r="92" spans="1:9" x14ac:dyDescent="0.25">
      <c r="A92" s="378"/>
      <c r="B92" s="170" t="s">
        <v>176</v>
      </c>
      <c r="C92" s="171">
        <f t="shared" si="14"/>
        <v>13.371619367944508</v>
      </c>
      <c r="D92" s="171">
        <f t="shared" ref="D92:D101" si="16">+D91</f>
        <v>0.09</v>
      </c>
      <c r="E92" s="171">
        <f t="shared" si="5"/>
        <v>13.281619367944508</v>
      </c>
      <c r="F92" s="171">
        <f t="shared" si="8"/>
        <v>0.10827878236454913</v>
      </c>
      <c r="G92" s="171"/>
      <c r="H92" s="206"/>
      <c r="I92" s="206"/>
    </row>
    <row r="93" spans="1:9" x14ac:dyDescent="0.25">
      <c r="A93" s="378"/>
      <c r="B93" s="170" t="s">
        <v>177</v>
      </c>
      <c r="C93" s="171">
        <f t="shared" si="14"/>
        <v>13.281619367944508</v>
      </c>
      <c r="D93" s="171">
        <f t="shared" si="16"/>
        <v>0.09</v>
      </c>
      <c r="E93" s="171">
        <f t="shared" si="5"/>
        <v>13.191619367944508</v>
      </c>
      <c r="F93" s="171">
        <f t="shared" si="8"/>
        <v>0.10754753236454913</v>
      </c>
      <c r="G93" s="171"/>
      <c r="H93" s="206"/>
      <c r="I93" s="206"/>
    </row>
    <row r="94" spans="1:9" x14ac:dyDescent="0.25">
      <c r="A94" s="378"/>
      <c r="B94" s="170" t="s">
        <v>178</v>
      </c>
      <c r="C94" s="171">
        <f t="shared" si="14"/>
        <v>13.191619367944508</v>
      </c>
      <c r="D94" s="171">
        <f t="shared" si="16"/>
        <v>0.09</v>
      </c>
      <c r="E94" s="171">
        <f t="shared" ref="E94:E157" si="17">C94-D94</f>
        <v>13.101619367944508</v>
      </c>
      <c r="F94" s="171">
        <f t="shared" si="8"/>
        <v>0.10681628236454914</v>
      </c>
      <c r="G94" s="171"/>
      <c r="H94" s="206"/>
      <c r="I94" s="206"/>
    </row>
    <row r="95" spans="1:9" x14ac:dyDescent="0.25">
      <c r="A95" s="378"/>
      <c r="B95" s="170" t="s">
        <v>179</v>
      </c>
      <c r="C95" s="171">
        <f t="shared" si="14"/>
        <v>13.101619367944508</v>
      </c>
      <c r="D95" s="171">
        <f t="shared" si="16"/>
        <v>0.09</v>
      </c>
      <c r="E95" s="171">
        <f t="shared" si="17"/>
        <v>13.011619367944508</v>
      </c>
      <c r="F95" s="171">
        <f t="shared" si="8"/>
        <v>0.10608503236454914</v>
      </c>
      <c r="G95" s="171"/>
      <c r="H95" s="206"/>
      <c r="I95" s="206"/>
    </row>
    <row r="96" spans="1:9" x14ac:dyDescent="0.25">
      <c r="A96" s="378"/>
      <c r="B96" s="170" t="s">
        <v>180</v>
      </c>
      <c r="C96" s="171">
        <f t="shared" si="14"/>
        <v>13.011619367944508</v>
      </c>
      <c r="D96" s="171">
        <f t="shared" si="16"/>
        <v>0.09</v>
      </c>
      <c r="E96" s="171">
        <f t="shared" si="17"/>
        <v>12.921619367944508</v>
      </c>
      <c r="F96" s="171">
        <f t="shared" si="8"/>
        <v>0.10535378236454913</v>
      </c>
      <c r="G96" s="171"/>
      <c r="H96" s="206"/>
      <c r="I96" s="206"/>
    </row>
    <row r="97" spans="1:9" x14ac:dyDescent="0.25">
      <c r="A97" s="378"/>
      <c r="B97" s="170" t="s">
        <v>181</v>
      </c>
      <c r="C97" s="171">
        <f t="shared" si="14"/>
        <v>12.921619367944508</v>
      </c>
      <c r="D97" s="171">
        <f t="shared" si="16"/>
        <v>0.09</v>
      </c>
      <c r="E97" s="171">
        <f t="shared" si="17"/>
        <v>12.831619367944509</v>
      </c>
      <c r="F97" s="171">
        <f t="shared" si="8"/>
        <v>0.10462253236454915</v>
      </c>
      <c r="G97" s="171"/>
      <c r="H97" s="206"/>
      <c r="I97" s="206"/>
    </row>
    <row r="98" spans="1:9" x14ac:dyDescent="0.25">
      <c r="A98" s="378"/>
      <c r="B98" s="170" t="s">
        <v>182</v>
      </c>
      <c r="C98" s="171">
        <f t="shared" si="14"/>
        <v>12.831619367944509</v>
      </c>
      <c r="D98" s="171">
        <f t="shared" si="16"/>
        <v>0.09</v>
      </c>
      <c r="E98" s="171">
        <f t="shared" si="17"/>
        <v>12.741619367944509</v>
      </c>
      <c r="F98" s="171">
        <f t="shared" si="8"/>
        <v>0.10389128236454914</v>
      </c>
      <c r="G98" s="171"/>
      <c r="H98" s="206"/>
      <c r="I98" s="206"/>
    </row>
    <row r="99" spans="1:9" x14ac:dyDescent="0.25">
      <c r="A99" s="378"/>
      <c r="B99" s="170" t="s">
        <v>183</v>
      </c>
      <c r="C99" s="171">
        <f t="shared" si="14"/>
        <v>12.741619367944509</v>
      </c>
      <c r="D99" s="171">
        <f t="shared" si="16"/>
        <v>0.09</v>
      </c>
      <c r="E99" s="171">
        <f t="shared" si="17"/>
        <v>12.651619367944509</v>
      </c>
      <c r="F99" s="171">
        <f t="shared" si="8"/>
        <v>0.10316003236454914</v>
      </c>
      <c r="G99" s="171"/>
      <c r="H99" s="206"/>
      <c r="I99" s="206"/>
    </row>
    <row r="100" spans="1:9" x14ac:dyDescent="0.25">
      <c r="A100" s="378"/>
      <c r="B100" s="170" t="s">
        <v>184</v>
      </c>
      <c r="C100" s="171">
        <f t="shared" si="14"/>
        <v>12.651619367944509</v>
      </c>
      <c r="D100" s="171">
        <f t="shared" si="16"/>
        <v>0.09</v>
      </c>
      <c r="E100" s="171">
        <f t="shared" si="17"/>
        <v>12.561619367944509</v>
      </c>
      <c r="F100" s="171">
        <f t="shared" si="8"/>
        <v>0.10242878236454915</v>
      </c>
      <c r="G100" s="171"/>
      <c r="H100" s="206"/>
      <c r="I100" s="206"/>
    </row>
    <row r="101" spans="1:9" x14ac:dyDescent="0.25">
      <c r="A101" s="378"/>
      <c r="B101" s="170" t="s">
        <v>185</v>
      </c>
      <c r="C101" s="171">
        <f t="shared" si="14"/>
        <v>12.561619367944509</v>
      </c>
      <c r="D101" s="171">
        <f t="shared" si="16"/>
        <v>0.09</v>
      </c>
      <c r="E101" s="171">
        <f t="shared" si="17"/>
        <v>12.471619367944509</v>
      </c>
      <c r="F101" s="171">
        <f t="shared" si="8"/>
        <v>0.10169753236454915</v>
      </c>
      <c r="G101" s="171"/>
      <c r="H101" s="206"/>
      <c r="I101" s="206"/>
    </row>
    <row r="102" spans="1:9" x14ac:dyDescent="0.25">
      <c r="A102" s="378">
        <f>A89+1</f>
        <v>4</v>
      </c>
      <c r="B102" s="172" t="s">
        <v>191</v>
      </c>
      <c r="C102" s="173"/>
      <c r="D102" s="172"/>
      <c r="E102" s="173"/>
      <c r="F102" s="173"/>
      <c r="G102" s="173"/>
      <c r="H102" s="207"/>
      <c r="I102" s="207"/>
    </row>
    <row r="103" spans="1:9" x14ac:dyDescent="0.25">
      <c r="A103" s="378"/>
      <c r="B103" s="174" t="s">
        <v>174</v>
      </c>
      <c r="C103" s="175">
        <f>E101</f>
        <v>12.471619367944509</v>
      </c>
      <c r="D103" s="175">
        <f>+D101</f>
        <v>0.09</v>
      </c>
      <c r="E103" s="175">
        <f t="shared" si="17"/>
        <v>12.381619367944509</v>
      </c>
      <c r="F103" s="175">
        <f t="shared" ref="F103:F166" si="18">AVERAGE(C103,E103)*$C$22/12</f>
        <v>0.10096628236454913</v>
      </c>
      <c r="G103" s="175"/>
      <c r="H103" s="208"/>
      <c r="I103" s="208"/>
    </row>
    <row r="104" spans="1:9" x14ac:dyDescent="0.25">
      <c r="A104" s="378"/>
      <c r="B104" s="174" t="s">
        <v>175</v>
      </c>
      <c r="C104" s="175">
        <f t="shared" si="14"/>
        <v>12.381619367944509</v>
      </c>
      <c r="D104" s="175">
        <f>+D103</f>
        <v>0.09</v>
      </c>
      <c r="E104" s="175">
        <f t="shared" si="17"/>
        <v>12.291619367944509</v>
      </c>
      <c r="F104" s="175">
        <f t="shared" si="18"/>
        <v>0.10023503236454913</v>
      </c>
      <c r="G104" s="175"/>
      <c r="H104" s="208"/>
      <c r="I104" s="208"/>
    </row>
    <row r="105" spans="1:9" x14ac:dyDescent="0.25">
      <c r="A105" s="378"/>
      <c r="B105" s="174" t="s">
        <v>176</v>
      </c>
      <c r="C105" s="175">
        <f t="shared" si="14"/>
        <v>12.291619367944509</v>
      </c>
      <c r="D105" s="175">
        <f t="shared" ref="D105:D114" si="19">+D104</f>
        <v>0.09</v>
      </c>
      <c r="E105" s="175">
        <f t="shared" si="17"/>
        <v>12.20161936794451</v>
      </c>
      <c r="F105" s="175">
        <f t="shared" si="18"/>
        <v>9.950378236454914E-2</v>
      </c>
      <c r="G105" s="175"/>
      <c r="H105" s="208"/>
      <c r="I105" s="208"/>
    </row>
    <row r="106" spans="1:9" x14ac:dyDescent="0.25">
      <c r="A106" s="378"/>
      <c r="B106" s="174" t="s">
        <v>177</v>
      </c>
      <c r="C106" s="175">
        <f t="shared" si="14"/>
        <v>12.20161936794451</v>
      </c>
      <c r="D106" s="175">
        <f t="shared" si="19"/>
        <v>0.09</v>
      </c>
      <c r="E106" s="175">
        <f t="shared" si="17"/>
        <v>12.11161936794451</v>
      </c>
      <c r="F106" s="175">
        <f t="shared" si="18"/>
        <v>9.8772532364549137E-2</v>
      </c>
      <c r="G106" s="175"/>
      <c r="H106" s="208"/>
      <c r="I106" s="208"/>
    </row>
    <row r="107" spans="1:9" x14ac:dyDescent="0.25">
      <c r="A107" s="378"/>
      <c r="B107" s="174" t="s">
        <v>178</v>
      </c>
      <c r="C107" s="175">
        <f t="shared" si="14"/>
        <v>12.11161936794451</v>
      </c>
      <c r="D107" s="175">
        <f t="shared" si="19"/>
        <v>0.09</v>
      </c>
      <c r="E107" s="175">
        <f t="shared" si="17"/>
        <v>12.02161936794451</v>
      </c>
      <c r="F107" s="175">
        <f t="shared" si="18"/>
        <v>9.8041282364549134E-2</v>
      </c>
      <c r="G107" s="175"/>
      <c r="H107" s="208"/>
      <c r="I107" s="208"/>
    </row>
    <row r="108" spans="1:9" x14ac:dyDescent="0.25">
      <c r="A108" s="378"/>
      <c r="B108" s="174" t="s">
        <v>179</v>
      </c>
      <c r="C108" s="175">
        <f t="shared" si="14"/>
        <v>12.02161936794451</v>
      </c>
      <c r="D108" s="175">
        <f t="shared" si="19"/>
        <v>0.09</v>
      </c>
      <c r="E108" s="175">
        <f t="shared" si="17"/>
        <v>11.93161936794451</v>
      </c>
      <c r="F108" s="175">
        <f t="shared" si="18"/>
        <v>9.7310032364549146E-2</v>
      </c>
      <c r="G108" s="175"/>
      <c r="H108" s="208"/>
      <c r="I108" s="208"/>
    </row>
    <row r="109" spans="1:9" x14ac:dyDescent="0.25">
      <c r="A109" s="378"/>
      <c r="B109" s="174" t="s">
        <v>180</v>
      </c>
      <c r="C109" s="175">
        <f t="shared" si="14"/>
        <v>11.93161936794451</v>
      </c>
      <c r="D109" s="175">
        <f t="shared" si="19"/>
        <v>0.09</v>
      </c>
      <c r="E109" s="175">
        <f t="shared" si="17"/>
        <v>11.84161936794451</v>
      </c>
      <c r="F109" s="175">
        <f t="shared" si="18"/>
        <v>9.6578782364549143E-2</v>
      </c>
      <c r="G109" s="175"/>
      <c r="H109" s="208"/>
      <c r="I109" s="208"/>
    </row>
    <row r="110" spans="1:9" x14ac:dyDescent="0.25">
      <c r="A110" s="378"/>
      <c r="B110" s="174" t="s">
        <v>181</v>
      </c>
      <c r="C110" s="175">
        <f t="shared" si="14"/>
        <v>11.84161936794451</v>
      </c>
      <c r="D110" s="175">
        <f t="shared" si="19"/>
        <v>0.09</v>
      </c>
      <c r="E110" s="175">
        <f t="shared" si="17"/>
        <v>11.75161936794451</v>
      </c>
      <c r="F110" s="175">
        <f t="shared" si="18"/>
        <v>9.584753236454914E-2</v>
      </c>
      <c r="G110" s="175"/>
      <c r="H110" s="208"/>
      <c r="I110" s="208"/>
    </row>
    <row r="111" spans="1:9" x14ac:dyDescent="0.25">
      <c r="A111" s="378"/>
      <c r="B111" s="174" t="s">
        <v>182</v>
      </c>
      <c r="C111" s="175">
        <f t="shared" si="14"/>
        <v>11.75161936794451</v>
      </c>
      <c r="D111" s="175">
        <f t="shared" si="19"/>
        <v>0.09</v>
      </c>
      <c r="E111" s="175">
        <f t="shared" si="17"/>
        <v>11.66161936794451</v>
      </c>
      <c r="F111" s="175">
        <f t="shared" si="18"/>
        <v>9.5116282364549151E-2</v>
      </c>
      <c r="G111" s="175"/>
      <c r="H111" s="208"/>
      <c r="I111" s="208"/>
    </row>
    <row r="112" spans="1:9" x14ac:dyDescent="0.25">
      <c r="A112" s="378"/>
      <c r="B112" s="174" t="s">
        <v>183</v>
      </c>
      <c r="C112" s="175">
        <f t="shared" si="14"/>
        <v>11.66161936794451</v>
      </c>
      <c r="D112" s="175">
        <f t="shared" si="19"/>
        <v>0.09</v>
      </c>
      <c r="E112" s="175">
        <f t="shared" si="17"/>
        <v>11.571619367944511</v>
      </c>
      <c r="F112" s="175">
        <f t="shared" si="18"/>
        <v>9.4385032364549148E-2</v>
      </c>
      <c r="G112" s="175"/>
      <c r="H112" s="208"/>
      <c r="I112" s="208"/>
    </row>
    <row r="113" spans="1:9" x14ac:dyDescent="0.25">
      <c r="A113" s="378"/>
      <c r="B113" s="174" t="s">
        <v>184</v>
      </c>
      <c r="C113" s="175">
        <f t="shared" si="14"/>
        <v>11.571619367944511</v>
      </c>
      <c r="D113" s="175">
        <f t="shared" si="19"/>
        <v>0.09</v>
      </c>
      <c r="E113" s="175">
        <f t="shared" si="17"/>
        <v>11.481619367944511</v>
      </c>
      <c r="F113" s="175">
        <f t="shared" si="18"/>
        <v>9.3653782364549146E-2</v>
      </c>
      <c r="G113" s="175"/>
      <c r="H113" s="208"/>
      <c r="I113" s="208"/>
    </row>
    <row r="114" spans="1:9" x14ac:dyDescent="0.25">
      <c r="A114" s="378"/>
      <c r="B114" s="174" t="s">
        <v>185</v>
      </c>
      <c r="C114" s="175">
        <f t="shared" si="14"/>
        <v>11.481619367944511</v>
      </c>
      <c r="D114" s="175">
        <f t="shared" si="19"/>
        <v>0.09</v>
      </c>
      <c r="E114" s="175">
        <f t="shared" si="17"/>
        <v>11.391619367944511</v>
      </c>
      <c r="F114" s="175">
        <f t="shared" si="18"/>
        <v>9.2922532364549157E-2</v>
      </c>
      <c r="G114" s="175"/>
      <c r="H114" s="208"/>
      <c r="I114" s="208"/>
    </row>
    <row r="115" spans="1:9" x14ac:dyDescent="0.25">
      <c r="A115" s="378">
        <f>A102+1</f>
        <v>5</v>
      </c>
      <c r="B115" s="176" t="s">
        <v>192</v>
      </c>
      <c r="C115" s="177"/>
      <c r="D115" s="176"/>
      <c r="E115" s="177"/>
      <c r="F115" s="177"/>
      <c r="G115" s="177"/>
      <c r="H115" s="209"/>
      <c r="I115" s="209"/>
    </row>
    <row r="116" spans="1:9" x14ac:dyDescent="0.25">
      <c r="A116" s="378"/>
      <c r="B116" s="178" t="s">
        <v>174</v>
      </c>
      <c r="C116" s="179">
        <f>E114</f>
        <v>11.391619367944511</v>
      </c>
      <c r="D116" s="179">
        <f>+D114</f>
        <v>0.09</v>
      </c>
      <c r="E116" s="179">
        <f t="shared" si="17"/>
        <v>11.301619367944511</v>
      </c>
      <c r="F116" s="179">
        <f t="shared" si="18"/>
        <v>9.2191282364549154E-2</v>
      </c>
      <c r="G116" s="179"/>
      <c r="H116" s="210"/>
      <c r="I116" s="210"/>
    </row>
    <row r="117" spans="1:9" x14ac:dyDescent="0.25">
      <c r="A117" s="378"/>
      <c r="B117" s="178" t="s">
        <v>175</v>
      </c>
      <c r="C117" s="179">
        <f t="shared" ref="C117:C153" si="20">E116</f>
        <v>11.301619367944511</v>
      </c>
      <c r="D117" s="179">
        <f>+D116</f>
        <v>0.09</v>
      </c>
      <c r="E117" s="179">
        <f t="shared" si="17"/>
        <v>11.211619367944511</v>
      </c>
      <c r="F117" s="179">
        <f t="shared" si="18"/>
        <v>9.1460032364549151E-2</v>
      </c>
      <c r="G117" s="179"/>
      <c r="H117" s="210"/>
      <c r="I117" s="210"/>
    </row>
    <row r="118" spans="1:9" x14ac:dyDescent="0.25">
      <c r="A118" s="378"/>
      <c r="B118" s="178" t="s">
        <v>176</v>
      </c>
      <c r="C118" s="179">
        <f t="shared" si="20"/>
        <v>11.211619367944511</v>
      </c>
      <c r="D118" s="179">
        <f t="shared" ref="D118:D127" si="21">+D117</f>
        <v>0.09</v>
      </c>
      <c r="E118" s="179">
        <f t="shared" si="17"/>
        <v>11.121619367944511</v>
      </c>
      <c r="F118" s="179">
        <f t="shared" si="18"/>
        <v>9.0728782364549163E-2</v>
      </c>
      <c r="G118" s="179"/>
      <c r="H118" s="210"/>
      <c r="I118" s="210"/>
    </row>
    <row r="119" spans="1:9" x14ac:dyDescent="0.25">
      <c r="A119" s="378"/>
      <c r="B119" s="178" t="s">
        <v>177</v>
      </c>
      <c r="C119" s="179">
        <f t="shared" si="20"/>
        <v>11.121619367944511</v>
      </c>
      <c r="D119" s="179">
        <f t="shared" si="21"/>
        <v>0.09</v>
      </c>
      <c r="E119" s="179">
        <f t="shared" si="17"/>
        <v>11.031619367944511</v>
      </c>
      <c r="F119" s="179">
        <f t="shared" si="18"/>
        <v>8.999753236454916E-2</v>
      </c>
      <c r="G119" s="179"/>
      <c r="H119" s="210"/>
      <c r="I119" s="210"/>
    </row>
    <row r="120" spans="1:9" x14ac:dyDescent="0.25">
      <c r="A120" s="378"/>
      <c r="B120" s="178" t="s">
        <v>178</v>
      </c>
      <c r="C120" s="179">
        <f t="shared" si="20"/>
        <v>11.031619367944511</v>
      </c>
      <c r="D120" s="179">
        <f t="shared" si="21"/>
        <v>0.09</v>
      </c>
      <c r="E120" s="179">
        <f t="shared" si="17"/>
        <v>10.941619367944512</v>
      </c>
      <c r="F120" s="179">
        <f t="shared" si="18"/>
        <v>8.9266282364549157E-2</v>
      </c>
      <c r="G120" s="179"/>
      <c r="H120" s="210"/>
      <c r="I120" s="210"/>
    </row>
    <row r="121" spans="1:9" x14ac:dyDescent="0.25">
      <c r="A121" s="378"/>
      <c r="B121" s="178" t="s">
        <v>179</v>
      </c>
      <c r="C121" s="179">
        <f t="shared" si="20"/>
        <v>10.941619367944512</v>
      </c>
      <c r="D121" s="179">
        <f t="shared" si="21"/>
        <v>0.09</v>
      </c>
      <c r="E121" s="179">
        <f t="shared" si="17"/>
        <v>10.851619367944512</v>
      </c>
      <c r="F121" s="179">
        <f t="shared" si="18"/>
        <v>8.8535032364549168E-2</v>
      </c>
      <c r="G121" s="179"/>
      <c r="H121" s="210"/>
      <c r="I121" s="210"/>
    </row>
    <row r="122" spans="1:9" x14ac:dyDescent="0.25">
      <c r="A122" s="378"/>
      <c r="B122" s="178" t="s">
        <v>180</v>
      </c>
      <c r="C122" s="179">
        <f t="shared" si="20"/>
        <v>10.851619367944512</v>
      </c>
      <c r="D122" s="179">
        <f t="shared" si="21"/>
        <v>0.09</v>
      </c>
      <c r="E122" s="179">
        <f t="shared" si="17"/>
        <v>10.761619367944512</v>
      </c>
      <c r="F122" s="179">
        <f t="shared" si="18"/>
        <v>8.7803782364549166E-2</v>
      </c>
      <c r="G122" s="179"/>
      <c r="H122" s="210"/>
      <c r="I122" s="210"/>
    </row>
    <row r="123" spans="1:9" x14ac:dyDescent="0.25">
      <c r="A123" s="378"/>
      <c r="B123" s="178" t="s">
        <v>181</v>
      </c>
      <c r="C123" s="179">
        <f t="shared" si="20"/>
        <v>10.761619367944512</v>
      </c>
      <c r="D123" s="179">
        <f t="shared" si="21"/>
        <v>0.09</v>
      </c>
      <c r="E123" s="179">
        <f t="shared" si="17"/>
        <v>10.671619367944512</v>
      </c>
      <c r="F123" s="179">
        <f t="shared" si="18"/>
        <v>8.7072532364549163E-2</v>
      </c>
      <c r="G123" s="179"/>
      <c r="H123" s="210"/>
      <c r="I123" s="210"/>
    </row>
    <row r="124" spans="1:9" x14ac:dyDescent="0.25">
      <c r="A124" s="378"/>
      <c r="B124" s="178" t="s">
        <v>182</v>
      </c>
      <c r="C124" s="179">
        <f t="shared" si="20"/>
        <v>10.671619367944512</v>
      </c>
      <c r="D124" s="179">
        <f t="shared" si="21"/>
        <v>0.09</v>
      </c>
      <c r="E124" s="179">
        <f t="shared" si="17"/>
        <v>10.581619367944512</v>
      </c>
      <c r="F124" s="179">
        <f t="shared" si="18"/>
        <v>8.6341282364549174E-2</v>
      </c>
      <c r="G124" s="179"/>
      <c r="H124" s="210"/>
      <c r="I124" s="210"/>
    </row>
    <row r="125" spans="1:9" x14ac:dyDescent="0.25">
      <c r="A125" s="378"/>
      <c r="B125" s="178" t="s">
        <v>183</v>
      </c>
      <c r="C125" s="179">
        <f t="shared" si="20"/>
        <v>10.581619367944512</v>
      </c>
      <c r="D125" s="179">
        <f t="shared" si="21"/>
        <v>0.09</v>
      </c>
      <c r="E125" s="179">
        <f t="shared" si="17"/>
        <v>10.491619367944512</v>
      </c>
      <c r="F125" s="179">
        <f t="shared" si="18"/>
        <v>8.5610032364549171E-2</v>
      </c>
      <c r="G125" s="179"/>
      <c r="H125" s="210"/>
      <c r="I125" s="210"/>
    </row>
    <row r="126" spans="1:9" x14ac:dyDescent="0.25">
      <c r="A126" s="378"/>
      <c r="B126" s="178" t="s">
        <v>184</v>
      </c>
      <c r="C126" s="179">
        <f t="shared" si="20"/>
        <v>10.491619367944512</v>
      </c>
      <c r="D126" s="179">
        <f t="shared" si="21"/>
        <v>0.09</v>
      </c>
      <c r="E126" s="179">
        <f t="shared" si="17"/>
        <v>10.401619367944512</v>
      </c>
      <c r="F126" s="179">
        <f t="shared" si="18"/>
        <v>8.4878782364549168E-2</v>
      </c>
      <c r="G126" s="179"/>
      <c r="H126" s="210"/>
      <c r="I126" s="210"/>
    </row>
    <row r="127" spans="1:9" x14ac:dyDescent="0.25">
      <c r="A127" s="378"/>
      <c r="B127" s="178" t="s">
        <v>185</v>
      </c>
      <c r="C127" s="179">
        <f t="shared" si="20"/>
        <v>10.401619367944512</v>
      </c>
      <c r="D127" s="179">
        <f t="shared" si="21"/>
        <v>0.09</v>
      </c>
      <c r="E127" s="179">
        <f t="shared" si="17"/>
        <v>10.311619367944513</v>
      </c>
      <c r="F127" s="179">
        <f t="shared" si="18"/>
        <v>8.414753236454918E-2</v>
      </c>
      <c r="G127" s="179"/>
      <c r="H127" s="210"/>
      <c r="I127" s="210"/>
    </row>
    <row r="128" spans="1:9" x14ac:dyDescent="0.25">
      <c r="A128" s="378">
        <f>A115+1</f>
        <v>6</v>
      </c>
      <c r="B128" s="168" t="s">
        <v>193</v>
      </c>
      <c r="C128" s="169"/>
      <c r="D128" s="168"/>
      <c r="E128" s="169"/>
      <c r="F128" s="169"/>
      <c r="G128" s="169"/>
      <c r="H128" s="205"/>
      <c r="I128" s="205"/>
    </row>
    <row r="129" spans="1:9" x14ac:dyDescent="0.25">
      <c r="A129" s="378"/>
      <c r="B129" s="170" t="s">
        <v>174</v>
      </c>
      <c r="C129" s="171">
        <f>E127</f>
        <v>10.311619367944513</v>
      </c>
      <c r="D129" s="171">
        <f t="shared" ref="D129:D166" si="22">+$F$22</f>
        <v>8.2311859646786778E-2</v>
      </c>
      <c r="E129" s="171">
        <f t="shared" si="17"/>
        <v>10.229307508297726</v>
      </c>
      <c r="F129" s="171">
        <f t="shared" si="18"/>
        <v>8.3447515434734096E-2</v>
      </c>
      <c r="G129" s="171"/>
      <c r="H129" s="206"/>
      <c r="I129" s="206"/>
    </row>
    <row r="130" spans="1:9" x14ac:dyDescent="0.25">
      <c r="A130" s="378"/>
      <c r="B130" s="170" t="s">
        <v>175</v>
      </c>
      <c r="C130" s="171">
        <f t="shared" si="20"/>
        <v>10.229307508297726</v>
      </c>
      <c r="D130" s="171">
        <f t="shared" si="22"/>
        <v>8.2311859646786778E-2</v>
      </c>
      <c r="E130" s="171">
        <f t="shared" si="17"/>
        <v>10.14699564865094</v>
      </c>
      <c r="F130" s="171">
        <f t="shared" si="18"/>
        <v>8.2778731575103959E-2</v>
      </c>
      <c r="G130" s="171"/>
      <c r="H130" s="206"/>
      <c r="I130" s="206"/>
    </row>
    <row r="131" spans="1:9" x14ac:dyDescent="0.25">
      <c r="A131" s="378"/>
      <c r="B131" s="170" t="s">
        <v>176</v>
      </c>
      <c r="C131" s="171">
        <f t="shared" si="20"/>
        <v>10.14699564865094</v>
      </c>
      <c r="D131" s="171">
        <f t="shared" si="22"/>
        <v>8.2311859646786778E-2</v>
      </c>
      <c r="E131" s="171">
        <f t="shared" si="17"/>
        <v>10.064683789004153</v>
      </c>
      <c r="F131" s="171">
        <f t="shared" si="18"/>
        <v>8.2109947715473822E-2</v>
      </c>
      <c r="G131" s="171"/>
      <c r="H131" s="206"/>
      <c r="I131" s="206"/>
    </row>
    <row r="132" spans="1:9" x14ac:dyDescent="0.25">
      <c r="A132" s="378"/>
      <c r="B132" s="170" t="s">
        <v>177</v>
      </c>
      <c r="C132" s="171">
        <f t="shared" si="20"/>
        <v>10.064683789004153</v>
      </c>
      <c r="D132" s="171">
        <f t="shared" si="22"/>
        <v>8.2311859646786778E-2</v>
      </c>
      <c r="E132" s="171">
        <f t="shared" si="17"/>
        <v>9.9823719293573667</v>
      </c>
      <c r="F132" s="171">
        <f t="shared" si="18"/>
        <v>8.1441163855843671E-2</v>
      </c>
      <c r="G132" s="171"/>
      <c r="H132" s="206"/>
      <c r="I132" s="206"/>
    </row>
    <row r="133" spans="1:9" x14ac:dyDescent="0.25">
      <c r="A133" s="378"/>
      <c r="B133" s="170" t="s">
        <v>178</v>
      </c>
      <c r="C133" s="171">
        <f t="shared" si="20"/>
        <v>9.9823719293573667</v>
      </c>
      <c r="D133" s="171">
        <f t="shared" si="22"/>
        <v>8.2311859646786778E-2</v>
      </c>
      <c r="E133" s="171">
        <f t="shared" si="17"/>
        <v>9.9000600697105803</v>
      </c>
      <c r="F133" s="171">
        <f t="shared" si="18"/>
        <v>8.0772379996213534E-2</v>
      </c>
      <c r="G133" s="171"/>
      <c r="H133" s="206"/>
      <c r="I133" s="206"/>
    </row>
    <row r="134" spans="1:9" x14ac:dyDescent="0.25">
      <c r="A134" s="378"/>
      <c r="B134" s="170" t="s">
        <v>179</v>
      </c>
      <c r="C134" s="171">
        <f t="shared" si="20"/>
        <v>9.9000600697105803</v>
      </c>
      <c r="D134" s="171">
        <f t="shared" si="22"/>
        <v>8.2311859646786778E-2</v>
      </c>
      <c r="E134" s="171">
        <f t="shared" si="17"/>
        <v>9.8177482100637938</v>
      </c>
      <c r="F134" s="171">
        <f t="shared" si="18"/>
        <v>8.0103596136583397E-2</v>
      </c>
      <c r="G134" s="171"/>
      <c r="H134" s="206"/>
      <c r="I134" s="206"/>
    </row>
    <row r="135" spans="1:9" x14ac:dyDescent="0.25">
      <c r="A135" s="378"/>
      <c r="B135" s="170" t="s">
        <v>180</v>
      </c>
      <c r="C135" s="171">
        <f t="shared" si="20"/>
        <v>9.8177482100637938</v>
      </c>
      <c r="D135" s="171">
        <f t="shared" si="22"/>
        <v>8.2311859646786778E-2</v>
      </c>
      <c r="E135" s="171">
        <f t="shared" si="17"/>
        <v>9.7354363504170074</v>
      </c>
      <c r="F135" s="171">
        <f t="shared" si="18"/>
        <v>7.9434812276953259E-2</v>
      </c>
      <c r="G135" s="171"/>
      <c r="H135" s="206"/>
      <c r="I135" s="206"/>
    </row>
    <row r="136" spans="1:9" x14ac:dyDescent="0.25">
      <c r="A136" s="378"/>
      <c r="B136" s="170" t="s">
        <v>181</v>
      </c>
      <c r="C136" s="171">
        <f t="shared" si="20"/>
        <v>9.7354363504170074</v>
      </c>
      <c r="D136" s="171">
        <f t="shared" si="22"/>
        <v>8.2311859646786778E-2</v>
      </c>
      <c r="E136" s="171">
        <f t="shared" si="17"/>
        <v>9.6531244907702209</v>
      </c>
      <c r="F136" s="171">
        <f t="shared" si="18"/>
        <v>7.8766028417323122E-2</v>
      </c>
      <c r="G136" s="171"/>
      <c r="H136" s="206"/>
      <c r="I136" s="206"/>
    </row>
    <row r="137" spans="1:9" x14ac:dyDescent="0.25">
      <c r="A137" s="378"/>
      <c r="B137" s="170" t="s">
        <v>182</v>
      </c>
      <c r="C137" s="171">
        <f t="shared" si="20"/>
        <v>9.6531244907702209</v>
      </c>
      <c r="D137" s="171">
        <f t="shared" si="22"/>
        <v>8.2311859646786778E-2</v>
      </c>
      <c r="E137" s="171">
        <f t="shared" si="17"/>
        <v>9.5708126311234345</v>
      </c>
      <c r="F137" s="171">
        <f t="shared" si="18"/>
        <v>7.8097244557692971E-2</v>
      </c>
      <c r="G137" s="171"/>
      <c r="H137" s="206"/>
      <c r="I137" s="206"/>
    </row>
    <row r="138" spans="1:9" x14ac:dyDescent="0.25">
      <c r="A138" s="378"/>
      <c r="B138" s="170" t="s">
        <v>183</v>
      </c>
      <c r="C138" s="171">
        <f t="shared" si="20"/>
        <v>9.5708126311234345</v>
      </c>
      <c r="D138" s="171">
        <f t="shared" si="22"/>
        <v>8.2311859646786778E-2</v>
      </c>
      <c r="E138" s="171">
        <f t="shared" si="17"/>
        <v>9.4885007714766481</v>
      </c>
      <c r="F138" s="171">
        <f t="shared" si="18"/>
        <v>7.7428460698062834E-2</v>
      </c>
      <c r="G138" s="171"/>
      <c r="H138" s="206"/>
      <c r="I138" s="206"/>
    </row>
    <row r="139" spans="1:9" x14ac:dyDescent="0.25">
      <c r="A139" s="378"/>
      <c r="B139" s="170" t="s">
        <v>184</v>
      </c>
      <c r="C139" s="171">
        <f t="shared" si="20"/>
        <v>9.4885007714766481</v>
      </c>
      <c r="D139" s="171">
        <f t="shared" si="22"/>
        <v>8.2311859646786778E-2</v>
      </c>
      <c r="E139" s="171">
        <f t="shared" si="17"/>
        <v>9.4061889118298616</v>
      </c>
      <c r="F139" s="171">
        <f t="shared" si="18"/>
        <v>7.6759676838432697E-2</v>
      </c>
      <c r="G139" s="171"/>
      <c r="H139" s="206"/>
      <c r="I139" s="206"/>
    </row>
    <row r="140" spans="1:9" x14ac:dyDescent="0.25">
      <c r="A140" s="378"/>
      <c r="B140" s="170" t="s">
        <v>185</v>
      </c>
      <c r="C140" s="171">
        <f t="shared" si="20"/>
        <v>9.4061889118298616</v>
      </c>
      <c r="D140" s="171">
        <f t="shared" si="22"/>
        <v>8.2311859646786778E-2</v>
      </c>
      <c r="E140" s="171">
        <f t="shared" si="17"/>
        <v>9.3238770521830752</v>
      </c>
      <c r="F140" s="171">
        <f t="shared" si="18"/>
        <v>7.609089297880256E-2</v>
      </c>
      <c r="G140" s="171"/>
      <c r="H140" s="206"/>
      <c r="I140" s="206"/>
    </row>
    <row r="141" spans="1:9" x14ac:dyDescent="0.25">
      <c r="A141" s="378">
        <f>A128+1</f>
        <v>7</v>
      </c>
      <c r="B141" s="164" t="s">
        <v>194</v>
      </c>
      <c r="C141" s="165"/>
      <c r="D141" s="311"/>
      <c r="E141" s="165"/>
      <c r="F141" s="165"/>
      <c r="G141" s="165"/>
      <c r="H141" s="203"/>
      <c r="I141" s="203"/>
    </row>
    <row r="142" spans="1:9" x14ac:dyDescent="0.25">
      <c r="A142" s="378"/>
      <c r="B142" s="166" t="s">
        <v>174</v>
      </c>
      <c r="C142" s="167">
        <f>E140</f>
        <v>9.3238770521830752</v>
      </c>
      <c r="D142" s="167">
        <f t="shared" si="22"/>
        <v>8.2311859646786778E-2</v>
      </c>
      <c r="E142" s="167">
        <f t="shared" si="17"/>
        <v>9.2415651925362887</v>
      </c>
      <c r="F142" s="167">
        <f t="shared" si="18"/>
        <v>7.5422109119172423E-2</v>
      </c>
      <c r="G142" s="167"/>
      <c r="H142" s="204"/>
      <c r="I142" s="204"/>
    </row>
    <row r="143" spans="1:9" x14ac:dyDescent="0.25">
      <c r="A143" s="378"/>
      <c r="B143" s="166" t="s">
        <v>175</v>
      </c>
      <c r="C143" s="167">
        <f t="shared" si="20"/>
        <v>9.2415651925362887</v>
      </c>
      <c r="D143" s="167">
        <f t="shared" si="22"/>
        <v>8.2311859646786778E-2</v>
      </c>
      <c r="E143" s="167">
        <f t="shared" si="17"/>
        <v>9.1592533328895023</v>
      </c>
      <c r="F143" s="167">
        <f t="shared" si="18"/>
        <v>7.4753325259542272E-2</v>
      </c>
      <c r="G143" s="167"/>
      <c r="H143" s="204"/>
      <c r="I143" s="204"/>
    </row>
    <row r="144" spans="1:9" x14ac:dyDescent="0.25">
      <c r="A144" s="378"/>
      <c r="B144" s="166" t="s">
        <v>176</v>
      </c>
      <c r="C144" s="167">
        <f t="shared" si="20"/>
        <v>9.1592533328895023</v>
      </c>
      <c r="D144" s="167">
        <f t="shared" si="22"/>
        <v>8.2311859646786778E-2</v>
      </c>
      <c r="E144" s="167">
        <f t="shared" si="17"/>
        <v>9.0769414732427158</v>
      </c>
      <c r="F144" s="167">
        <f t="shared" si="18"/>
        <v>7.4084541399912135E-2</v>
      </c>
      <c r="G144" s="167"/>
      <c r="H144" s="204"/>
      <c r="I144" s="204"/>
    </row>
    <row r="145" spans="1:9" x14ac:dyDescent="0.25">
      <c r="A145" s="378"/>
      <c r="B145" s="166" t="s">
        <v>177</v>
      </c>
      <c r="C145" s="167">
        <f t="shared" si="20"/>
        <v>9.0769414732427158</v>
      </c>
      <c r="D145" s="167">
        <f t="shared" si="22"/>
        <v>8.2311859646786778E-2</v>
      </c>
      <c r="E145" s="167">
        <f t="shared" si="17"/>
        <v>8.9946296135959294</v>
      </c>
      <c r="F145" s="167">
        <f t="shared" si="18"/>
        <v>7.3415757540281998E-2</v>
      </c>
      <c r="G145" s="167"/>
      <c r="H145" s="204"/>
      <c r="I145" s="204"/>
    </row>
    <row r="146" spans="1:9" x14ac:dyDescent="0.25">
      <c r="A146" s="378"/>
      <c r="B146" s="166" t="s">
        <v>178</v>
      </c>
      <c r="C146" s="167">
        <f t="shared" si="20"/>
        <v>8.9946296135959294</v>
      </c>
      <c r="D146" s="167">
        <f t="shared" si="22"/>
        <v>8.2311859646786778E-2</v>
      </c>
      <c r="E146" s="167">
        <f t="shared" si="17"/>
        <v>8.9123177539491429</v>
      </c>
      <c r="F146" s="167">
        <f t="shared" si="18"/>
        <v>7.2746973680651861E-2</v>
      </c>
      <c r="G146" s="167"/>
      <c r="H146" s="204"/>
      <c r="I146" s="204"/>
    </row>
    <row r="147" spans="1:9" x14ac:dyDescent="0.25">
      <c r="A147" s="378"/>
      <c r="B147" s="166" t="s">
        <v>179</v>
      </c>
      <c r="C147" s="167">
        <f t="shared" si="20"/>
        <v>8.9123177539491429</v>
      </c>
      <c r="D147" s="167">
        <f t="shared" si="22"/>
        <v>8.2311859646786778E-2</v>
      </c>
      <c r="E147" s="167">
        <f t="shared" si="17"/>
        <v>8.8300058943023565</v>
      </c>
      <c r="F147" s="167">
        <f t="shared" si="18"/>
        <v>7.2078189821021724E-2</v>
      </c>
      <c r="G147" s="167"/>
      <c r="H147" s="204"/>
      <c r="I147" s="204"/>
    </row>
    <row r="148" spans="1:9" x14ac:dyDescent="0.25">
      <c r="A148" s="378"/>
      <c r="B148" s="166" t="s">
        <v>180</v>
      </c>
      <c r="C148" s="167">
        <f t="shared" si="20"/>
        <v>8.8300058943023565</v>
      </c>
      <c r="D148" s="167">
        <f t="shared" si="22"/>
        <v>8.2311859646786778E-2</v>
      </c>
      <c r="E148" s="167">
        <f t="shared" si="17"/>
        <v>8.7476940346555701</v>
      </c>
      <c r="F148" s="167">
        <f t="shared" si="18"/>
        <v>7.1409405961391573E-2</v>
      </c>
      <c r="G148" s="167"/>
      <c r="H148" s="204"/>
      <c r="I148" s="204"/>
    </row>
    <row r="149" spans="1:9" x14ac:dyDescent="0.25">
      <c r="A149" s="378"/>
      <c r="B149" s="166" t="s">
        <v>181</v>
      </c>
      <c r="C149" s="167">
        <f t="shared" si="20"/>
        <v>8.7476940346555701</v>
      </c>
      <c r="D149" s="167">
        <f t="shared" si="22"/>
        <v>8.2311859646786778E-2</v>
      </c>
      <c r="E149" s="167">
        <f t="shared" si="17"/>
        <v>8.6653821750087836</v>
      </c>
      <c r="F149" s="167">
        <f t="shared" si="18"/>
        <v>7.0740622101761436E-2</v>
      </c>
      <c r="G149" s="167"/>
      <c r="H149" s="204"/>
      <c r="I149" s="204"/>
    </row>
    <row r="150" spans="1:9" x14ac:dyDescent="0.25">
      <c r="A150" s="378"/>
      <c r="B150" s="166" t="s">
        <v>182</v>
      </c>
      <c r="C150" s="167">
        <f t="shared" si="20"/>
        <v>8.6653821750087836</v>
      </c>
      <c r="D150" s="167">
        <f t="shared" si="22"/>
        <v>8.2311859646786778E-2</v>
      </c>
      <c r="E150" s="167">
        <f t="shared" si="17"/>
        <v>8.5830703153619972</v>
      </c>
      <c r="F150" s="167">
        <f t="shared" si="18"/>
        <v>7.0071838242131299E-2</v>
      </c>
      <c r="G150" s="167"/>
      <c r="H150" s="204"/>
      <c r="I150" s="204"/>
    </row>
    <row r="151" spans="1:9" x14ac:dyDescent="0.25">
      <c r="A151" s="378"/>
      <c r="B151" s="166" t="s">
        <v>183</v>
      </c>
      <c r="C151" s="167">
        <f t="shared" si="20"/>
        <v>8.5830703153619972</v>
      </c>
      <c r="D151" s="167">
        <f t="shared" si="22"/>
        <v>8.2311859646786778E-2</v>
      </c>
      <c r="E151" s="167">
        <f t="shared" si="17"/>
        <v>8.5007584557152107</v>
      </c>
      <c r="F151" s="167">
        <f t="shared" si="18"/>
        <v>6.9403054382501161E-2</v>
      </c>
      <c r="G151" s="167"/>
      <c r="H151" s="204"/>
      <c r="I151" s="204"/>
    </row>
    <row r="152" spans="1:9" x14ac:dyDescent="0.25">
      <c r="A152" s="378"/>
      <c r="B152" s="166" t="s">
        <v>184</v>
      </c>
      <c r="C152" s="167">
        <f t="shared" si="20"/>
        <v>8.5007584557152107</v>
      </c>
      <c r="D152" s="167">
        <f t="shared" si="22"/>
        <v>8.2311859646786778E-2</v>
      </c>
      <c r="E152" s="167">
        <f t="shared" si="17"/>
        <v>8.4184465960684243</v>
      </c>
      <c r="F152" s="167">
        <f t="shared" si="18"/>
        <v>6.8734270522871024E-2</v>
      </c>
      <c r="G152" s="167"/>
      <c r="H152" s="204"/>
      <c r="I152" s="204"/>
    </row>
    <row r="153" spans="1:9" x14ac:dyDescent="0.25">
      <c r="A153" s="378"/>
      <c r="B153" s="166" t="s">
        <v>185</v>
      </c>
      <c r="C153" s="167">
        <f t="shared" si="20"/>
        <v>8.4184465960684243</v>
      </c>
      <c r="D153" s="167">
        <f t="shared" si="22"/>
        <v>8.2311859646786778E-2</v>
      </c>
      <c r="E153" s="167">
        <f t="shared" si="17"/>
        <v>8.3361347364216378</v>
      </c>
      <c r="F153" s="167">
        <f t="shared" si="18"/>
        <v>6.8065486663240873E-2</v>
      </c>
      <c r="G153" s="167"/>
      <c r="H153" s="204"/>
      <c r="I153" s="204"/>
    </row>
    <row r="154" spans="1:9" x14ac:dyDescent="0.25">
      <c r="A154" s="378">
        <f>A141+1</f>
        <v>8</v>
      </c>
      <c r="B154" s="312" t="s">
        <v>195</v>
      </c>
      <c r="C154" s="177"/>
      <c r="D154" s="315"/>
      <c r="E154" s="177"/>
      <c r="F154" s="177"/>
      <c r="G154" s="177"/>
      <c r="H154" s="209"/>
      <c r="I154" s="313"/>
    </row>
    <row r="155" spans="1:9" x14ac:dyDescent="0.25">
      <c r="A155" s="378"/>
      <c r="B155" s="178" t="s">
        <v>174</v>
      </c>
      <c r="C155" s="179">
        <f>E153</f>
        <v>8.3361347364216378</v>
      </c>
      <c r="D155" s="179">
        <f t="shared" si="22"/>
        <v>8.2311859646786778E-2</v>
      </c>
      <c r="E155" s="179">
        <f t="shared" si="17"/>
        <v>8.2538228767748514</v>
      </c>
      <c r="F155" s="179">
        <f t="shared" si="18"/>
        <v>6.7396702803610736E-2</v>
      </c>
      <c r="G155" s="179"/>
      <c r="H155" s="210"/>
      <c r="I155" s="210"/>
    </row>
    <row r="156" spans="1:9" x14ac:dyDescent="0.25">
      <c r="A156" s="378"/>
      <c r="B156" s="178" t="s">
        <v>175</v>
      </c>
      <c r="C156" s="179">
        <f t="shared" ref="C156:C166" si="23">E155</f>
        <v>8.2538228767748514</v>
      </c>
      <c r="D156" s="179">
        <f t="shared" si="22"/>
        <v>8.2311859646786778E-2</v>
      </c>
      <c r="E156" s="179">
        <f t="shared" si="17"/>
        <v>8.1715110171280649</v>
      </c>
      <c r="F156" s="179">
        <f t="shared" si="18"/>
        <v>6.6727918943980599E-2</v>
      </c>
      <c r="G156" s="179"/>
      <c r="H156" s="210"/>
      <c r="I156" s="210"/>
    </row>
    <row r="157" spans="1:9" x14ac:dyDescent="0.25">
      <c r="A157" s="378"/>
      <c r="B157" s="178" t="s">
        <v>176</v>
      </c>
      <c r="C157" s="179">
        <f t="shared" si="23"/>
        <v>8.1715110171280649</v>
      </c>
      <c r="D157" s="179">
        <f t="shared" si="22"/>
        <v>8.2311859646786778E-2</v>
      </c>
      <c r="E157" s="179">
        <f t="shared" si="17"/>
        <v>8.0891991574812785</v>
      </c>
      <c r="F157" s="179">
        <f t="shared" si="18"/>
        <v>6.6059135084350462E-2</v>
      </c>
      <c r="G157" s="179"/>
      <c r="H157" s="210"/>
      <c r="I157" s="210"/>
    </row>
    <row r="158" spans="1:9" x14ac:dyDescent="0.25">
      <c r="A158" s="378"/>
      <c r="B158" s="178" t="s">
        <v>177</v>
      </c>
      <c r="C158" s="179">
        <f t="shared" si="23"/>
        <v>8.0891991574812785</v>
      </c>
      <c r="D158" s="179">
        <f t="shared" si="22"/>
        <v>8.2311859646786778E-2</v>
      </c>
      <c r="E158" s="179">
        <f t="shared" ref="E158:E166" si="24">C158-D158</f>
        <v>8.006887297834492</v>
      </c>
      <c r="F158" s="179">
        <f t="shared" si="18"/>
        <v>6.5390351224720325E-2</v>
      </c>
      <c r="G158" s="179"/>
      <c r="H158" s="210"/>
      <c r="I158" s="210"/>
    </row>
    <row r="159" spans="1:9" x14ac:dyDescent="0.25">
      <c r="A159" s="378"/>
      <c r="B159" s="178" t="s">
        <v>178</v>
      </c>
      <c r="C159" s="179">
        <f t="shared" si="23"/>
        <v>8.006887297834492</v>
      </c>
      <c r="D159" s="179">
        <f t="shared" si="22"/>
        <v>8.2311859646786778E-2</v>
      </c>
      <c r="E159" s="179">
        <f t="shared" si="24"/>
        <v>7.9245754381877056</v>
      </c>
      <c r="F159" s="179">
        <f t="shared" si="18"/>
        <v>6.4721567365090174E-2</v>
      </c>
      <c r="G159" s="179"/>
      <c r="H159" s="210"/>
      <c r="I159" s="210"/>
    </row>
    <row r="160" spans="1:9" x14ac:dyDescent="0.25">
      <c r="A160" s="378"/>
      <c r="B160" s="178" t="s">
        <v>179</v>
      </c>
      <c r="C160" s="179">
        <f t="shared" si="23"/>
        <v>7.9245754381877056</v>
      </c>
      <c r="D160" s="179">
        <f t="shared" si="22"/>
        <v>8.2311859646786778E-2</v>
      </c>
      <c r="E160" s="179">
        <f t="shared" si="24"/>
        <v>7.8422635785409192</v>
      </c>
      <c r="F160" s="179">
        <f t="shared" si="18"/>
        <v>6.4052783505460037E-2</v>
      </c>
      <c r="G160" s="179"/>
      <c r="H160" s="210"/>
      <c r="I160" s="210"/>
    </row>
    <row r="161" spans="1:9" x14ac:dyDescent="0.25">
      <c r="A161" s="378"/>
      <c r="B161" s="178" t="s">
        <v>180</v>
      </c>
      <c r="C161" s="179">
        <f t="shared" si="23"/>
        <v>7.8422635785409192</v>
      </c>
      <c r="D161" s="179">
        <f t="shared" si="22"/>
        <v>8.2311859646786778E-2</v>
      </c>
      <c r="E161" s="179">
        <f t="shared" si="24"/>
        <v>7.7599517188941327</v>
      </c>
      <c r="F161" s="179">
        <f t="shared" si="18"/>
        <v>6.33839996458299E-2</v>
      </c>
      <c r="G161" s="179"/>
      <c r="H161" s="210"/>
      <c r="I161" s="210"/>
    </row>
    <row r="162" spans="1:9" x14ac:dyDescent="0.25">
      <c r="A162" s="378"/>
      <c r="B162" s="178" t="s">
        <v>181</v>
      </c>
      <c r="C162" s="179">
        <f t="shared" si="23"/>
        <v>7.7599517188941327</v>
      </c>
      <c r="D162" s="179">
        <f t="shared" si="22"/>
        <v>8.2311859646786778E-2</v>
      </c>
      <c r="E162" s="179">
        <f t="shared" si="24"/>
        <v>7.6776398592473463</v>
      </c>
      <c r="F162" s="179">
        <f t="shared" si="18"/>
        <v>6.2715215786199763E-2</v>
      </c>
      <c r="G162" s="179"/>
      <c r="H162" s="210"/>
      <c r="I162" s="210"/>
    </row>
    <row r="163" spans="1:9" x14ac:dyDescent="0.25">
      <c r="A163" s="378"/>
      <c r="B163" s="178" t="s">
        <v>182</v>
      </c>
      <c r="C163" s="179">
        <f t="shared" si="23"/>
        <v>7.6776398592473463</v>
      </c>
      <c r="D163" s="179">
        <f t="shared" si="22"/>
        <v>8.2311859646786778E-2</v>
      </c>
      <c r="E163" s="179">
        <f t="shared" si="24"/>
        <v>7.5953279996005598</v>
      </c>
      <c r="F163" s="179">
        <f t="shared" si="18"/>
        <v>6.2046431926569619E-2</v>
      </c>
      <c r="G163" s="179"/>
      <c r="H163" s="210"/>
      <c r="I163" s="210"/>
    </row>
    <row r="164" spans="1:9" x14ac:dyDescent="0.25">
      <c r="A164" s="378"/>
      <c r="B164" s="178" t="s">
        <v>183</v>
      </c>
      <c r="C164" s="179">
        <f t="shared" si="23"/>
        <v>7.5953279996005598</v>
      </c>
      <c r="D164" s="179">
        <f t="shared" si="22"/>
        <v>8.2311859646786778E-2</v>
      </c>
      <c r="E164" s="179">
        <f t="shared" si="24"/>
        <v>7.5130161399537734</v>
      </c>
      <c r="F164" s="179">
        <f t="shared" si="18"/>
        <v>6.1377648066939482E-2</v>
      </c>
      <c r="G164" s="179"/>
      <c r="H164" s="210"/>
      <c r="I164" s="210"/>
    </row>
    <row r="165" spans="1:9" x14ac:dyDescent="0.25">
      <c r="A165" s="378"/>
      <c r="B165" s="178" t="s">
        <v>184</v>
      </c>
      <c r="C165" s="179">
        <f t="shared" si="23"/>
        <v>7.5130161399537734</v>
      </c>
      <c r="D165" s="179">
        <f t="shared" si="22"/>
        <v>8.2311859646786778E-2</v>
      </c>
      <c r="E165" s="179">
        <f t="shared" si="24"/>
        <v>7.4307042803069869</v>
      </c>
      <c r="F165" s="179">
        <f t="shared" si="18"/>
        <v>6.0708864207309338E-2</v>
      </c>
      <c r="G165" s="179"/>
      <c r="H165" s="210"/>
      <c r="I165" s="210"/>
    </row>
    <row r="166" spans="1:9" x14ac:dyDescent="0.25">
      <c r="A166" s="378"/>
      <c r="B166" s="178" t="s">
        <v>185</v>
      </c>
      <c r="C166" s="179">
        <f t="shared" si="23"/>
        <v>7.4307042803069869</v>
      </c>
      <c r="D166" s="179">
        <f t="shared" si="22"/>
        <v>8.2311859646786778E-2</v>
      </c>
      <c r="E166" s="179">
        <f t="shared" si="24"/>
        <v>7.3483924206602005</v>
      </c>
      <c r="F166" s="179">
        <f t="shared" si="18"/>
        <v>6.0040080347679207E-2</v>
      </c>
      <c r="G166" s="179"/>
      <c r="H166" s="210"/>
      <c r="I166" s="210"/>
    </row>
    <row r="167" spans="1:9" x14ac:dyDescent="0.25">
      <c r="A167" s="378">
        <f>A154+1</f>
        <v>9</v>
      </c>
      <c r="B167" s="164" t="s">
        <v>196</v>
      </c>
      <c r="C167" s="165"/>
      <c r="D167" s="167"/>
      <c r="E167" s="165"/>
      <c r="F167" s="165"/>
      <c r="G167" s="165"/>
      <c r="H167" s="203"/>
      <c r="I167" s="203"/>
    </row>
    <row r="168" spans="1:9" x14ac:dyDescent="0.25">
      <c r="A168" s="378"/>
      <c r="B168" s="166" t="s">
        <v>174</v>
      </c>
      <c r="C168" s="167">
        <f>E166</f>
        <v>7.3483924206602005</v>
      </c>
      <c r="D168" s="167">
        <f t="shared" ref="D168:D192" si="25">+$F$22</f>
        <v>8.2311859646786778E-2</v>
      </c>
      <c r="E168" s="167">
        <f t="shared" ref="E168:E179" si="26">C168-D168</f>
        <v>7.266080561013414</v>
      </c>
      <c r="F168" s="167">
        <f t="shared" ref="F168:F179" si="27">AVERAGE(C168,E168)*$C$22/12</f>
        <v>5.9371296488049063E-2</v>
      </c>
      <c r="G168" s="167"/>
      <c r="H168" s="204"/>
      <c r="I168" s="204"/>
    </row>
    <row r="169" spans="1:9" x14ac:dyDescent="0.25">
      <c r="A169" s="378"/>
      <c r="B169" s="166" t="s">
        <v>175</v>
      </c>
      <c r="C169" s="167">
        <f t="shared" ref="C169:C179" si="28">E168</f>
        <v>7.266080561013414</v>
      </c>
      <c r="D169" s="167">
        <f t="shared" si="25"/>
        <v>8.2311859646786778E-2</v>
      </c>
      <c r="E169" s="167">
        <f t="shared" si="26"/>
        <v>7.1837687013666276</v>
      </c>
      <c r="F169" s="167">
        <f t="shared" si="27"/>
        <v>5.8702512628418919E-2</v>
      </c>
      <c r="G169" s="167"/>
      <c r="H169" s="204"/>
      <c r="I169" s="204"/>
    </row>
    <row r="170" spans="1:9" x14ac:dyDescent="0.25">
      <c r="A170" s="378"/>
      <c r="B170" s="166" t="s">
        <v>176</v>
      </c>
      <c r="C170" s="167">
        <f t="shared" si="28"/>
        <v>7.1837687013666276</v>
      </c>
      <c r="D170" s="167">
        <f t="shared" si="25"/>
        <v>8.2311859646786778E-2</v>
      </c>
      <c r="E170" s="167">
        <f t="shared" si="26"/>
        <v>7.1014568417198412</v>
      </c>
      <c r="F170" s="167">
        <f t="shared" si="27"/>
        <v>5.8033728768788782E-2</v>
      </c>
      <c r="G170" s="167"/>
      <c r="H170" s="204"/>
      <c r="I170" s="204"/>
    </row>
    <row r="171" spans="1:9" x14ac:dyDescent="0.25">
      <c r="A171" s="378"/>
      <c r="B171" s="166" t="s">
        <v>177</v>
      </c>
      <c r="C171" s="167">
        <f t="shared" si="28"/>
        <v>7.1014568417198412</v>
      </c>
      <c r="D171" s="167">
        <f t="shared" si="25"/>
        <v>8.2311859646786778E-2</v>
      </c>
      <c r="E171" s="167">
        <f t="shared" si="26"/>
        <v>7.0191449820730547</v>
      </c>
      <c r="F171" s="167">
        <f t="shared" si="27"/>
        <v>5.7364944909158638E-2</v>
      </c>
      <c r="G171" s="167"/>
      <c r="H171" s="204"/>
      <c r="I171" s="204"/>
    </row>
    <row r="172" spans="1:9" x14ac:dyDescent="0.25">
      <c r="A172" s="378"/>
      <c r="B172" s="166" t="s">
        <v>178</v>
      </c>
      <c r="C172" s="167">
        <f t="shared" si="28"/>
        <v>7.0191449820730547</v>
      </c>
      <c r="D172" s="167">
        <f t="shared" si="25"/>
        <v>8.2311859646786778E-2</v>
      </c>
      <c r="E172" s="167">
        <f t="shared" si="26"/>
        <v>6.9368331224262683</v>
      </c>
      <c r="F172" s="167">
        <f t="shared" si="27"/>
        <v>5.6696161049528508E-2</v>
      </c>
      <c r="G172" s="167"/>
      <c r="H172" s="204"/>
      <c r="I172" s="204"/>
    </row>
    <row r="173" spans="1:9" x14ac:dyDescent="0.25">
      <c r="A173" s="378"/>
      <c r="B173" s="166" t="s">
        <v>179</v>
      </c>
      <c r="C173" s="167">
        <f t="shared" si="28"/>
        <v>6.9368331224262683</v>
      </c>
      <c r="D173" s="167">
        <f t="shared" si="25"/>
        <v>8.2311859646786778E-2</v>
      </c>
      <c r="E173" s="167">
        <f t="shared" si="26"/>
        <v>6.8545212627794818</v>
      </c>
      <c r="F173" s="167">
        <f t="shared" si="27"/>
        <v>5.6027377189898364E-2</v>
      </c>
      <c r="G173" s="167"/>
      <c r="H173" s="204"/>
      <c r="I173" s="204"/>
    </row>
    <row r="174" spans="1:9" x14ac:dyDescent="0.25">
      <c r="A174" s="378"/>
      <c r="B174" s="166" t="s">
        <v>180</v>
      </c>
      <c r="C174" s="167">
        <f t="shared" si="28"/>
        <v>6.8545212627794818</v>
      </c>
      <c r="D174" s="167">
        <f t="shared" si="25"/>
        <v>8.2311859646786778E-2</v>
      </c>
      <c r="E174" s="167">
        <f t="shared" si="26"/>
        <v>6.7722094031326954</v>
      </c>
      <c r="F174" s="167">
        <f t="shared" si="27"/>
        <v>5.535859333026822E-2</v>
      </c>
      <c r="G174" s="167"/>
      <c r="H174" s="204"/>
      <c r="I174" s="204"/>
    </row>
    <row r="175" spans="1:9" x14ac:dyDescent="0.25">
      <c r="A175" s="378"/>
      <c r="B175" s="166" t="s">
        <v>181</v>
      </c>
      <c r="C175" s="167">
        <f t="shared" si="28"/>
        <v>6.7722094031326954</v>
      </c>
      <c r="D175" s="167">
        <f t="shared" si="25"/>
        <v>8.2311859646786778E-2</v>
      </c>
      <c r="E175" s="167">
        <f t="shared" si="26"/>
        <v>6.6898975434859089</v>
      </c>
      <c r="F175" s="167">
        <f t="shared" si="27"/>
        <v>5.4689809470638083E-2</v>
      </c>
      <c r="G175" s="167"/>
      <c r="H175" s="204"/>
      <c r="I175" s="204"/>
    </row>
    <row r="176" spans="1:9" x14ac:dyDescent="0.25">
      <c r="A176" s="378"/>
      <c r="B176" s="166" t="s">
        <v>182</v>
      </c>
      <c r="C176" s="167">
        <f t="shared" si="28"/>
        <v>6.6898975434859089</v>
      </c>
      <c r="D176" s="167">
        <f t="shared" si="25"/>
        <v>8.2311859646786778E-2</v>
      </c>
      <c r="E176" s="167">
        <f t="shared" si="26"/>
        <v>6.6075856838391225</v>
      </c>
      <c r="F176" s="167">
        <f t="shared" si="27"/>
        <v>5.4021025611007939E-2</v>
      </c>
      <c r="G176" s="167"/>
      <c r="H176" s="204"/>
      <c r="I176" s="204"/>
    </row>
    <row r="177" spans="1:9" x14ac:dyDescent="0.25">
      <c r="A177" s="378"/>
      <c r="B177" s="166" t="s">
        <v>183</v>
      </c>
      <c r="C177" s="167">
        <f t="shared" si="28"/>
        <v>6.6075856838391225</v>
      </c>
      <c r="D177" s="167">
        <f t="shared" si="25"/>
        <v>8.2311859646786778E-2</v>
      </c>
      <c r="E177" s="167">
        <f t="shared" si="26"/>
        <v>6.525273824192336</v>
      </c>
      <c r="F177" s="167">
        <f t="shared" si="27"/>
        <v>5.3352241751377809E-2</v>
      </c>
      <c r="G177" s="167"/>
      <c r="H177" s="204"/>
      <c r="I177" s="204"/>
    </row>
    <row r="178" spans="1:9" x14ac:dyDescent="0.25">
      <c r="A178" s="378"/>
      <c r="B178" s="166" t="s">
        <v>184</v>
      </c>
      <c r="C178" s="167">
        <f t="shared" si="28"/>
        <v>6.525273824192336</v>
      </c>
      <c r="D178" s="167">
        <f t="shared" si="25"/>
        <v>8.2311859646786778E-2</v>
      </c>
      <c r="E178" s="167">
        <f t="shared" si="26"/>
        <v>6.4429619645455496</v>
      </c>
      <c r="F178" s="167">
        <f t="shared" si="27"/>
        <v>5.2683457891747665E-2</v>
      </c>
      <c r="G178" s="167"/>
      <c r="H178" s="204"/>
      <c r="I178" s="204"/>
    </row>
    <row r="179" spans="1:9" x14ac:dyDescent="0.25">
      <c r="A179" s="378"/>
      <c r="B179" s="166" t="s">
        <v>185</v>
      </c>
      <c r="C179" s="167">
        <f t="shared" si="28"/>
        <v>6.4429619645455496</v>
      </c>
      <c r="D179" s="167">
        <f t="shared" si="25"/>
        <v>8.2311859646786778E-2</v>
      </c>
      <c r="E179" s="167">
        <f t="shared" si="26"/>
        <v>6.3606501048987631</v>
      </c>
      <c r="F179" s="167">
        <f t="shared" si="27"/>
        <v>5.2014674032117521E-2</v>
      </c>
      <c r="G179" s="167"/>
      <c r="H179" s="204"/>
      <c r="I179" s="204"/>
    </row>
    <row r="180" spans="1:9" x14ac:dyDescent="0.25">
      <c r="A180" s="378">
        <f>A167+1</f>
        <v>10</v>
      </c>
      <c r="B180" s="316" t="s">
        <v>197</v>
      </c>
      <c r="C180" s="96"/>
      <c r="D180" s="161"/>
      <c r="E180" s="96"/>
      <c r="F180" s="96"/>
      <c r="G180" s="96"/>
      <c r="H180" s="211"/>
      <c r="I180" s="317"/>
    </row>
    <row r="181" spans="1:9" x14ac:dyDescent="0.25">
      <c r="A181" s="378"/>
      <c r="B181" s="81" t="s">
        <v>174</v>
      </c>
      <c r="C181" s="82">
        <f>E179</f>
        <v>6.3606501048987631</v>
      </c>
      <c r="D181" s="163">
        <f t="shared" si="25"/>
        <v>8.2311859646786778E-2</v>
      </c>
      <c r="E181" s="82">
        <f t="shared" ref="E181:E192" si="29">C181-D181</f>
        <v>6.2783382452519767</v>
      </c>
      <c r="F181" s="82">
        <f t="shared" ref="F181:F192" si="30">AVERAGE(C181,E181)*$C$22/12</f>
        <v>5.1345890172487384E-2</v>
      </c>
      <c r="G181" s="82"/>
      <c r="H181" s="212"/>
      <c r="I181" s="212"/>
    </row>
    <row r="182" spans="1:9" x14ac:dyDescent="0.25">
      <c r="A182" s="378"/>
      <c r="B182" s="81" t="s">
        <v>175</v>
      </c>
      <c r="C182" s="82">
        <f t="shared" ref="C182:C192" si="31">E181</f>
        <v>6.2783382452519767</v>
      </c>
      <c r="D182" s="163">
        <f t="shared" si="25"/>
        <v>8.2311859646786778E-2</v>
      </c>
      <c r="E182" s="82">
        <f t="shared" si="29"/>
        <v>6.1960263856051903</v>
      </c>
      <c r="F182" s="82">
        <f t="shared" si="30"/>
        <v>5.067710631285724E-2</v>
      </c>
      <c r="G182" s="82"/>
      <c r="H182" s="212"/>
      <c r="I182" s="212"/>
    </row>
    <row r="183" spans="1:9" x14ac:dyDescent="0.25">
      <c r="A183" s="378"/>
      <c r="B183" s="81" t="s">
        <v>176</v>
      </c>
      <c r="C183" s="82">
        <f t="shared" si="31"/>
        <v>6.1960263856051903</v>
      </c>
      <c r="D183" s="163">
        <f t="shared" si="25"/>
        <v>8.2311859646786778E-2</v>
      </c>
      <c r="E183" s="82">
        <f t="shared" si="29"/>
        <v>6.1137145259584038</v>
      </c>
      <c r="F183" s="82">
        <f t="shared" si="30"/>
        <v>5.000832245322711E-2</v>
      </c>
      <c r="G183" s="82"/>
      <c r="H183" s="212"/>
      <c r="I183" s="212"/>
    </row>
    <row r="184" spans="1:9" x14ac:dyDescent="0.25">
      <c r="A184" s="378"/>
      <c r="B184" s="81" t="s">
        <v>177</v>
      </c>
      <c r="C184" s="82">
        <f t="shared" si="31"/>
        <v>6.1137145259584038</v>
      </c>
      <c r="D184" s="163">
        <f t="shared" si="25"/>
        <v>8.2311859646786778E-2</v>
      </c>
      <c r="E184" s="82">
        <f t="shared" si="29"/>
        <v>6.0314026663116174</v>
      </c>
      <c r="F184" s="82">
        <f t="shared" si="30"/>
        <v>4.9339538593596965E-2</v>
      </c>
      <c r="G184" s="82"/>
      <c r="H184" s="212"/>
      <c r="I184" s="212"/>
    </row>
    <row r="185" spans="1:9" x14ac:dyDescent="0.25">
      <c r="A185" s="378"/>
      <c r="B185" s="81" t="s">
        <v>178</v>
      </c>
      <c r="C185" s="82">
        <f t="shared" si="31"/>
        <v>6.0314026663116174</v>
      </c>
      <c r="D185" s="163">
        <f t="shared" si="25"/>
        <v>8.2311859646786778E-2</v>
      </c>
      <c r="E185" s="82">
        <f t="shared" si="29"/>
        <v>5.9490908066648309</v>
      </c>
      <c r="F185" s="82">
        <f t="shared" si="30"/>
        <v>4.8670754733966821E-2</v>
      </c>
      <c r="G185" s="82"/>
      <c r="H185" s="212"/>
      <c r="I185" s="212"/>
    </row>
    <row r="186" spans="1:9" x14ac:dyDescent="0.25">
      <c r="A186" s="378"/>
      <c r="B186" s="81" t="s">
        <v>179</v>
      </c>
      <c r="C186" s="82">
        <f t="shared" si="31"/>
        <v>5.9490908066648309</v>
      </c>
      <c r="D186" s="163">
        <f t="shared" si="25"/>
        <v>8.2311859646786778E-2</v>
      </c>
      <c r="E186" s="82">
        <f t="shared" si="29"/>
        <v>5.8667789470180445</v>
      </c>
      <c r="F186" s="82">
        <f t="shared" si="30"/>
        <v>4.8001970874336684E-2</v>
      </c>
      <c r="G186" s="82"/>
      <c r="H186" s="212"/>
      <c r="I186" s="212"/>
    </row>
    <row r="187" spans="1:9" x14ac:dyDescent="0.25">
      <c r="A187" s="378"/>
      <c r="B187" s="81" t="s">
        <v>180</v>
      </c>
      <c r="C187" s="82">
        <f t="shared" si="31"/>
        <v>5.8667789470180445</v>
      </c>
      <c r="D187" s="163">
        <f t="shared" si="25"/>
        <v>8.2311859646786778E-2</v>
      </c>
      <c r="E187" s="82">
        <f t="shared" si="29"/>
        <v>5.784467087371258</v>
      </c>
      <c r="F187" s="82">
        <f t="shared" si="30"/>
        <v>4.733318701470654E-2</v>
      </c>
      <c r="G187" s="82"/>
      <c r="H187" s="212"/>
      <c r="I187" s="212"/>
    </row>
    <row r="188" spans="1:9" x14ac:dyDescent="0.25">
      <c r="A188" s="378"/>
      <c r="B188" s="81" t="s">
        <v>181</v>
      </c>
      <c r="C188" s="82">
        <f t="shared" si="31"/>
        <v>5.784467087371258</v>
      </c>
      <c r="D188" s="163">
        <f t="shared" si="25"/>
        <v>8.2311859646786778E-2</v>
      </c>
      <c r="E188" s="82">
        <f t="shared" si="29"/>
        <v>5.7021552277244716</v>
      </c>
      <c r="F188" s="82">
        <f t="shared" si="30"/>
        <v>4.6664403155076396E-2</v>
      </c>
      <c r="G188" s="82"/>
      <c r="H188" s="212"/>
      <c r="I188" s="212"/>
    </row>
    <row r="189" spans="1:9" x14ac:dyDescent="0.25">
      <c r="A189" s="378"/>
      <c r="B189" s="81" t="s">
        <v>182</v>
      </c>
      <c r="C189" s="82">
        <f t="shared" si="31"/>
        <v>5.7021552277244716</v>
      </c>
      <c r="D189" s="163">
        <f t="shared" si="25"/>
        <v>8.2311859646786778E-2</v>
      </c>
      <c r="E189" s="82">
        <f t="shared" si="29"/>
        <v>5.6198433680776851</v>
      </c>
      <c r="F189" s="82">
        <f t="shared" si="30"/>
        <v>4.5995619295446266E-2</v>
      </c>
      <c r="G189" s="82"/>
      <c r="H189" s="212"/>
      <c r="I189" s="212"/>
    </row>
    <row r="190" spans="1:9" x14ac:dyDescent="0.25">
      <c r="A190" s="378"/>
      <c r="B190" s="81" t="s">
        <v>183</v>
      </c>
      <c r="C190" s="82">
        <f t="shared" si="31"/>
        <v>5.6198433680776851</v>
      </c>
      <c r="D190" s="163">
        <f t="shared" si="25"/>
        <v>8.2311859646786778E-2</v>
      </c>
      <c r="E190" s="82">
        <f t="shared" si="29"/>
        <v>5.5375315084308987</v>
      </c>
      <c r="F190" s="82">
        <f t="shared" si="30"/>
        <v>4.5326835435816122E-2</v>
      </c>
      <c r="G190" s="82"/>
      <c r="H190" s="212"/>
      <c r="I190" s="212"/>
    </row>
    <row r="191" spans="1:9" x14ac:dyDescent="0.25">
      <c r="A191" s="378"/>
      <c r="B191" s="81" t="s">
        <v>184</v>
      </c>
      <c r="C191" s="82">
        <f t="shared" si="31"/>
        <v>5.5375315084308987</v>
      </c>
      <c r="D191" s="163">
        <f t="shared" si="25"/>
        <v>8.2311859646786778E-2</v>
      </c>
      <c r="E191" s="82">
        <f t="shared" si="29"/>
        <v>5.4552196487841123</v>
      </c>
      <c r="F191" s="82">
        <f t="shared" si="30"/>
        <v>4.4658051576185985E-2</v>
      </c>
      <c r="G191" s="82"/>
      <c r="H191" s="212"/>
      <c r="I191" s="212"/>
    </row>
    <row r="192" spans="1:9" x14ac:dyDescent="0.25">
      <c r="A192" s="378"/>
      <c r="B192" s="81" t="s">
        <v>185</v>
      </c>
      <c r="C192" s="82">
        <f t="shared" si="31"/>
        <v>5.4552196487841123</v>
      </c>
      <c r="D192" s="163">
        <f t="shared" si="25"/>
        <v>8.2311859646786778E-2</v>
      </c>
      <c r="E192" s="82">
        <f t="shared" si="29"/>
        <v>5.3729077891373258</v>
      </c>
      <c r="F192" s="82">
        <f t="shared" si="30"/>
        <v>4.3989267716555841E-2</v>
      </c>
      <c r="G192" s="82"/>
      <c r="H192" s="212"/>
      <c r="I192" s="212"/>
    </row>
    <row r="193" spans="1:9" x14ac:dyDescent="0.25">
      <c r="A193" s="378">
        <f>A180+1</f>
        <v>11</v>
      </c>
      <c r="B193" s="318" t="s">
        <v>198</v>
      </c>
      <c r="C193" s="173"/>
      <c r="D193" s="320"/>
      <c r="E193" s="173"/>
      <c r="F193" s="173"/>
      <c r="G193" s="173"/>
      <c r="H193" s="207"/>
      <c r="I193" s="319"/>
    </row>
    <row r="194" spans="1:9" x14ac:dyDescent="0.25">
      <c r="A194" s="378"/>
      <c r="B194" s="174" t="s">
        <v>174</v>
      </c>
      <c r="C194" s="175">
        <f>E192</f>
        <v>5.3729077891373258</v>
      </c>
      <c r="D194" s="175">
        <f>+D192</f>
        <v>8.2311859646786778E-2</v>
      </c>
      <c r="E194" s="175">
        <f t="shared" ref="E194:E205" si="32">C194-D194</f>
        <v>5.2905959294905394</v>
      </c>
      <c r="F194" s="175">
        <f t="shared" ref="F194:F205" si="33">AVERAGE(C194,E194)*$C$22/12</f>
        <v>4.3320483856925697E-2</v>
      </c>
      <c r="G194" s="175"/>
      <c r="H194" s="208"/>
      <c r="I194" s="208"/>
    </row>
    <row r="195" spans="1:9" x14ac:dyDescent="0.25">
      <c r="A195" s="378"/>
      <c r="B195" s="174" t="s">
        <v>175</v>
      </c>
      <c r="C195" s="175">
        <f t="shared" ref="C195:C205" si="34">E194</f>
        <v>5.2905959294905394</v>
      </c>
      <c r="D195" s="175">
        <f>+D194</f>
        <v>8.2311859646786778E-2</v>
      </c>
      <c r="E195" s="175">
        <f t="shared" si="32"/>
        <v>5.2082840698437529</v>
      </c>
      <c r="F195" s="175">
        <f t="shared" si="33"/>
        <v>4.2651699997295567E-2</v>
      </c>
      <c r="G195" s="175"/>
      <c r="H195" s="208"/>
      <c r="I195" s="208"/>
    </row>
    <row r="196" spans="1:9" x14ac:dyDescent="0.25">
      <c r="A196" s="378"/>
      <c r="B196" s="174" t="s">
        <v>176</v>
      </c>
      <c r="C196" s="175">
        <f t="shared" si="34"/>
        <v>5.2082840698437529</v>
      </c>
      <c r="D196" s="175">
        <f t="shared" ref="D196:D205" si="35">+D195</f>
        <v>8.2311859646786778E-2</v>
      </c>
      <c r="E196" s="175">
        <f t="shared" si="32"/>
        <v>5.1259722101969665</v>
      </c>
      <c r="F196" s="175">
        <f t="shared" si="33"/>
        <v>4.1982916137665423E-2</v>
      </c>
      <c r="G196" s="175"/>
      <c r="H196" s="208"/>
      <c r="I196" s="208"/>
    </row>
    <row r="197" spans="1:9" x14ac:dyDescent="0.25">
      <c r="A197" s="378"/>
      <c r="B197" s="174" t="s">
        <v>177</v>
      </c>
      <c r="C197" s="175">
        <f t="shared" si="34"/>
        <v>5.1259722101969665</v>
      </c>
      <c r="D197" s="175">
        <f t="shared" si="35"/>
        <v>8.2311859646786778E-2</v>
      </c>
      <c r="E197" s="175">
        <f t="shared" si="32"/>
        <v>5.04366035055018</v>
      </c>
      <c r="F197" s="175">
        <f t="shared" si="33"/>
        <v>4.1314132278035286E-2</v>
      </c>
      <c r="G197" s="175"/>
      <c r="H197" s="208"/>
      <c r="I197" s="208"/>
    </row>
    <row r="198" spans="1:9" x14ac:dyDescent="0.25">
      <c r="A198" s="378"/>
      <c r="B198" s="174" t="s">
        <v>178</v>
      </c>
      <c r="C198" s="175">
        <f t="shared" si="34"/>
        <v>5.04366035055018</v>
      </c>
      <c r="D198" s="175">
        <f t="shared" si="35"/>
        <v>8.2311859646786778E-2</v>
      </c>
      <c r="E198" s="175">
        <f t="shared" si="32"/>
        <v>4.9613484909033936</v>
      </c>
      <c r="F198" s="175">
        <f t="shared" si="33"/>
        <v>4.0645348418405149E-2</v>
      </c>
      <c r="G198" s="175"/>
      <c r="H198" s="208"/>
      <c r="I198" s="208"/>
    </row>
    <row r="199" spans="1:9" x14ac:dyDescent="0.25">
      <c r="A199" s="378"/>
      <c r="B199" s="174" t="s">
        <v>179</v>
      </c>
      <c r="C199" s="175">
        <f t="shared" si="34"/>
        <v>4.9613484909033936</v>
      </c>
      <c r="D199" s="175">
        <f t="shared" si="35"/>
        <v>8.2311859646786778E-2</v>
      </c>
      <c r="E199" s="175">
        <f t="shared" si="32"/>
        <v>4.8790366312566071</v>
      </c>
      <c r="F199" s="175">
        <f t="shared" si="33"/>
        <v>3.9976564558775005E-2</v>
      </c>
      <c r="G199" s="175"/>
      <c r="H199" s="208"/>
      <c r="I199" s="208"/>
    </row>
    <row r="200" spans="1:9" x14ac:dyDescent="0.25">
      <c r="A200" s="378"/>
      <c r="B200" s="174" t="s">
        <v>180</v>
      </c>
      <c r="C200" s="175">
        <f t="shared" si="34"/>
        <v>4.8790366312566071</v>
      </c>
      <c r="D200" s="175">
        <f t="shared" si="35"/>
        <v>8.2311859646786778E-2</v>
      </c>
      <c r="E200" s="175">
        <f t="shared" si="32"/>
        <v>4.7967247716098207</v>
      </c>
      <c r="F200" s="175">
        <f t="shared" si="33"/>
        <v>3.9307780699144861E-2</v>
      </c>
      <c r="G200" s="175"/>
      <c r="H200" s="208"/>
      <c r="I200" s="208"/>
    </row>
    <row r="201" spans="1:9" x14ac:dyDescent="0.25">
      <c r="A201" s="378"/>
      <c r="B201" s="174" t="s">
        <v>181</v>
      </c>
      <c r="C201" s="175">
        <f t="shared" si="34"/>
        <v>4.7967247716098207</v>
      </c>
      <c r="D201" s="175">
        <f t="shared" si="35"/>
        <v>8.2311859646786778E-2</v>
      </c>
      <c r="E201" s="175">
        <f t="shared" si="32"/>
        <v>4.7144129119630342</v>
      </c>
      <c r="F201" s="175">
        <f t="shared" si="33"/>
        <v>3.8638996839514723E-2</v>
      </c>
      <c r="G201" s="175"/>
      <c r="H201" s="208"/>
      <c r="I201" s="208"/>
    </row>
    <row r="202" spans="1:9" x14ac:dyDescent="0.25">
      <c r="A202" s="378"/>
      <c r="B202" s="174" t="s">
        <v>182</v>
      </c>
      <c r="C202" s="175">
        <f t="shared" si="34"/>
        <v>4.7144129119630342</v>
      </c>
      <c r="D202" s="175">
        <f t="shared" si="35"/>
        <v>8.2311859646786778E-2</v>
      </c>
      <c r="E202" s="175">
        <f t="shared" si="32"/>
        <v>4.6321010523162478</v>
      </c>
      <c r="F202" s="175">
        <f t="shared" si="33"/>
        <v>3.7970212979884586E-2</v>
      </c>
      <c r="G202" s="175"/>
      <c r="H202" s="208"/>
      <c r="I202" s="208"/>
    </row>
    <row r="203" spans="1:9" x14ac:dyDescent="0.25">
      <c r="A203" s="378"/>
      <c r="B203" s="174" t="s">
        <v>183</v>
      </c>
      <c r="C203" s="175">
        <f t="shared" si="34"/>
        <v>4.6321010523162478</v>
      </c>
      <c r="D203" s="175">
        <f t="shared" si="35"/>
        <v>8.2311859646786778E-2</v>
      </c>
      <c r="E203" s="175">
        <f t="shared" si="32"/>
        <v>4.5497891926694614</v>
      </c>
      <c r="F203" s="175">
        <f t="shared" si="33"/>
        <v>3.7301429120254449E-2</v>
      </c>
      <c r="G203" s="175"/>
      <c r="H203" s="208"/>
      <c r="I203" s="208"/>
    </row>
    <row r="204" spans="1:9" x14ac:dyDescent="0.25">
      <c r="A204" s="378"/>
      <c r="B204" s="174" t="s">
        <v>184</v>
      </c>
      <c r="C204" s="175">
        <f t="shared" si="34"/>
        <v>4.5497891926694614</v>
      </c>
      <c r="D204" s="175">
        <f t="shared" si="35"/>
        <v>8.2311859646786778E-2</v>
      </c>
      <c r="E204" s="175">
        <f t="shared" si="32"/>
        <v>4.4674773330226749</v>
      </c>
      <c r="F204" s="175">
        <f t="shared" si="33"/>
        <v>3.6632645260624305E-2</v>
      </c>
      <c r="G204" s="175"/>
      <c r="H204" s="208"/>
      <c r="I204" s="208"/>
    </row>
    <row r="205" spans="1:9" x14ac:dyDescent="0.25">
      <c r="A205" s="378"/>
      <c r="B205" s="174" t="s">
        <v>185</v>
      </c>
      <c r="C205" s="175">
        <f t="shared" si="34"/>
        <v>4.4674773330226749</v>
      </c>
      <c r="D205" s="175">
        <f t="shared" si="35"/>
        <v>8.2311859646786778E-2</v>
      </c>
      <c r="E205" s="175">
        <f t="shared" si="32"/>
        <v>4.3851654733758885</v>
      </c>
      <c r="F205" s="175">
        <f t="shared" si="33"/>
        <v>3.5963861400994161E-2</v>
      </c>
      <c r="G205" s="175"/>
      <c r="H205" s="208"/>
      <c r="I205" s="208"/>
    </row>
    <row r="206" spans="1:9" x14ac:dyDescent="0.25">
      <c r="A206" s="378">
        <f>A193+1</f>
        <v>12</v>
      </c>
      <c r="B206" s="321" t="s">
        <v>199</v>
      </c>
      <c r="C206" s="180"/>
      <c r="D206" s="314"/>
      <c r="E206" s="180"/>
      <c r="F206" s="180"/>
      <c r="G206" s="180"/>
      <c r="H206" s="213"/>
      <c r="I206" s="322"/>
    </row>
    <row r="207" spans="1:9" x14ac:dyDescent="0.25">
      <c r="A207" s="378"/>
      <c r="B207" s="181" t="s">
        <v>174</v>
      </c>
      <c r="C207" s="182">
        <f>E205</f>
        <v>4.3851654733758885</v>
      </c>
      <c r="D207" s="182">
        <f>+D205</f>
        <v>8.2311859646786778E-2</v>
      </c>
      <c r="E207" s="182">
        <f t="shared" ref="E207:E218" si="36">C207-D207</f>
        <v>4.302853613729102</v>
      </c>
      <c r="F207" s="182">
        <f t="shared" ref="F207:F218" si="37">AVERAGE(C207,E207)*$C$22/12</f>
        <v>3.5295077541364024E-2</v>
      </c>
      <c r="G207" s="182"/>
      <c r="H207" s="214"/>
      <c r="I207" s="214"/>
    </row>
    <row r="208" spans="1:9" x14ac:dyDescent="0.25">
      <c r="A208" s="378"/>
      <c r="B208" s="181" t="s">
        <v>175</v>
      </c>
      <c r="C208" s="182">
        <f t="shared" ref="C208:C218" si="38">E207</f>
        <v>4.302853613729102</v>
      </c>
      <c r="D208" s="182">
        <f>+D207</f>
        <v>8.2311859646786778E-2</v>
      </c>
      <c r="E208" s="182">
        <f t="shared" si="36"/>
        <v>4.2205417540823156</v>
      </c>
      <c r="F208" s="182">
        <f t="shared" si="37"/>
        <v>3.4626293681733887E-2</v>
      </c>
      <c r="G208" s="182"/>
      <c r="H208" s="214"/>
      <c r="I208" s="214"/>
    </row>
    <row r="209" spans="1:9" x14ac:dyDescent="0.25">
      <c r="A209" s="378"/>
      <c r="B209" s="181" t="s">
        <v>176</v>
      </c>
      <c r="C209" s="182">
        <f t="shared" si="38"/>
        <v>4.2205417540823156</v>
      </c>
      <c r="D209" s="182">
        <f t="shared" ref="D209:D218" si="39">+D208</f>
        <v>8.2311859646786778E-2</v>
      </c>
      <c r="E209" s="182">
        <f t="shared" si="36"/>
        <v>4.1382298944355291</v>
      </c>
      <c r="F209" s="182">
        <f t="shared" si="37"/>
        <v>3.3957509822103743E-2</v>
      </c>
      <c r="G209" s="182"/>
      <c r="H209" s="214"/>
      <c r="I209" s="214"/>
    </row>
    <row r="210" spans="1:9" x14ac:dyDescent="0.25">
      <c r="A210" s="378"/>
      <c r="B210" s="181" t="s">
        <v>177</v>
      </c>
      <c r="C210" s="182">
        <f t="shared" si="38"/>
        <v>4.1382298944355291</v>
      </c>
      <c r="D210" s="182">
        <f t="shared" si="39"/>
        <v>8.2311859646786778E-2</v>
      </c>
      <c r="E210" s="182">
        <f t="shared" si="36"/>
        <v>4.0559180347887427</v>
      </c>
      <c r="F210" s="182">
        <f t="shared" si="37"/>
        <v>3.3288725962473606E-2</v>
      </c>
      <c r="G210" s="182"/>
      <c r="H210" s="214"/>
      <c r="I210" s="214"/>
    </row>
    <row r="211" spans="1:9" x14ac:dyDescent="0.25">
      <c r="A211" s="378"/>
      <c r="B211" s="181" t="s">
        <v>178</v>
      </c>
      <c r="C211" s="182">
        <f t="shared" si="38"/>
        <v>4.0559180347887427</v>
      </c>
      <c r="D211" s="182">
        <f t="shared" si="39"/>
        <v>8.2311859646786778E-2</v>
      </c>
      <c r="E211" s="182">
        <f t="shared" si="36"/>
        <v>3.9736061751419558</v>
      </c>
      <c r="F211" s="182">
        <f t="shared" si="37"/>
        <v>3.2619942102843462E-2</v>
      </c>
      <c r="G211" s="182"/>
      <c r="H211" s="214"/>
      <c r="I211" s="214"/>
    </row>
    <row r="212" spans="1:9" x14ac:dyDescent="0.25">
      <c r="A212" s="378"/>
      <c r="B212" s="181" t="s">
        <v>179</v>
      </c>
      <c r="C212" s="182">
        <f t="shared" si="38"/>
        <v>3.9736061751419558</v>
      </c>
      <c r="D212" s="182">
        <f t="shared" si="39"/>
        <v>8.2311859646786778E-2</v>
      </c>
      <c r="E212" s="182">
        <f t="shared" si="36"/>
        <v>3.8912943154951689</v>
      </c>
      <c r="F212" s="182">
        <f t="shared" si="37"/>
        <v>3.1951158243213318E-2</v>
      </c>
      <c r="G212" s="182"/>
      <c r="H212" s="214"/>
      <c r="I212" s="214"/>
    </row>
    <row r="213" spans="1:9" x14ac:dyDescent="0.25">
      <c r="A213" s="378"/>
      <c r="B213" s="181" t="s">
        <v>180</v>
      </c>
      <c r="C213" s="182">
        <f t="shared" si="38"/>
        <v>3.8912943154951689</v>
      </c>
      <c r="D213" s="182">
        <f t="shared" si="39"/>
        <v>8.2311859646786778E-2</v>
      </c>
      <c r="E213" s="182">
        <f t="shared" si="36"/>
        <v>3.808982455848382</v>
      </c>
      <c r="F213" s="182">
        <f t="shared" si="37"/>
        <v>3.1282374383583181E-2</v>
      </c>
      <c r="G213" s="182"/>
      <c r="H213" s="214"/>
      <c r="I213" s="214"/>
    </row>
    <row r="214" spans="1:9" x14ac:dyDescent="0.25">
      <c r="A214" s="378"/>
      <c r="B214" s="181" t="s">
        <v>181</v>
      </c>
      <c r="C214" s="182">
        <f t="shared" si="38"/>
        <v>3.808982455848382</v>
      </c>
      <c r="D214" s="182">
        <f t="shared" si="39"/>
        <v>8.2311859646786778E-2</v>
      </c>
      <c r="E214" s="182">
        <f t="shared" si="36"/>
        <v>3.7266705962015951</v>
      </c>
      <c r="F214" s="182">
        <f t="shared" si="37"/>
        <v>3.061359052395303E-2</v>
      </c>
      <c r="G214" s="182"/>
      <c r="H214" s="214"/>
      <c r="I214" s="214"/>
    </row>
    <row r="215" spans="1:9" x14ac:dyDescent="0.25">
      <c r="A215" s="378"/>
      <c r="B215" s="181" t="s">
        <v>182</v>
      </c>
      <c r="C215" s="182">
        <f t="shared" si="38"/>
        <v>3.7266705962015951</v>
      </c>
      <c r="D215" s="182">
        <f t="shared" si="39"/>
        <v>8.2311859646786778E-2</v>
      </c>
      <c r="E215" s="182">
        <f t="shared" si="36"/>
        <v>3.6443587365548082</v>
      </c>
      <c r="F215" s="182">
        <f t="shared" si="37"/>
        <v>2.9944806664322893E-2</v>
      </c>
      <c r="G215" s="182"/>
      <c r="H215" s="214"/>
      <c r="I215" s="214"/>
    </row>
    <row r="216" spans="1:9" x14ac:dyDescent="0.25">
      <c r="A216" s="378"/>
      <c r="B216" s="181" t="s">
        <v>183</v>
      </c>
      <c r="C216" s="182">
        <f t="shared" si="38"/>
        <v>3.6443587365548082</v>
      </c>
      <c r="D216" s="182">
        <f t="shared" si="39"/>
        <v>8.2311859646786778E-2</v>
      </c>
      <c r="E216" s="182">
        <f t="shared" si="36"/>
        <v>3.5620468769080214</v>
      </c>
      <c r="F216" s="182">
        <f t="shared" si="37"/>
        <v>2.9276022804692745E-2</v>
      </c>
      <c r="G216" s="182"/>
      <c r="H216" s="214"/>
      <c r="I216" s="214"/>
    </row>
    <row r="217" spans="1:9" x14ac:dyDescent="0.25">
      <c r="A217" s="378"/>
      <c r="B217" s="181" t="s">
        <v>184</v>
      </c>
      <c r="C217" s="182">
        <f t="shared" si="38"/>
        <v>3.5620468769080214</v>
      </c>
      <c r="D217" s="182">
        <f t="shared" si="39"/>
        <v>8.2311859646786778E-2</v>
      </c>
      <c r="E217" s="182">
        <f t="shared" si="36"/>
        <v>3.4797350172612345</v>
      </c>
      <c r="F217" s="182">
        <f t="shared" si="37"/>
        <v>2.8607238945062605E-2</v>
      </c>
      <c r="G217" s="182"/>
      <c r="H217" s="214"/>
      <c r="I217" s="214"/>
    </row>
    <row r="218" spans="1:9" x14ac:dyDescent="0.25">
      <c r="A218" s="378"/>
      <c r="B218" s="181" t="s">
        <v>185</v>
      </c>
      <c r="C218" s="182">
        <f t="shared" si="38"/>
        <v>3.4797350172612345</v>
      </c>
      <c r="D218" s="182">
        <f t="shared" si="39"/>
        <v>8.2311859646786778E-2</v>
      </c>
      <c r="E218" s="182">
        <f t="shared" si="36"/>
        <v>3.3974231576144476</v>
      </c>
      <c r="F218" s="182">
        <f t="shared" si="37"/>
        <v>2.7938455085432457E-2</v>
      </c>
      <c r="G218" s="182"/>
      <c r="H218" s="214"/>
      <c r="I218" s="214"/>
    </row>
    <row r="219" spans="1:9" x14ac:dyDescent="0.25">
      <c r="A219" s="378">
        <f>A206+1</f>
        <v>13</v>
      </c>
      <c r="B219" s="312" t="s">
        <v>200</v>
      </c>
      <c r="C219" s="177"/>
      <c r="D219" s="315"/>
      <c r="E219" s="177"/>
      <c r="F219" s="177"/>
      <c r="G219" s="177"/>
      <c r="H219" s="209"/>
      <c r="I219" s="313"/>
    </row>
    <row r="220" spans="1:9" x14ac:dyDescent="0.25">
      <c r="A220" s="378"/>
      <c r="B220" s="178" t="s">
        <v>174</v>
      </c>
      <c r="C220" s="179">
        <f>E218</f>
        <v>3.3974231576144476</v>
      </c>
      <c r="D220" s="179">
        <v>7.0000000000000007E-2</v>
      </c>
      <c r="E220" s="179">
        <f t="shared" ref="E220:E231" si="40">C220-D220</f>
        <v>3.3274231576144477</v>
      </c>
      <c r="F220" s="179">
        <f t="shared" ref="F220:F231" si="41">AVERAGE(C220,E220)*$C$22/12</f>
        <v>2.7319688155617385E-2</v>
      </c>
      <c r="G220" s="179"/>
      <c r="H220" s="210"/>
      <c r="I220" s="210"/>
    </row>
    <row r="221" spans="1:9" x14ac:dyDescent="0.25">
      <c r="A221" s="378"/>
      <c r="B221" s="178" t="s">
        <v>175</v>
      </c>
      <c r="C221" s="179">
        <f t="shared" ref="C221:C231" si="42">E220</f>
        <v>3.3274231576144477</v>
      </c>
      <c r="D221" s="179">
        <f>+D220</f>
        <v>7.0000000000000007E-2</v>
      </c>
      <c r="E221" s="179">
        <f t="shared" si="40"/>
        <v>3.2574231576144479</v>
      </c>
      <c r="F221" s="179">
        <f t="shared" si="41"/>
        <v>2.6750938155617392E-2</v>
      </c>
      <c r="G221" s="179"/>
      <c r="H221" s="210"/>
      <c r="I221" s="210"/>
    </row>
    <row r="222" spans="1:9" x14ac:dyDescent="0.25">
      <c r="A222" s="378"/>
      <c r="B222" s="178" t="s">
        <v>176</v>
      </c>
      <c r="C222" s="179">
        <f t="shared" si="42"/>
        <v>3.2574231576144479</v>
      </c>
      <c r="D222" s="179">
        <f t="shared" ref="D222:D231" si="43">+D221</f>
        <v>7.0000000000000007E-2</v>
      </c>
      <c r="E222" s="179">
        <f t="shared" si="40"/>
        <v>3.1874231576144481</v>
      </c>
      <c r="F222" s="179">
        <f t="shared" si="41"/>
        <v>2.6182188155617389E-2</v>
      </c>
      <c r="G222" s="179"/>
      <c r="H222" s="210"/>
      <c r="I222" s="210"/>
    </row>
    <row r="223" spans="1:9" x14ac:dyDescent="0.25">
      <c r="A223" s="378"/>
      <c r="B223" s="178" t="s">
        <v>177</v>
      </c>
      <c r="C223" s="179">
        <f t="shared" si="42"/>
        <v>3.1874231576144481</v>
      </c>
      <c r="D223" s="179">
        <f t="shared" si="43"/>
        <v>7.0000000000000007E-2</v>
      </c>
      <c r="E223" s="179">
        <f t="shared" si="40"/>
        <v>3.1174231576144482</v>
      </c>
      <c r="F223" s="179">
        <f t="shared" si="41"/>
        <v>2.5613438155617393E-2</v>
      </c>
      <c r="G223" s="179"/>
      <c r="H223" s="210"/>
      <c r="I223" s="210"/>
    </row>
    <row r="224" spans="1:9" x14ac:dyDescent="0.25">
      <c r="A224" s="378"/>
      <c r="B224" s="178" t="s">
        <v>178</v>
      </c>
      <c r="C224" s="179">
        <f t="shared" si="42"/>
        <v>3.1174231576144482</v>
      </c>
      <c r="D224" s="179">
        <f t="shared" si="43"/>
        <v>7.0000000000000007E-2</v>
      </c>
      <c r="E224" s="179">
        <f t="shared" si="40"/>
        <v>3.0474231576144484</v>
      </c>
      <c r="F224" s="179">
        <f t="shared" si="41"/>
        <v>2.5044688155617389E-2</v>
      </c>
      <c r="G224" s="179"/>
      <c r="H224" s="210"/>
      <c r="I224" s="210"/>
    </row>
    <row r="225" spans="1:9" x14ac:dyDescent="0.25">
      <c r="A225" s="378"/>
      <c r="B225" s="178" t="s">
        <v>179</v>
      </c>
      <c r="C225" s="179">
        <f t="shared" si="42"/>
        <v>3.0474231576144484</v>
      </c>
      <c r="D225" s="179">
        <f t="shared" si="43"/>
        <v>7.0000000000000007E-2</v>
      </c>
      <c r="E225" s="179">
        <f t="shared" si="40"/>
        <v>2.9774231576144485</v>
      </c>
      <c r="F225" s="179">
        <f t="shared" si="41"/>
        <v>2.4475938155617397E-2</v>
      </c>
      <c r="G225" s="179"/>
      <c r="H225" s="210"/>
      <c r="I225" s="210"/>
    </row>
    <row r="226" spans="1:9" x14ac:dyDescent="0.25">
      <c r="A226" s="378"/>
      <c r="B226" s="178" t="s">
        <v>180</v>
      </c>
      <c r="C226" s="179">
        <f t="shared" si="42"/>
        <v>2.9774231576144485</v>
      </c>
      <c r="D226" s="179">
        <f t="shared" si="43"/>
        <v>7.0000000000000007E-2</v>
      </c>
      <c r="E226" s="179">
        <f t="shared" si="40"/>
        <v>2.9074231576144487</v>
      </c>
      <c r="F226" s="179">
        <f t="shared" si="41"/>
        <v>2.3907188155617393E-2</v>
      </c>
      <c r="G226" s="179"/>
      <c r="H226" s="210"/>
      <c r="I226" s="210"/>
    </row>
    <row r="227" spans="1:9" x14ac:dyDescent="0.25">
      <c r="A227" s="378"/>
      <c r="B227" s="178" t="s">
        <v>181</v>
      </c>
      <c r="C227" s="179">
        <f t="shared" si="42"/>
        <v>2.9074231576144487</v>
      </c>
      <c r="D227" s="179">
        <f t="shared" si="43"/>
        <v>7.0000000000000007E-2</v>
      </c>
      <c r="E227" s="179">
        <f t="shared" si="40"/>
        <v>2.8374231576144489</v>
      </c>
      <c r="F227" s="179">
        <f t="shared" si="41"/>
        <v>2.3338438155617397E-2</v>
      </c>
      <c r="G227" s="179"/>
      <c r="H227" s="210"/>
      <c r="I227" s="210"/>
    </row>
    <row r="228" spans="1:9" x14ac:dyDescent="0.25">
      <c r="A228" s="378"/>
      <c r="B228" s="178" t="s">
        <v>182</v>
      </c>
      <c r="C228" s="179">
        <f t="shared" si="42"/>
        <v>2.8374231576144489</v>
      </c>
      <c r="D228" s="179">
        <f t="shared" si="43"/>
        <v>7.0000000000000007E-2</v>
      </c>
      <c r="E228" s="179">
        <f t="shared" si="40"/>
        <v>2.767423157614449</v>
      </c>
      <c r="F228" s="179">
        <f t="shared" si="41"/>
        <v>2.2769688155617394E-2</v>
      </c>
      <c r="G228" s="179"/>
      <c r="H228" s="210"/>
      <c r="I228" s="210"/>
    </row>
    <row r="229" spans="1:9" x14ac:dyDescent="0.25">
      <c r="A229" s="378"/>
      <c r="B229" s="178" t="s">
        <v>183</v>
      </c>
      <c r="C229" s="179">
        <f t="shared" si="42"/>
        <v>2.767423157614449</v>
      </c>
      <c r="D229" s="179">
        <f t="shared" si="43"/>
        <v>7.0000000000000007E-2</v>
      </c>
      <c r="E229" s="179">
        <f t="shared" si="40"/>
        <v>2.6974231576144492</v>
      </c>
      <c r="F229" s="179">
        <f t="shared" si="41"/>
        <v>2.2200938155617401E-2</v>
      </c>
      <c r="G229" s="179"/>
      <c r="H229" s="210"/>
      <c r="I229" s="210"/>
    </row>
    <row r="230" spans="1:9" x14ac:dyDescent="0.25">
      <c r="A230" s="378"/>
      <c r="B230" s="178" t="s">
        <v>184</v>
      </c>
      <c r="C230" s="179">
        <f t="shared" si="42"/>
        <v>2.6974231576144492</v>
      </c>
      <c r="D230" s="179">
        <f t="shared" si="43"/>
        <v>7.0000000000000007E-2</v>
      </c>
      <c r="E230" s="179">
        <f t="shared" si="40"/>
        <v>2.6274231576144493</v>
      </c>
      <c r="F230" s="179">
        <f t="shared" si="41"/>
        <v>2.1632188155617401E-2</v>
      </c>
      <c r="G230" s="179"/>
      <c r="H230" s="210"/>
      <c r="I230" s="210"/>
    </row>
    <row r="231" spans="1:9" x14ac:dyDescent="0.25">
      <c r="A231" s="378"/>
      <c r="B231" s="178" t="s">
        <v>185</v>
      </c>
      <c r="C231" s="179">
        <f t="shared" si="42"/>
        <v>2.6274231576144493</v>
      </c>
      <c r="D231" s="179">
        <f t="shared" si="43"/>
        <v>7.0000000000000007E-2</v>
      </c>
      <c r="E231" s="179">
        <f t="shared" si="40"/>
        <v>2.5574231576144495</v>
      </c>
      <c r="F231" s="179">
        <f t="shared" si="41"/>
        <v>2.1063438155617401E-2</v>
      </c>
      <c r="G231" s="179"/>
      <c r="H231" s="210"/>
      <c r="I231" s="210"/>
    </row>
    <row r="232" spans="1:9" x14ac:dyDescent="0.25">
      <c r="A232" s="378">
        <f>A219+1</f>
        <v>14</v>
      </c>
      <c r="B232" s="323" t="s">
        <v>201</v>
      </c>
      <c r="C232" s="184"/>
      <c r="D232" s="324"/>
      <c r="E232" s="184"/>
      <c r="F232" s="184"/>
      <c r="G232" s="184"/>
      <c r="H232" s="215"/>
      <c r="I232" s="325"/>
    </row>
    <row r="233" spans="1:9" x14ac:dyDescent="0.25">
      <c r="A233" s="378"/>
      <c r="B233" s="185" t="s">
        <v>174</v>
      </c>
      <c r="C233" s="186">
        <f>E231</f>
        <v>2.5574231576144495</v>
      </c>
      <c r="D233" s="179">
        <v>7.0000000000000007E-2</v>
      </c>
      <c r="E233" s="186">
        <f t="shared" ref="E233:E244" si="44">C233-D233</f>
        <v>2.4874231576144497</v>
      </c>
      <c r="F233" s="186">
        <f t="shared" ref="F233:F244" si="45">AVERAGE(C233,E233)*$C$22/12</f>
        <v>2.0494688155617401E-2</v>
      </c>
      <c r="G233" s="186"/>
      <c r="H233" s="216"/>
      <c r="I233" s="216"/>
    </row>
    <row r="234" spans="1:9" x14ac:dyDescent="0.25">
      <c r="A234" s="378"/>
      <c r="B234" s="185" t="s">
        <v>175</v>
      </c>
      <c r="C234" s="186">
        <f t="shared" ref="C234:C244" si="46">E233</f>
        <v>2.4874231576144497</v>
      </c>
      <c r="D234" s="179">
        <f>+D233</f>
        <v>7.0000000000000007E-2</v>
      </c>
      <c r="E234" s="186">
        <f t="shared" si="44"/>
        <v>2.4174231576144498</v>
      </c>
      <c r="F234" s="186">
        <f t="shared" si="45"/>
        <v>1.9925938155617409E-2</v>
      </c>
      <c r="G234" s="186"/>
      <c r="H234" s="216"/>
      <c r="I234" s="216"/>
    </row>
    <row r="235" spans="1:9" x14ac:dyDescent="0.25">
      <c r="A235" s="378"/>
      <c r="B235" s="185" t="s">
        <v>176</v>
      </c>
      <c r="C235" s="186">
        <f t="shared" si="46"/>
        <v>2.4174231576144498</v>
      </c>
      <c r="D235" s="179">
        <f t="shared" ref="D235:D244" si="47">+D234</f>
        <v>7.0000000000000007E-2</v>
      </c>
      <c r="E235" s="186">
        <f t="shared" si="44"/>
        <v>2.34742315761445</v>
      </c>
      <c r="F235" s="186">
        <f t="shared" si="45"/>
        <v>1.9357188155617405E-2</v>
      </c>
      <c r="G235" s="186"/>
      <c r="H235" s="216"/>
      <c r="I235" s="216"/>
    </row>
    <row r="236" spans="1:9" x14ac:dyDescent="0.25">
      <c r="A236" s="378"/>
      <c r="B236" s="185" t="s">
        <v>177</v>
      </c>
      <c r="C236" s="186">
        <f t="shared" si="46"/>
        <v>2.34742315761445</v>
      </c>
      <c r="D236" s="179">
        <f t="shared" si="47"/>
        <v>7.0000000000000007E-2</v>
      </c>
      <c r="E236" s="186">
        <f t="shared" si="44"/>
        <v>2.2774231576144501</v>
      </c>
      <c r="F236" s="186">
        <f t="shared" si="45"/>
        <v>1.8788438155617409E-2</v>
      </c>
      <c r="G236" s="186"/>
      <c r="H236" s="216"/>
      <c r="I236" s="216"/>
    </row>
    <row r="237" spans="1:9" x14ac:dyDescent="0.25">
      <c r="A237" s="378"/>
      <c r="B237" s="185" t="s">
        <v>178</v>
      </c>
      <c r="C237" s="186">
        <f t="shared" si="46"/>
        <v>2.2774231576144501</v>
      </c>
      <c r="D237" s="179">
        <f t="shared" si="47"/>
        <v>7.0000000000000007E-2</v>
      </c>
      <c r="E237" s="186">
        <f t="shared" si="44"/>
        <v>2.2074231576144503</v>
      </c>
      <c r="F237" s="186">
        <f t="shared" si="45"/>
        <v>1.8219688155617409E-2</v>
      </c>
      <c r="G237" s="186"/>
      <c r="H237" s="216"/>
      <c r="I237" s="216"/>
    </row>
    <row r="238" spans="1:9" x14ac:dyDescent="0.25">
      <c r="A238" s="378"/>
      <c r="B238" s="185" t="s">
        <v>179</v>
      </c>
      <c r="C238" s="186">
        <f t="shared" si="46"/>
        <v>2.2074231576144503</v>
      </c>
      <c r="D238" s="179">
        <f t="shared" si="47"/>
        <v>7.0000000000000007E-2</v>
      </c>
      <c r="E238" s="186">
        <f t="shared" si="44"/>
        <v>2.1374231576144505</v>
      </c>
      <c r="F238" s="186">
        <f t="shared" si="45"/>
        <v>1.7650938155617413E-2</v>
      </c>
      <c r="G238" s="186"/>
      <c r="H238" s="216"/>
      <c r="I238" s="216"/>
    </row>
    <row r="239" spans="1:9" x14ac:dyDescent="0.25">
      <c r="A239" s="378"/>
      <c r="B239" s="185" t="s">
        <v>180</v>
      </c>
      <c r="C239" s="186">
        <f t="shared" si="46"/>
        <v>2.1374231576144505</v>
      </c>
      <c r="D239" s="179">
        <f t="shared" si="47"/>
        <v>7.0000000000000007E-2</v>
      </c>
      <c r="E239" s="186">
        <f t="shared" si="44"/>
        <v>2.0674231576144506</v>
      </c>
      <c r="F239" s="186">
        <f t="shared" si="45"/>
        <v>1.7082188155617409E-2</v>
      </c>
      <c r="G239" s="186"/>
      <c r="H239" s="216"/>
      <c r="I239" s="216"/>
    </row>
    <row r="240" spans="1:9" x14ac:dyDescent="0.25">
      <c r="A240" s="378"/>
      <c r="B240" s="185" t="s">
        <v>181</v>
      </c>
      <c r="C240" s="186">
        <f t="shared" si="46"/>
        <v>2.0674231576144506</v>
      </c>
      <c r="D240" s="179">
        <f t="shared" si="47"/>
        <v>7.0000000000000007E-2</v>
      </c>
      <c r="E240" s="186">
        <f t="shared" si="44"/>
        <v>1.9974231576144506</v>
      </c>
      <c r="F240" s="186">
        <f t="shared" si="45"/>
        <v>1.651343815561741E-2</v>
      </c>
      <c r="G240" s="186"/>
      <c r="H240" s="216"/>
      <c r="I240" s="216"/>
    </row>
    <row r="241" spans="1:9" x14ac:dyDescent="0.25">
      <c r="A241" s="378"/>
      <c r="B241" s="185" t="s">
        <v>182</v>
      </c>
      <c r="C241" s="186">
        <f t="shared" si="46"/>
        <v>1.9974231576144506</v>
      </c>
      <c r="D241" s="179">
        <f t="shared" si="47"/>
        <v>7.0000000000000007E-2</v>
      </c>
      <c r="E241" s="186">
        <f t="shared" si="44"/>
        <v>1.9274231576144505</v>
      </c>
      <c r="F241" s="186">
        <f t="shared" si="45"/>
        <v>1.594468815561741E-2</v>
      </c>
      <c r="G241" s="186"/>
      <c r="H241" s="216"/>
      <c r="I241" s="216"/>
    </row>
    <row r="242" spans="1:9" x14ac:dyDescent="0.25">
      <c r="A242" s="378"/>
      <c r="B242" s="185" t="s">
        <v>183</v>
      </c>
      <c r="C242" s="186">
        <f t="shared" si="46"/>
        <v>1.9274231576144505</v>
      </c>
      <c r="D242" s="179">
        <f t="shared" si="47"/>
        <v>7.0000000000000007E-2</v>
      </c>
      <c r="E242" s="186">
        <f t="shared" si="44"/>
        <v>1.8574231576144504</v>
      </c>
      <c r="F242" s="186">
        <f t="shared" si="45"/>
        <v>1.5375938155617408E-2</v>
      </c>
      <c r="G242" s="186"/>
      <c r="H242" s="216"/>
      <c r="I242" s="216"/>
    </row>
    <row r="243" spans="1:9" x14ac:dyDescent="0.25">
      <c r="A243" s="378"/>
      <c r="B243" s="185" t="s">
        <v>184</v>
      </c>
      <c r="C243" s="186">
        <f t="shared" si="46"/>
        <v>1.8574231576144504</v>
      </c>
      <c r="D243" s="179">
        <f t="shared" si="47"/>
        <v>7.0000000000000007E-2</v>
      </c>
      <c r="E243" s="186">
        <f t="shared" si="44"/>
        <v>1.7874231576144504</v>
      </c>
      <c r="F243" s="186">
        <f t="shared" si="45"/>
        <v>1.4807188155617412E-2</v>
      </c>
      <c r="G243" s="186"/>
      <c r="H243" s="216"/>
      <c r="I243" s="216"/>
    </row>
    <row r="244" spans="1:9" x14ac:dyDescent="0.25">
      <c r="A244" s="378"/>
      <c r="B244" s="185" t="s">
        <v>185</v>
      </c>
      <c r="C244" s="186">
        <f t="shared" si="46"/>
        <v>1.7874231576144504</v>
      </c>
      <c r="D244" s="179">
        <f t="shared" si="47"/>
        <v>7.0000000000000007E-2</v>
      </c>
      <c r="E244" s="186">
        <f t="shared" si="44"/>
        <v>1.7174231576144503</v>
      </c>
      <c r="F244" s="186">
        <f t="shared" si="45"/>
        <v>1.4238438155617409E-2</v>
      </c>
      <c r="G244" s="186"/>
      <c r="H244" s="216"/>
      <c r="I244" s="216"/>
    </row>
    <row r="245" spans="1:9" x14ac:dyDescent="0.25">
      <c r="A245" s="378">
        <f>A232+1</f>
        <v>15</v>
      </c>
      <c r="B245" s="187" t="s">
        <v>202</v>
      </c>
      <c r="C245" s="188"/>
      <c r="D245" s="190"/>
      <c r="E245" s="188"/>
      <c r="F245" s="188"/>
      <c r="G245" s="188"/>
      <c r="H245" s="217"/>
      <c r="I245" s="217"/>
    </row>
    <row r="246" spans="1:9" x14ac:dyDescent="0.25">
      <c r="A246" s="378"/>
      <c r="B246" s="189" t="s">
        <v>174</v>
      </c>
      <c r="C246" s="190">
        <f>E244</f>
        <v>1.7174231576144503</v>
      </c>
      <c r="D246" s="179">
        <f>+D244</f>
        <v>7.0000000000000007E-2</v>
      </c>
      <c r="E246" s="190">
        <f t="shared" ref="E246:E257" si="48">C246-D246</f>
        <v>1.6474231576144502</v>
      </c>
      <c r="F246" s="190">
        <f t="shared" ref="F246:F257" si="49">AVERAGE(C246,E246)*$C$22/12</f>
        <v>1.3669688155617409E-2</v>
      </c>
      <c r="G246" s="190"/>
      <c r="H246" s="218"/>
      <c r="I246" s="218"/>
    </row>
    <row r="247" spans="1:9" x14ac:dyDescent="0.25">
      <c r="A247" s="378"/>
      <c r="B247" s="189" t="s">
        <v>175</v>
      </c>
      <c r="C247" s="190">
        <f t="shared" ref="C247:C257" si="50">E246</f>
        <v>1.6474231576144502</v>
      </c>
      <c r="D247" s="179">
        <f>+D246</f>
        <v>7.0000000000000007E-2</v>
      </c>
      <c r="E247" s="190">
        <f t="shared" si="48"/>
        <v>1.5774231576144502</v>
      </c>
      <c r="F247" s="190">
        <f t="shared" si="49"/>
        <v>1.3100938155617407E-2</v>
      </c>
      <c r="G247" s="190"/>
      <c r="H247" s="218"/>
      <c r="I247" s="218"/>
    </row>
    <row r="248" spans="1:9" x14ac:dyDescent="0.25">
      <c r="A248" s="378"/>
      <c r="B248" s="189" t="s">
        <v>176</v>
      </c>
      <c r="C248" s="190">
        <f t="shared" si="50"/>
        <v>1.5774231576144502</v>
      </c>
      <c r="D248" s="179">
        <f t="shared" ref="D248:D257" si="51">+D247</f>
        <v>7.0000000000000007E-2</v>
      </c>
      <c r="E248" s="190">
        <f t="shared" si="48"/>
        <v>1.5074231576144501</v>
      </c>
      <c r="F248" s="190">
        <f t="shared" si="49"/>
        <v>1.2532188155617409E-2</v>
      </c>
      <c r="G248" s="190"/>
      <c r="H248" s="218"/>
      <c r="I248" s="218"/>
    </row>
    <row r="249" spans="1:9" x14ac:dyDescent="0.25">
      <c r="A249" s="378"/>
      <c r="B249" s="189" t="s">
        <v>177</v>
      </c>
      <c r="C249" s="190">
        <f t="shared" si="50"/>
        <v>1.5074231576144501</v>
      </c>
      <c r="D249" s="179">
        <f t="shared" si="51"/>
        <v>7.0000000000000007E-2</v>
      </c>
      <c r="E249" s="190">
        <f t="shared" si="48"/>
        <v>1.4374231576144501</v>
      </c>
      <c r="F249" s="190">
        <f t="shared" si="49"/>
        <v>1.1963438155617406E-2</v>
      </c>
      <c r="G249" s="190"/>
      <c r="H249" s="218"/>
      <c r="I249" s="218"/>
    </row>
    <row r="250" spans="1:9" x14ac:dyDescent="0.25">
      <c r="A250" s="378"/>
      <c r="B250" s="189" t="s">
        <v>178</v>
      </c>
      <c r="C250" s="190">
        <f t="shared" si="50"/>
        <v>1.4374231576144501</v>
      </c>
      <c r="D250" s="179">
        <f t="shared" si="51"/>
        <v>7.0000000000000007E-2</v>
      </c>
      <c r="E250" s="190">
        <f t="shared" si="48"/>
        <v>1.36742315761445</v>
      </c>
      <c r="F250" s="190">
        <f t="shared" si="49"/>
        <v>1.1394688155617408E-2</v>
      </c>
      <c r="G250" s="190"/>
      <c r="H250" s="218"/>
      <c r="I250" s="218"/>
    </row>
    <row r="251" spans="1:9" x14ac:dyDescent="0.25">
      <c r="A251" s="378"/>
      <c r="B251" s="189" t="s">
        <v>179</v>
      </c>
      <c r="C251" s="190">
        <f t="shared" si="50"/>
        <v>1.36742315761445</v>
      </c>
      <c r="D251" s="179">
        <f t="shared" si="51"/>
        <v>7.0000000000000007E-2</v>
      </c>
      <c r="E251" s="190">
        <f t="shared" si="48"/>
        <v>1.2974231576144499</v>
      </c>
      <c r="F251" s="190">
        <f t="shared" si="49"/>
        <v>1.0825938155617406E-2</v>
      </c>
      <c r="G251" s="190"/>
      <c r="H251" s="218"/>
      <c r="I251" s="218"/>
    </row>
    <row r="252" spans="1:9" x14ac:dyDescent="0.25">
      <c r="A252" s="378"/>
      <c r="B252" s="189" t="s">
        <v>180</v>
      </c>
      <c r="C252" s="190">
        <f t="shared" si="50"/>
        <v>1.2974231576144499</v>
      </c>
      <c r="D252" s="179">
        <f t="shared" si="51"/>
        <v>7.0000000000000007E-2</v>
      </c>
      <c r="E252" s="190">
        <f t="shared" si="48"/>
        <v>1.2274231576144499</v>
      </c>
      <c r="F252" s="190">
        <f t="shared" si="49"/>
        <v>1.0257188155617407E-2</v>
      </c>
      <c r="G252" s="190"/>
      <c r="H252" s="218"/>
      <c r="I252" s="218"/>
    </row>
    <row r="253" spans="1:9" x14ac:dyDescent="0.25">
      <c r="A253" s="378"/>
      <c r="B253" s="189" t="s">
        <v>181</v>
      </c>
      <c r="C253" s="190">
        <f t="shared" si="50"/>
        <v>1.2274231576144499</v>
      </c>
      <c r="D253" s="179">
        <f t="shared" si="51"/>
        <v>7.0000000000000007E-2</v>
      </c>
      <c r="E253" s="190">
        <f t="shared" si="48"/>
        <v>1.1574231576144498</v>
      </c>
      <c r="F253" s="190">
        <f t="shared" si="49"/>
        <v>9.6884381556174032E-3</v>
      </c>
      <c r="G253" s="190"/>
      <c r="H253" s="218"/>
      <c r="I253" s="218"/>
    </row>
    <row r="254" spans="1:9" x14ac:dyDescent="0.25">
      <c r="A254" s="378"/>
      <c r="B254" s="189" t="s">
        <v>182</v>
      </c>
      <c r="C254" s="190">
        <f t="shared" si="50"/>
        <v>1.1574231576144498</v>
      </c>
      <c r="D254" s="179">
        <f t="shared" si="51"/>
        <v>7.0000000000000007E-2</v>
      </c>
      <c r="E254" s="190">
        <f t="shared" si="48"/>
        <v>1.0874231576144497</v>
      </c>
      <c r="F254" s="190">
        <f t="shared" si="49"/>
        <v>9.1196881556174052E-3</v>
      </c>
      <c r="G254" s="190"/>
      <c r="H254" s="218"/>
      <c r="I254" s="218"/>
    </row>
    <row r="255" spans="1:9" x14ac:dyDescent="0.25">
      <c r="A255" s="378"/>
      <c r="B255" s="189" t="s">
        <v>183</v>
      </c>
      <c r="C255" s="190">
        <f t="shared" si="50"/>
        <v>1.0874231576144497</v>
      </c>
      <c r="D255" s="179">
        <f t="shared" si="51"/>
        <v>7.0000000000000007E-2</v>
      </c>
      <c r="E255" s="190">
        <f t="shared" si="48"/>
        <v>1.0174231576144497</v>
      </c>
      <c r="F255" s="190">
        <f t="shared" si="49"/>
        <v>8.5509381556174036E-3</v>
      </c>
      <c r="G255" s="190"/>
      <c r="H255" s="218"/>
      <c r="I255" s="218"/>
    </row>
    <row r="256" spans="1:9" x14ac:dyDescent="0.25">
      <c r="A256" s="378"/>
      <c r="B256" s="189" t="s">
        <v>184</v>
      </c>
      <c r="C256" s="190">
        <f t="shared" si="50"/>
        <v>1.0174231576144497</v>
      </c>
      <c r="D256" s="179">
        <f t="shared" si="51"/>
        <v>7.0000000000000007E-2</v>
      </c>
      <c r="E256" s="190">
        <f t="shared" si="48"/>
        <v>0.94742315761444962</v>
      </c>
      <c r="F256" s="190">
        <f t="shared" si="49"/>
        <v>7.9821881556174038E-3</v>
      </c>
      <c r="G256" s="190"/>
      <c r="H256" s="218"/>
      <c r="I256" s="218"/>
    </row>
    <row r="257" spans="1:9" x14ac:dyDescent="0.25">
      <c r="A257" s="378"/>
      <c r="B257" s="189" t="s">
        <v>185</v>
      </c>
      <c r="C257" s="190">
        <f t="shared" si="50"/>
        <v>0.94742315761444962</v>
      </c>
      <c r="D257" s="179">
        <f t="shared" si="51"/>
        <v>7.0000000000000007E-2</v>
      </c>
      <c r="E257" s="190">
        <f t="shared" si="48"/>
        <v>0.87742315761444956</v>
      </c>
      <c r="F257" s="190">
        <f t="shared" si="49"/>
        <v>7.4134381556174031E-3</v>
      </c>
      <c r="G257" s="190"/>
      <c r="H257" s="218"/>
      <c r="I257" s="218"/>
    </row>
    <row r="258" spans="1:9" x14ac:dyDescent="0.25">
      <c r="A258" s="378">
        <f>A245+1</f>
        <v>16</v>
      </c>
      <c r="B258" s="183" t="s">
        <v>203</v>
      </c>
      <c r="C258" s="184"/>
      <c r="D258" s="183"/>
      <c r="E258" s="184"/>
      <c r="F258" s="184"/>
      <c r="G258" s="184"/>
      <c r="H258" s="215"/>
      <c r="I258" s="215"/>
    </row>
    <row r="259" spans="1:9" x14ac:dyDescent="0.25">
      <c r="A259" s="378"/>
      <c r="B259" s="185" t="s">
        <v>174</v>
      </c>
      <c r="C259" s="186">
        <f>E257</f>
        <v>0.87742315761444956</v>
      </c>
      <c r="D259" s="179">
        <f>+D257</f>
        <v>7.0000000000000007E-2</v>
      </c>
      <c r="E259" s="186">
        <f t="shared" ref="E259:E270" si="52">C259-D259</f>
        <v>0.80742315761444949</v>
      </c>
      <c r="F259" s="186">
        <f t="shared" ref="F259:F270" si="53">AVERAGE(C259,E259)*$C$22/12</f>
        <v>6.8446881556174025E-3</v>
      </c>
      <c r="G259" s="186"/>
      <c r="H259" s="216"/>
      <c r="I259" s="216"/>
    </row>
    <row r="260" spans="1:9" x14ac:dyDescent="0.25">
      <c r="A260" s="378"/>
      <c r="B260" s="185" t="s">
        <v>175</v>
      </c>
      <c r="C260" s="186">
        <f t="shared" ref="C260:C270" si="54">E259</f>
        <v>0.80742315761444949</v>
      </c>
      <c r="D260" s="179">
        <f>+D259</f>
        <v>7.0000000000000007E-2</v>
      </c>
      <c r="E260" s="186">
        <f t="shared" si="52"/>
        <v>0.73742315761444943</v>
      </c>
      <c r="F260" s="186">
        <f t="shared" si="53"/>
        <v>6.2759381556174026E-3</v>
      </c>
      <c r="G260" s="186"/>
      <c r="H260" s="216"/>
      <c r="I260" s="216"/>
    </row>
    <row r="261" spans="1:9" x14ac:dyDescent="0.25">
      <c r="A261" s="378"/>
      <c r="B261" s="185" t="s">
        <v>176</v>
      </c>
      <c r="C261" s="186">
        <f t="shared" si="54"/>
        <v>0.73742315761444943</v>
      </c>
      <c r="D261" s="179">
        <f t="shared" ref="D261:D269" si="55">+D260</f>
        <v>7.0000000000000007E-2</v>
      </c>
      <c r="E261" s="186">
        <f t="shared" si="52"/>
        <v>0.66742315761444937</v>
      </c>
      <c r="F261" s="186">
        <f t="shared" si="53"/>
        <v>5.707188155617402E-3</v>
      </c>
      <c r="G261" s="186"/>
      <c r="H261" s="216"/>
      <c r="I261" s="216"/>
    </row>
    <row r="262" spans="1:9" x14ac:dyDescent="0.25">
      <c r="A262" s="378"/>
      <c r="B262" s="185" t="s">
        <v>177</v>
      </c>
      <c r="C262" s="186">
        <f t="shared" si="54"/>
        <v>0.66742315761444937</v>
      </c>
      <c r="D262" s="179">
        <f t="shared" si="55"/>
        <v>7.0000000000000007E-2</v>
      </c>
      <c r="E262" s="186">
        <f t="shared" si="52"/>
        <v>0.59742315761444931</v>
      </c>
      <c r="F262" s="186">
        <f t="shared" si="53"/>
        <v>5.1384381556174013E-3</v>
      </c>
      <c r="G262" s="186"/>
      <c r="H262" s="216"/>
      <c r="I262" s="216"/>
    </row>
    <row r="263" spans="1:9" x14ac:dyDescent="0.25">
      <c r="A263" s="378"/>
      <c r="B263" s="185" t="s">
        <v>178</v>
      </c>
      <c r="C263" s="186">
        <f t="shared" si="54"/>
        <v>0.59742315761444931</v>
      </c>
      <c r="D263" s="179">
        <f t="shared" si="55"/>
        <v>7.0000000000000007E-2</v>
      </c>
      <c r="E263" s="186">
        <f t="shared" si="52"/>
        <v>0.52742315761444925</v>
      </c>
      <c r="F263" s="186">
        <f t="shared" si="53"/>
        <v>4.5696881556174006E-3</v>
      </c>
      <c r="G263" s="186"/>
      <c r="H263" s="216"/>
      <c r="I263" s="216"/>
    </row>
    <row r="264" spans="1:9" x14ac:dyDescent="0.25">
      <c r="A264" s="378"/>
      <c r="B264" s="185" t="s">
        <v>179</v>
      </c>
      <c r="C264" s="186">
        <f t="shared" si="54"/>
        <v>0.52742315761444925</v>
      </c>
      <c r="D264" s="179">
        <f t="shared" si="55"/>
        <v>7.0000000000000007E-2</v>
      </c>
      <c r="E264" s="186">
        <f t="shared" si="52"/>
        <v>0.45742315761444924</v>
      </c>
      <c r="F264" s="186">
        <f t="shared" si="53"/>
        <v>4.0009381556173999E-3</v>
      </c>
      <c r="G264" s="186"/>
      <c r="H264" s="216"/>
      <c r="I264" s="216"/>
    </row>
    <row r="265" spans="1:9" x14ac:dyDescent="0.25">
      <c r="A265" s="378"/>
      <c r="B265" s="185" t="s">
        <v>180</v>
      </c>
      <c r="C265" s="186">
        <f t="shared" si="54"/>
        <v>0.45742315761444924</v>
      </c>
      <c r="D265" s="179">
        <f t="shared" si="55"/>
        <v>7.0000000000000007E-2</v>
      </c>
      <c r="E265" s="186">
        <f t="shared" si="52"/>
        <v>0.38742315761444923</v>
      </c>
      <c r="F265" s="186">
        <f t="shared" si="53"/>
        <v>3.4321881556174001E-3</v>
      </c>
      <c r="G265" s="186"/>
      <c r="H265" s="216"/>
      <c r="I265" s="216"/>
    </row>
    <row r="266" spans="1:9" x14ac:dyDescent="0.25">
      <c r="A266" s="378"/>
      <c r="B266" s="185" t="s">
        <v>181</v>
      </c>
      <c r="C266" s="186">
        <f t="shared" si="54"/>
        <v>0.38742315761444923</v>
      </c>
      <c r="D266" s="179">
        <f t="shared" si="55"/>
        <v>7.0000000000000007E-2</v>
      </c>
      <c r="E266" s="186">
        <f t="shared" si="52"/>
        <v>0.31742315761444923</v>
      </c>
      <c r="F266" s="186">
        <f t="shared" si="53"/>
        <v>2.8634381556173999E-3</v>
      </c>
      <c r="G266" s="186"/>
      <c r="H266" s="216"/>
      <c r="I266" s="216"/>
    </row>
    <row r="267" spans="1:9" x14ac:dyDescent="0.25">
      <c r="A267" s="378"/>
      <c r="B267" s="185" t="s">
        <v>182</v>
      </c>
      <c r="C267" s="186">
        <f t="shared" si="54"/>
        <v>0.31742315761444923</v>
      </c>
      <c r="D267" s="179">
        <f t="shared" si="55"/>
        <v>7.0000000000000007E-2</v>
      </c>
      <c r="E267" s="186">
        <f t="shared" si="52"/>
        <v>0.24742315761444922</v>
      </c>
      <c r="F267" s="186">
        <f t="shared" si="53"/>
        <v>2.2946881556174001E-3</v>
      </c>
      <c r="G267" s="186"/>
      <c r="H267" s="216"/>
      <c r="I267" s="216"/>
    </row>
    <row r="268" spans="1:9" x14ac:dyDescent="0.25">
      <c r="A268" s="378"/>
      <c r="B268" s="185" t="s">
        <v>183</v>
      </c>
      <c r="C268" s="186">
        <f t="shared" si="54"/>
        <v>0.24742315761444922</v>
      </c>
      <c r="D268" s="179">
        <f t="shared" si="55"/>
        <v>7.0000000000000007E-2</v>
      </c>
      <c r="E268" s="186">
        <f t="shared" si="52"/>
        <v>0.17742315761444921</v>
      </c>
      <c r="F268" s="186">
        <f t="shared" si="53"/>
        <v>1.7259381556173998E-3</v>
      </c>
      <c r="G268" s="186"/>
      <c r="H268" s="216"/>
      <c r="I268" s="216"/>
    </row>
    <row r="269" spans="1:9" x14ac:dyDescent="0.25">
      <c r="A269" s="378"/>
      <c r="B269" s="185" t="s">
        <v>184</v>
      </c>
      <c r="C269" s="186">
        <f t="shared" si="54"/>
        <v>0.17742315761444921</v>
      </c>
      <c r="D269" s="179">
        <f t="shared" si="55"/>
        <v>7.0000000000000007E-2</v>
      </c>
      <c r="E269" s="186">
        <f t="shared" si="52"/>
        <v>0.10742315761444921</v>
      </c>
      <c r="F269" s="186">
        <f t="shared" si="53"/>
        <v>1.1571881556173998E-3</v>
      </c>
      <c r="G269" s="186"/>
      <c r="H269" s="216"/>
      <c r="I269" s="216"/>
    </row>
    <row r="270" spans="1:9" x14ac:dyDescent="0.25">
      <c r="A270" s="378"/>
      <c r="B270" s="185" t="s">
        <v>185</v>
      </c>
      <c r="C270" s="186">
        <f t="shared" si="54"/>
        <v>0.10742315761444921</v>
      </c>
      <c r="D270" s="179">
        <f>+E269</f>
        <v>0.10742315761444921</v>
      </c>
      <c r="E270" s="186">
        <f t="shared" si="52"/>
        <v>0</v>
      </c>
      <c r="F270" s="186">
        <f t="shared" si="53"/>
        <v>4.3640657780869989E-4</v>
      </c>
      <c r="G270" s="186"/>
      <c r="H270" s="216"/>
      <c r="I270" s="216"/>
    </row>
    <row r="271" spans="1:9" s="252" customFormat="1" ht="15.75" thickBot="1" x14ac:dyDescent="0.3">
      <c r="A271" s="275"/>
      <c r="B271" s="276"/>
      <c r="C271" s="277"/>
      <c r="D271" s="277">
        <f>SUM(D25:D270)</f>
        <v>16.791619367944516</v>
      </c>
      <c r="E271" s="277"/>
      <c r="F271" s="277">
        <f>SUM(F25:F270)</f>
        <v>14.912733980360953</v>
      </c>
      <c r="G271" s="278"/>
      <c r="H271" s="278">
        <f>SUM(H25:H270)</f>
        <v>0</v>
      </c>
      <c r="I271" s="278"/>
    </row>
    <row r="272" spans="1:9" ht="15.75" thickTop="1" x14ac:dyDescent="0.25">
      <c r="C272" s="191" t="s">
        <v>204</v>
      </c>
      <c r="D272" s="192">
        <f>D271-C21</f>
        <v>0</v>
      </c>
      <c r="H272" s="219"/>
      <c r="I272" s="220"/>
    </row>
    <row r="273" spans="8:9" x14ac:dyDescent="0.25">
      <c r="H273" s="219"/>
      <c r="I273" s="220"/>
    </row>
    <row r="274" spans="8:9" x14ac:dyDescent="0.25">
      <c r="H274" s="219"/>
      <c r="I274" s="220"/>
    </row>
    <row r="275" spans="8:9" x14ac:dyDescent="0.25">
      <c r="H275" s="219"/>
      <c r="I275" s="220"/>
    </row>
    <row r="276" spans="8:9" x14ac:dyDescent="0.25">
      <c r="H276" s="219"/>
      <c r="I276" s="220"/>
    </row>
    <row r="277" spans="8:9" x14ac:dyDescent="0.25">
      <c r="H277" s="219"/>
      <c r="I277" s="220"/>
    </row>
    <row r="278" spans="8:9" x14ac:dyDescent="0.25">
      <c r="H278" s="219"/>
      <c r="I278" s="220"/>
    </row>
    <row r="279" spans="8:9" x14ac:dyDescent="0.25">
      <c r="H279" s="219"/>
      <c r="I279" s="220"/>
    </row>
    <row r="280" spans="8:9" x14ac:dyDescent="0.25">
      <c r="H280" s="219"/>
      <c r="I280" s="220"/>
    </row>
    <row r="281" spans="8:9" x14ac:dyDescent="0.25">
      <c r="H281" s="219"/>
      <c r="I281" s="220"/>
    </row>
    <row r="282" spans="8:9" x14ac:dyDescent="0.25">
      <c r="H282" s="193"/>
      <c r="I282" s="194"/>
    </row>
    <row r="283" spans="8:9" x14ac:dyDescent="0.25">
      <c r="H283" s="193"/>
      <c r="I283" s="194"/>
    </row>
    <row r="284" spans="8:9" x14ac:dyDescent="0.25">
      <c r="H284" s="193"/>
      <c r="I284" s="194"/>
    </row>
    <row r="285" spans="8:9" x14ac:dyDescent="0.25">
      <c r="H285" s="193"/>
      <c r="I285" s="194"/>
    </row>
    <row r="286" spans="8:9" x14ac:dyDescent="0.25">
      <c r="H286" s="193"/>
      <c r="I286" s="194"/>
    </row>
    <row r="287" spans="8:9" x14ac:dyDescent="0.25">
      <c r="H287" s="193"/>
      <c r="I287" s="194"/>
    </row>
    <row r="288" spans="8:9" x14ac:dyDescent="0.25">
      <c r="H288" s="193"/>
      <c r="I288" s="194"/>
    </row>
    <row r="289" spans="8:9" x14ac:dyDescent="0.25">
      <c r="H289" s="193"/>
      <c r="I289" s="194"/>
    </row>
    <row r="290" spans="8:9" x14ac:dyDescent="0.25">
      <c r="H290" s="193"/>
      <c r="I290" s="194"/>
    </row>
    <row r="291" spans="8:9" x14ac:dyDescent="0.25">
      <c r="H291" s="193"/>
      <c r="I291" s="194"/>
    </row>
    <row r="292" spans="8:9" x14ac:dyDescent="0.25">
      <c r="H292" s="193"/>
      <c r="I292" s="194"/>
    </row>
    <row r="293" spans="8:9" x14ac:dyDescent="0.25">
      <c r="H293" s="193"/>
      <c r="I293" s="194"/>
    </row>
    <row r="294" spans="8:9" x14ac:dyDescent="0.25">
      <c r="H294" s="193"/>
      <c r="I294" s="194"/>
    </row>
    <row r="295" spans="8:9" x14ac:dyDescent="0.25">
      <c r="H295" s="193"/>
      <c r="I295" s="194"/>
    </row>
    <row r="296" spans="8:9" x14ac:dyDescent="0.25">
      <c r="H296" s="193"/>
      <c r="I296" s="194"/>
    </row>
    <row r="297" spans="8:9" x14ac:dyDescent="0.25">
      <c r="H297" s="193"/>
      <c r="I297" s="194"/>
    </row>
  </sheetData>
  <mergeCells count="17">
    <mergeCell ref="A232:A244"/>
    <mergeCell ref="A258:A270"/>
    <mergeCell ref="D7:E7"/>
    <mergeCell ref="A63:A75"/>
    <mergeCell ref="A76:A88"/>
    <mergeCell ref="A89:A101"/>
    <mergeCell ref="A245:A257"/>
    <mergeCell ref="A102:A114"/>
    <mergeCell ref="A115:A127"/>
    <mergeCell ref="A128:A140"/>
    <mergeCell ref="A141:A153"/>
    <mergeCell ref="A154:A166"/>
    <mergeCell ref="A167:A179"/>
    <mergeCell ref="A180:A192"/>
    <mergeCell ref="A193:A205"/>
    <mergeCell ref="A206:A218"/>
    <mergeCell ref="A219:A23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AD166"/>
  <sheetViews>
    <sheetView showGridLines="0" workbookViewId="0">
      <pane xSplit="2" ySplit="8" topLeftCell="P39" activePane="bottomRight" state="frozen"/>
      <selection activeCell="A9" sqref="A9"/>
      <selection pane="topRight" activeCell="A9" sqref="A9"/>
      <selection pane="bottomLeft" activeCell="A9" sqref="A9"/>
      <selection pane="bottomRight" activeCell="V54" sqref="V54"/>
    </sheetView>
  </sheetViews>
  <sheetFormatPr defaultColWidth="13.7109375" defaultRowHeight="15" x14ac:dyDescent="0.25"/>
  <cols>
    <col min="1" max="1" width="2.28515625" style="67" customWidth="1"/>
    <col min="2" max="2" width="64.7109375" style="67" customWidth="1"/>
    <col min="3" max="3" width="5.42578125" style="67" bestFit="1" customWidth="1"/>
    <col min="4" max="4" width="9.7109375" style="67" bestFit="1" customWidth="1"/>
    <col min="5" max="5" width="12.7109375" style="67" customWidth="1"/>
    <col min="6" max="6" width="10" style="67" bestFit="1" customWidth="1"/>
    <col min="7" max="7" width="9.7109375" style="67" bestFit="1" customWidth="1"/>
    <col min="8" max="8" width="9.7109375" style="112" bestFit="1" customWidth="1"/>
    <col min="9" max="30" width="9.7109375" style="67" bestFit="1" customWidth="1"/>
    <col min="31" max="16384" width="13.7109375" style="67"/>
  </cols>
  <sheetData>
    <row r="1" spans="2:30" s="1" customFormat="1" ht="19.899999999999999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2:30" s="1" customFormat="1" ht="9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</row>
    <row r="4" spans="2:30" s="1" customFormat="1" ht="9" customHeight="1" x14ac:dyDescent="0.25">
      <c r="B4" s="2"/>
      <c r="C4" s="2"/>
      <c r="D4" s="2"/>
      <c r="E4" s="2"/>
      <c r="F4" s="2"/>
      <c r="G4" s="273"/>
    </row>
    <row r="5" spans="2:30" customFormat="1" ht="15.75" x14ac:dyDescent="0.25">
      <c r="B5" s="68" t="s">
        <v>262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</row>
    <row r="6" spans="2:30" customFormat="1" x14ac:dyDescent="0.25">
      <c r="B6" s="274" t="s">
        <v>256</v>
      </c>
      <c r="C6" s="65"/>
      <c r="D6" s="65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s="31" customFormat="1" ht="15.75" x14ac:dyDescent="0.25">
      <c r="C7" s="65"/>
      <c r="D7" s="373" t="s">
        <v>20</v>
      </c>
      <c r="E7" s="373"/>
      <c r="F7" s="377" t="s">
        <v>76</v>
      </c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</row>
    <row r="8" spans="2:30" s="31" customFormat="1" x14ac:dyDescent="0.25">
      <c r="B8" s="70" t="s">
        <v>255</v>
      </c>
      <c r="C8" s="71" t="s">
        <v>78</v>
      </c>
      <c r="D8" s="72"/>
      <c r="E8" s="72">
        <f>'Revenue &amp; Expenses Modeling'!E8</f>
        <v>45991</v>
      </c>
      <c r="F8" s="72">
        <f>DATE(YEAR(E8),MONTH(E8)+4,DAY(E8)+1)</f>
        <v>46112</v>
      </c>
      <c r="G8" s="72">
        <f>DATE(YEAR(F8)+1,MONTH(F8),DAY(F8))</f>
        <v>46477</v>
      </c>
      <c r="H8" s="72">
        <f t="shared" ref="H8:AD8" si="0">DATE(YEAR(G8)+1,MONTH(G8),DAY(G8))</f>
        <v>46843</v>
      </c>
      <c r="I8" s="72">
        <f t="shared" si="0"/>
        <v>47208</v>
      </c>
      <c r="J8" s="72">
        <f t="shared" si="0"/>
        <v>47573</v>
      </c>
      <c r="K8" s="72">
        <f t="shared" si="0"/>
        <v>47938</v>
      </c>
      <c r="L8" s="72">
        <f t="shared" si="0"/>
        <v>48304</v>
      </c>
      <c r="M8" s="72">
        <f t="shared" si="0"/>
        <v>48669</v>
      </c>
      <c r="N8" s="72">
        <f t="shared" si="0"/>
        <v>49034</v>
      </c>
      <c r="O8" s="72">
        <f t="shared" si="0"/>
        <v>49399</v>
      </c>
      <c r="P8" s="72">
        <f t="shared" si="0"/>
        <v>49765</v>
      </c>
      <c r="Q8" s="72">
        <f t="shared" si="0"/>
        <v>50130</v>
      </c>
      <c r="R8" s="72">
        <f t="shared" si="0"/>
        <v>50495</v>
      </c>
      <c r="S8" s="72">
        <f t="shared" si="0"/>
        <v>50860</v>
      </c>
      <c r="T8" s="72">
        <f t="shared" si="0"/>
        <v>51226</v>
      </c>
      <c r="U8" s="72">
        <f t="shared" si="0"/>
        <v>51591</v>
      </c>
      <c r="V8" s="72">
        <f t="shared" si="0"/>
        <v>51956</v>
      </c>
      <c r="W8" s="72">
        <f t="shared" si="0"/>
        <v>52321</v>
      </c>
      <c r="X8" s="72">
        <f t="shared" si="0"/>
        <v>52687</v>
      </c>
      <c r="Y8" s="72">
        <f t="shared" si="0"/>
        <v>53052</v>
      </c>
      <c r="Z8" s="72">
        <f t="shared" si="0"/>
        <v>53417</v>
      </c>
      <c r="AA8" s="72">
        <f t="shared" si="0"/>
        <v>53782</v>
      </c>
      <c r="AB8" s="72">
        <f t="shared" si="0"/>
        <v>54148</v>
      </c>
      <c r="AC8" s="72">
        <f t="shared" si="0"/>
        <v>54513</v>
      </c>
      <c r="AD8" s="72">
        <f t="shared" si="0"/>
        <v>54878</v>
      </c>
    </row>
    <row r="9" spans="2:30" x14ac:dyDescent="0.25">
      <c r="B9" s="73" t="s">
        <v>79</v>
      </c>
      <c r="C9" s="74"/>
      <c r="D9" s="75"/>
      <c r="E9" s="75">
        <v>0</v>
      </c>
      <c r="F9" s="76">
        <v>1</v>
      </c>
      <c r="G9" s="76">
        <f>F9+1</f>
        <v>2</v>
      </c>
      <c r="H9" s="76">
        <f t="shared" ref="H9:AD9" si="1">G9+1</f>
        <v>3</v>
      </c>
      <c r="I9" s="76">
        <f t="shared" si="1"/>
        <v>4</v>
      </c>
      <c r="J9" s="76">
        <f t="shared" si="1"/>
        <v>5</v>
      </c>
      <c r="K9" s="76">
        <f t="shared" si="1"/>
        <v>6</v>
      </c>
      <c r="L9" s="76">
        <f t="shared" si="1"/>
        <v>7</v>
      </c>
      <c r="M9" s="76">
        <f t="shared" si="1"/>
        <v>8</v>
      </c>
      <c r="N9" s="76">
        <f t="shared" si="1"/>
        <v>9</v>
      </c>
      <c r="O9" s="76">
        <f t="shared" si="1"/>
        <v>10</v>
      </c>
      <c r="P9" s="76">
        <f t="shared" si="1"/>
        <v>11</v>
      </c>
      <c r="Q9" s="76">
        <f t="shared" si="1"/>
        <v>12</v>
      </c>
      <c r="R9" s="76">
        <f t="shared" si="1"/>
        <v>13</v>
      </c>
      <c r="S9" s="76">
        <f t="shared" si="1"/>
        <v>14</v>
      </c>
      <c r="T9" s="76">
        <f t="shared" si="1"/>
        <v>15</v>
      </c>
      <c r="U9" s="76">
        <f t="shared" si="1"/>
        <v>16</v>
      </c>
      <c r="V9" s="76">
        <f t="shared" si="1"/>
        <v>17</v>
      </c>
      <c r="W9" s="76">
        <f t="shared" si="1"/>
        <v>18</v>
      </c>
      <c r="X9" s="76">
        <f t="shared" si="1"/>
        <v>19</v>
      </c>
      <c r="Y9" s="76">
        <f t="shared" si="1"/>
        <v>20</v>
      </c>
      <c r="Z9" s="76">
        <f t="shared" si="1"/>
        <v>21</v>
      </c>
      <c r="AA9" s="76">
        <f t="shared" si="1"/>
        <v>22</v>
      </c>
      <c r="AB9" s="76">
        <f t="shared" si="1"/>
        <v>23</v>
      </c>
      <c r="AC9" s="76">
        <f t="shared" si="1"/>
        <v>24</v>
      </c>
      <c r="AD9" s="76">
        <f t="shared" si="1"/>
        <v>25</v>
      </c>
    </row>
    <row r="10" spans="2:30" x14ac:dyDescent="0.25">
      <c r="B10" s="73" t="s">
        <v>80</v>
      </c>
      <c r="C10" s="74"/>
      <c r="D10" s="75"/>
      <c r="E10" s="75">
        <v>8</v>
      </c>
      <c r="F10" s="74">
        <f>MONTH(F8-E8)</f>
        <v>4</v>
      </c>
      <c r="G10" s="74">
        <f t="shared" ref="G10:AD10" si="2">MONTH(G8-F8)</f>
        <v>12</v>
      </c>
      <c r="H10" s="74">
        <f t="shared" si="2"/>
        <v>12</v>
      </c>
      <c r="I10" s="74">
        <f t="shared" si="2"/>
        <v>12</v>
      </c>
      <c r="J10" s="74">
        <f t="shared" si="2"/>
        <v>12</v>
      </c>
      <c r="K10" s="74">
        <f t="shared" si="2"/>
        <v>12</v>
      </c>
      <c r="L10" s="74">
        <f t="shared" si="2"/>
        <v>12</v>
      </c>
      <c r="M10" s="74">
        <f t="shared" si="2"/>
        <v>12</v>
      </c>
      <c r="N10" s="74">
        <f t="shared" si="2"/>
        <v>12</v>
      </c>
      <c r="O10" s="74">
        <f t="shared" si="2"/>
        <v>12</v>
      </c>
      <c r="P10" s="74">
        <f t="shared" si="2"/>
        <v>12</v>
      </c>
      <c r="Q10" s="74">
        <f t="shared" si="2"/>
        <v>12</v>
      </c>
      <c r="R10" s="74">
        <f t="shared" si="2"/>
        <v>12</v>
      </c>
      <c r="S10" s="74">
        <f t="shared" si="2"/>
        <v>12</v>
      </c>
      <c r="T10" s="74">
        <f t="shared" si="2"/>
        <v>12</v>
      </c>
      <c r="U10" s="74">
        <f t="shared" si="2"/>
        <v>12</v>
      </c>
      <c r="V10" s="74">
        <f t="shared" si="2"/>
        <v>12</v>
      </c>
      <c r="W10" s="74">
        <f t="shared" si="2"/>
        <v>12</v>
      </c>
      <c r="X10" s="74">
        <f t="shared" si="2"/>
        <v>12</v>
      </c>
      <c r="Y10" s="74">
        <f t="shared" si="2"/>
        <v>12</v>
      </c>
      <c r="Z10" s="74">
        <f t="shared" si="2"/>
        <v>12</v>
      </c>
      <c r="AA10" s="74">
        <f t="shared" si="2"/>
        <v>12</v>
      </c>
      <c r="AB10" s="74">
        <f t="shared" si="2"/>
        <v>12</v>
      </c>
      <c r="AC10" s="74">
        <f t="shared" si="2"/>
        <v>12</v>
      </c>
      <c r="AD10" s="74">
        <f t="shared" si="2"/>
        <v>12</v>
      </c>
    </row>
    <row r="11" spans="2:30" x14ac:dyDescent="0.25">
      <c r="H11" s="67"/>
    </row>
    <row r="12" spans="2:30" x14ac:dyDescent="0.25">
      <c r="B12" s="78" t="s">
        <v>81</v>
      </c>
      <c r="C12" s="78"/>
      <c r="D12" s="78"/>
      <c r="E12" s="78"/>
      <c r="F12" s="79">
        <f>F8-E8</f>
        <v>121</v>
      </c>
      <c r="G12" s="79">
        <f>G8-F8</f>
        <v>365</v>
      </c>
      <c r="H12" s="79">
        <f t="shared" ref="H12:AD12" si="3">H8-G8</f>
        <v>366</v>
      </c>
      <c r="I12" s="79">
        <f t="shared" si="3"/>
        <v>365</v>
      </c>
      <c r="J12" s="79">
        <f t="shared" si="3"/>
        <v>365</v>
      </c>
      <c r="K12" s="79">
        <f t="shared" si="3"/>
        <v>365</v>
      </c>
      <c r="L12" s="79">
        <f t="shared" si="3"/>
        <v>366</v>
      </c>
      <c r="M12" s="79">
        <f t="shared" si="3"/>
        <v>365</v>
      </c>
      <c r="N12" s="79">
        <f t="shared" si="3"/>
        <v>365</v>
      </c>
      <c r="O12" s="79">
        <f t="shared" si="3"/>
        <v>365</v>
      </c>
      <c r="P12" s="79">
        <f t="shared" si="3"/>
        <v>366</v>
      </c>
      <c r="Q12" s="79">
        <f t="shared" si="3"/>
        <v>365</v>
      </c>
      <c r="R12" s="79">
        <f t="shared" si="3"/>
        <v>365</v>
      </c>
      <c r="S12" s="79">
        <f t="shared" si="3"/>
        <v>365</v>
      </c>
      <c r="T12" s="79">
        <f t="shared" si="3"/>
        <v>366</v>
      </c>
      <c r="U12" s="79">
        <f t="shared" si="3"/>
        <v>365</v>
      </c>
      <c r="V12" s="79">
        <f t="shared" si="3"/>
        <v>365</v>
      </c>
      <c r="W12" s="79">
        <f t="shared" si="3"/>
        <v>365</v>
      </c>
      <c r="X12" s="79">
        <f t="shared" si="3"/>
        <v>366</v>
      </c>
      <c r="Y12" s="79">
        <f t="shared" si="3"/>
        <v>365</v>
      </c>
      <c r="Z12" s="79">
        <f t="shared" si="3"/>
        <v>365</v>
      </c>
      <c r="AA12" s="79">
        <f t="shared" si="3"/>
        <v>365</v>
      </c>
      <c r="AB12" s="79">
        <f t="shared" si="3"/>
        <v>366</v>
      </c>
      <c r="AC12" s="79">
        <f t="shared" si="3"/>
        <v>365</v>
      </c>
      <c r="AD12" s="79">
        <f t="shared" si="3"/>
        <v>365</v>
      </c>
    </row>
    <row r="13" spans="2:30" x14ac:dyDescent="0.25">
      <c r="H13" s="67"/>
    </row>
    <row r="14" spans="2:30" x14ac:dyDescent="0.25">
      <c r="B14" s="78" t="s">
        <v>82</v>
      </c>
      <c r="C14" s="78"/>
      <c r="D14" s="78"/>
      <c r="E14" s="78"/>
      <c r="F14" s="79">
        <f>'[2]Common Assumption'!D20</f>
        <v>24</v>
      </c>
      <c r="G14" s="79">
        <f>F14</f>
        <v>24</v>
      </c>
      <c r="H14" s="79">
        <f t="shared" ref="H14:AD14" si="4">G14</f>
        <v>24</v>
      </c>
      <c r="I14" s="79">
        <f t="shared" si="4"/>
        <v>24</v>
      </c>
      <c r="J14" s="79">
        <f t="shared" si="4"/>
        <v>24</v>
      </c>
      <c r="K14" s="79">
        <f t="shared" si="4"/>
        <v>24</v>
      </c>
      <c r="L14" s="79">
        <f t="shared" si="4"/>
        <v>24</v>
      </c>
      <c r="M14" s="79">
        <f t="shared" si="4"/>
        <v>24</v>
      </c>
      <c r="N14" s="79">
        <f t="shared" si="4"/>
        <v>24</v>
      </c>
      <c r="O14" s="79">
        <f t="shared" si="4"/>
        <v>24</v>
      </c>
      <c r="P14" s="79">
        <f t="shared" si="4"/>
        <v>24</v>
      </c>
      <c r="Q14" s="79">
        <f t="shared" si="4"/>
        <v>24</v>
      </c>
      <c r="R14" s="79">
        <f t="shared" si="4"/>
        <v>24</v>
      </c>
      <c r="S14" s="79">
        <f t="shared" si="4"/>
        <v>24</v>
      </c>
      <c r="T14" s="79">
        <f t="shared" si="4"/>
        <v>24</v>
      </c>
      <c r="U14" s="79">
        <f t="shared" si="4"/>
        <v>24</v>
      </c>
      <c r="V14" s="79">
        <f t="shared" si="4"/>
        <v>24</v>
      </c>
      <c r="W14" s="79">
        <f t="shared" si="4"/>
        <v>24</v>
      </c>
      <c r="X14" s="79">
        <f t="shared" si="4"/>
        <v>24</v>
      </c>
      <c r="Y14" s="79">
        <f t="shared" si="4"/>
        <v>24</v>
      </c>
      <c r="Z14" s="79">
        <f t="shared" si="4"/>
        <v>24</v>
      </c>
      <c r="AA14" s="79">
        <f t="shared" si="4"/>
        <v>24</v>
      </c>
      <c r="AB14" s="79">
        <f t="shared" si="4"/>
        <v>24</v>
      </c>
      <c r="AC14" s="79">
        <f t="shared" si="4"/>
        <v>24</v>
      </c>
      <c r="AD14" s="79">
        <f t="shared" si="4"/>
        <v>24</v>
      </c>
    </row>
    <row r="15" spans="2:30" x14ac:dyDescent="0.25">
      <c r="G15" s="110"/>
      <c r="H15" s="67"/>
    </row>
    <row r="16" spans="2:30" x14ac:dyDescent="0.25">
      <c r="B16" s="70" t="s">
        <v>261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</row>
    <row r="17" spans="2:30" x14ac:dyDescent="0.25">
      <c r="B17" s="225" t="s">
        <v>0</v>
      </c>
      <c r="C17" s="226"/>
      <c r="D17" s="227"/>
      <c r="E17" s="227">
        <f t="shared" ref="E17:AD17" si="5">E8</f>
        <v>45991</v>
      </c>
      <c r="F17" s="228">
        <f t="shared" si="5"/>
        <v>46112</v>
      </c>
      <c r="G17" s="228">
        <f t="shared" si="5"/>
        <v>46477</v>
      </c>
      <c r="H17" s="228">
        <f t="shared" si="5"/>
        <v>46843</v>
      </c>
      <c r="I17" s="228">
        <f t="shared" si="5"/>
        <v>47208</v>
      </c>
      <c r="J17" s="228">
        <f t="shared" si="5"/>
        <v>47573</v>
      </c>
      <c r="K17" s="228">
        <f t="shared" si="5"/>
        <v>47938</v>
      </c>
      <c r="L17" s="228">
        <f t="shared" si="5"/>
        <v>48304</v>
      </c>
      <c r="M17" s="228">
        <f t="shared" si="5"/>
        <v>48669</v>
      </c>
      <c r="N17" s="228">
        <f t="shared" si="5"/>
        <v>49034</v>
      </c>
      <c r="O17" s="228">
        <f t="shared" si="5"/>
        <v>49399</v>
      </c>
      <c r="P17" s="228">
        <f t="shared" si="5"/>
        <v>49765</v>
      </c>
      <c r="Q17" s="228">
        <f t="shared" si="5"/>
        <v>50130</v>
      </c>
      <c r="R17" s="228">
        <f t="shared" si="5"/>
        <v>50495</v>
      </c>
      <c r="S17" s="228">
        <f t="shared" si="5"/>
        <v>50860</v>
      </c>
      <c r="T17" s="228">
        <f t="shared" si="5"/>
        <v>51226</v>
      </c>
      <c r="U17" s="228">
        <f t="shared" si="5"/>
        <v>51591</v>
      </c>
      <c r="V17" s="228">
        <f t="shared" si="5"/>
        <v>51956</v>
      </c>
      <c r="W17" s="228">
        <f t="shared" si="5"/>
        <v>52321</v>
      </c>
      <c r="X17" s="228">
        <f t="shared" si="5"/>
        <v>52687</v>
      </c>
      <c r="Y17" s="228">
        <f t="shared" si="5"/>
        <v>53052</v>
      </c>
      <c r="Z17" s="228">
        <f t="shared" si="5"/>
        <v>53417</v>
      </c>
      <c r="AA17" s="228">
        <f t="shared" si="5"/>
        <v>53782</v>
      </c>
      <c r="AB17" s="228">
        <f t="shared" si="5"/>
        <v>54148</v>
      </c>
      <c r="AC17" s="228">
        <f t="shared" si="5"/>
        <v>54513</v>
      </c>
      <c r="AD17" s="228">
        <f t="shared" si="5"/>
        <v>54878</v>
      </c>
    </row>
    <row r="18" spans="2:30" x14ac:dyDescent="0.25">
      <c r="B18" s="31" t="s">
        <v>125</v>
      </c>
      <c r="C18" s="31"/>
      <c r="D18" s="83"/>
      <c r="E18" s="83"/>
      <c r="F18" s="83">
        <f>'PC &amp; MoF'!H7</f>
        <v>0</v>
      </c>
      <c r="G18" s="83">
        <f>F18</f>
        <v>0</v>
      </c>
      <c r="H18" s="83">
        <f t="shared" ref="H18:AD20" si="6">G18</f>
        <v>0</v>
      </c>
      <c r="I18" s="83">
        <f t="shared" si="6"/>
        <v>0</v>
      </c>
      <c r="J18" s="83">
        <f t="shared" si="6"/>
        <v>0</v>
      </c>
      <c r="K18" s="83">
        <f t="shared" si="6"/>
        <v>0</v>
      </c>
      <c r="L18" s="83">
        <f t="shared" si="6"/>
        <v>0</v>
      </c>
      <c r="M18" s="83">
        <f t="shared" si="6"/>
        <v>0</v>
      </c>
      <c r="N18" s="83">
        <f t="shared" si="6"/>
        <v>0</v>
      </c>
      <c r="O18" s="83">
        <f t="shared" si="6"/>
        <v>0</v>
      </c>
      <c r="P18" s="83">
        <f t="shared" si="6"/>
        <v>0</v>
      </c>
      <c r="Q18" s="83">
        <f t="shared" si="6"/>
        <v>0</v>
      </c>
      <c r="R18" s="83">
        <f t="shared" si="6"/>
        <v>0</v>
      </c>
      <c r="S18" s="83">
        <f t="shared" si="6"/>
        <v>0</v>
      </c>
      <c r="T18" s="83">
        <f t="shared" si="6"/>
        <v>0</v>
      </c>
      <c r="U18" s="83">
        <f t="shared" si="6"/>
        <v>0</v>
      </c>
      <c r="V18" s="83">
        <f t="shared" si="6"/>
        <v>0</v>
      </c>
      <c r="W18" s="83">
        <f t="shared" si="6"/>
        <v>0</v>
      </c>
      <c r="X18" s="83">
        <f t="shared" si="6"/>
        <v>0</v>
      </c>
      <c r="Y18" s="83">
        <f t="shared" si="6"/>
        <v>0</v>
      </c>
      <c r="Z18" s="83">
        <f t="shared" si="6"/>
        <v>0</v>
      </c>
      <c r="AA18" s="83">
        <f t="shared" si="6"/>
        <v>0</v>
      </c>
      <c r="AB18" s="83">
        <f t="shared" si="6"/>
        <v>0</v>
      </c>
      <c r="AC18" s="83">
        <f t="shared" si="6"/>
        <v>0</v>
      </c>
      <c r="AD18" s="83">
        <f t="shared" si="6"/>
        <v>0</v>
      </c>
    </row>
    <row r="19" spans="2:30" x14ac:dyDescent="0.25">
      <c r="B19" s="229" t="s">
        <v>210</v>
      </c>
      <c r="C19" s="229"/>
      <c r="D19" s="230"/>
      <c r="E19" s="230"/>
      <c r="F19" s="230">
        <v>0</v>
      </c>
      <c r="G19" s="230">
        <v>0</v>
      </c>
      <c r="H19" s="230">
        <v>0</v>
      </c>
      <c r="I19" s="230">
        <v>0</v>
      </c>
      <c r="J19" s="230">
        <v>0</v>
      </c>
      <c r="K19" s="230">
        <v>0</v>
      </c>
      <c r="L19" s="230">
        <v>0</v>
      </c>
      <c r="M19" s="230">
        <v>0</v>
      </c>
      <c r="N19" s="230">
        <v>0</v>
      </c>
      <c r="O19" s="230">
        <v>0</v>
      </c>
      <c r="P19" s="230">
        <v>0</v>
      </c>
      <c r="Q19" s="230">
        <v>0</v>
      </c>
      <c r="R19" s="230">
        <v>0</v>
      </c>
      <c r="S19" s="230">
        <v>0</v>
      </c>
      <c r="T19" s="230">
        <v>0</v>
      </c>
      <c r="U19" s="230">
        <v>0</v>
      </c>
      <c r="V19" s="230">
        <v>0</v>
      </c>
      <c r="W19" s="230">
        <v>0</v>
      </c>
      <c r="X19" s="230">
        <v>0</v>
      </c>
      <c r="Y19" s="230">
        <v>0</v>
      </c>
      <c r="Z19" s="230">
        <v>0</v>
      </c>
      <c r="AA19" s="230">
        <v>0</v>
      </c>
      <c r="AB19" s="230">
        <v>0</v>
      </c>
      <c r="AC19" s="230">
        <v>0</v>
      </c>
      <c r="AD19" s="230">
        <v>0</v>
      </c>
    </row>
    <row r="20" spans="2:30" x14ac:dyDescent="0.25">
      <c r="B20" s="31" t="s">
        <v>2</v>
      </c>
      <c r="C20" s="31"/>
      <c r="D20" s="83"/>
      <c r="E20" s="83"/>
      <c r="F20" s="83">
        <f>'PC &amp; MoF'!H8</f>
        <v>0</v>
      </c>
      <c r="G20" s="83">
        <f>F20</f>
        <v>0</v>
      </c>
      <c r="H20" s="83">
        <f t="shared" si="6"/>
        <v>0</v>
      </c>
      <c r="I20" s="83">
        <f t="shared" si="6"/>
        <v>0</v>
      </c>
      <c r="J20" s="83">
        <f t="shared" si="6"/>
        <v>0</v>
      </c>
      <c r="K20" s="83">
        <f t="shared" si="6"/>
        <v>0</v>
      </c>
      <c r="L20" s="83">
        <f t="shared" si="6"/>
        <v>0</v>
      </c>
      <c r="M20" s="83">
        <f t="shared" si="6"/>
        <v>0</v>
      </c>
      <c r="N20" s="83">
        <f t="shared" si="6"/>
        <v>0</v>
      </c>
      <c r="O20" s="83">
        <f t="shared" si="6"/>
        <v>0</v>
      </c>
      <c r="P20" s="83">
        <f t="shared" si="6"/>
        <v>0</v>
      </c>
      <c r="Q20" s="83">
        <f t="shared" si="6"/>
        <v>0</v>
      </c>
      <c r="R20" s="83">
        <f t="shared" si="6"/>
        <v>0</v>
      </c>
      <c r="S20" s="83">
        <f t="shared" si="6"/>
        <v>0</v>
      </c>
      <c r="T20" s="83">
        <f t="shared" si="6"/>
        <v>0</v>
      </c>
      <c r="U20" s="83">
        <f t="shared" si="6"/>
        <v>0</v>
      </c>
      <c r="V20" s="83">
        <f t="shared" si="6"/>
        <v>0</v>
      </c>
      <c r="W20" s="83">
        <f t="shared" si="6"/>
        <v>0</v>
      </c>
      <c r="X20" s="83">
        <f t="shared" si="6"/>
        <v>0</v>
      </c>
      <c r="Y20" s="83">
        <f t="shared" si="6"/>
        <v>0</v>
      </c>
      <c r="Z20" s="83">
        <f t="shared" si="6"/>
        <v>0</v>
      </c>
      <c r="AA20" s="83">
        <f t="shared" si="6"/>
        <v>0</v>
      </c>
      <c r="AB20" s="83">
        <f t="shared" si="6"/>
        <v>0</v>
      </c>
      <c r="AC20" s="83">
        <f t="shared" si="6"/>
        <v>0</v>
      </c>
      <c r="AD20" s="83">
        <f t="shared" si="6"/>
        <v>0</v>
      </c>
    </row>
    <row r="21" spans="2:30" x14ac:dyDescent="0.25">
      <c r="B21" s="229" t="str">
        <f>"SLM Depreciation " &amp; B20</f>
        <v>SLM Depreciation Building &amp; Civil Works</v>
      </c>
      <c r="C21" s="229"/>
      <c r="D21" s="230"/>
      <c r="E21" s="230"/>
      <c r="F21" s="231">
        <f>(F20-F20*5%)*Assumptions!$D$65/365*F12</f>
        <v>0</v>
      </c>
      <c r="G21" s="231">
        <f>(G20-G20*5%)*Assumptions!$D$65/365*G12</f>
        <v>0</v>
      </c>
      <c r="H21" s="231">
        <f>(H20-H20*5%)*Assumptions!$D$65/365*H12</f>
        <v>0</v>
      </c>
      <c r="I21" s="231">
        <f>(I20-I20*5%)*Assumptions!$D$65/365*I12</f>
        <v>0</v>
      </c>
      <c r="J21" s="231">
        <f>(J20-J20*5%)*Assumptions!$D$65/365*J12</f>
        <v>0</v>
      </c>
      <c r="K21" s="231">
        <f>(K20-K20*5%)*Assumptions!$D$65/365*K12</f>
        <v>0</v>
      </c>
      <c r="L21" s="231">
        <f>(L20-L20*5%)*Assumptions!$D$65/365*L12</f>
        <v>0</v>
      </c>
      <c r="M21" s="231">
        <f>(M20-M20*5%)*Assumptions!$D$65/365*M12</f>
        <v>0</v>
      </c>
      <c r="N21" s="231">
        <f>(N20-N20*5%)*Assumptions!$D$65/365*N12</f>
        <v>0</v>
      </c>
      <c r="O21" s="231">
        <f>(O20-O20*5%)*Assumptions!$D$65/365*O12</f>
        <v>0</v>
      </c>
      <c r="P21" s="231">
        <f>(P20-P20*5%)*Assumptions!$D$65/365*P12</f>
        <v>0</v>
      </c>
      <c r="Q21" s="231">
        <f>(Q20-Q20*5%)*Assumptions!$D$65/365*Q12</f>
        <v>0</v>
      </c>
      <c r="R21" s="231">
        <f>(R20-R20*5%)*Assumptions!$D$65/365*R12</f>
        <v>0</v>
      </c>
      <c r="S21" s="231">
        <f>(S20-S20*5%)*Assumptions!$D$65/365*S12</f>
        <v>0</v>
      </c>
      <c r="T21" s="231">
        <f>(T20-T20*5%)*Assumptions!$D$65/365*T12</f>
        <v>0</v>
      </c>
      <c r="U21" s="231">
        <f>(U20-U20*5%)*Assumptions!$D$65/365*U12</f>
        <v>0</v>
      </c>
      <c r="V21" s="231">
        <f>(V20-V20*5%)*Assumptions!$D$65/365*V12</f>
        <v>0</v>
      </c>
      <c r="W21" s="231">
        <f>(W20-W20*5%)*Assumptions!$D$65/365*W12</f>
        <v>0</v>
      </c>
      <c r="X21" s="231">
        <f>(X20-X20*5%)*Assumptions!$D$65/365*X12</f>
        <v>0</v>
      </c>
      <c r="Y21" s="231">
        <f>(Y20-Y20*5%)*Assumptions!$D$65/365*Y12</f>
        <v>0</v>
      </c>
      <c r="Z21" s="231">
        <f>(Z20-Z20*5%)*Assumptions!$D$65/365*Z12</f>
        <v>0</v>
      </c>
      <c r="AA21" s="231">
        <f>(AA20-AA20*5%)*Assumptions!$D$65/365*AA12</f>
        <v>0</v>
      </c>
      <c r="AB21" s="231">
        <f>(AB20-AB20*5%)*Assumptions!$D$65/365*AB12</f>
        <v>0</v>
      </c>
      <c r="AC21" s="231">
        <f>(AC20-AC20*5%)*Assumptions!$D$65/365*AC12</f>
        <v>0</v>
      </c>
      <c r="AD21" s="231">
        <f>(AD20-AD20*5%)*Assumptions!$D$65/365*AD12</f>
        <v>0</v>
      </c>
    </row>
    <row r="22" spans="2:30" x14ac:dyDescent="0.25">
      <c r="B22" s="31" t="s">
        <v>127</v>
      </c>
      <c r="C22" s="31"/>
      <c r="D22" s="83"/>
      <c r="E22" s="83"/>
      <c r="F22" s="83">
        <f>'PC &amp; MoF'!H9</f>
        <v>23.331796367458136</v>
      </c>
      <c r="G22" s="83">
        <f>F22</f>
        <v>23.331796367458136</v>
      </c>
      <c r="H22" s="83">
        <f t="shared" ref="H22:AD22" si="7">G22</f>
        <v>23.331796367458136</v>
      </c>
      <c r="I22" s="83">
        <f t="shared" si="7"/>
        <v>23.331796367458136</v>
      </c>
      <c r="J22" s="83">
        <f t="shared" si="7"/>
        <v>23.331796367458136</v>
      </c>
      <c r="K22" s="83">
        <f t="shared" si="7"/>
        <v>23.331796367458136</v>
      </c>
      <c r="L22" s="83">
        <f t="shared" si="7"/>
        <v>23.331796367458136</v>
      </c>
      <c r="M22" s="83">
        <f t="shared" si="7"/>
        <v>23.331796367458136</v>
      </c>
      <c r="N22" s="83">
        <f t="shared" si="7"/>
        <v>23.331796367458136</v>
      </c>
      <c r="O22" s="83">
        <f t="shared" si="7"/>
        <v>23.331796367458136</v>
      </c>
      <c r="P22" s="83">
        <f t="shared" si="7"/>
        <v>23.331796367458136</v>
      </c>
      <c r="Q22" s="83">
        <f t="shared" si="7"/>
        <v>23.331796367458136</v>
      </c>
      <c r="R22" s="83">
        <f t="shared" si="7"/>
        <v>23.331796367458136</v>
      </c>
      <c r="S22" s="83">
        <f t="shared" si="7"/>
        <v>23.331796367458136</v>
      </c>
      <c r="T22" s="83">
        <f t="shared" si="7"/>
        <v>23.331796367458136</v>
      </c>
      <c r="U22" s="83">
        <f t="shared" si="7"/>
        <v>23.331796367458136</v>
      </c>
      <c r="V22" s="83">
        <f t="shared" si="7"/>
        <v>23.331796367458136</v>
      </c>
      <c r="W22" s="83">
        <f t="shared" si="7"/>
        <v>23.331796367458136</v>
      </c>
      <c r="X22" s="83">
        <f t="shared" si="7"/>
        <v>23.331796367458136</v>
      </c>
      <c r="Y22" s="83">
        <f t="shared" si="7"/>
        <v>23.331796367458136</v>
      </c>
      <c r="Z22" s="83">
        <f t="shared" si="7"/>
        <v>23.331796367458136</v>
      </c>
      <c r="AA22" s="83">
        <f t="shared" si="7"/>
        <v>23.331796367458136</v>
      </c>
      <c r="AB22" s="83">
        <f t="shared" si="7"/>
        <v>23.331796367458136</v>
      </c>
      <c r="AC22" s="83">
        <f t="shared" si="7"/>
        <v>23.331796367458136</v>
      </c>
      <c r="AD22" s="83">
        <f t="shared" si="7"/>
        <v>23.331796367458136</v>
      </c>
    </row>
    <row r="23" spans="2:30" x14ac:dyDescent="0.25">
      <c r="B23" s="229" t="str">
        <f>"SLM Depreciation " &amp; B22</f>
        <v>SLM Depreciation Plant &amp; Machinery</v>
      </c>
      <c r="C23" s="229"/>
      <c r="D23" s="229"/>
      <c r="E23" s="229"/>
      <c r="F23" s="230">
        <f>(((F22-F22*5%)*Assumptions!$D$66)/365)*F12</f>
        <v>0.17488044334261824</v>
      </c>
      <c r="G23" s="230">
        <f>(((G22-G22*5%)*Assumptions!$D$66)/365)*G12</f>
        <v>0.52753191586822856</v>
      </c>
      <c r="H23" s="230">
        <f>(((H22-H22*5%)*Assumptions!$D$66)/365)*H12</f>
        <v>0.52897720878841548</v>
      </c>
      <c r="I23" s="230">
        <f>(((I22-I22*5%)*Assumptions!$D$66)/365)*I12</f>
        <v>0.52753191586822856</v>
      </c>
      <c r="J23" s="230">
        <f>(((J22-J22*5%)*Assumptions!$D$66)/365)*J12</f>
        <v>0.52753191586822856</v>
      </c>
      <c r="K23" s="230">
        <f>(((K22-K22*5%)*Assumptions!$D$66)/365)*K12</f>
        <v>0.52753191586822856</v>
      </c>
      <c r="L23" s="230">
        <f>(((L22-L22*5%)*Assumptions!$D$66)/365)*L12</f>
        <v>0.52897720878841548</v>
      </c>
      <c r="M23" s="230">
        <f>(((M22-M22*5%)*Assumptions!$D$66)/365)*M12</f>
        <v>0.52753191586822856</v>
      </c>
      <c r="N23" s="230">
        <f>(((N22-N22*5%)*Assumptions!$D$66)/365)*N12</f>
        <v>0.52753191586822856</v>
      </c>
      <c r="O23" s="230">
        <f>(((O22-O22*5%)*Assumptions!$D$66)/365)*O12</f>
        <v>0.52753191586822856</v>
      </c>
      <c r="P23" s="230">
        <f>(((P22-P22*5%)*Assumptions!$D$66)/365)*P12</f>
        <v>0.52897720878841548</v>
      </c>
      <c r="Q23" s="230">
        <f>(((Q22-Q22*5%)*Assumptions!$D$66)/365)*Q12</f>
        <v>0.52753191586822856</v>
      </c>
      <c r="R23" s="230">
        <f>(((R22-R22*5%)*Assumptions!$D$66)/365)*R12</f>
        <v>0.52753191586822856</v>
      </c>
      <c r="S23" s="230">
        <f>(((S22-S22*5%)*Assumptions!$D$66)/365)*S12</f>
        <v>0.52753191586822856</v>
      </c>
      <c r="T23" s="230">
        <f>(((T22-T22*5%)*Assumptions!$D$66)/365)*T12</f>
        <v>0.52897720878841548</v>
      </c>
      <c r="U23" s="230">
        <f>(((U22-U22*5%)*Assumptions!$D$66)/365)*U12</f>
        <v>0.52753191586822856</v>
      </c>
      <c r="V23" s="230">
        <f>(((V22-V22*5%)*Assumptions!$D$66)/365)*V12</f>
        <v>0.52753191586822856</v>
      </c>
      <c r="W23" s="230">
        <f>(((W22-W22*5%)*Assumptions!$D$66)/365)*W12</f>
        <v>0.52753191586822856</v>
      </c>
      <c r="X23" s="230">
        <f>(((X22-X22*5%)*Assumptions!$D$66)/365)*X12</f>
        <v>0.52897720878841548</v>
      </c>
      <c r="Y23" s="230">
        <f>(((Y22-Y22*5%)*Assumptions!$D$66)/365)*Y12</f>
        <v>0.52753191586822856</v>
      </c>
      <c r="Z23" s="230">
        <f>(((Z22-Z22*5%)*Assumptions!$D$66)/365)*Z12</f>
        <v>0.52753191586822856</v>
      </c>
      <c r="AA23" s="230">
        <f>(((AA22-AA22*5%)*Assumptions!$D$66)/365)*AA12</f>
        <v>0.52753191586822856</v>
      </c>
      <c r="AB23" s="230">
        <f>(((AB22-AB22*5%)*Assumptions!$D$66)/365)*AB12</f>
        <v>0.52897720878841548</v>
      </c>
      <c r="AC23" s="230">
        <f>(((AC22-AC22*5%)*Assumptions!$D$66)/365)*AC12</f>
        <v>0.52753191586822856</v>
      </c>
      <c r="AD23" s="230">
        <f>(((AD22-AD22*5%)*Assumptions!$D$66)/365)*AD12</f>
        <v>0.52753191586822856</v>
      </c>
    </row>
    <row r="24" spans="2:30" x14ac:dyDescent="0.25">
      <c r="B24" s="31" t="s">
        <v>211</v>
      </c>
      <c r="C24" s="31"/>
      <c r="D24" s="83"/>
      <c r="E24" s="83"/>
      <c r="F24" s="83">
        <f>'PC &amp; MoF'!H10</f>
        <v>0</v>
      </c>
      <c r="G24" s="83">
        <f>F24</f>
        <v>0</v>
      </c>
      <c r="H24" s="83">
        <f t="shared" ref="H24:AD24" si="8">G24</f>
        <v>0</v>
      </c>
      <c r="I24" s="83">
        <f t="shared" si="8"/>
        <v>0</v>
      </c>
      <c r="J24" s="83">
        <f t="shared" si="8"/>
        <v>0</v>
      </c>
      <c r="K24" s="83">
        <f t="shared" si="8"/>
        <v>0</v>
      </c>
      <c r="L24" s="83">
        <f t="shared" si="8"/>
        <v>0</v>
      </c>
      <c r="M24" s="83">
        <f t="shared" si="8"/>
        <v>0</v>
      </c>
      <c r="N24" s="83">
        <f t="shared" si="8"/>
        <v>0</v>
      </c>
      <c r="O24" s="83">
        <f t="shared" si="8"/>
        <v>0</v>
      </c>
      <c r="P24" s="83">
        <f t="shared" si="8"/>
        <v>0</v>
      </c>
      <c r="Q24" s="83">
        <f t="shared" si="8"/>
        <v>0</v>
      </c>
      <c r="R24" s="83">
        <f t="shared" si="8"/>
        <v>0</v>
      </c>
      <c r="S24" s="83">
        <f t="shared" si="8"/>
        <v>0</v>
      </c>
      <c r="T24" s="83">
        <f t="shared" si="8"/>
        <v>0</v>
      </c>
      <c r="U24" s="83">
        <f t="shared" si="8"/>
        <v>0</v>
      </c>
      <c r="V24" s="83">
        <f t="shared" si="8"/>
        <v>0</v>
      </c>
      <c r="W24" s="83">
        <f t="shared" si="8"/>
        <v>0</v>
      </c>
      <c r="X24" s="83">
        <f t="shared" si="8"/>
        <v>0</v>
      </c>
      <c r="Y24" s="83">
        <f t="shared" si="8"/>
        <v>0</v>
      </c>
      <c r="Z24" s="83">
        <f t="shared" si="8"/>
        <v>0</v>
      </c>
      <c r="AA24" s="83">
        <f t="shared" si="8"/>
        <v>0</v>
      </c>
      <c r="AB24" s="83">
        <f t="shared" si="8"/>
        <v>0</v>
      </c>
      <c r="AC24" s="83">
        <f t="shared" si="8"/>
        <v>0</v>
      </c>
      <c r="AD24" s="83">
        <f t="shared" si="8"/>
        <v>0</v>
      </c>
    </row>
    <row r="25" spans="2:30" x14ac:dyDescent="0.25">
      <c r="B25" s="229" t="str">
        <f>"SLM Depreciation " &amp; B24</f>
        <v>SLM Depreciation Electricity Connection &amp; Infrastructure</v>
      </c>
      <c r="C25" s="229"/>
      <c r="D25" s="229"/>
      <c r="E25" s="229"/>
      <c r="F25" s="230">
        <f>(F24-F24*5%)*Assumptions!$D$67/365*F12</f>
        <v>0</v>
      </c>
      <c r="G25" s="230">
        <f>(G24-G24*5%)*Assumptions!$D$67/365*G12</f>
        <v>0</v>
      </c>
      <c r="H25" s="230">
        <f>(H24-H24*5%)*Assumptions!$D$67/365*H12</f>
        <v>0</v>
      </c>
      <c r="I25" s="230">
        <f>(I24-I24*5%)*Assumptions!$D$67/365*I12</f>
        <v>0</v>
      </c>
      <c r="J25" s="230">
        <f>(J24-J24*5%)*Assumptions!$D$67/365*J12</f>
        <v>0</v>
      </c>
      <c r="K25" s="230">
        <f>(K24-K24*5%)*Assumptions!$D$67/365*K12</f>
        <v>0</v>
      </c>
      <c r="L25" s="230">
        <f>(L24-L24*5%)*Assumptions!$D$67/365*L12</f>
        <v>0</v>
      </c>
      <c r="M25" s="230">
        <f>(M24-M24*5%)*Assumptions!$D$67/365*M12</f>
        <v>0</v>
      </c>
      <c r="N25" s="230">
        <f>(N24-N24*5%)*Assumptions!$D$67/365*N12</f>
        <v>0</v>
      </c>
      <c r="O25" s="230">
        <f>(O24-O24*5%)*Assumptions!$D$67/365*O12</f>
        <v>0</v>
      </c>
      <c r="P25" s="230">
        <f>(P24-P24*5%)*Assumptions!$D$67/365*P12</f>
        <v>0</v>
      </c>
      <c r="Q25" s="230">
        <f>(Q24-Q24*5%)*Assumptions!$D$67/365*Q12</f>
        <v>0</v>
      </c>
      <c r="R25" s="230">
        <f>(R24-R24*5%)*Assumptions!$D$67/365*R12</f>
        <v>0</v>
      </c>
      <c r="S25" s="230">
        <f>(S24-S24*5%)*Assumptions!$D$67/365*S12</f>
        <v>0</v>
      </c>
      <c r="T25" s="230">
        <f>(T24-T24*5%)*Assumptions!$D$67/365*T12</f>
        <v>0</v>
      </c>
      <c r="U25" s="230">
        <f>(U24-U24*5%)*Assumptions!$D$67/365*U12</f>
        <v>0</v>
      </c>
      <c r="V25" s="230">
        <f>(V24-V24*5%)*Assumptions!$D$67/365*V12</f>
        <v>0</v>
      </c>
      <c r="W25" s="230">
        <f>(W24-W24*5%)*Assumptions!$D$67/365*W12</f>
        <v>0</v>
      </c>
      <c r="X25" s="230">
        <f>(X24-X24*5%)*Assumptions!$D$67/365*X12</f>
        <v>0</v>
      </c>
      <c r="Y25" s="230">
        <f>(Y24-Y24*5%)*Assumptions!$D$67/365*Y12</f>
        <v>0</v>
      </c>
      <c r="Z25" s="230">
        <f>(Z24-Z24*5%)*Assumptions!$D$67/365*Z12</f>
        <v>0</v>
      </c>
      <c r="AA25" s="230">
        <f>(AA24-AA24*5%)*Assumptions!$D$67/365*AA12</f>
        <v>0</v>
      </c>
      <c r="AB25" s="230">
        <f>(AB24-AB24*5%)*Assumptions!$D$67/365*AB12</f>
        <v>0</v>
      </c>
      <c r="AC25" s="230">
        <f>(AC24-AC24*5%)*Assumptions!$D$67/365*AC12</f>
        <v>0</v>
      </c>
      <c r="AD25" s="230">
        <f>(AD24-AD24*5%)*Assumptions!$D$67/365*AD12</f>
        <v>0</v>
      </c>
    </row>
    <row r="26" spans="2:30" x14ac:dyDescent="0.25">
      <c r="B26" s="31" t="s">
        <v>5</v>
      </c>
      <c r="C26" s="31"/>
      <c r="D26" s="83"/>
      <c r="E26" s="83"/>
      <c r="F26" s="83">
        <f>'PC &amp; MoF'!H11</f>
        <v>0</v>
      </c>
      <c r="G26" s="83">
        <f>F26</f>
        <v>0</v>
      </c>
      <c r="H26" s="83">
        <f t="shared" ref="H26:AD26" si="9">G26</f>
        <v>0</v>
      </c>
      <c r="I26" s="83">
        <f t="shared" si="9"/>
        <v>0</v>
      </c>
      <c r="J26" s="83">
        <f t="shared" si="9"/>
        <v>0</v>
      </c>
      <c r="K26" s="83">
        <f t="shared" si="9"/>
        <v>0</v>
      </c>
      <c r="L26" s="83">
        <f t="shared" si="9"/>
        <v>0</v>
      </c>
      <c r="M26" s="83">
        <f t="shared" si="9"/>
        <v>0</v>
      </c>
      <c r="N26" s="83">
        <f t="shared" si="9"/>
        <v>0</v>
      </c>
      <c r="O26" s="83">
        <f t="shared" si="9"/>
        <v>0</v>
      </c>
      <c r="P26" s="83">
        <f t="shared" si="9"/>
        <v>0</v>
      </c>
      <c r="Q26" s="83">
        <f t="shared" si="9"/>
        <v>0</v>
      </c>
      <c r="R26" s="83">
        <f t="shared" si="9"/>
        <v>0</v>
      </c>
      <c r="S26" s="83">
        <f t="shared" si="9"/>
        <v>0</v>
      </c>
      <c r="T26" s="83">
        <f t="shared" si="9"/>
        <v>0</v>
      </c>
      <c r="U26" s="83">
        <f t="shared" si="9"/>
        <v>0</v>
      </c>
      <c r="V26" s="83">
        <f t="shared" si="9"/>
        <v>0</v>
      </c>
      <c r="W26" s="83">
        <f t="shared" si="9"/>
        <v>0</v>
      </c>
      <c r="X26" s="83">
        <f t="shared" si="9"/>
        <v>0</v>
      </c>
      <c r="Y26" s="83">
        <f t="shared" si="9"/>
        <v>0</v>
      </c>
      <c r="Z26" s="83">
        <f t="shared" si="9"/>
        <v>0</v>
      </c>
      <c r="AA26" s="83">
        <f t="shared" si="9"/>
        <v>0</v>
      </c>
      <c r="AB26" s="83">
        <f t="shared" si="9"/>
        <v>0</v>
      </c>
      <c r="AC26" s="83">
        <f t="shared" si="9"/>
        <v>0</v>
      </c>
      <c r="AD26" s="83">
        <f t="shared" si="9"/>
        <v>0</v>
      </c>
    </row>
    <row r="27" spans="2:30" x14ac:dyDescent="0.25">
      <c r="B27" s="229" t="str">
        <f>"SLM Depreciation " &amp; B26</f>
        <v>SLM Depreciation Vehicles</v>
      </c>
      <c r="C27" s="229"/>
      <c r="D27" s="229"/>
      <c r="E27" s="229"/>
      <c r="F27" s="230">
        <f>(F26-F26*5%)/Assumptions!$D$68/365*F12</f>
        <v>0</v>
      </c>
      <c r="G27" s="230">
        <f>(G26-G26*5%)/Assumptions!$D$68/365*G12</f>
        <v>0</v>
      </c>
      <c r="H27" s="230">
        <f>(H26-H26*5%)/Assumptions!$D$68/365*H12</f>
        <v>0</v>
      </c>
      <c r="I27" s="230">
        <f>(I26-I26*5%)/Assumptions!$D$68/365*I12</f>
        <v>0</v>
      </c>
      <c r="J27" s="230">
        <f>(J26-J26*5%)/Assumptions!$D$68/365*J12</f>
        <v>0</v>
      </c>
      <c r="K27" s="230">
        <f>(K26-K26*5%)/Assumptions!$D$68/365*K12</f>
        <v>0</v>
      </c>
      <c r="L27" s="230">
        <f>(L26-L26*5%)/Assumptions!$D$68/365*L12</f>
        <v>0</v>
      </c>
      <c r="M27" s="230">
        <f>(M26-M26*5%)/Assumptions!$D$68/365*M12</f>
        <v>0</v>
      </c>
      <c r="N27" s="230">
        <f>(N26-N26*5%)/Assumptions!$D$68/365*N12</f>
        <v>0</v>
      </c>
      <c r="O27" s="230">
        <f>(O26-O26*5%)/Assumptions!$D$68/365*O12</f>
        <v>0</v>
      </c>
      <c r="P27" s="230">
        <f>(P26-P26*5%)/Assumptions!$D$68/365*P12</f>
        <v>0</v>
      </c>
      <c r="Q27" s="230">
        <f>(Q26-Q26*5%)/Assumptions!$D$68/365*Q12</f>
        <v>0</v>
      </c>
      <c r="R27" s="230">
        <f>(R26-R26*5%)/Assumptions!$D$68/365*R12</f>
        <v>0</v>
      </c>
      <c r="S27" s="230">
        <f>(S26-S26*5%)/Assumptions!$D$68/365*S12</f>
        <v>0</v>
      </c>
      <c r="T27" s="230">
        <f>(T26-T26*5%)/Assumptions!$D$68/365*T12</f>
        <v>0</v>
      </c>
      <c r="U27" s="230">
        <f>(U26-U26*5%)/Assumptions!$D$68/365*U12</f>
        <v>0</v>
      </c>
      <c r="V27" s="230">
        <f>(V26-V26*5%)/Assumptions!$D$68/365*V12</f>
        <v>0</v>
      </c>
      <c r="W27" s="230">
        <f>(W26-W26*5%)/Assumptions!$D$68/365*W12</f>
        <v>0</v>
      </c>
      <c r="X27" s="230">
        <f>(X26-X26*5%)/Assumptions!$D$68/365*X12</f>
        <v>0</v>
      </c>
      <c r="Y27" s="230">
        <f>(Y26-Y26*5%)/Assumptions!$D$68/365*Y12</f>
        <v>0</v>
      </c>
      <c r="Z27" s="230">
        <f>(Z26-Z26*5%)/Assumptions!$D$68/365*Z12</f>
        <v>0</v>
      </c>
      <c r="AA27" s="230">
        <f>(AA26-AA26*5%)/Assumptions!$D$68/365*AA12</f>
        <v>0</v>
      </c>
      <c r="AB27" s="230">
        <f>(AB26-AB26*5%)/Assumptions!$D$68/365*AB12</f>
        <v>0</v>
      </c>
      <c r="AC27" s="230">
        <f>(AC26-AC26*5%)/Assumptions!$D$68/365*AC12</f>
        <v>0</v>
      </c>
      <c r="AD27" s="230">
        <f>(AD26-AD26*5%)/Assumptions!$D$68/365*AD12</f>
        <v>0</v>
      </c>
    </row>
    <row r="28" spans="2:30" x14ac:dyDescent="0.25">
      <c r="B28" s="31" t="s">
        <v>212</v>
      </c>
      <c r="C28" s="31"/>
      <c r="D28" s="83"/>
      <c r="E28" s="83"/>
      <c r="F28" s="83">
        <f>'PC &amp; MoF'!H12</f>
        <v>0</v>
      </c>
      <c r="G28" s="83">
        <f>F28</f>
        <v>0</v>
      </c>
      <c r="H28" s="83">
        <f t="shared" ref="H28:AD28" si="10">G28</f>
        <v>0</v>
      </c>
      <c r="I28" s="83">
        <f t="shared" si="10"/>
        <v>0</v>
      </c>
      <c r="J28" s="83">
        <f t="shared" si="10"/>
        <v>0</v>
      </c>
      <c r="K28" s="83">
        <f t="shared" si="10"/>
        <v>0</v>
      </c>
      <c r="L28" s="83">
        <f t="shared" si="10"/>
        <v>0</v>
      </c>
      <c r="M28" s="83">
        <f t="shared" si="10"/>
        <v>0</v>
      </c>
      <c r="N28" s="83">
        <f t="shared" si="10"/>
        <v>0</v>
      </c>
      <c r="O28" s="83">
        <f t="shared" si="10"/>
        <v>0</v>
      </c>
      <c r="P28" s="83">
        <f t="shared" si="10"/>
        <v>0</v>
      </c>
      <c r="Q28" s="83">
        <f t="shared" si="10"/>
        <v>0</v>
      </c>
      <c r="R28" s="83">
        <f t="shared" si="10"/>
        <v>0</v>
      </c>
      <c r="S28" s="83">
        <f t="shared" si="10"/>
        <v>0</v>
      </c>
      <c r="T28" s="83">
        <f t="shared" si="10"/>
        <v>0</v>
      </c>
      <c r="U28" s="83">
        <f t="shared" si="10"/>
        <v>0</v>
      </c>
      <c r="V28" s="83">
        <f t="shared" si="10"/>
        <v>0</v>
      </c>
      <c r="W28" s="83">
        <f t="shared" si="10"/>
        <v>0</v>
      </c>
      <c r="X28" s="83">
        <f t="shared" si="10"/>
        <v>0</v>
      </c>
      <c r="Y28" s="83">
        <f t="shared" si="10"/>
        <v>0</v>
      </c>
      <c r="Z28" s="83">
        <f t="shared" si="10"/>
        <v>0</v>
      </c>
      <c r="AA28" s="83">
        <f t="shared" si="10"/>
        <v>0</v>
      </c>
      <c r="AB28" s="83">
        <f t="shared" si="10"/>
        <v>0</v>
      </c>
      <c r="AC28" s="83">
        <f t="shared" si="10"/>
        <v>0</v>
      </c>
      <c r="AD28" s="83">
        <f t="shared" si="10"/>
        <v>0</v>
      </c>
    </row>
    <row r="29" spans="2:30" x14ac:dyDescent="0.25">
      <c r="B29" s="229" t="str">
        <f>"SLM Depreciation " &amp; B28</f>
        <v>SLM Depreciation Office equipment</v>
      </c>
      <c r="C29" s="229"/>
      <c r="D29" s="229"/>
      <c r="E29" s="229"/>
      <c r="F29" s="231">
        <f>(F28-F28*5%)*Assumptions!$D$69/365*F12</f>
        <v>0</v>
      </c>
      <c r="G29" s="231">
        <f>(G28-G28*5%)*Assumptions!$D$69/365*G12</f>
        <v>0</v>
      </c>
      <c r="H29" s="231">
        <f>(H28-H28*5%)*Assumptions!$D$69/365*H12</f>
        <v>0</v>
      </c>
      <c r="I29" s="231">
        <f>(I28-I28*5%)*Assumptions!$D$69/365*I12</f>
        <v>0</v>
      </c>
      <c r="J29" s="231">
        <f>(J28-J28*5%)*Assumptions!$D$69/365*J12</f>
        <v>0</v>
      </c>
      <c r="K29" s="231">
        <f>(K28-K28*5%)*Assumptions!$D$69/365*K12</f>
        <v>0</v>
      </c>
      <c r="L29" s="231">
        <f>(L28-L28*5%)*Assumptions!$D$69/365*L12</f>
        <v>0</v>
      </c>
      <c r="M29" s="231">
        <f>(M28-M28*5%)*Assumptions!$D$69/365*M12</f>
        <v>0</v>
      </c>
      <c r="N29" s="231">
        <f>(N28-N28*5%)*Assumptions!$D$69/365*N12</f>
        <v>0</v>
      </c>
      <c r="O29" s="231">
        <f>(O28-O28*5%)*Assumptions!$D$69/365*O12</f>
        <v>0</v>
      </c>
      <c r="P29" s="231">
        <f>(P28-P28*5%)*Assumptions!$D$69/365*P12</f>
        <v>0</v>
      </c>
      <c r="Q29" s="231">
        <f>(Q28-Q28*5%)*Assumptions!$D$69/365*Q12</f>
        <v>0</v>
      </c>
      <c r="R29" s="231">
        <f>(R28-R28*5%)*Assumptions!$D$69/365*R12</f>
        <v>0</v>
      </c>
      <c r="S29" s="231">
        <f>(S28-S28*5%)*Assumptions!$D$69/365*S12</f>
        <v>0</v>
      </c>
      <c r="T29" s="231">
        <f>(T28-T28*5%)*Assumptions!$D$69/365*T12</f>
        <v>0</v>
      </c>
      <c r="U29" s="231">
        <f>(U28-U28*5%)*Assumptions!$D$69/365*U12</f>
        <v>0</v>
      </c>
      <c r="V29" s="231">
        <f>(V28-V28*5%)*Assumptions!$D$69/365*V12</f>
        <v>0</v>
      </c>
      <c r="W29" s="231">
        <f>(W28-W28*5%)*Assumptions!$D$69/365*W12</f>
        <v>0</v>
      </c>
      <c r="X29" s="231">
        <f>(X28-X28*5%)*Assumptions!$D$69/365*X12</f>
        <v>0</v>
      </c>
      <c r="Y29" s="231">
        <f>(Y28-Y28*5%)*Assumptions!$D$69/365*Y12</f>
        <v>0</v>
      </c>
      <c r="Z29" s="231">
        <f>(Z28-Z28*5%)*Assumptions!$D$69/365*Z12</f>
        <v>0</v>
      </c>
      <c r="AA29" s="231">
        <f>(AA28-AA28*5%)*Assumptions!$D$69/365*AA12</f>
        <v>0</v>
      </c>
      <c r="AB29" s="231">
        <f>(AB28-AB28*5%)*Assumptions!$D$69/365*AB12</f>
        <v>0</v>
      </c>
      <c r="AC29" s="231">
        <f>(AC28-AC28*5%)*Assumptions!$D$69/365*AC12</f>
        <v>0</v>
      </c>
      <c r="AD29" s="231">
        <f>(AD28-AD28*5%)*Assumptions!$D$69/365*AD12</f>
        <v>0</v>
      </c>
    </row>
    <row r="30" spans="2:30" x14ac:dyDescent="0.25">
      <c r="B30" s="95" t="s">
        <v>213</v>
      </c>
      <c r="C30" s="95"/>
      <c r="D30" s="95"/>
      <c r="E30" s="95"/>
      <c r="F30" s="96">
        <f>F19+F21+F23+F25+F27+F29</f>
        <v>0.17488044334261824</v>
      </c>
      <c r="G30" s="96">
        <f t="shared" ref="G30:AD30" si="11">G19+G21+G23+G25+G27+G29</f>
        <v>0.52753191586822856</v>
      </c>
      <c r="H30" s="96">
        <f t="shared" si="11"/>
        <v>0.52897720878841548</v>
      </c>
      <c r="I30" s="96">
        <f t="shared" si="11"/>
        <v>0.52753191586822856</v>
      </c>
      <c r="J30" s="96">
        <f t="shared" si="11"/>
        <v>0.52753191586822856</v>
      </c>
      <c r="K30" s="96">
        <f t="shared" si="11"/>
        <v>0.52753191586822856</v>
      </c>
      <c r="L30" s="96">
        <f t="shared" si="11"/>
        <v>0.52897720878841548</v>
      </c>
      <c r="M30" s="96">
        <f t="shared" si="11"/>
        <v>0.52753191586822856</v>
      </c>
      <c r="N30" s="96">
        <f t="shared" si="11"/>
        <v>0.52753191586822856</v>
      </c>
      <c r="O30" s="96">
        <f t="shared" si="11"/>
        <v>0.52753191586822856</v>
      </c>
      <c r="P30" s="96">
        <f t="shared" si="11"/>
        <v>0.52897720878841548</v>
      </c>
      <c r="Q30" s="96">
        <f t="shared" si="11"/>
        <v>0.52753191586822856</v>
      </c>
      <c r="R30" s="96">
        <f t="shared" si="11"/>
        <v>0.52753191586822856</v>
      </c>
      <c r="S30" s="96">
        <f t="shared" si="11"/>
        <v>0.52753191586822856</v>
      </c>
      <c r="T30" s="96">
        <f t="shared" si="11"/>
        <v>0.52897720878841548</v>
      </c>
      <c r="U30" s="96">
        <f t="shared" si="11"/>
        <v>0.52753191586822856</v>
      </c>
      <c r="V30" s="96">
        <f t="shared" si="11"/>
        <v>0.52753191586822856</v>
      </c>
      <c r="W30" s="96">
        <f t="shared" si="11"/>
        <v>0.52753191586822856</v>
      </c>
      <c r="X30" s="96">
        <f t="shared" si="11"/>
        <v>0.52897720878841548</v>
      </c>
      <c r="Y30" s="96">
        <f t="shared" si="11"/>
        <v>0.52753191586822856</v>
      </c>
      <c r="Z30" s="96">
        <f t="shared" si="11"/>
        <v>0.52753191586822856</v>
      </c>
      <c r="AA30" s="96">
        <f t="shared" si="11"/>
        <v>0.52753191586822856</v>
      </c>
      <c r="AB30" s="96">
        <f t="shared" si="11"/>
        <v>0.52897720878841548</v>
      </c>
      <c r="AC30" s="96">
        <f t="shared" si="11"/>
        <v>0.52753191586822856</v>
      </c>
      <c r="AD30" s="96">
        <f t="shared" si="11"/>
        <v>0.52753191586822856</v>
      </c>
    </row>
    <row r="31" spans="2:30" hidden="1" x14ac:dyDescent="0.25">
      <c r="B31" s="95" t="s">
        <v>249</v>
      </c>
      <c r="C31" s="95"/>
      <c r="D31" s="95"/>
      <c r="E31" s="95"/>
      <c r="F31" s="96">
        <f>(F18+F20+F22+F24+F26+F28)-($F$30:F30)</f>
        <v>23.156915924115516</v>
      </c>
      <c r="G31" s="96">
        <f>(G18+G20+G22+G24+G26+G28)-(SUM($F$30:G30))</f>
        <v>22.629384008247289</v>
      </c>
      <c r="H31" s="96">
        <f>(H18+H20+H22+H24+H26+H28)-(SUM($F$30:H30))</f>
        <v>22.100406799458874</v>
      </c>
      <c r="I31" s="96">
        <f>(I18+I20+I22+I24+I26+I28)-(SUM($F$30:I30))</f>
        <v>21.572874883590643</v>
      </c>
      <c r="J31" s="96">
        <f>(J18+J20+J22+J24+J26+J28)-(SUM($F$30:J30))</f>
        <v>21.045342967722416</v>
      </c>
      <c r="K31" s="96">
        <f>(K18+K20+K22+K24+K26+K28)-(SUM($F$30:K30))</f>
        <v>20.517811051854189</v>
      </c>
      <c r="L31" s="96">
        <f>(L18+L20+L22+L24+L26+L28)-(SUM($F$30:L30))</f>
        <v>19.988833843065773</v>
      </c>
      <c r="M31" s="96">
        <f>(M18+M20+M22+M24+M26+M28)-(SUM($F$30:M30))</f>
        <v>19.461301927197542</v>
      </c>
      <c r="N31" s="96">
        <f>(N18+N20+N22+N24+N26+N28)-(SUM($F$30:N30))</f>
        <v>18.933770011329315</v>
      </c>
      <c r="O31" s="96">
        <f>(O18+O20+O22+O24+O26+O28)-(SUM($F$30:O30))</f>
        <v>18.406238095461084</v>
      </c>
      <c r="P31" s="96">
        <f>(P18+P20+P22+P24+P26+P28)-(SUM($F$30:P30))</f>
        <v>17.877260886672673</v>
      </c>
      <c r="Q31" s="96">
        <f>(Q18+Q20+Q22+Q24+Q26+Q28)-(SUM($F$30:Q30))</f>
        <v>17.349728970804442</v>
      </c>
      <c r="R31" s="96">
        <f>(R18+R20+R22+R24+R26+R28)-(SUM($F$30:R30))</f>
        <v>16.822197054936211</v>
      </c>
      <c r="S31" s="96">
        <f>(S18+S20+S22+S24+S26+S28)-(SUM($F$30:S30))</f>
        <v>16.294665139067984</v>
      </c>
      <c r="T31" s="96">
        <f>(T18+T20+T22+T24+T26+T28)-(SUM($F$30:T30))</f>
        <v>15.765687930279569</v>
      </c>
      <c r="U31" s="96">
        <f>(U18+U20+U22+U24+U26+U28)-(SUM($F$30:U30))</f>
        <v>15.23815601441134</v>
      </c>
      <c r="V31" s="96">
        <f>(V18+V20+V22+V24+V26+V28)-(SUM($F$30:V30))</f>
        <v>14.710624098543111</v>
      </c>
      <c r="W31" s="96">
        <f>(W18+W20+W22+W24+W26+W28)-(SUM($F$30:W30))</f>
        <v>14.183092182674882</v>
      </c>
      <c r="X31" s="96">
        <f>(X18+X20+X22+X24+X26+X28)-(SUM($F$30:X30))</f>
        <v>13.654114973886466</v>
      </c>
      <c r="Y31" s="96">
        <f>(Y18+Y20+Y22+Y24+Y26+Y28)-(SUM($F$30:Y30))</f>
        <v>13.126583058018237</v>
      </c>
      <c r="Z31" s="96">
        <f>(Z18+Z20+Z22+Z24+Z26+Z28)-(SUM($F$30:Z30))</f>
        <v>12.599051142150008</v>
      </c>
      <c r="AA31" s="96">
        <f>(AA18+AA20+AA22+AA24+AA26+AA28)-(SUM($F$30:AA30))</f>
        <v>12.071519226281779</v>
      </c>
      <c r="AB31" s="96">
        <f>(AB18+AB20+AB22+AB24+AB26+AB28)-(SUM($F$30:AB30))</f>
        <v>11.542542017493364</v>
      </c>
      <c r="AC31" s="96">
        <f>(AC18+AC20+AC22+AC24+AC26+AC28)-(SUM($F$30:AC30))</f>
        <v>11.015010101625135</v>
      </c>
      <c r="AD31" s="96">
        <f>(AD18+AD20+AD22+AD24+AD26+AD28)-(SUM($F$30:AD30))</f>
        <v>10.487478185756906</v>
      </c>
    </row>
    <row r="32" spans="2:30" x14ac:dyDescent="0.25">
      <c r="H32" s="67"/>
    </row>
    <row r="33" spans="2:30" x14ac:dyDescent="0.25">
      <c r="B33" s="70" t="s">
        <v>386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</row>
    <row r="34" spans="2:30" x14ac:dyDescent="0.25">
      <c r="B34" s="225" t="s">
        <v>0</v>
      </c>
      <c r="C34" s="226"/>
      <c r="D34" s="227"/>
      <c r="E34" s="227">
        <f t="shared" ref="E34:AD34" si="12">E8</f>
        <v>45991</v>
      </c>
      <c r="F34" s="228">
        <f t="shared" si="12"/>
        <v>46112</v>
      </c>
      <c r="G34" s="228">
        <f t="shared" si="12"/>
        <v>46477</v>
      </c>
      <c r="H34" s="228">
        <f t="shared" si="12"/>
        <v>46843</v>
      </c>
      <c r="I34" s="228">
        <f t="shared" si="12"/>
        <v>47208</v>
      </c>
      <c r="J34" s="228">
        <f t="shared" si="12"/>
        <v>47573</v>
      </c>
      <c r="K34" s="228">
        <f t="shared" si="12"/>
        <v>47938</v>
      </c>
      <c r="L34" s="228">
        <f t="shared" si="12"/>
        <v>48304</v>
      </c>
      <c r="M34" s="228">
        <f t="shared" si="12"/>
        <v>48669</v>
      </c>
      <c r="N34" s="228">
        <f t="shared" si="12"/>
        <v>49034</v>
      </c>
      <c r="O34" s="228">
        <f t="shared" si="12"/>
        <v>49399</v>
      </c>
      <c r="P34" s="228">
        <f t="shared" si="12"/>
        <v>49765</v>
      </c>
      <c r="Q34" s="228">
        <f t="shared" si="12"/>
        <v>50130</v>
      </c>
      <c r="R34" s="228">
        <f t="shared" si="12"/>
        <v>50495</v>
      </c>
      <c r="S34" s="228">
        <f t="shared" si="12"/>
        <v>50860</v>
      </c>
      <c r="T34" s="228">
        <f t="shared" si="12"/>
        <v>51226</v>
      </c>
      <c r="U34" s="228">
        <f t="shared" si="12"/>
        <v>51591</v>
      </c>
      <c r="V34" s="228">
        <f t="shared" si="12"/>
        <v>51956</v>
      </c>
      <c r="W34" s="228">
        <f t="shared" si="12"/>
        <v>52321</v>
      </c>
      <c r="X34" s="228">
        <f t="shared" si="12"/>
        <v>52687</v>
      </c>
      <c r="Y34" s="228">
        <f t="shared" si="12"/>
        <v>53052</v>
      </c>
      <c r="Z34" s="228">
        <f t="shared" si="12"/>
        <v>53417</v>
      </c>
      <c r="AA34" s="228">
        <f t="shared" si="12"/>
        <v>53782</v>
      </c>
      <c r="AB34" s="228">
        <f t="shared" si="12"/>
        <v>54148</v>
      </c>
      <c r="AC34" s="228">
        <f t="shared" si="12"/>
        <v>54513</v>
      </c>
      <c r="AD34" s="228">
        <f t="shared" si="12"/>
        <v>54878</v>
      </c>
    </row>
    <row r="35" spans="2:30" x14ac:dyDescent="0.25">
      <c r="B35" s="31" t="s">
        <v>125</v>
      </c>
      <c r="C35" s="31"/>
      <c r="D35" s="31"/>
      <c r="E35" s="31"/>
      <c r="F35" s="83">
        <f>F18</f>
        <v>0</v>
      </c>
      <c r="G35" s="83">
        <f>F37</f>
        <v>0</v>
      </c>
      <c r="H35" s="83">
        <f t="shared" ref="H35:AD35" si="13">G37</f>
        <v>0</v>
      </c>
      <c r="I35" s="83">
        <f t="shared" si="13"/>
        <v>0</v>
      </c>
      <c r="J35" s="83">
        <f t="shared" si="13"/>
        <v>0</v>
      </c>
      <c r="K35" s="83">
        <f t="shared" si="13"/>
        <v>0</v>
      </c>
      <c r="L35" s="83">
        <f t="shared" si="13"/>
        <v>0</v>
      </c>
      <c r="M35" s="83">
        <f t="shared" si="13"/>
        <v>0</v>
      </c>
      <c r="N35" s="83">
        <f t="shared" si="13"/>
        <v>0</v>
      </c>
      <c r="O35" s="83">
        <f t="shared" si="13"/>
        <v>0</v>
      </c>
      <c r="P35" s="83">
        <f t="shared" si="13"/>
        <v>0</v>
      </c>
      <c r="Q35" s="83">
        <f t="shared" si="13"/>
        <v>0</v>
      </c>
      <c r="R35" s="83">
        <f t="shared" si="13"/>
        <v>0</v>
      </c>
      <c r="S35" s="83">
        <f t="shared" si="13"/>
        <v>0</v>
      </c>
      <c r="T35" s="83">
        <f t="shared" si="13"/>
        <v>0</v>
      </c>
      <c r="U35" s="83">
        <f t="shared" si="13"/>
        <v>0</v>
      </c>
      <c r="V35" s="83">
        <f t="shared" si="13"/>
        <v>0</v>
      </c>
      <c r="W35" s="83">
        <f t="shared" si="13"/>
        <v>0</v>
      </c>
      <c r="X35" s="83">
        <f t="shared" si="13"/>
        <v>0</v>
      </c>
      <c r="Y35" s="83">
        <f t="shared" si="13"/>
        <v>0</v>
      </c>
      <c r="Z35" s="83">
        <f t="shared" si="13"/>
        <v>0</v>
      </c>
      <c r="AA35" s="83">
        <f t="shared" si="13"/>
        <v>0</v>
      </c>
      <c r="AB35" s="83">
        <f t="shared" si="13"/>
        <v>0</v>
      </c>
      <c r="AC35" s="83">
        <f t="shared" si="13"/>
        <v>0</v>
      </c>
      <c r="AD35" s="83">
        <f t="shared" si="13"/>
        <v>0</v>
      </c>
    </row>
    <row r="36" spans="2:30" x14ac:dyDescent="0.25">
      <c r="B36" s="232" t="str">
        <f>"Depreciation " &amp; B35</f>
        <v>Depreciation Land</v>
      </c>
      <c r="C36" s="232"/>
      <c r="D36" s="232"/>
      <c r="E36" s="232"/>
      <c r="F36" s="233">
        <f>F35*Assumptions!$E$64/365*F12</f>
        <v>0</v>
      </c>
      <c r="G36" s="233">
        <f>G35*Assumptions!$E$64/365*G12</f>
        <v>0</v>
      </c>
      <c r="H36" s="233">
        <f>H35*Assumptions!$E$64/365*H12</f>
        <v>0</v>
      </c>
      <c r="I36" s="233">
        <f>I35*Assumptions!$E$64/365*I12</f>
        <v>0</v>
      </c>
      <c r="J36" s="233">
        <f>J35*Assumptions!$E$64/365*J12</f>
        <v>0</v>
      </c>
      <c r="K36" s="233">
        <f>K35*Assumptions!$E$64/365*K12</f>
        <v>0</v>
      </c>
      <c r="L36" s="233">
        <f>L35*Assumptions!$E$64/365*L12</f>
        <v>0</v>
      </c>
      <c r="M36" s="233">
        <f>M35*Assumptions!$E$64/365*M12</f>
        <v>0</v>
      </c>
      <c r="N36" s="233">
        <f>N35*Assumptions!$E$64/365*N12</f>
        <v>0</v>
      </c>
      <c r="O36" s="233">
        <f>O35*Assumptions!$E$64/365*O12</f>
        <v>0</v>
      </c>
      <c r="P36" s="233">
        <f>P35*Assumptions!$E$64/365*P12</f>
        <v>0</v>
      </c>
      <c r="Q36" s="233">
        <f>Q35*Assumptions!$E$64/365*Q12</f>
        <v>0</v>
      </c>
      <c r="R36" s="233">
        <f>R35*Assumptions!$E$64/365*R12</f>
        <v>0</v>
      </c>
      <c r="S36" s="233">
        <f>S35*Assumptions!$E$64/365*S12</f>
        <v>0</v>
      </c>
      <c r="T36" s="233">
        <f>T35*Assumptions!$E$64/365*T12</f>
        <v>0</v>
      </c>
      <c r="U36" s="233">
        <f>U35*Assumptions!$E$64/365*U12</f>
        <v>0</v>
      </c>
      <c r="V36" s="233">
        <f>V35*Assumptions!$E$64/365*V12</f>
        <v>0</v>
      </c>
      <c r="W36" s="233">
        <f>W35*Assumptions!$E$64/365*W12</f>
        <v>0</v>
      </c>
      <c r="X36" s="233">
        <f>X35*Assumptions!$E$64/365*X12</f>
        <v>0</v>
      </c>
      <c r="Y36" s="233">
        <f>Y35*Assumptions!$E$64/365*Y12</f>
        <v>0</v>
      </c>
      <c r="Z36" s="233">
        <f>Z35*Assumptions!$E$64/365*Z12</f>
        <v>0</v>
      </c>
      <c r="AA36" s="233">
        <f>AA35*Assumptions!$E$64/365*AA12</f>
        <v>0</v>
      </c>
      <c r="AB36" s="233">
        <f>AB35*Assumptions!$E$64/365*AB12</f>
        <v>0</v>
      </c>
      <c r="AC36" s="233">
        <f>AC35*Assumptions!$E$64/365*AC12</f>
        <v>0</v>
      </c>
      <c r="AD36" s="233">
        <f>AD35*Assumptions!$E$64/365*AD12</f>
        <v>0</v>
      </c>
    </row>
    <row r="37" spans="2:30" s="252" customFormat="1" x14ac:dyDescent="0.25">
      <c r="B37" s="122" t="str">
        <f>"WDV " &amp; "of "&amp; B35</f>
        <v>WDV of Land</v>
      </c>
      <c r="C37" s="122"/>
      <c r="D37" s="122"/>
      <c r="E37" s="122"/>
      <c r="F37" s="251">
        <f>F35-F36</f>
        <v>0</v>
      </c>
      <c r="G37" s="251">
        <f t="shared" ref="G37:AD37" si="14">G35-G36</f>
        <v>0</v>
      </c>
      <c r="H37" s="251">
        <f t="shared" si="14"/>
        <v>0</v>
      </c>
      <c r="I37" s="251">
        <f t="shared" si="14"/>
        <v>0</v>
      </c>
      <c r="J37" s="251">
        <f t="shared" si="14"/>
        <v>0</v>
      </c>
      <c r="K37" s="251">
        <f t="shared" si="14"/>
        <v>0</v>
      </c>
      <c r="L37" s="251">
        <f t="shared" si="14"/>
        <v>0</v>
      </c>
      <c r="M37" s="251">
        <f t="shared" si="14"/>
        <v>0</v>
      </c>
      <c r="N37" s="251">
        <f t="shared" si="14"/>
        <v>0</v>
      </c>
      <c r="O37" s="251">
        <f t="shared" si="14"/>
        <v>0</v>
      </c>
      <c r="P37" s="251">
        <f t="shared" si="14"/>
        <v>0</v>
      </c>
      <c r="Q37" s="251">
        <f t="shared" si="14"/>
        <v>0</v>
      </c>
      <c r="R37" s="251">
        <f t="shared" si="14"/>
        <v>0</v>
      </c>
      <c r="S37" s="251">
        <f t="shared" si="14"/>
        <v>0</v>
      </c>
      <c r="T37" s="251">
        <f t="shared" si="14"/>
        <v>0</v>
      </c>
      <c r="U37" s="251">
        <f t="shared" si="14"/>
        <v>0</v>
      </c>
      <c r="V37" s="251">
        <f t="shared" si="14"/>
        <v>0</v>
      </c>
      <c r="W37" s="251">
        <f t="shared" si="14"/>
        <v>0</v>
      </c>
      <c r="X37" s="251">
        <f t="shared" si="14"/>
        <v>0</v>
      </c>
      <c r="Y37" s="251">
        <f t="shared" si="14"/>
        <v>0</v>
      </c>
      <c r="Z37" s="251">
        <f t="shared" si="14"/>
        <v>0</v>
      </c>
      <c r="AA37" s="251">
        <f t="shared" si="14"/>
        <v>0</v>
      </c>
      <c r="AB37" s="251">
        <f t="shared" si="14"/>
        <v>0</v>
      </c>
      <c r="AC37" s="251">
        <f t="shared" si="14"/>
        <v>0</v>
      </c>
      <c r="AD37" s="251">
        <f t="shared" si="14"/>
        <v>0</v>
      </c>
    </row>
    <row r="38" spans="2:30" x14ac:dyDescent="0.25">
      <c r="B38" s="31" t="s">
        <v>2</v>
      </c>
      <c r="C38" s="31"/>
      <c r="D38" s="31"/>
      <c r="E38" s="31"/>
      <c r="F38" s="83">
        <f>F20</f>
        <v>0</v>
      </c>
      <c r="G38" s="83">
        <f>F40</f>
        <v>0</v>
      </c>
      <c r="H38" s="83">
        <f t="shared" ref="H38:AD38" si="15">G40</f>
        <v>0</v>
      </c>
      <c r="I38" s="83">
        <f t="shared" si="15"/>
        <v>0</v>
      </c>
      <c r="J38" s="83">
        <f t="shared" si="15"/>
        <v>0</v>
      </c>
      <c r="K38" s="83">
        <f t="shared" si="15"/>
        <v>0</v>
      </c>
      <c r="L38" s="83">
        <f t="shared" si="15"/>
        <v>0</v>
      </c>
      <c r="M38" s="83">
        <f t="shared" si="15"/>
        <v>0</v>
      </c>
      <c r="N38" s="83">
        <f t="shared" si="15"/>
        <v>0</v>
      </c>
      <c r="O38" s="83">
        <f t="shared" si="15"/>
        <v>0</v>
      </c>
      <c r="P38" s="83">
        <f t="shared" si="15"/>
        <v>0</v>
      </c>
      <c r="Q38" s="83">
        <f t="shared" si="15"/>
        <v>0</v>
      </c>
      <c r="R38" s="83">
        <f t="shared" si="15"/>
        <v>0</v>
      </c>
      <c r="S38" s="83">
        <f t="shared" si="15"/>
        <v>0</v>
      </c>
      <c r="T38" s="83">
        <f t="shared" si="15"/>
        <v>0</v>
      </c>
      <c r="U38" s="83">
        <f t="shared" si="15"/>
        <v>0</v>
      </c>
      <c r="V38" s="83">
        <f t="shared" si="15"/>
        <v>0</v>
      </c>
      <c r="W38" s="83">
        <f t="shared" si="15"/>
        <v>0</v>
      </c>
      <c r="X38" s="83">
        <f t="shared" si="15"/>
        <v>0</v>
      </c>
      <c r="Y38" s="83">
        <f t="shared" si="15"/>
        <v>0</v>
      </c>
      <c r="Z38" s="83">
        <f t="shared" si="15"/>
        <v>0</v>
      </c>
      <c r="AA38" s="83">
        <f t="shared" si="15"/>
        <v>0</v>
      </c>
      <c r="AB38" s="83">
        <f t="shared" si="15"/>
        <v>0</v>
      </c>
      <c r="AC38" s="83">
        <f t="shared" si="15"/>
        <v>0</v>
      </c>
      <c r="AD38" s="83">
        <f t="shared" si="15"/>
        <v>0</v>
      </c>
    </row>
    <row r="39" spans="2:30" x14ac:dyDescent="0.25">
      <c r="B39" s="232" t="str">
        <f>"Depreciation " &amp; B38</f>
        <v>Depreciation Building &amp; Civil Works</v>
      </c>
      <c r="C39" s="232"/>
      <c r="D39" s="232"/>
      <c r="E39" s="232"/>
      <c r="F39" s="233">
        <f>F38*Assumptions!$E$65/365*F12</f>
        <v>0</v>
      </c>
      <c r="G39" s="233">
        <f>G38*Assumptions!$E$65/365*G12</f>
        <v>0</v>
      </c>
      <c r="H39" s="233">
        <f>H38*Assumptions!$E$65/365*H12</f>
        <v>0</v>
      </c>
      <c r="I39" s="233">
        <f>I38*Assumptions!$E$65/365*I12</f>
        <v>0</v>
      </c>
      <c r="J39" s="233">
        <f>J38*Assumptions!$E$65/365*J12</f>
        <v>0</v>
      </c>
      <c r="K39" s="233">
        <f>K38*Assumptions!$E$65/365*K12</f>
        <v>0</v>
      </c>
      <c r="L39" s="233">
        <f>L38*Assumptions!$E$65/365*L12</f>
        <v>0</v>
      </c>
      <c r="M39" s="233">
        <f>M38*Assumptions!$E$65/365*M12</f>
        <v>0</v>
      </c>
      <c r="N39" s="233">
        <f>N38*Assumptions!$E$65/365*N12</f>
        <v>0</v>
      </c>
      <c r="O39" s="233">
        <f>O38*Assumptions!$E$65/365*O12</f>
        <v>0</v>
      </c>
      <c r="P39" s="233">
        <f>P38*Assumptions!$E$65/365*P12</f>
        <v>0</v>
      </c>
      <c r="Q39" s="233">
        <f>Q38*Assumptions!$E$65/365*Q12</f>
        <v>0</v>
      </c>
      <c r="R39" s="233">
        <f>R38*Assumptions!$E$65/365*R12</f>
        <v>0</v>
      </c>
      <c r="S39" s="233">
        <f>S38*Assumptions!$E$65/365*S12</f>
        <v>0</v>
      </c>
      <c r="T39" s="233">
        <f>T38*Assumptions!$E$65/365*T12</f>
        <v>0</v>
      </c>
      <c r="U39" s="233">
        <f>U38*Assumptions!$E$65/365*U12</f>
        <v>0</v>
      </c>
      <c r="V39" s="233">
        <f>V38*Assumptions!$E$65/365*V12</f>
        <v>0</v>
      </c>
      <c r="W39" s="233">
        <f>W38*Assumptions!$E$65/365*W12</f>
        <v>0</v>
      </c>
      <c r="X39" s="233">
        <f>X38*Assumptions!$E$65/365*X12</f>
        <v>0</v>
      </c>
      <c r="Y39" s="233">
        <f>Y38*Assumptions!$E$65/365*Y12</f>
        <v>0</v>
      </c>
      <c r="Z39" s="233">
        <f>Z38*Assumptions!$E$65/365*Z12</f>
        <v>0</v>
      </c>
      <c r="AA39" s="233">
        <f>AA38*Assumptions!$E$65/365*AA12</f>
        <v>0</v>
      </c>
      <c r="AB39" s="233">
        <f>AB38*Assumptions!$E$65/365*AB12</f>
        <v>0</v>
      </c>
      <c r="AC39" s="233">
        <f>AC38*Assumptions!$E$65/365*AC12</f>
        <v>0</v>
      </c>
      <c r="AD39" s="233">
        <f>AD38*Assumptions!$E$65/365*AD12</f>
        <v>0</v>
      </c>
    </row>
    <row r="40" spans="2:30" s="252" customFormat="1" x14ac:dyDescent="0.25">
      <c r="B40" s="122" t="str">
        <f>"WDV " &amp; "of "&amp; B38</f>
        <v>WDV of Building &amp; Civil Works</v>
      </c>
      <c r="C40" s="122"/>
      <c r="D40" s="122"/>
      <c r="E40" s="122"/>
      <c r="F40" s="251">
        <f>F38-F39</f>
        <v>0</v>
      </c>
      <c r="G40" s="251">
        <f t="shared" ref="G40:AD40" si="16">G38-G39</f>
        <v>0</v>
      </c>
      <c r="H40" s="251">
        <f t="shared" si="16"/>
        <v>0</v>
      </c>
      <c r="I40" s="251">
        <f t="shared" si="16"/>
        <v>0</v>
      </c>
      <c r="J40" s="251">
        <f t="shared" si="16"/>
        <v>0</v>
      </c>
      <c r="K40" s="251">
        <f t="shared" si="16"/>
        <v>0</v>
      </c>
      <c r="L40" s="251">
        <f t="shared" si="16"/>
        <v>0</v>
      </c>
      <c r="M40" s="251">
        <f t="shared" si="16"/>
        <v>0</v>
      </c>
      <c r="N40" s="251">
        <f t="shared" si="16"/>
        <v>0</v>
      </c>
      <c r="O40" s="251">
        <f t="shared" si="16"/>
        <v>0</v>
      </c>
      <c r="P40" s="251">
        <f t="shared" si="16"/>
        <v>0</v>
      </c>
      <c r="Q40" s="251">
        <f t="shared" si="16"/>
        <v>0</v>
      </c>
      <c r="R40" s="251">
        <f t="shared" si="16"/>
        <v>0</v>
      </c>
      <c r="S40" s="251">
        <f t="shared" si="16"/>
        <v>0</v>
      </c>
      <c r="T40" s="251">
        <f t="shared" si="16"/>
        <v>0</v>
      </c>
      <c r="U40" s="251">
        <f t="shared" si="16"/>
        <v>0</v>
      </c>
      <c r="V40" s="251">
        <f t="shared" si="16"/>
        <v>0</v>
      </c>
      <c r="W40" s="251">
        <f t="shared" si="16"/>
        <v>0</v>
      </c>
      <c r="X40" s="251">
        <f t="shared" si="16"/>
        <v>0</v>
      </c>
      <c r="Y40" s="251">
        <f t="shared" si="16"/>
        <v>0</v>
      </c>
      <c r="Z40" s="251">
        <f t="shared" si="16"/>
        <v>0</v>
      </c>
      <c r="AA40" s="251">
        <f t="shared" si="16"/>
        <v>0</v>
      </c>
      <c r="AB40" s="251">
        <f t="shared" si="16"/>
        <v>0</v>
      </c>
      <c r="AC40" s="251">
        <f t="shared" si="16"/>
        <v>0</v>
      </c>
      <c r="AD40" s="251">
        <f t="shared" si="16"/>
        <v>0</v>
      </c>
    </row>
    <row r="41" spans="2:30" x14ac:dyDescent="0.25">
      <c r="B41" s="31" t="s">
        <v>127</v>
      </c>
      <c r="C41" s="31"/>
      <c r="D41" s="83"/>
      <c r="E41" s="83"/>
      <c r="F41" s="83">
        <f>F22</f>
        <v>23.331796367458136</v>
      </c>
      <c r="G41" s="83">
        <f>F43</f>
        <v>22.773354615607758</v>
      </c>
      <c r="H41" s="83">
        <f>G43</f>
        <v>21.129118412360878</v>
      </c>
      <c r="I41" s="83">
        <f t="shared" ref="I41:AD41" si="17">H43</f>
        <v>19.599416549702472</v>
      </c>
      <c r="J41" s="83">
        <f t="shared" si="17"/>
        <v>18.184338674813954</v>
      </c>
      <c r="K41" s="83">
        <f t="shared" si="17"/>
        <v>16.871429422492387</v>
      </c>
      <c r="L41" s="83">
        <f t="shared" si="17"/>
        <v>15.653312218188436</v>
      </c>
      <c r="M41" s="83">
        <f t="shared" si="17"/>
        <v>14.520046722221112</v>
      </c>
      <c r="N41" s="83">
        <f t="shared" si="17"/>
        <v>13.471699348876747</v>
      </c>
      <c r="O41" s="83">
        <f t="shared" si="17"/>
        <v>12.499042655887846</v>
      </c>
      <c r="P41" s="83">
        <f t="shared" si="17"/>
        <v>11.596611776132743</v>
      </c>
      <c r="Q41" s="83">
        <f t="shared" si="17"/>
        <v>10.757042500772023</v>
      </c>
      <c r="R41" s="83">
        <f t="shared" si="17"/>
        <v>9.9803840322162838</v>
      </c>
      <c r="S41" s="83">
        <f t="shared" si="17"/>
        <v>9.259800305090268</v>
      </c>
      <c r="T41" s="83">
        <f t="shared" si="17"/>
        <v>8.5912427230627504</v>
      </c>
      <c r="U41" s="83">
        <f t="shared" si="17"/>
        <v>7.9692555800340443</v>
      </c>
      <c r="V41" s="83">
        <f t="shared" si="17"/>
        <v>7.3938753271555866</v>
      </c>
      <c r="W41" s="83">
        <f t="shared" si="17"/>
        <v>6.8600375285349529</v>
      </c>
      <c r="X41" s="83">
        <f t="shared" si="17"/>
        <v>6.3647428189747295</v>
      </c>
      <c r="Y41" s="83">
        <f t="shared" si="17"/>
        <v>5.9039493890022063</v>
      </c>
      <c r="Z41" s="83">
        <f t="shared" si="17"/>
        <v>5.4776842431162471</v>
      </c>
      <c r="AA41" s="83">
        <f t="shared" si="17"/>
        <v>5.0821954407632539</v>
      </c>
      <c r="AB41" s="83">
        <f t="shared" si="17"/>
        <v>4.7152609299401469</v>
      </c>
      <c r="AC41" s="83">
        <f t="shared" si="17"/>
        <v>4.373886373430957</v>
      </c>
      <c r="AD41" s="83">
        <f t="shared" si="17"/>
        <v>4.058091777269242</v>
      </c>
    </row>
    <row r="42" spans="2:30" x14ac:dyDescent="0.25">
      <c r="B42" s="232" t="str">
        <f>"Depreciation " &amp; B41</f>
        <v>Depreciation Plant &amp; Machinery</v>
      </c>
      <c r="C42" s="232"/>
      <c r="D42" s="232"/>
      <c r="E42" s="232"/>
      <c r="F42" s="233">
        <f>F41*Assumptions!$E$66/365*F12</f>
        <v>0.55844175185037748</v>
      </c>
      <c r="G42" s="233">
        <f>G41*Assumptions!$E$66/365*G12</f>
        <v>1.64423620324688</v>
      </c>
      <c r="H42" s="233">
        <f>H41*Assumptions!$E$66/365*H12</f>
        <v>1.5297018626584074</v>
      </c>
      <c r="I42" s="233">
        <f>I41*Assumptions!$E$66/365*I12</f>
        <v>1.4150778748885184</v>
      </c>
      <c r="J42" s="233">
        <f>J41*Assumptions!$E$66/365*J12</f>
        <v>1.3129092523215675</v>
      </c>
      <c r="K42" s="233">
        <f>K41*Assumptions!$E$66/365*K12</f>
        <v>1.2181172043039503</v>
      </c>
      <c r="L42" s="233">
        <f>L41*Assumptions!$E$66/365*L12</f>
        <v>1.1332654959673234</v>
      </c>
      <c r="M42" s="233">
        <f>M41*Assumptions!$E$66/365*M12</f>
        <v>1.0483473733443642</v>
      </c>
      <c r="N42" s="233">
        <f>N41*Assumptions!$E$66/365*N12</f>
        <v>0.97265669298890112</v>
      </c>
      <c r="O42" s="233">
        <f>O41*Assumptions!$E$66/365*O12</f>
        <v>0.9024308797551025</v>
      </c>
      <c r="P42" s="233">
        <f>P41*Assumptions!$E$66/365*P12</f>
        <v>0.83956927536072046</v>
      </c>
      <c r="Q42" s="233">
        <f>Q41*Assumptions!$E$66/365*Q12</f>
        <v>0.77665846855574006</v>
      </c>
      <c r="R42" s="233">
        <f>R41*Assumptions!$E$66/365*R12</f>
        <v>0.72058372712601582</v>
      </c>
      <c r="S42" s="233">
        <f>S41*Assumptions!$E$66/365*S12</f>
        <v>0.66855758202751736</v>
      </c>
      <c r="T42" s="233">
        <f>T41*Assumptions!$E$66/365*T12</f>
        <v>0.62198714302870628</v>
      </c>
      <c r="U42" s="233">
        <f>U41*Assumptions!$E$66/365*U12</f>
        <v>0.57538025287845795</v>
      </c>
      <c r="V42" s="233">
        <f>V41*Assumptions!$E$66/365*V12</f>
        <v>0.53383779862063341</v>
      </c>
      <c r="W42" s="233">
        <f>W41*Assumptions!$E$66/365*W12</f>
        <v>0.49529470956022364</v>
      </c>
      <c r="X42" s="233">
        <f>X41*Assumptions!$E$66/365*X12</f>
        <v>0.46079342997252337</v>
      </c>
      <c r="Y42" s="233">
        <f>Y41*Assumptions!$E$66/365*Y12</f>
        <v>0.42626514588595926</v>
      </c>
      <c r="Z42" s="233">
        <f>Z41*Assumptions!$E$66/365*Z12</f>
        <v>0.395488802352993</v>
      </c>
      <c r="AA42" s="233">
        <f>AA41*Assumptions!$E$66/365*AA12</f>
        <v>0.36693451082310691</v>
      </c>
      <c r="AB42" s="233">
        <f>AB41*Assumptions!$E$66/365*AB12</f>
        <v>0.34137455650919002</v>
      </c>
      <c r="AC42" s="233">
        <f>AC41*Assumptions!$E$66/365*AC12</f>
        <v>0.31579459616171507</v>
      </c>
      <c r="AD42" s="233">
        <f>AD41*Assumptions!$E$66/365*AD12</f>
        <v>0.29299422631883926</v>
      </c>
    </row>
    <row r="43" spans="2:30" s="252" customFormat="1" x14ac:dyDescent="0.25">
      <c r="B43" s="122" t="str">
        <f>"WDV " &amp; "of "&amp; B41</f>
        <v>WDV of Plant &amp; Machinery</v>
      </c>
      <c r="C43" s="122"/>
      <c r="D43" s="122"/>
      <c r="E43" s="122"/>
      <c r="F43" s="251">
        <f>F41-F42</f>
        <v>22.773354615607758</v>
      </c>
      <c r="G43" s="251">
        <f>G41-G42</f>
        <v>21.129118412360878</v>
      </c>
      <c r="H43" s="251">
        <f t="shared" ref="H43:AD43" si="18">H41-H42</f>
        <v>19.599416549702472</v>
      </c>
      <c r="I43" s="251">
        <f t="shared" si="18"/>
        <v>18.184338674813954</v>
      </c>
      <c r="J43" s="251">
        <f t="shared" si="18"/>
        <v>16.871429422492387</v>
      </c>
      <c r="K43" s="251">
        <f t="shared" si="18"/>
        <v>15.653312218188436</v>
      </c>
      <c r="L43" s="251">
        <f t="shared" si="18"/>
        <v>14.520046722221112</v>
      </c>
      <c r="M43" s="251">
        <f t="shared" si="18"/>
        <v>13.471699348876747</v>
      </c>
      <c r="N43" s="251">
        <f t="shared" si="18"/>
        <v>12.499042655887846</v>
      </c>
      <c r="O43" s="251">
        <f t="shared" si="18"/>
        <v>11.596611776132743</v>
      </c>
      <c r="P43" s="251">
        <f t="shared" si="18"/>
        <v>10.757042500772023</v>
      </c>
      <c r="Q43" s="251">
        <f t="shared" si="18"/>
        <v>9.9803840322162838</v>
      </c>
      <c r="R43" s="251">
        <f t="shared" si="18"/>
        <v>9.259800305090268</v>
      </c>
      <c r="S43" s="251">
        <f t="shared" si="18"/>
        <v>8.5912427230627504</v>
      </c>
      <c r="T43" s="251">
        <f t="shared" si="18"/>
        <v>7.9692555800340443</v>
      </c>
      <c r="U43" s="251">
        <f t="shared" si="18"/>
        <v>7.3938753271555866</v>
      </c>
      <c r="V43" s="251">
        <f t="shared" si="18"/>
        <v>6.8600375285349529</v>
      </c>
      <c r="W43" s="251">
        <f t="shared" si="18"/>
        <v>6.3647428189747295</v>
      </c>
      <c r="X43" s="251">
        <f t="shared" si="18"/>
        <v>5.9039493890022063</v>
      </c>
      <c r="Y43" s="251">
        <f t="shared" si="18"/>
        <v>5.4776842431162471</v>
      </c>
      <c r="Z43" s="251">
        <f t="shared" si="18"/>
        <v>5.0821954407632539</v>
      </c>
      <c r="AA43" s="251">
        <f t="shared" si="18"/>
        <v>4.7152609299401469</v>
      </c>
      <c r="AB43" s="251">
        <f t="shared" si="18"/>
        <v>4.373886373430957</v>
      </c>
      <c r="AC43" s="251">
        <f t="shared" si="18"/>
        <v>4.058091777269242</v>
      </c>
      <c r="AD43" s="251">
        <f t="shared" si="18"/>
        <v>3.7650975509504025</v>
      </c>
    </row>
    <row r="44" spans="2:30" x14ac:dyDescent="0.25">
      <c r="B44" s="31" t="s">
        <v>211</v>
      </c>
      <c r="C44" s="31"/>
      <c r="D44" s="31"/>
      <c r="E44" s="31"/>
      <c r="F44" s="83">
        <f>F24</f>
        <v>0</v>
      </c>
      <c r="G44" s="83">
        <f>F46</f>
        <v>0</v>
      </c>
      <c r="H44" s="83">
        <f t="shared" ref="H44:AD44" si="19">G46</f>
        <v>0</v>
      </c>
      <c r="I44" s="83">
        <f t="shared" si="19"/>
        <v>0</v>
      </c>
      <c r="J44" s="83">
        <f t="shared" si="19"/>
        <v>0</v>
      </c>
      <c r="K44" s="83">
        <f t="shared" si="19"/>
        <v>0</v>
      </c>
      <c r="L44" s="83">
        <f t="shared" si="19"/>
        <v>0</v>
      </c>
      <c r="M44" s="83">
        <f t="shared" si="19"/>
        <v>0</v>
      </c>
      <c r="N44" s="83">
        <f t="shared" si="19"/>
        <v>0</v>
      </c>
      <c r="O44" s="83">
        <f t="shared" si="19"/>
        <v>0</v>
      </c>
      <c r="P44" s="83">
        <f t="shared" si="19"/>
        <v>0</v>
      </c>
      <c r="Q44" s="83">
        <f t="shared" si="19"/>
        <v>0</v>
      </c>
      <c r="R44" s="83">
        <f t="shared" si="19"/>
        <v>0</v>
      </c>
      <c r="S44" s="83">
        <f t="shared" si="19"/>
        <v>0</v>
      </c>
      <c r="T44" s="83">
        <f t="shared" si="19"/>
        <v>0</v>
      </c>
      <c r="U44" s="83">
        <f t="shared" si="19"/>
        <v>0</v>
      </c>
      <c r="V44" s="83">
        <f t="shared" si="19"/>
        <v>0</v>
      </c>
      <c r="W44" s="83">
        <f t="shared" si="19"/>
        <v>0</v>
      </c>
      <c r="X44" s="83">
        <f t="shared" si="19"/>
        <v>0</v>
      </c>
      <c r="Y44" s="83">
        <f t="shared" si="19"/>
        <v>0</v>
      </c>
      <c r="Z44" s="83">
        <f t="shared" si="19"/>
        <v>0</v>
      </c>
      <c r="AA44" s="83">
        <f t="shared" si="19"/>
        <v>0</v>
      </c>
      <c r="AB44" s="83">
        <f t="shared" si="19"/>
        <v>0</v>
      </c>
      <c r="AC44" s="83">
        <f t="shared" si="19"/>
        <v>0</v>
      </c>
      <c r="AD44" s="83">
        <f t="shared" si="19"/>
        <v>0</v>
      </c>
    </row>
    <row r="45" spans="2:30" x14ac:dyDescent="0.25">
      <c r="B45" s="232" t="str">
        <f>"Depreciation " &amp; B44</f>
        <v>Depreciation Electricity Connection &amp; Infrastructure</v>
      </c>
      <c r="C45" s="232"/>
      <c r="D45" s="232"/>
      <c r="E45" s="232"/>
      <c r="F45" s="233">
        <f>F44*Assumptions!$E$67/365*F12</f>
        <v>0</v>
      </c>
      <c r="G45" s="233">
        <f>G44*Assumptions!$E$67/365*G12</f>
        <v>0</v>
      </c>
      <c r="H45" s="233">
        <f>H44*Assumptions!$E$67/365*H12</f>
        <v>0</v>
      </c>
      <c r="I45" s="233">
        <f>I44*Assumptions!$E$67/365*I12</f>
        <v>0</v>
      </c>
      <c r="J45" s="233">
        <f>J44*Assumptions!$E$67/365*J12</f>
        <v>0</v>
      </c>
      <c r="K45" s="233">
        <f>K44*Assumptions!$E$67/365*K12</f>
        <v>0</v>
      </c>
      <c r="L45" s="233">
        <f>L44*Assumptions!$E$67/365*L12</f>
        <v>0</v>
      </c>
      <c r="M45" s="233">
        <f>M44*Assumptions!$E$67/365*M12</f>
        <v>0</v>
      </c>
      <c r="N45" s="233">
        <f>N44*Assumptions!$E$67/365*N12</f>
        <v>0</v>
      </c>
      <c r="O45" s="233">
        <f>O44*Assumptions!$E$67/365*O12</f>
        <v>0</v>
      </c>
      <c r="P45" s="233">
        <f>P44*Assumptions!$E$67/365*P12</f>
        <v>0</v>
      </c>
      <c r="Q45" s="233">
        <f>Q44*Assumptions!$E$67/365*Q12</f>
        <v>0</v>
      </c>
      <c r="R45" s="233">
        <f>R44*Assumptions!$E$67/365*R12</f>
        <v>0</v>
      </c>
      <c r="S45" s="233">
        <f>S44*Assumptions!$E$67/365*S12</f>
        <v>0</v>
      </c>
      <c r="T45" s="233">
        <f>T44*Assumptions!$E$67/365*T12</f>
        <v>0</v>
      </c>
      <c r="U45" s="233">
        <f>U44*Assumptions!$E$67/365*U12</f>
        <v>0</v>
      </c>
      <c r="V45" s="233">
        <f>V44*Assumptions!$E$67/365*V12</f>
        <v>0</v>
      </c>
      <c r="W45" s="233">
        <f>W44*Assumptions!$E$67/365*W12</f>
        <v>0</v>
      </c>
      <c r="X45" s="233">
        <f>X44*Assumptions!$E$67/365*X12</f>
        <v>0</v>
      </c>
      <c r="Y45" s="233">
        <f>Y44*Assumptions!$E$67/365*Y12</f>
        <v>0</v>
      </c>
      <c r="Z45" s="233">
        <f>Z44*Assumptions!$E$67/365*Z12</f>
        <v>0</v>
      </c>
      <c r="AA45" s="233">
        <f>AA44*Assumptions!$E$67/365*AA12</f>
        <v>0</v>
      </c>
      <c r="AB45" s="233">
        <f>AB44*Assumptions!$E$67/365*AB12</f>
        <v>0</v>
      </c>
      <c r="AC45" s="233">
        <f>AC44*Assumptions!$E$67/365*AC12</f>
        <v>0</v>
      </c>
      <c r="AD45" s="233">
        <f>AD44*Assumptions!$E$67/365*AD12</f>
        <v>0</v>
      </c>
    </row>
    <row r="46" spans="2:30" s="252" customFormat="1" x14ac:dyDescent="0.25">
      <c r="B46" s="122" t="str">
        <f>"WDV " &amp; "of "&amp; B44</f>
        <v>WDV of Electricity Connection &amp; Infrastructure</v>
      </c>
      <c r="C46" s="122"/>
      <c r="D46" s="122"/>
      <c r="E46" s="122"/>
      <c r="F46" s="251">
        <f>F44-F45</f>
        <v>0</v>
      </c>
      <c r="G46" s="251">
        <f t="shared" ref="G46:AD46" si="20">G44-G45</f>
        <v>0</v>
      </c>
      <c r="H46" s="251">
        <f t="shared" si="20"/>
        <v>0</v>
      </c>
      <c r="I46" s="251">
        <f t="shared" si="20"/>
        <v>0</v>
      </c>
      <c r="J46" s="251">
        <f t="shared" si="20"/>
        <v>0</v>
      </c>
      <c r="K46" s="251">
        <f t="shared" si="20"/>
        <v>0</v>
      </c>
      <c r="L46" s="251">
        <f t="shared" si="20"/>
        <v>0</v>
      </c>
      <c r="M46" s="251">
        <f t="shared" si="20"/>
        <v>0</v>
      </c>
      <c r="N46" s="251">
        <f t="shared" si="20"/>
        <v>0</v>
      </c>
      <c r="O46" s="251">
        <f t="shared" si="20"/>
        <v>0</v>
      </c>
      <c r="P46" s="251">
        <f t="shared" si="20"/>
        <v>0</v>
      </c>
      <c r="Q46" s="251">
        <f t="shared" si="20"/>
        <v>0</v>
      </c>
      <c r="R46" s="251">
        <f t="shared" si="20"/>
        <v>0</v>
      </c>
      <c r="S46" s="251">
        <f t="shared" si="20"/>
        <v>0</v>
      </c>
      <c r="T46" s="251">
        <f t="shared" si="20"/>
        <v>0</v>
      </c>
      <c r="U46" s="251">
        <f t="shared" si="20"/>
        <v>0</v>
      </c>
      <c r="V46" s="251">
        <f t="shared" si="20"/>
        <v>0</v>
      </c>
      <c r="W46" s="251">
        <f t="shared" si="20"/>
        <v>0</v>
      </c>
      <c r="X46" s="251">
        <f t="shared" si="20"/>
        <v>0</v>
      </c>
      <c r="Y46" s="251">
        <f t="shared" si="20"/>
        <v>0</v>
      </c>
      <c r="Z46" s="251">
        <f t="shared" si="20"/>
        <v>0</v>
      </c>
      <c r="AA46" s="251">
        <f t="shared" si="20"/>
        <v>0</v>
      </c>
      <c r="AB46" s="251">
        <f t="shared" si="20"/>
        <v>0</v>
      </c>
      <c r="AC46" s="251">
        <f t="shared" si="20"/>
        <v>0</v>
      </c>
      <c r="AD46" s="251">
        <f t="shared" si="20"/>
        <v>0</v>
      </c>
    </row>
    <row r="47" spans="2:30" x14ac:dyDescent="0.25">
      <c r="B47" s="31" t="s">
        <v>5</v>
      </c>
      <c r="C47" s="31"/>
      <c r="D47" s="31"/>
      <c r="E47" s="31"/>
      <c r="F47" s="83">
        <f>F26</f>
        <v>0</v>
      </c>
      <c r="G47" s="83">
        <f>F49</f>
        <v>0</v>
      </c>
      <c r="H47" s="83">
        <f t="shared" ref="H47:AD47" si="21">G49</f>
        <v>0</v>
      </c>
      <c r="I47" s="83">
        <f t="shared" si="21"/>
        <v>0</v>
      </c>
      <c r="J47" s="83">
        <f t="shared" si="21"/>
        <v>0</v>
      </c>
      <c r="K47" s="83">
        <f t="shared" si="21"/>
        <v>0</v>
      </c>
      <c r="L47" s="83">
        <f t="shared" si="21"/>
        <v>0</v>
      </c>
      <c r="M47" s="83">
        <f t="shared" si="21"/>
        <v>0</v>
      </c>
      <c r="N47" s="83">
        <f t="shared" si="21"/>
        <v>0</v>
      </c>
      <c r="O47" s="83">
        <f t="shared" si="21"/>
        <v>0</v>
      </c>
      <c r="P47" s="83">
        <f t="shared" si="21"/>
        <v>0</v>
      </c>
      <c r="Q47" s="83">
        <f t="shared" si="21"/>
        <v>0</v>
      </c>
      <c r="R47" s="83">
        <f t="shared" si="21"/>
        <v>0</v>
      </c>
      <c r="S47" s="83">
        <f t="shared" si="21"/>
        <v>0</v>
      </c>
      <c r="T47" s="83">
        <f t="shared" si="21"/>
        <v>0</v>
      </c>
      <c r="U47" s="83">
        <f t="shared" si="21"/>
        <v>0</v>
      </c>
      <c r="V47" s="83">
        <f t="shared" si="21"/>
        <v>0</v>
      </c>
      <c r="W47" s="83">
        <f t="shared" si="21"/>
        <v>0</v>
      </c>
      <c r="X47" s="83">
        <f t="shared" si="21"/>
        <v>0</v>
      </c>
      <c r="Y47" s="83">
        <f t="shared" si="21"/>
        <v>0</v>
      </c>
      <c r="Z47" s="83">
        <f t="shared" si="21"/>
        <v>0</v>
      </c>
      <c r="AA47" s="83">
        <f t="shared" si="21"/>
        <v>0</v>
      </c>
      <c r="AB47" s="83">
        <f t="shared" si="21"/>
        <v>0</v>
      </c>
      <c r="AC47" s="83">
        <f t="shared" si="21"/>
        <v>0</v>
      </c>
      <c r="AD47" s="83">
        <f t="shared" si="21"/>
        <v>0</v>
      </c>
    </row>
    <row r="48" spans="2:30" x14ac:dyDescent="0.25">
      <c r="B48" s="232" t="str">
        <f>"Depreciation " &amp; B47</f>
        <v>Depreciation Vehicles</v>
      </c>
      <c r="C48" s="232"/>
      <c r="D48" s="232"/>
      <c r="E48" s="232"/>
      <c r="F48" s="233">
        <f>F47*Assumptions!$E$68/365*F12</f>
        <v>0</v>
      </c>
      <c r="G48" s="233">
        <f>G47*Assumptions!$E$68/365*G12</f>
        <v>0</v>
      </c>
      <c r="H48" s="233">
        <f>H47*Assumptions!$E$68/365*H12</f>
        <v>0</v>
      </c>
      <c r="I48" s="233">
        <f>I47*Assumptions!$E$68/365*I12</f>
        <v>0</v>
      </c>
      <c r="J48" s="233">
        <f>J47*Assumptions!$E$68/365*J12</f>
        <v>0</v>
      </c>
      <c r="K48" s="233">
        <f>K47*Assumptions!$E$68/365*K12</f>
        <v>0</v>
      </c>
      <c r="L48" s="233">
        <f>L47*Assumptions!$E$68/365*L12</f>
        <v>0</v>
      </c>
      <c r="M48" s="233">
        <f>M47*Assumptions!$E$68/365*M12</f>
        <v>0</v>
      </c>
      <c r="N48" s="233">
        <f>N47*Assumptions!$E$68/365*N12</f>
        <v>0</v>
      </c>
      <c r="O48" s="233">
        <f>O47*Assumptions!$E$68/365*O12</f>
        <v>0</v>
      </c>
      <c r="P48" s="233">
        <f>P47*Assumptions!$E$68/365*P12</f>
        <v>0</v>
      </c>
      <c r="Q48" s="233">
        <f>Q47*Assumptions!$E$68/365*Q12</f>
        <v>0</v>
      </c>
      <c r="R48" s="233">
        <f>R47*Assumptions!$E$68/365*R12</f>
        <v>0</v>
      </c>
      <c r="S48" s="233">
        <f>S47*Assumptions!$E$68/365*S12</f>
        <v>0</v>
      </c>
      <c r="T48" s="233">
        <f>T47*Assumptions!$E$68/365*T12</f>
        <v>0</v>
      </c>
      <c r="U48" s="233">
        <f>U47*Assumptions!$E$68/365*U12</f>
        <v>0</v>
      </c>
      <c r="V48" s="233">
        <f>V47*Assumptions!$E$68/365*V12</f>
        <v>0</v>
      </c>
      <c r="W48" s="233">
        <f>W47*Assumptions!$E$68/365*W12</f>
        <v>0</v>
      </c>
      <c r="X48" s="233">
        <f>X47*Assumptions!$E$68/365*X12</f>
        <v>0</v>
      </c>
      <c r="Y48" s="233">
        <f>Y47*Assumptions!$E$68/365*Y12</f>
        <v>0</v>
      </c>
      <c r="Z48" s="233">
        <f>Z47*Assumptions!$E$68/365*Z12</f>
        <v>0</v>
      </c>
      <c r="AA48" s="233">
        <f>AA47*Assumptions!$E$68/365*AA12</f>
        <v>0</v>
      </c>
      <c r="AB48" s="233">
        <f>AB47*Assumptions!$E$68/365*AB12</f>
        <v>0</v>
      </c>
      <c r="AC48" s="233">
        <f>AC47*Assumptions!$E$68/365*AC12</f>
        <v>0</v>
      </c>
      <c r="AD48" s="233">
        <f>AD47*Assumptions!$E$68/365*AD12</f>
        <v>0</v>
      </c>
    </row>
    <row r="49" spans="2:30" s="252" customFormat="1" x14ac:dyDescent="0.25">
      <c r="B49" s="122" t="str">
        <f>"WDV " &amp; "of "&amp; B47</f>
        <v>WDV of Vehicles</v>
      </c>
      <c r="C49" s="122"/>
      <c r="D49" s="122"/>
      <c r="E49" s="122"/>
      <c r="F49" s="251">
        <f>F47-F48</f>
        <v>0</v>
      </c>
      <c r="G49" s="251">
        <f t="shared" ref="G49:AD49" si="22">G47-G48</f>
        <v>0</v>
      </c>
      <c r="H49" s="251">
        <f t="shared" si="22"/>
        <v>0</v>
      </c>
      <c r="I49" s="251">
        <f t="shared" si="22"/>
        <v>0</v>
      </c>
      <c r="J49" s="251">
        <f t="shared" si="22"/>
        <v>0</v>
      </c>
      <c r="K49" s="251">
        <f t="shared" si="22"/>
        <v>0</v>
      </c>
      <c r="L49" s="251">
        <f t="shared" si="22"/>
        <v>0</v>
      </c>
      <c r="M49" s="251">
        <f t="shared" si="22"/>
        <v>0</v>
      </c>
      <c r="N49" s="251">
        <f t="shared" si="22"/>
        <v>0</v>
      </c>
      <c r="O49" s="251">
        <f t="shared" si="22"/>
        <v>0</v>
      </c>
      <c r="P49" s="251">
        <f t="shared" si="22"/>
        <v>0</v>
      </c>
      <c r="Q49" s="251">
        <f t="shared" si="22"/>
        <v>0</v>
      </c>
      <c r="R49" s="251">
        <f t="shared" si="22"/>
        <v>0</v>
      </c>
      <c r="S49" s="251">
        <f t="shared" si="22"/>
        <v>0</v>
      </c>
      <c r="T49" s="251">
        <f t="shared" si="22"/>
        <v>0</v>
      </c>
      <c r="U49" s="251">
        <f t="shared" si="22"/>
        <v>0</v>
      </c>
      <c r="V49" s="251">
        <f t="shared" si="22"/>
        <v>0</v>
      </c>
      <c r="W49" s="251">
        <f t="shared" si="22"/>
        <v>0</v>
      </c>
      <c r="X49" s="251">
        <f t="shared" si="22"/>
        <v>0</v>
      </c>
      <c r="Y49" s="251">
        <f t="shared" si="22"/>
        <v>0</v>
      </c>
      <c r="Z49" s="251">
        <f t="shared" si="22"/>
        <v>0</v>
      </c>
      <c r="AA49" s="251">
        <f t="shared" si="22"/>
        <v>0</v>
      </c>
      <c r="AB49" s="251">
        <f t="shared" si="22"/>
        <v>0</v>
      </c>
      <c r="AC49" s="251">
        <f t="shared" si="22"/>
        <v>0</v>
      </c>
      <c r="AD49" s="251">
        <f t="shared" si="22"/>
        <v>0</v>
      </c>
    </row>
    <row r="50" spans="2:30" x14ac:dyDescent="0.25">
      <c r="B50" s="31" t="s">
        <v>212</v>
      </c>
      <c r="C50" s="31"/>
      <c r="D50" s="31"/>
      <c r="E50" s="31"/>
      <c r="F50" s="83">
        <f>F28</f>
        <v>0</v>
      </c>
      <c r="G50" s="83">
        <f>F52</f>
        <v>0</v>
      </c>
      <c r="H50" s="83">
        <f t="shared" ref="H50:AD50" si="23">G52</f>
        <v>0</v>
      </c>
      <c r="I50" s="83">
        <f t="shared" si="23"/>
        <v>0</v>
      </c>
      <c r="J50" s="83">
        <f t="shared" si="23"/>
        <v>0</v>
      </c>
      <c r="K50" s="83">
        <f t="shared" si="23"/>
        <v>0</v>
      </c>
      <c r="L50" s="83">
        <f t="shared" si="23"/>
        <v>0</v>
      </c>
      <c r="M50" s="83">
        <f t="shared" si="23"/>
        <v>0</v>
      </c>
      <c r="N50" s="83">
        <f t="shared" si="23"/>
        <v>0</v>
      </c>
      <c r="O50" s="83">
        <f t="shared" si="23"/>
        <v>0</v>
      </c>
      <c r="P50" s="83">
        <f t="shared" si="23"/>
        <v>0</v>
      </c>
      <c r="Q50" s="83">
        <f t="shared" si="23"/>
        <v>0</v>
      </c>
      <c r="R50" s="83">
        <f t="shared" si="23"/>
        <v>0</v>
      </c>
      <c r="S50" s="83">
        <f t="shared" si="23"/>
        <v>0</v>
      </c>
      <c r="T50" s="83">
        <f t="shared" si="23"/>
        <v>0</v>
      </c>
      <c r="U50" s="83">
        <f t="shared" si="23"/>
        <v>0</v>
      </c>
      <c r="V50" s="83">
        <f t="shared" si="23"/>
        <v>0</v>
      </c>
      <c r="W50" s="83">
        <f t="shared" si="23"/>
        <v>0</v>
      </c>
      <c r="X50" s="83">
        <f t="shared" si="23"/>
        <v>0</v>
      </c>
      <c r="Y50" s="83">
        <f t="shared" si="23"/>
        <v>0</v>
      </c>
      <c r="Z50" s="83">
        <f t="shared" si="23"/>
        <v>0</v>
      </c>
      <c r="AA50" s="83">
        <f t="shared" si="23"/>
        <v>0</v>
      </c>
      <c r="AB50" s="83">
        <f t="shared" si="23"/>
        <v>0</v>
      </c>
      <c r="AC50" s="83">
        <f t="shared" si="23"/>
        <v>0</v>
      </c>
      <c r="AD50" s="83">
        <f t="shared" si="23"/>
        <v>0</v>
      </c>
    </row>
    <row r="51" spans="2:30" x14ac:dyDescent="0.25">
      <c r="B51" s="232" t="str">
        <f>"Depreciation " &amp; B50</f>
        <v>Depreciation Office equipment</v>
      </c>
      <c r="C51" s="232"/>
      <c r="D51" s="232"/>
      <c r="E51" s="232"/>
      <c r="F51" s="233">
        <f>F50*Assumptions!$E$69/365*F12</f>
        <v>0</v>
      </c>
      <c r="G51" s="233">
        <f>G50*Assumptions!$E$69/365*G12</f>
        <v>0</v>
      </c>
      <c r="H51" s="233">
        <f>H50*Assumptions!$E$69/365*H12</f>
        <v>0</v>
      </c>
      <c r="I51" s="233">
        <f>I50*Assumptions!$E$69/365*I12</f>
        <v>0</v>
      </c>
      <c r="J51" s="233">
        <f>J50*Assumptions!$E$69/365*J12</f>
        <v>0</v>
      </c>
      <c r="K51" s="233">
        <f>K50*Assumptions!$E$69/365*K12</f>
        <v>0</v>
      </c>
      <c r="L51" s="233">
        <f>L50*Assumptions!$E$69/365*L12</f>
        <v>0</v>
      </c>
      <c r="M51" s="233">
        <f>M50*Assumptions!$E$69/365*M12</f>
        <v>0</v>
      </c>
      <c r="N51" s="233">
        <f>N50*Assumptions!$E$69/365*N12</f>
        <v>0</v>
      </c>
      <c r="O51" s="233">
        <f>O50*Assumptions!$E$69/365*O12</f>
        <v>0</v>
      </c>
      <c r="P51" s="233">
        <f>P50*Assumptions!$E$69/365*P12</f>
        <v>0</v>
      </c>
      <c r="Q51" s="233">
        <f>Q50*Assumptions!$E$69/365*Q12</f>
        <v>0</v>
      </c>
      <c r="R51" s="233">
        <f>R50*Assumptions!$E$69/365*R12</f>
        <v>0</v>
      </c>
      <c r="S51" s="233">
        <f>S50*Assumptions!$E$69/365*S12</f>
        <v>0</v>
      </c>
      <c r="T51" s="233">
        <f>T50*Assumptions!$E$69/365*T12</f>
        <v>0</v>
      </c>
      <c r="U51" s="233">
        <f>U50*Assumptions!$E$69/365*U12</f>
        <v>0</v>
      </c>
      <c r="V51" s="233">
        <f>V50*Assumptions!$E$69/365*V12</f>
        <v>0</v>
      </c>
      <c r="W51" s="233">
        <f>W50*Assumptions!$E$69/365*W12</f>
        <v>0</v>
      </c>
      <c r="X51" s="233">
        <f>X50*Assumptions!$E$69/365*X12</f>
        <v>0</v>
      </c>
      <c r="Y51" s="233">
        <f>Y50*Assumptions!$E$69/365*Y12</f>
        <v>0</v>
      </c>
      <c r="Z51" s="233">
        <f>Z50*Assumptions!$E$69/365*Z12</f>
        <v>0</v>
      </c>
      <c r="AA51" s="233">
        <f>AA50*Assumptions!$E$69/365*AA12</f>
        <v>0</v>
      </c>
      <c r="AB51" s="233">
        <f>AB50*Assumptions!$E$69/365*AB12</f>
        <v>0</v>
      </c>
      <c r="AC51" s="233">
        <f>AC50*Assumptions!$E$69/365*AC12</f>
        <v>0</v>
      </c>
      <c r="AD51" s="233">
        <f>AD50*Assumptions!$E$69/365*AD12</f>
        <v>0</v>
      </c>
    </row>
    <row r="52" spans="2:30" s="252" customFormat="1" x14ac:dyDescent="0.25">
      <c r="B52" s="122" t="str">
        <f>"WDV " &amp; "of "&amp; B50</f>
        <v>WDV of Office equipment</v>
      </c>
      <c r="C52" s="122"/>
      <c r="D52" s="122"/>
      <c r="E52" s="122"/>
      <c r="F52" s="251">
        <f>F50-F51</f>
        <v>0</v>
      </c>
      <c r="G52" s="251">
        <f t="shared" ref="G52:AD52" si="24">G50-G51</f>
        <v>0</v>
      </c>
      <c r="H52" s="251">
        <f t="shared" si="24"/>
        <v>0</v>
      </c>
      <c r="I52" s="251">
        <f t="shared" si="24"/>
        <v>0</v>
      </c>
      <c r="J52" s="251">
        <f t="shared" si="24"/>
        <v>0</v>
      </c>
      <c r="K52" s="251">
        <f t="shared" si="24"/>
        <v>0</v>
      </c>
      <c r="L52" s="251">
        <f t="shared" si="24"/>
        <v>0</v>
      </c>
      <c r="M52" s="251">
        <f t="shared" si="24"/>
        <v>0</v>
      </c>
      <c r="N52" s="251">
        <f t="shared" si="24"/>
        <v>0</v>
      </c>
      <c r="O52" s="251">
        <f t="shared" si="24"/>
        <v>0</v>
      </c>
      <c r="P52" s="251">
        <f t="shared" si="24"/>
        <v>0</v>
      </c>
      <c r="Q52" s="251">
        <f t="shared" si="24"/>
        <v>0</v>
      </c>
      <c r="R52" s="251">
        <f t="shared" si="24"/>
        <v>0</v>
      </c>
      <c r="S52" s="251">
        <f t="shared" si="24"/>
        <v>0</v>
      </c>
      <c r="T52" s="251">
        <f t="shared" si="24"/>
        <v>0</v>
      </c>
      <c r="U52" s="251">
        <f t="shared" si="24"/>
        <v>0</v>
      </c>
      <c r="V52" s="251">
        <f t="shared" si="24"/>
        <v>0</v>
      </c>
      <c r="W52" s="251">
        <f t="shared" si="24"/>
        <v>0</v>
      </c>
      <c r="X52" s="251">
        <f t="shared" si="24"/>
        <v>0</v>
      </c>
      <c r="Y52" s="251">
        <f t="shared" si="24"/>
        <v>0</v>
      </c>
      <c r="Z52" s="251">
        <f t="shared" si="24"/>
        <v>0</v>
      </c>
      <c r="AA52" s="251">
        <f t="shared" si="24"/>
        <v>0</v>
      </c>
      <c r="AB52" s="251">
        <f t="shared" si="24"/>
        <v>0</v>
      </c>
      <c r="AC52" s="251">
        <f t="shared" si="24"/>
        <v>0</v>
      </c>
      <c r="AD52" s="251">
        <f t="shared" si="24"/>
        <v>0</v>
      </c>
    </row>
    <row r="53" spans="2:30" x14ac:dyDescent="0.25">
      <c r="B53" s="229" t="s">
        <v>214</v>
      </c>
      <c r="C53" s="229"/>
      <c r="D53" s="229"/>
      <c r="E53" s="229"/>
      <c r="F53" s="230">
        <f>F37+F40+F43+F46+F49+F52</f>
        <v>22.773354615607758</v>
      </c>
      <c r="G53" s="230">
        <f t="shared" ref="G53:AD53" si="25">G37+G40+G43+G46+G49+G52</f>
        <v>21.129118412360878</v>
      </c>
      <c r="H53" s="230">
        <f t="shared" si="25"/>
        <v>19.599416549702472</v>
      </c>
      <c r="I53" s="230">
        <f t="shared" si="25"/>
        <v>18.184338674813954</v>
      </c>
      <c r="J53" s="230">
        <f t="shared" si="25"/>
        <v>16.871429422492387</v>
      </c>
      <c r="K53" s="230">
        <f t="shared" si="25"/>
        <v>15.653312218188436</v>
      </c>
      <c r="L53" s="230">
        <f t="shared" si="25"/>
        <v>14.520046722221112</v>
      </c>
      <c r="M53" s="230">
        <f t="shared" si="25"/>
        <v>13.471699348876747</v>
      </c>
      <c r="N53" s="230">
        <f t="shared" si="25"/>
        <v>12.499042655887846</v>
      </c>
      <c r="O53" s="230">
        <f t="shared" si="25"/>
        <v>11.596611776132743</v>
      </c>
      <c r="P53" s="230">
        <f t="shared" si="25"/>
        <v>10.757042500772023</v>
      </c>
      <c r="Q53" s="230">
        <f t="shared" si="25"/>
        <v>9.9803840322162838</v>
      </c>
      <c r="R53" s="230">
        <f t="shared" si="25"/>
        <v>9.259800305090268</v>
      </c>
      <c r="S53" s="230">
        <f t="shared" si="25"/>
        <v>8.5912427230627504</v>
      </c>
      <c r="T53" s="230">
        <f t="shared" si="25"/>
        <v>7.9692555800340443</v>
      </c>
      <c r="U53" s="230">
        <f t="shared" si="25"/>
        <v>7.3938753271555866</v>
      </c>
      <c r="V53" s="230">
        <f t="shared" si="25"/>
        <v>6.8600375285349529</v>
      </c>
      <c r="W53" s="230">
        <f t="shared" si="25"/>
        <v>6.3647428189747295</v>
      </c>
      <c r="X53" s="230">
        <f t="shared" si="25"/>
        <v>5.9039493890022063</v>
      </c>
      <c r="Y53" s="230">
        <f t="shared" si="25"/>
        <v>5.4776842431162471</v>
      </c>
      <c r="Z53" s="230">
        <f t="shared" si="25"/>
        <v>5.0821954407632539</v>
      </c>
      <c r="AA53" s="230">
        <f t="shared" si="25"/>
        <v>4.7152609299401469</v>
      </c>
      <c r="AB53" s="230">
        <f t="shared" si="25"/>
        <v>4.373886373430957</v>
      </c>
      <c r="AC53" s="230">
        <f t="shared" si="25"/>
        <v>4.058091777269242</v>
      </c>
      <c r="AD53" s="230">
        <f t="shared" si="25"/>
        <v>3.7650975509504025</v>
      </c>
    </row>
    <row r="54" spans="2:30" x14ac:dyDescent="0.25">
      <c r="B54" s="95" t="s">
        <v>215</v>
      </c>
      <c r="C54" s="95"/>
      <c r="D54" s="95"/>
      <c r="E54" s="95"/>
      <c r="F54" s="96">
        <f>F36+F39+F42+F45+F48+F51</f>
        <v>0.55844175185037748</v>
      </c>
      <c r="G54" s="96">
        <f t="shared" ref="G54:AD54" si="26">G36+G39+G42+G45+G48+G51</f>
        <v>1.64423620324688</v>
      </c>
      <c r="H54" s="96">
        <f t="shared" si="26"/>
        <v>1.5297018626584074</v>
      </c>
      <c r="I54" s="96">
        <f t="shared" si="26"/>
        <v>1.4150778748885184</v>
      </c>
      <c r="J54" s="96">
        <f t="shared" si="26"/>
        <v>1.3129092523215675</v>
      </c>
      <c r="K54" s="96">
        <f t="shared" si="26"/>
        <v>1.2181172043039503</v>
      </c>
      <c r="L54" s="96">
        <f t="shared" si="26"/>
        <v>1.1332654959673234</v>
      </c>
      <c r="M54" s="96">
        <f t="shared" si="26"/>
        <v>1.0483473733443642</v>
      </c>
      <c r="N54" s="96">
        <f t="shared" si="26"/>
        <v>0.97265669298890112</v>
      </c>
      <c r="O54" s="96">
        <f t="shared" si="26"/>
        <v>0.9024308797551025</v>
      </c>
      <c r="P54" s="96">
        <f t="shared" si="26"/>
        <v>0.83956927536072046</v>
      </c>
      <c r="Q54" s="96">
        <f t="shared" si="26"/>
        <v>0.77665846855574006</v>
      </c>
      <c r="R54" s="96">
        <f t="shared" si="26"/>
        <v>0.72058372712601582</v>
      </c>
      <c r="S54" s="96">
        <f t="shared" si="26"/>
        <v>0.66855758202751736</v>
      </c>
      <c r="T54" s="96">
        <f t="shared" si="26"/>
        <v>0.62198714302870628</v>
      </c>
      <c r="U54" s="96">
        <f t="shared" si="26"/>
        <v>0.57538025287845795</v>
      </c>
      <c r="V54" s="96">
        <f t="shared" si="26"/>
        <v>0.53383779862063341</v>
      </c>
      <c r="W54" s="96">
        <f t="shared" si="26"/>
        <v>0.49529470956022364</v>
      </c>
      <c r="X54" s="96">
        <f t="shared" si="26"/>
        <v>0.46079342997252337</v>
      </c>
      <c r="Y54" s="96">
        <f t="shared" si="26"/>
        <v>0.42626514588595926</v>
      </c>
      <c r="Z54" s="96">
        <f t="shared" si="26"/>
        <v>0.395488802352993</v>
      </c>
      <c r="AA54" s="96">
        <f t="shared" si="26"/>
        <v>0.36693451082310691</v>
      </c>
      <c r="AB54" s="96">
        <f t="shared" si="26"/>
        <v>0.34137455650919002</v>
      </c>
      <c r="AC54" s="96">
        <f t="shared" si="26"/>
        <v>0.31579459616171507</v>
      </c>
      <c r="AD54" s="96">
        <f t="shared" si="26"/>
        <v>0.29299422631883926</v>
      </c>
    </row>
    <row r="55" spans="2:30" x14ac:dyDescent="0.25">
      <c r="H55" s="67"/>
    </row>
    <row r="56" spans="2:30" x14ac:dyDescent="0.25">
      <c r="H56" s="67"/>
    </row>
    <row r="57" spans="2:30" x14ac:dyDescent="0.25">
      <c r="H57" s="67"/>
    </row>
    <row r="58" spans="2:30" x14ac:dyDescent="0.25">
      <c r="H58" s="67"/>
    </row>
    <row r="59" spans="2:30" x14ac:dyDescent="0.25">
      <c r="B59" s="70" t="s">
        <v>414</v>
      </c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</row>
    <row r="60" spans="2:30" x14ac:dyDescent="0.25">
      <c r="B60" s="225" t="s">
        <v>0</v>
      </c>
      <c r="C60" s="226"/>
      <c r="D60" s="227"/>
      <c r="E60" s="227">
        <f t="shared" ref="E60:AD60" si="27">E34</f>
        <v>45991</v>
      </c>
      <c r="F60" s="228">
        <f t="shared" si="27"/>
        <v>46112</v>
      </c>
      <c r="G60" s="228">
        <f t="shared" si="27"/>
        <v>46477</v>
      </c>
      <c r="H60" s="228">
        <f t="shared" si="27"/>
        <v>46843</v>
      </c>
      <c r="I60" s="228">
        <f t="shared" si="27"/>
        <v>47208</v>
      </c>
      <c r="J60" s="228">
        <f t="shared" si="27"/>
        <v>47573</v>
      </c>
      <c r="K60" s="228">
        <f t="shared" si="27"/>
        <v>47938</v>
      </c>
      <c r="L60" s="228">
        <f t="shared" si="27"/>
        <v>48304</v>
      </c>
      <c r="M60" s="228">
        <f t="shared" si="27"/>
        <v>48669</v>
      </c>
      <c r="N60" s="228">
        <f t="shared" si="27"/>
        <v>49034</v>
      </c>
      <c r="O60" s="228">
        <f t="shared" si="27"/>
        <v>49399</v>
      </c>
      <c r="P60" s="228">
        <f t="shared" si="27"/>
        <v>49765</v>
      </c>
      <c r="Q60" s="228">
        <f t="shared" si="27"/>
        <v>50130</v>
      </c>
      <c r="R60" s="228">
        <f t="shared" si="27"/>
        <v>50495</v>
      </c>
      <c r="S60" s="228">
        <f t="shared" si="27"/>
        <v>50860</v>
      </c>
      <c r="T60" s="228">
        <f t="shared" si="27"/>
        <v>51226</v>
      </c>
      <c r="U60" s="228">
        <f t="shared" si="27"/>
        <v>51591</v>
      </c>
      <c r="V60" s="228">
        <f t="shared" si="27"/>
        <v>51956</v>
      </c>
      <c r="W60" s="228">
        <f t="shared" si="27"/>
        <v>52321</v>
      </c>
      <c r="X60" s="228">
        <f t="shared" si="27"/>
        <v>52687</v>
      </c>
      <c r="Y60" s="228">
        <f t="shared" si="27"/>
        <v>53052</v>
      </c>
      <c r="Z60" s="228">
        <f t="shared" si="27"/>
        <v>53417</v>
      </c>
      <c r="AA60" s="228">
        <f t="shared" si="27"/>
        <v>53782</v>
      </c>
      <c r="AB60" s="228">
        <f t="shared" si="27"/>
        <v>54148</v>
      </c>
      <c r="AC60" s="228">
        <f t="shared" si="27"/>
        <v>54513</v>
      </c>
      <c r="AD60" s="228">
        <f t="shared" si="27"/>
        <v>54878</v>
      </c>
    </row>
    <row r="61" spans="2:30" x14ac:dyDescent="0.25">
      <c r="B61" s="31" t="s">
        <v>125</v>
      </c>
      <c r="C61" s="31"/>
      <c r="D61" s="31"/>
      <c r="E61" s="31"/>
      <c r="F61" s="83">
        <f>F44</f>
        <v>0</v>
      </c>
      <c r="G61" s="83">
        <f>F63</f>
        <v>0</v>
      </c>
      <c r="H61" s="83">
        <f t="shared" ref="H61" si="28">G63</f>
        <v>0</v>
      </c>
      <c r="I61" s="83">
        <f t="shared" ref="I61" si="29">H63</f>
        <v>0</v>
      </c>
      <c r="J61" s="83">
        <f t="shared" ref="J61" si="30">I63</f>
        <v>0</v>
      </c>
      <c r="K61" s="83">
        <f t="shared" ref="K61" si="31">J63</f>
        <v>0</v>
      </c>
      <c r="L61" s="83">
        <f t="shared" ref="L61" si="32">K63</f>
        <v>0</v>
      </c>
      <c r="M61" s="83">
        <f t="shared" ref="M61" si="33">L63</f>
        <v>0</v>
      </c>
      <c r="N61" s="83">
        <f t="shared" ref="N61" si="34">M63</f>
        <v>0</v>
      </c>
      <c r="O61" s="83">
        <f t="shared" ref="O61" si="35">N63</f>
        <v>0</v>
      </c>
      <c r="P61" s="83">
        <f t="shared" ref="P61" si="36">O63</f>
        <v>0</v>
      </c>
      <c r="Q61" s="83">
        <f t="shared" ref="Q61" si="37">P63</f>
        <v>0</v>
      </c>
      <c r="R61" s="83">
        <f t="shared" ref="R61" si="38">Q63</f>
        <v>0</v>
      </c>
      <c r="S61" s="83">
        <f t="shared" ref="S61" si="39">R63</f>
        <v>0</v>
      </c>
      <c r="T61" s="83">
        <f t="shared" ref="T61" si="40">S63</f>
        <v>0</v>
      </c>
      <c r="U61" s="83">
        <f t="shared" ref="U61" si="41">T63</f>
        <v>0</v>
      </c>
      <c r="V61" s="83">
        <f t="shared" ref="V61" si="42">U63</f>
        <v>0</v>
      </c>
      <c r="W61" s="83">
        <f t="shared" ref="W61" si="43">V63</f>
        <v>0</v>
      </c>
      <c r="X61" s="83">
        <f t="shared" ref="X61" si="44">W63</f>
        <v>0</v>
      </c>
      <c r="Y61" s="83">
        <f t="shared" ref="Y61" si="45">X63</f>
        <v>0</v>
      </c>
      <c r="Z61" s="83">
        <f t="shared" ref="Z61" si="46">Y63</f>
        <v>0</v>
      </c>
      <c r="AA61" s="83">
        <f t="shared" ref="AA61" si="47">Z63</f>
        <v>0</v>
      </c>
      <c r="AB61" s="83">
        <f t="shared" ref="AB61" si="48">AA63</f>
        <v>0</v>
      </c>
      <c r="AC61" s="83">
        <f t="shared" ref="AC61" si="49">AB63</f>
        <v>0</v>
      </c>
      <c r="AD61" s="83">
        <f t="shared" ref="AD61" si="50">AC63</f>
        <v>0</v>
      </c>
    </row>
    <row r="62" spans="2:30" x14ac:dyDescent="0.25">
      <c r="B62" s="232" t="str">
        <f>"Depreciation " &amp; B61</f>
        <v>Depreciation Land</v>
      </c>
      <c r="C62" s="232"/>
      <c r="D62" s="232"/>
      <c r="E62" s="232"/>
      <c r="F62" s="233">
        <f>F61*Assumptions!$E$64/365*F38</f>
        <v>0</v>
      </c>
      <c r="G62" s="233">
        <f>G61*Assumptions!$E$64/365*G38</f>
        <v>0</v>
      </c>
      <c r="H62" s="233">
        <f>H61*Assumptions!$E$64/365*H38</f>
        <v>0</v>
      </c>
      <c r="I62" s="233">
        <f>I61*Assumptions!$E$64/365*I38</f>
        <v>0</v>
      </c>
      <c r="J62" s="233">
        <f>J61*Assumptions!$E$64/365*J38</f>
        <v>0</v>
      </c>
      <c r="K62" s="233">
        <f>K61*Assumptions!$E$64/365*K38</f>
        <v>0</v>
      </c>
      <c r="L62" s="233">
        <f>L61*Assumptions!$E$64/365*L38</f>
        <v>0</v>
      </c>
      <c r="M62" s="233">
        <f>M61*Assumptions!$E$64/365*M38</f>
        <v>0</v>
      </c>
      <c r="N62" s="233">
        <f>N61*Assumptions!$E$64/365*N38</f>
        <v>0</v>
      </c>
      <c r="O62" s="233">
        <f>O61*Assumptions!$E$64/365*O38</f>
        <v>0</v>
      </c>
      <c r="P62" s="233">
        <f>P61*Assumptions!$E$64/365*P38</f>
        <v>0</v>
      </c>
      <c r="Q62" s="233">
        <f>Q61*Assumptions!$E$64/365*Q38</f>
        <v>0</v>
      </c>
      <c r="R62" s="233">
        <f>R61*Assumptions!$E$64/365*R38</f>
        <v>0</v>
      </c>
      <c r="S62" s="233">
        <f>S61*Assumptions!$E$64/365*S38</f>
        <v>0</v>
      </c>
      <c r="T62" s="233">
        <f>T61*Assumptions!$E$64/365*T38</f>
        <v>0</v>
      </c>
      <c r="U62" s="233">
        <f>U61*Assumptions!$E$64/365*U38</f>
        <v>0</v>
      </c>
      <c r="V62" s="233">
        <f>V61*Assumptions!$E$64/365*V38</f>
        <v>0</v>
      </c>
      <c r="W62" s="233">
        <f>W61*Assumptions!$E$64/365*W38</f>
        <v>0</v>
      </c>
      <c r="X62" s="233">
        <f>X61*Assumptions!$E$64/365*X38</f>
        <v>0</v>
      </c>
      <c r="Y62" s="233">
        <f>Y61*Assumptions!$E$64/365*Y38</f>
        <v>0</v>
      </c>
      <c r="Z62" s="233">
        <f>Z61*Assumptions!$E$64/365*Z38</f>
        <v>0</v>
      </c>
      <c r="AA62" s="233">
        <f>AA61*Assumptions!$E$64/365*AA38</f>
        <v>0</v>
      </c>
      <c r="AB62" s="233">
        <f>AB61*Assumptions!$E$64/365*AB38</f>
        <v>0</v>
      </c>
      <c r="AC62" s="233">
        <f>AC61*Assumptions!$E$64/365*AC38</f>
        <v>0</v>
      </c>
      <c r="AD62" s="233">
        <f>AD61*Assumptions!$E$64/365*AD38</f>
        <v>0</v>
      </c>
    </row>
    <row r="63" spans="2:30" x14ac:dyDescent="0.25">
      <c r="B63" s="122" t="str">
        <f>"WDV " &amp; "of "&amp; B61</f>
        <v>WDV of Land</v>
      </c>
      <c r="C63" s="122"/>
      <c r="D63" s="122"/>
      <c r="E63" s="122"/>
      <c r="F63" s="251">
        <f>F61-F62</f>
        <v>0</v>
      </c>
      <c r="G63" s="251">
        <f t="shared" ref="G63:AD63" si="51">G61-G62</f>
        <v>0</v>
      </c>
      <c r="H63" s="251">
        <f t="shared" si="51"/>
        <v>0</v>
      </c>
      <c r="I63" s="251">
        <f t="shared" si="51"/>
        <v>0</v>
      </c>
      <c r="J63" s="251">
        <f t="shared" si="51"/>
        <v>0</v>
      </c>
      <c r="K63" s="251">
        <f t="shared" si="51"/>
        <v>0</v>
      </c>
      <c r="L63" s="251">
        <f t="shared" si="51"/>
        <v>0</v>
      </c>
      <c r="M63" s="251">
        <f t="shared" si="51"/>
        <v>0</v>
      </c>
      <c r="N63" s="251">
        <f t="shared" si="51"/>
        <v>0</v>
      </c>
      <c r="O63" s="251">
        <f t="shared" si="51"/>
        <v>0</v>
      </c>
      <c r="P63" s="251">
        <f t="shared" si="51"/>
        <v>0</v>
      </c>
      <c r="Q63" s="251">
        <f t="shared" si="51"/>
        <v>0</v>
      </c>
      <c r="R63" s="251">
        <f t="shared" si="51"/>
        <v>0</v>
      </c>
      <c r="S63" s="251">
        <f t="shared" si="51"/>
        <v>0</v>
      </c>
      <c r="T63" s="251">
        <f t="shared" si="51"/>
        <v>0</v>
      </c>
      <c r="U63" s="251">
        <f t="shared" si="51"/>
        <v>0</v>
      </c>
      <c r="V63" s="251">
        <f t="shared" si="51"/>
        <v>0</v>
      </c>
      <c r="W63" s="251">
        <f t="shared" si="51"/>
        <v>0</v>
      </c>
      <c r="X63" s="251">
        <f t="shared" si="51"/>
        <v>0</v>
      </c>
      <c r="Y63" s="251">
        <f t="shared" si="51"/>
        <v>0</v>
      </c>
      <c r="Z63" s="251">
        <f t="shared" si="51"/>
        <v>0</v>
      </c>
      <c r="AA63" s="251">
        <f t="shared" si="51"/>
        <v>0</v>
      </c>
      <c r="AB63" s="251">
        <f t="shared" si="51"/>
        <v>0</v>
      </c>
      <c r="AC63" s="251">
        <f t="shared" si="51"/>
        <v>0</v>
      </c>
      <c r="AD63" s="251">
        <f t="shared" si="51"/>
        <v>0</v>
      </c>
    </row>
    <row r="64" spans="2:30" x14ac:dyDescent="0.25">
      <c r="B64" s="31" t="s">
        <v>2</v>
      </c>
      <c r="C64" s="31"/>
      <c r="D64" s="31"/>
      <c r="E64" s="31"/>
      <c r="F64" s="83">
        <f>F46</f>
        <v>0</v>
      </c>
      <c r="G64" s="83">
        <f>F66</f>
        <v>0</v>
      </c>
      <c r="H64" s="83">
        <f t="shared" ref="H64" si="52">G66</f>
        <v>0</v>
      </c>
      <c r="I64" s="83">
        <f t="shared" ref="I64" si="53">H66</f>
        <v>0</v>
      </c>
      <c r="J64" s="83">
        <f t="shared" ref="J64" si="54">I66</f>
        <v>0</v>
      </c>
      <c r="K64" s="83">
        <f t="shared" ref="K64" si="55">J66</f>
        <v>0</v>
      </c>
      <c r="L64" s="83">
        <f t="shared" ref="L64" si="56">K66</f>
        <v>0</v>
      </c>
      <c r="M64" s="83">
        <f t="shared" ref="M64" si="57">L66</f>
        <v>0</v>
      </c>
      <c r="N64" s="83">
        <f t="shared" ref="N64" si="58">M66</f>
        <v>0</v>
      </c>
      <c r="O64" s="83">
        <f t="shared" ref="O64" si="59">N66</f>
        <v>0</v>
      </c>
      <c r="P64" s="83">
        <f t="shared" ref="P64" si="60">O66</f>
        <v>0</v>
      </c>
      <c r="Q64" s="83">
        <f t="shared" ref="Q64" si="61">P66</f>
        <v>0</v>
      </c>
      <c r="R64" s="83">
        <f t="shared" ref="R64" si="62">Q66</f>
        <v>0</v>
      </c>
      <c r="S64" s="83">
        <f t="shared" ref="S64" si="63">R66</f>
        <v>0</v>
      </c>
      <c r="T64" s="83">
        <f t="shared" ref="T64" si="64">S66</f>
        <v>0</v>
      </c>
      <c r="U64" s="83">
        <f t="shared" ref="U64" si="65">T66</f>
        <v>0</v>
      </c>
      <c r="V64" s="83">
        <f t="shared" ref="V64" si="66">U66</f>
        <v>0</v>
      </c>
      <c r="W64" s="83">
        <f t="shared" ref="W64" si="67">V66</f>
        <v>0</v>
      </c>
      <c r="X64" s="83">
        <f t="shared" ref="X64" si="68">W66</f>
        <v>0</v>
      </c>
      <c r="Y64" s="83">
        <f t="shared" ref="Y64" si="69">X66</f>
        <v>0</v>
      </c>
      <c r="Z64" s="83">
        <f t="shared" ref="Z64" si="70">Y66</f>
        <v>0</v>
      </c>
      <c r="AA64" s="83">
        <f t="shared" ref="AA64" si="71">Z66</f>
        <v>0</v>
      </c>
      <c r="AB64" s="83">
        <f t="shared" ref="AB64" si="72">AA66</f>
        <v>0</v>
      </c>
      <c r="AC64" s="83">
        <f t="shared" ref="AC64" si="73">AB66</f>
        <v>0</v>
      </c>
      <c r="AD64" s="83">
        <f t="shared" ref="AD64" si="74">AC66</f>
        <v>0</v>
      </c>
    </row>
    <row r="65" spans="2:30" x14ac:dyDescent="0.25">
      <c r="B65" s="232" t="str">
        <f>"Depreciation " &amp; B64</f>
        <v>Depreciation Building &amp; Civil Works</v>
      </c>
      <c r="C65" s="232"/>
      <c r="D65" s="232"/>
      <c r="E65" s="232"/>
      <c r="F65" s="233">
        <f>F64*Assumptions!$E$65/365*F38</f>
        <v>0</v>
      </c>
      <c r="G65" s="233">
        <f>G64*Assumptions!$E$65/365*G38</f>
        <v>0</v>
      </c>
      <c r="H65" s="233">
        <f>H64*Assumptions!$E$65/365*H38</f>
        <v>0</v>
      </c>
      <c r="I65" s="233">
        <f>I64*Assumptions!$E$65/365*I38</f>
        <v>0</v>
      </c>
      <c r="J65" s="233">
        <f>J64*Assumptions!$E$65/365*J38</f>
        <v>0</v>
      </c>
      <c r="K65" s="233">
        <f>K64*Assumptions!$E$65/365*K38</f>
        <v>0</v>
      </c>
      <c r="L65" s="233">
        <f>L64*Assumptions!$E$65/365*L38</f>
        <v>0</v>
      </c>
      <c r="M65" s="233">
        <f>M64*Assumptions!$E$65/365*M38</f>
        <v>0</v>
      </c>
      <c r="N65" s="233">
        <f>N64*Assumptions!$E$65/365*N38</f>
        <v>0</v>
      </c>
      <c r="O65" s="233">
        <f>O64*Assumptions!$E$65/365*O38</f>
        <v>0</v>
      </c>
      <c r="P65" s="233">
        <f>P64*Assumptions!$E$65/365*P38</f>
        <v>0</v>
      </c>
      <c r="Q65" s="233">
        <f>Q64*Assumptions!$E$65/365*Q38</f>
        <v>0</v>
      </c>
      <c r="R65" s="233">
        <f>R64*Assumptions!$E$65/365*R38</f>
        <v>0</v>
      </c>
      <c r="S65" s="233">
        <f>S64*Assumptions!$E$65/365*S38</f>
        <v>0</v>
      </c>
      <c r="T65" s="233">
        <f>T64*Assumptions!$E$65/365*T38</f>
        <v>0</v>
      </c>
      <c r="U65" s="233">
        <f>U64*Assumptions!$E$65/365*U38</f>
        <v>0</v>
      </c>
      <c r="V65" s="233">
        <f>V64*Assumptions!$E$65/365*V38</f>
        <v>0</v>
      </c>
      <c r="W65" s="233">
        <f>W64*Assumptions!$E$65/365*W38</f>
        <v>0</v>
      </c>
      <c r="X65" s="233">
        <f>X64*Assumptions!$E$65/365*X38</f>
        <v>0</v>
      </c>
      <c r="Y65" s="233">
        <f>Y64*Assumptions!$E$65/365*Y38</f>
        <v>0</v>
      </c>
      <c r="Z65" s="233">
        <f>Z64*Assumptions!$E$65/365*Z38</f>
        <v>0</v>
      </c>
      <c r="AA65" s="233">
        <f>AA64*Assumptions!$E$65/365*AA38</f>
        <v>0</v>
      </c>
      <c r="AB65" s="233">
        <f>AB64*Assumptions!$E$65/365*AB38</f>
        <v>0</v>
      </c>
      <c r="AC65" s="233">
        <f>AC64*Assumptions!$E$65/365*AC38</f>
        <v>0</v>
      </c>
      <c r="AD65" s="233">
        <f>AD64*Assumptions!$E$65/365*AD38</f>
        <v>0</v>
      </c>
    </row>
    <row r="66" spans="2:30" x14ac:dyDescent="0.25">
      <c r="B66" s="122" t="str">
        <f>"WDV " &amp; "of "&amp; B64</f>
        <v>WDV of Building &amp; Civil Works</v>
      </c>
      <c r="C66" s="122"/>
      <c r="D66" s="122"/>
      <c r="E66" s="122"/>
      <c r="F66" s="251">
        <f>F64-F65</f>
        <v>0</v>
      </c>
      <c r="G66" s="251">
        <f t="shared" ref="G66:AD66" si="75">G64-G65</f>
        <v>0</v>
      </c>
      <c r="H66" s="251">
        <f t="shared" si="75"/>
        <v>0</v>
      </c>
      <c r="I66" s="251">
        <f t="shared" si="75"/>
        <v>0</v>
      </c>
      <c r="J66" s="251">
        <f t="shared" si="75"/>
        <v>0</v>
      </c>
      <c r="K66" s="251">
        <f t="shared" si="75"/>
        <v>0</v>
      </c>
      <c r="L66" s="251">
        <f t="shared" si="75"/>
        <v>0</v>
      </c>
      <c r="M66" s="251">
        <f t="shared" si="75"/>
        <v>0</v>
      </c>
      <c r="N66" s="251">
        <f t="shared" si="75"/>
        <v>0</v>
      </c>
      <c r="O66" s="251">
        <f t="shared" si="75"/>
        <v>0</v>
      </c>
      <c r="P66" s="251">
        <f t="shared" si="75"/>
        <v>0</v>
      </c>
      <c r="Q66" s="251">
        <f t="shared" si="75"/>
        <v>0</v>
      </c>
      <c r="R66" s="251">
        <f t="shared" si="75"/>
        <v>0</v>
      </c>
      <c r="S66" s="251">
        <f t="shared" si="75"/>
        <v>0</v>
      </c>
      <c r="T66" s="251">
        <f t="shared" si="75"/>
        <v>0</v>
      </c>
      <c r="U66" s="251">
        <f t="shared" si="75"/>
        <v>0</v>
      </c>
      <c r="V66" s="251">
        <f t="shared" si="75"/>
        <v>0</v>
      </c>
      <c r="W66" s="251">
        <f t="shared" si="75"/>
        <v>0</v>
      </c>
      <c r="X66" s="251">
        <f t="shared" si="75"/>
        <v>0</v>
      </c>
      <c r="Y66" s="251">
        <f t="shared" si="75"/>
        <v>0</v>
      </c>
      <c r="Z66" s="251">
        <f t="shared" si="75"/>
        <v>0</v>
      </c>
      <c r="AA66" s="251">
        <f t="shared" si="75"/>
        <v>0</v>
      </c>
      <c r="AB66" s="251">
        <f t="shared" si="75"/>
        <v>0</v>
      </c>
      <c r="AC66" s="251">
        <f t="shared" si="75"/>
        <v>0</v>
      </c>
      <c r="AD66" s="251">
        <f t="shared" si="75"/>
        <v>0</v>
      </c>
    </row>
    <row r="67" spans="2:30" x14ac:dyDescent="0.25">
      <c r="B67" s="31" t="s">
        <v>127</v>
      </c>
      <c r="C67" s="31"/>
      <c r="D67" s="83"/>
      <c r="E67" s="83"/>
      <c r="F67" s="83">
        <f>+BS!D23</f>
        <v>23.331796367458136</v>
      </c>
      <c r="G67" s="83">
        <f>F69</f>
        <v>22.171598822062613</v>
      </c>
      <c r="H67" s="83">
        <f>G69</f>
        <v>18.845858998753222</v>
      </c>
      <c r="I67" s="83">
        <f t="shared" ref="I67" si="76">H69</f>
        <v>16.011235275379107</v>
      </c>
      <c r="J67" s="83">
        <f t="shared" ref="J67" si="77">I69</f>
        <v>13.609549984072242</v>
      </c>
      <c r="K67" s="83">
        <f t="shared" ref="K67" si="78">J69</f>
        <v>11.568117486461405</v>
      </c>
      <c r="L67" s="83">
        <f t="shared" ref="L67" si="79">K69</f>
        <v>9.8328998634921945</v>
      </c>
      <c r="M67" s="83">
        <f t="shared" ref="M67" si="80">L69</f>
        <v>8.3539239662162448</v>
      </c>
      <c r="N67" s="83">
        <f t="shared" ref="N67" si="81">M69</f>
        <v>7.1008353712838082</v>
      </c>
      <c r="O67" s="83">
        <f t="shared" ref="O67" si="82">N69</f>
        <v>6.0357100655912372</v>
      </c>
      <c r="P67" s="83">
        <f t="shared" ref="P67" si="83">O69</f>
        <v>5.1303535557525519</v>
      </c>
      <c r="Q67" s="83">
        <f t="shared" ref="Q67" si="84">P69</f>
        <v>4.3586921579147022</v>
      </c>
      <c r="R67" s="83">
        <f t="shared" ref="R67" si="85">Q69</f>
        <v>3.7048883342274967</v>
      </c>
      <c r="S67" s="83">
        <f t="shared" ref="S67" si="86">R69</f>
        <v>3.1491550840933722</v>
      </c>
      <c r="T67" s="83">
        <f t="shared" ref="T67" si="87">S69</f>
        <v>2.6767818214793664</v>
      </c>
      <c r="U67" s="83">
        <f t="shared" ref="U67" si="88">T69</f>
        <v>2.2741645009335656</v>
      </c>
      <c r="V67" s="83">
        <f t="shared" ref="V67" si="89">U69</f>
        <v>1.9330398257935308</v>
      </c>
      <c r="W67" s="83">
        <f t="shared" ref="W67" si="90">V69</f>
        <v>1.6430838519245012</v>
      </c>
      <c r="X67" s="83">
        <f t="shared" ref="X67" si="91">W69</f>
        <v>1.3966212741358262</v>
      </c>
      <c r="Y67" s="83">
        <f t="shared" ref="Y67" si="92">X69</f>
        <v>1.1865541290671773</v>
      </c>
      <c r="Z67" s="83">
        <f t="shared" ref="Z67" si="93">Y69</f>
        <v>1.0085710097071008</v>
      </c>
      <c r="AA67" s="83">
        <f t="shared" ref="AA67" si="94">Z69</f>
        <v>0.85728535825103569</v>
      </c>
      <c r="AB67" s="83">
        <f t="shared" ref="AB67" si="95">AA69</f>
        <v>0.72869255451338033</v>
      </c>
      <c r="AC67" s="83">
        <f t="shared" ref="AC67" si="96">AB69</f>
        <v>0.61908920864273764</v>
      </c>
      <c r="AD67" s="83">
        <f t="shared" ref="AD67" si="97">AC69</f>
        <v>0.52622582734632706</v>
      </c>
    </row>
    <row r="68" spans="2:30" x14ac:dyDescent="0.25">
      <c r="B68" s="232" t="str">
        <f>"Depreciation " &amp; B67</f>
        <v>Depreciation Plant &amp; Machinery</v>
      </c>
      <c r="C68" s="232"/>
      <c r="D68" s="232"/>
      <c r="E68" s="232"/>
      <c r="F68" s="233">
        <f>+F67*Assumptions!$F$66*'Dep Schedule'!F12/365</f>
        <v>1.1601975453955209</v>
      </c>
      <c r="G68" s="233">
        <f>+G67*Assumptions!$F$66*'Dep Schedule'!G12/365</f>
        <v>3.3257398233093918</v>
      </c>
      <c r="H68" s="233">
        <f>+H67*Assumptions!$F$66*'Dep Schedule'!H12/365</f>
        <v>2.8346237233741149</v>
      </c>
      <c r="I68" s="233">
        <f>+I67*Assumptions!$F$66*'Dep Schedule'!I12/365</f>
        <v>2.4016852913068658</v>
      </c>
      <c r="J68" s="233">
        <f>+J67*Assumptions!$F$66*'Dep Schedule'!J12/365</f>
        <v>2.041432497610836</v>
      </c>
      <c r="K68" s="233">
        <f>+K67*Assumptions!$F$66*'Dep Schedule'!K12/365</f>
        <v>1.7352176229692109</v>
      </c>
      <c r="L68" s="233">
        <f>+L67*Assumptions!$F$66*'Dep Schedule'!L12/365</f>
        <v>1.478975897275949</v>
      </c>
      <c r="M68" s="233">
        <f>+M67*Assumptions!$F$66*'Dep Schedule'!M12/365</f>
        <v>1.2530885949324366</v>
      </c>
      <c r="N68" s="233">
        <f>+N67*Assumptions!$F$66*'Dep Schedule'!N12/365</f>
        <v>1.0651253056925711</v>
      </c>
      <c r="O68" s="233">
        <f>+O67*Assumptions!$F$66*'Dep Schedule'!O12/365</f>
        <v>0.90535650983868554</v>
      </c>
      <c r="P68" s="233">
        <f>+P67*Assumptions!$F$66*'Dep Schedule'!P12/365</f>
        <v>0.77166139783784948</v>
      </c>
      <c r="Q68" s="233">
        <f>+Q67*Assumptions!$F$66*'Dep Schedule'!Q12/365</f>
        <v>0.65380382368720535</v>
      </c>
      <c r="R68" s="233">
        <f>+R67*Assumptions!$F$66*'Dep Schedule'!R12/365</f>
        <v>0.55573325013412445</v>
      </c>
      <c r="S68" s="233">
        <f>+S67*Assumptions!$F$66*'Dep Schedule'!S12/365</f>
        <v>0.47237326261400581</v>
      </c>
      <c r="T68" s="233">
        <f>+T67*Assumptions!$F$66*'Dep Schedule'!T12/365</f>
        <v>0.40261732054580057</v>
      </c>
      <c r="U68" s="233">
        <f>+U67*Assumptions!$F$66*'Dep Schedule'!U12/365</f>
        <v>0.34112467514003481</v>
      </c>
      <c r="V68" s="233">
        <f>+V67*Assumptions!$F$66*'Dep Schedule'!V12/365</f>
        <v>0.2899559738690296</v>
      </c>
      <c r="W68" s="233">
        <f>+W67*Assumptions!$F$66*'Dep Schedule'!W12/365</f>
        <v>0.24646257778867517</v>
      </c>
      <c r="X68" s="233">
        <f>+X67*Assumptions!$F$66*'Dep Schedule'!X12/365</f>
        <v>0.21006714506864893</v>
      </c>
      <c r="Y68" s="233">
        <f>+Y67*Assumptions!$F$66*'Dep Schedule'!Y12/365</f>
        <v>0.17798311936007657</v>
      </c>
      <c r="Z68" s="233">
        <f>+Z67*Assumptions!$F$66*'Dep Schedule'!Z12/365</f>
        <v>0.15128565145606512</v>
      </c>
      <c r="AA68" s="233">
        <f>+AA67*Assumptions!$F$66*'Dep Schedule'!AA12/365</f>
        <v>0.12859280373765536</v>
      </c>
      <c r="AB68" s="233">
        <f>+AB67*Assumptions!$F$66*'Dep Schedule'!AB12/365</f>
        <v>0.10960334587064269</v>
      </c>
      <c r="AC68" s="233">
        <f>+AC67*Assumptions!$F$66*'Dep Schedule'!AC12/365</f>
        <v>9.2863381296410627E-2</v>
      </c>
      <c r="AD68" s="233">
        <f>+AD67*Assumptions!$F$66*'Dep Schedule'!AD12/365</f>
        <v>7.8933874101949061E-2</v>
      </c>
    </row>
    <row r="69" spans="2:30" x14ac:dyDescent="0.25">
      <c r="B69" s="122" t="str">
        <f>"WDV " &amp; "of "&amp; B67</f>
        <v>WDV of Plant &amp; Machinery</v>
      </c>
      <c r="C69" s="122"/>
      <c r="D69" s="122"/>
      <c r="E69" s="122"/>
      <c r="F69" s="251">
        <f>F67-F68</f>
        <v>22.171598822062613</v>
      </c>
      <c r="G69" s="251">
        <f>G67-G68</f>
        <v>18.845858998753222</v>
      </c>
      <c r="H69" s="251">
        <f t="shared" ref="H69:AD69" si="98">H67-H68</f>
        <v>16.011235275379107</v>
      </c>
      <c r="I69" s="251">
        <f t="shared" si="98"/>
        <v>13.609549984072242</v>
      </c>
      <c r="J69" s="251">
        <f t="shared" si="98"/>
        <v>11.568117486461405</v>
      </c>
      <c r="K69" s="251">
        <f t="shared" si="98"/>
        <v>9.8328998634921945</v>
      </c>
      <c r="L69" s="251">
        <f t="shared" si="98"/>
        <v>8.3539239662162448</v>
      </c>
      <c r="M69" s="251">
        <f t="shared" si="98"/>
        <v>7.1008353712838082</v>
      </c>
      <c r="N69" s="251">
        <f t="shared" si="98"/>
        <v>6.0357100655912372</v>
      </c>
      <c r="O69" s="251">
        <f t="shared" si="98"/>
        <v>5.1303535557525519</v>
      </c>
      <c r="P69" s="251">
        <f t="shared" si="98"/>
        <v>4.3586921579147022</v>
      </c>
      <c r="Q69" s="251">
        <f t="shared" si="98"/>
        <v>3.7048883342274967</v>
      </c>
      <c r="R69" s="251">
        <f t="shared" si="98"/>
        <v>3.1491550840933722</v>
      </c>
      <c r="S69" s="251">
        <f t="shared" si="98"/>
        <v>2.6767818214793664</v>
      </c>
      <c r="T69" s="251">
        <f t="shared" si="98"/>
        <v>2.2741645009335656</v>
      </c>
      <c r="U69" s="251">
        <f t="shared" si="98"/>
        <v>1.9330398257935308</v>
      </c>
      <c r="V69" s="251">
        <f t="shared" si="98"/>
        <v>1.6430838519245012</v>
      </c>
      <c r="W69" s="251">
        <f t="shared" si="98"/>
        <v>1.3966212741358262</v>
      </c>
      <c r="X69" s="251">
        <f t="shared" si="98"/>
        <v>1.1865541290671773</v>
      </c>
      <c r="Y69" s="251">
        <f t="shared" si="98"/>
        <v>1.0085710097071008</v>
      </c>
      <c r="Z69" s="251">
        <f t="shared" si="98"/>
        <v>0.85728535825103569</v>
      </c>
      <c r="AA69" s="251">
        <f t="shared" si="98"/>
        <v>0.72869255451338033</v>
      </c>
      <c r="AB69" s="251">
        <f t="shared" si="98"/>
        <v>0.61908920864273764</v>
      </c>
      <c r="AC69" s="251">
        <f t="shared" si="98"/>
        <v>0.52622582734632706</v>
      </c>
      <c r="AD69" s="251">
        <f t="shared" si="98"/>
        <v>0.44729195324437798</v>
      </c>
    </row>
    <row r="70" spans="2:30" x14ac:dyDescent="0.25">
      <c r="B70" s="31" t="s">
        <v>211</v>
      </c>
      <c r="C70" s="31"/>
      <c r="D70" s="31"/>
      <c r="E70" s="31"/>
      <c r="F70" s="83">
        <f>F50</f>
        <v>0</v>
      </c>
      <c r="G70" s="83">
        <f>F72</f>
        <v>0</v>
      </c>
      <c r="H70" s="83">
        <f t="shared" ref="H70" si="99">G72</f>
        <v>0</v>
      </c>
      <c r="I70" s="83">
        <f t="shared" ref="I70" si="100">H72</f>
        <v>0</v>
      </c>
      <c r="J70" s="83">
        <f t="shared" ref="J70" si="101">I72</f>
        <v>0</v>
      </c>
      <c r="K70" s="83">
        <f t="shared" ref="K70" si="102">J72</f>
        <v>0</v>
      </c>
      <c r="L70" s="83">
        <f t="shared" ref="L70" si="103">K72</f>
        <v>0</v>
      </c>
      <c r="M70" s="83">
        <f t="shared" ref="M70" si="104">L72</f>
        <v>0</v>
      </c>
      <c r="N70" s="83">
        <f t="shared" ref="N70" si="105">M72</f>
        <v>0</v>
      </c>
      <c r="O70" s="83">
        <f t="shared" ref="O70" si="106">N72</f>
        <v>0</v>
      </c>
      <c r="P70" s="83">
        <f t="shared" ref="P70" si="107">O72</f>
        <v>0</v>
      </c>
      <c r="Q70" s="83">
        <f t="shared" ref="Q70" si="108">P72</f>
        <v>0</v>
      </c>
      <c r="R70" s="83">
        <f t="shared" ref="R70" si="109">Q72</f>
        <v>0</v>
      </c>
      <c r="S70" s="83">
        <f t="shared" ref="S70" si="110">R72</f>
        <v>0</v>
      </c>
      <c r="T70" s="83">
        <f t="shared" ref="T70" si="111">S72</f>
        <v>0</v>
      </c>
      <c r="U70" s="83">
        <f t="shared" ref="U70" si="112">T72</f>
        <v>0</v>
      </c>
      <c r="V70" s="83">
        <f t="shared" ref="V70" si="113">U72</f>
        <v>0</v>
      </c>
      <c r="W70" s="83">
        <f t="shared" ref="W70" si="114">V72</f>
        <v>0</v>
      </c>
      <c r="X70" s="83">
        <f t="shared" ref="X70" si="115">W72</f>
        <v>0</v>
      </c>
      <c r="Y70" s="83">
        <f t="shared" ref="Y70" si="116">X72</f>
        <v>0</v>
      </c>
      <c r="Z70" s="83">
        <f t="shared" ref="Z70" si="117">Y72</f>
        <v>0</v>
      </c>
      <c r="AA70" s="83">
        <f t="shared" ref="AA70" si="118">Z72</f>
        <v>0</v>
      </c>
      <c r="AB70" s="83">
        <f t="shared" ref="AB70" si="119">AA72</f>
        <v>0</v>
      </c>
      <c r="AC70" s="83">
        <f t="shared" ref="AC70" si="120">AB72</f>
        <v>0</v>
      </c>
      <c r="AD70" s="83">
        <f t="shared" ref="AD70" si="121">AC72</f>
        <v>0</v>
      </c>
    </row>
    <row r="71" spans="2:30" x14ac:dyDescent="0.25">
      <c r="B71" s="232" t="str">
        <f>"Depreciation " &amp; B70</f>
        <v>Depreciation Electricity Connection &amp; Infrastructure</v>
      </c>
      <c r="C71" s="232"/>
      <c r="D71" s="232"/>
      <c r="E71" s="232"/>
      <c r="F71" s="233">
        <f>F70*Assumptions!$E$67/365*F38</f>
        <v>0</v>
      </c>
      <c r="G71" s="233">
        <f>G70*Assumptions!$E$67/365*G38</f>
        <v>0</v>
      </c>
      <c r="H71" s="233">
        <f>H70*Assumptions!$E$67/365*H38</f>
        <v>0</v>
      </c>
      <c r="I71" s="233">
        <f>I70*Assumptions!$E$67/365*I38</f>
        <v>0</v>
      </c>
      <c r="J71" s="233">
        <f>J70*Assumptions!$E$67/365*J38</f>
        <v>0</v>
      </c>
      <c r="K71" s="233">
        <f>K70*Assumptions!$E$67/365*K38</f>
        <v>0</v>
      </c>
      <c r="L71" s="233">
        <f>L70*Assumptions!$E$67/365*L38</f>
        <v>0</v>
      </c>
      <c r="M71" s="233">
        <f>M70*Assumptions!$E$67/365*M38</f>
        <v>0</v>
      </c>
      <c r="N71" s="233">
        <f>N70*Assumptions!$E$67/365*N38</f>
        <v>0</v>
      </c>
      <c r="O71" s="233">
        <f>O70*Assumptions!$E$67/365*O38</f>
        <v>0</v>
      </c>
      <c r="P71" s="233">
        <f>P70*Assumptions!$E$67/365*P38</f>
        <v>0</v>
      </c>
      <c r="Q71" s="233">
        <f>Q70*Assumptions!$E$67/365*Q38</f>
        <v>0</v>
      </c>
      <c r="R71" s="233">
        <f>R70*Assumptions!$E$67/365*R38</f>
        <v>0</v>
      </c>
      <c r="S71" s="233">
        <f>S70*Assumptions!$E$67/365*S38</f>
        <v>0</v>
      </c>
      <c r="T71" s="233">
        <f>T70*Assumptions!$E$67/365*T38</f>
        <v>0</v>
      </c>
      <c r="U71" s="233">
        <f>U70*Assumptions!$E$67/365*U38</f>
        <v>0</v>
      </c>
      <c r="V71" s="233">
        <f>V70*Assumptions!$E$67/365*V38</f>
        <v>0</v>
      </c>
      <c r="W71" s="233">
        <f>W70*Assumptions!$E$67/365*W38</f>
        <v>0</v>
      </c>
      <c r="X71" s="233">
        <f>X70*Assumptions!$E$67/365*X38</f>
        <v>0</v>
      </c>
      <c r="Y71" s="233">
        <f>Y70*Assumptions!$E$67/365*Y38</f>
        <v>0</v>
      </c>
      <c r="Z71" s="233">
        <f>Z70*Assumptions!$E$67/365*Z38</f>
        <v>0</v>
      </c>
      <c r="AA71" s="233">
        <f>AA70*Assumptions!$E$67/365*AA38</f>
        <v>0</v>
      </c>
      <c r="AB71" s="233">
        <f>AB70*Assumptions!$E$67/365*AB38</f>
        <v>0</v>
      </c>
      <c r="AC71" s="233">
        <f>AC70*Assumptions!$E$67/365*AC38</f>
        <v>0</v>
      </c>
      <c r="AD71" s="233">
        <f>AD70*Assumptions!$E$67/365*AD38</f>
        <v>0</v>
      </c>
    </row>
    <row r="72" spans="2:30" x14ac:dyDescent="0.25">
      <c r="B72" s="122" t="str">
        <f>"WDV " &amp; "of "&amp; B70</f>
        <v>WDV of Electricity Connection &amp; Infrastructure</v>
      </c>
      <c r="C72" s="122"/>
      <c r="D72" s="122"/>
      <c r="E72" s="122"/>
      <c r="F72" s="251">
        <f>F70-F71</f>
        <v>0</v>
      </c>
      <c r="G72" s="251">
        <f t="shared" ref="G72:AD72" si="122">G70-G71</f>
        <v>0</v>
      </c>
      <c r="H72" s="251">
        <f t="shared" si="122"/>
        <v>0</v>
      </c>
      <c r="I72" s="251">
        <f t="shared" si="122"/>
        <v>0</v>
      </c>
      <c r="J72" s="251">
        <f t="shared" si="122"/>
        <v>0</v>
      </c>
      <c r="K72" s="251">
        <f t="shared" si="122"/>
        <v>0</v>
      </c>
      <c r="L72" s="251">
        <f t="shared" si="122"/>
        <v>0</v>
      </c>
      <c r="M72" s="251">
        <f t="shared" si="122"/>
        <v>0</v>
      </c>
      <c r="N72" s="251">
        <f t="shared" si="122"/>
        <v>0</v>
      </c>
      <c r="O72" s="251">
        <f t="shared" si="122"/>
        <v>0</v>
      </c>
      <c r="P72" s="251">
        <f t="shared" si="122"/>
        <v>0</v>
      </c>
      <c r="Q72" s="251">
        <f t="shared" si="122"/>
        <v>0</v>
      </c>
      <c r="R72" s="251">
        <f t="shared" si="122"/>
        <v>0</v>
      </c>
      <c r="S72" s="251">
        <f t="shared" si="122"/>
        <v>0</v>
      </c>
      <c r="T72" s="251">
        <f t="shared" si="122"/>
        <v>0</v>
      </c>
      <c r="U72" s="251">
        <f t="shared" si="122"/>
        <v>0</v>
      </c>
      <c r="V72" s="251">
        <f t="shared" si="122"/>
        <v>0</v>
      </c>
      <c r="W72" s="251">
        <f t="shared" si="122"/>
        <v>0</v>
      </c>
      <c r="X72" s="251">
        <f t="shared" si="122"/>
        <v>0</v>
      </c>
      <c r="Y72" s="251">
        <f t="shared" si="122"/>
        <v>0</v>
      </c>
      <c r="Z72" s="251">
        <f t="shared" si="122"/>
        <v>0</v>
      </c>
      <c r="AA72" s="251">
        <f t="shared" si="122"/>
        <v>0</v>
      </c>
      <c r="AB72" s="251">
        <f t="shared" si="122"/>
        <v>0</v>
      </c>
      <c r="AC72" s="251">
        <f t="shared" si="122"/>
        <v>0</v>
      </c>
      <c r="AD72" s="251">
        <f t="shared" si="122"/>
        <v>0</v>
      </c>
    </row>
    <row r="73" spans="2:30" x14ac:dyDescent="0.25">
      <c r="B73" s="31" t="s">
        <v>5</v>
      </c>
      <c r="C73" s="31"/>
      <c r="D73" s="31"/>
      <c r="E73" s="31"/>
      <c r="F73" s="83">
        <f>F52</f>
        <v>0</v>
      </c>
      <c r="G73" s="83">
        <f>F75</f>
        <v>0</v>
      </c>
      <c r="H73" s="83">
        <f t="shared" ref="H73" si="123">G75</f>
        <v>0</v>
      </c>
      <c r="I73" s="83">
        <f t="shared" ref="I73" si="124">H75</f>
        <v>0</v>
      </c>
      <c r="J73" s="83">
        <f t="shared" ref="J73" si="125">I75</f>
        <v>0</v>
      </c>
      <c r="K73" s="83">
        <f t="shared" ref="K73" si="126">J75</f>
        <v>0</v>
      </c>
      <c r="L73" s="83">
        <f t="shared" ref="L73" si="127">K75</f>
        <v>0</v>
      </c>
      <c r="M73" s="83">
        <f t="shared" ref="M73" si="128">L75</f>
        <v>0</v>
      </c>
      <c r="N73" s="83">
        <f t="shared" ref="N73" si="129">M75</f>
        <v>0</v>
      </c>
      <c r="O73" s="83">
        <f t="shared" ref="O73" si="130">N75</f>
        <v>0</v>
      </c>
      <c r="P73" s="83">
        <f t="shared" ref="P73" si="131">O75</f>
        <v>0</v>
      </c>
      <c r="Q73" s="83">
        <f t="shared" ref="Q73" si="132">P75</f>
        <v>0</v>
      </c>
      <c r="R73" s="83">
        <f t="shared" ref="R73" si="133">Q75</f>
        <v>0</v>
      </c>
      <c r="S73" s="83">
        <f t="shared" ref="S73" si="134">R75</f>
        <v>0</v>
      </c>
      <c r="T73" s="83">
        <f t="shared" ref="T73" si="135">S75</f>
        <v>0</v>
      </c>
      <c r="U73" s="83">
        <f t="shared" ref="U73" si="136">T75</f>
        <v>0</v>
      </c>
      <c r="V73" s="83">
        <f t="shared" ref="V73" si="137">U75</f>
        <v>0</v>
      </c>
      <c r="W73" s="83">
        <f t="shared" ref="W73" si="138">V75</f>
        <v>0</v>
      </c>
      <c r="X73" s="83">
        <f t="shared" ref="X73" si="139">W75</f>
        <v>0</v>
      </c>
      <c r="Y73" s="83">
        <f t="shared" ref="Y73" si="140">X75</f>
        <v>0</v>
      </c>
      <c r="Z73" s="83">
        <f t="shared" ref="Z73" si="141">Y75</f>
        <v>0</v>
      </c>
      <c r="AA73" s="83">
        <f t="shared" ref="AA73" si="142">Z75</f>
        <v>0</v>
      </c>
      <c r="AB73" s="83">
        <f t="shared" ref="AB73" si="143">AA75</f>
        <v>0</v>
      </c>
      <c r="AC73" s="83">
        <f t="shared" ref="AC73" si="144">AB75</f>
        <v>0</v>
      </c>
      <c r="AD73" s="83">
        <f t="shared" ref="AD73" si="145">AC75</f>
        <v>0</v>
      </c>
    </row>
    <row r="74" spans="2:30" x14ac:dyDescent="0.25">
      <c r="B74" s="232" t="str">
        <f>"Depreciation " &amp; B73</f>
        <v>Depreciation Vehicles</v>
      </c>
      <c r="C74" s="232"/>
      <c r="D74" s="232"/>
      <c r="E74" s="232"/>
      <c r="F74" s="233">
        <f>F73*Assumptions!$E$68/365*F38</f>
        <v>0</v>
      </c>
      <c r="G74" s="233">
        <f>G73*Assumptions!$E$68/365*G38</f>
        <v>0</v>
      </c>
      <c r="H74" s="233">
        <f>H73*Assumptions!$E$68/365*H38</f>
        <v>0</v>
      </c>
      <c r="I74" s="233">
        <f>I73*Assumptions!$E$68/365*I38</f>
        <v>0</v>
      </c>
      <c r="J74" s="233">
        <f>J73*Assumptions!$E$68/365*J38</f>
        <v>0</v>
      </c>
      <c r="K74" s="233">
        <f>K73*Assumptions!$E$68/365*K38</f>
        <v>0</v>
      </c>
      <c r="L74" s="233">
        <f>L73*Assumptions!$E$68/365*L38</f>
        <v>0</v>
      </c>
      <c r="M74" s="233">
        <f>M73*Assumptions!$E$68/365*M38</f>
        <v>0</v>
      </c>
      <c r="N74" s="233">
        <f>N73*Assumptions!$E$68/365*N38</f>
        <v>0</v>
      </c>
      <c r="O74" s="233">
        <f>O73*Assumptions!$E$68/365*O38</f>
        <v>0</v>
      </c>
      <c r="P74" s="233">
        <f>P73*Assumptions!$E$68/365*P38</f>
        <v>0</v>
      </c>
      <c r="Q74" s="233">
        <f>Q73*Assumptions!$E$68/365*Q38</f>
        <v>0</v>
      </c>
      <c r="R74" s="233">
        <f>R73*Assumptions!$E$68/365*R38</f>
        <v>0</v>
      </c>
      <c r="S74" s="233">
        <f>S73*Assumptions!$E$68/365*S38</f>
        <v>0</v>
      </c>
      <c r="T74" s="233">
        <f>T73*Assumptions!$E$68/365*T38</f>
        <v>0</v>
      </c>
      <c r="U74" s="233">
        <f>U73*Assumptions!$E$68/365*U38</f>
        <v>0</v>
      </c>
      <c r="V74" s="233">
        <f>V73*Assumptions!$E$68/365*V38</f>
        <v>0</v>
      </c>
      <c r="W74" s="233">
        <f>W73*Assumptions!$E$68/365*W38</f>
        <v>0</v>
      </c>
      <c r="X74" s="233">
        <f>X73*Assumptions!$E$68/365*X38</f>
        <v>0</v>
      </c>
      <c r="Y74" s="233">
        <f>Y73*Assumptions!$E$68/365*Y38</f>
        <v>0</v>
      </c>
      <c r="Z74" s="233">
        <f>Z73*Assumptions!$E$68/365*Z38</f>
        <v>0</v>
      </c>
      <c r="AA74" s="233">
        <f>AA73*Assumptions!$E$68/365*AA38</f>
        <v>0</v>
      </c>
      <c r="AB74" s="233">
        <f>AB73*Assumptions!$E$68/365*AB38</f>
        <v>0</v>
      </c>
      <c r="AC74" s="233">
        <f>AC73*Assumptions!$E$68/365*AC38</f>
        <v>0</v>
      </c>
      <c r="AD74" s="233">
        <f>AD73*Assumptions!$E$68/365*AD38</f>
        <v>0</v>
      </c>
    </row>
    <row r="75" spans="2:30" x14ac:dyDescent="0.25">
      <c r="B75" s="122" t="str">
        <f>"WDV " &amp; "of "&amp; B73</f>
        <v>WDV of Vehicles</v>
      </c>
      <c r="C75" s="122"/>
      <c r="D75" s="122"/>
      <c r="E75" s="122"/>
      <c r="F75" s="251">
        <f>F73-F74</f>
        <v>0</v>
      </c>
      <c r="G75" s="251">
        <f t="shared" ref="G75:AD75" si="146">G73-G74</f>
        <v>0</v>
      </c>
      <c r="H75" s="251">
        <f t="shared" si="146"/>
        <v>0</v>
      </c>
      <c r="I75" s="251">
        <f t="shared" si="146"/>
        <v>0</v>
      </c>
      <c r="J75" s="251">
        <f t="shared" si="146"/>
        <v>0</v>
      </c>
      <c r="K75" s="251">
        <f t="shared" si="146"/>
        <v>0</v>
      </c>
      <c r="L75" s="251">
        <f t="shared" si="146"/>
        <v>0</v>
      </c>
      <c r="M75" s="251">
        <f t="shared" si="146"/>
        <v>0</v>
      </c>
      <c r="N75" s="251">
        <f t="shared" si="146"/>
        <v>0</v>
      </c>
      <c r="O75" s="251">
        <f t="shared" si="146"/>
        <v>0</v>
      </c>
      <c r="P75" s="251">
        <f t="shared" si="146"/>
        <v>0</v>
      </c>
      <c r="Q75" s="251">
        <f t="shared" si="146"/>
        <v>0</v>
      </c>
      <c r="R75" s="251">
        <f t="shared" si="146"/>
        <v>0</v>
      </c>
      <c r="S75" s="251">
        <f t="shared" si="146"/>
        <v>0</v>
      </c>
      <c r="T75" s="251">
        <f t="shared" si="146"/>
        <v>0</v>
      </c>
      <c r="U75" s="251">
        <f t="shared" si="146"/>
        <v>0</v>
      </c>
      <c r="V75" s="251">
        <f t="shared" si="146"/>
        <v>0</v>
      </c>
      <c r="W75" s="251">
        <f t="shared" si="146"/>
        <v>0</v>
      </c>
      <c r="X75" s="251">
        <f t="shared" si="146"/>
        <v>0</v>
      </c>
      <c r="Y75" s="251">
        <f t="shared" si="146"/>
        <v>0</v>
      </c>
      <c r="Z75" s="251">
        <f t="shared" si="146"/>
        <v>0</v>
      </c>
      <c r="AA75" s="251">
        <f t="shared" si="146"/>
        <v>0</v>
      </c>
      <c r="AB75" s="251">
        <f t="shared" si="146"/>
        <v>0</v>
      </c>
      <c r="AC75" s="251">
        <f t="shared" si="146"/>
        <v>0</v>
      </c>
      <c r="AD75" s="251">
        <f t="shared" si="146"/>
        <v>0</v>
      </c>
    </row>
    <row r="76" spans="2:30" x14ac:dyDescent="0.25">
      <c r="B76" s="31" t="s">
        <v>212</v>
      </c>
      <c r="C76" s="31"/>
      <c r="D76" s="31"/>
      <c r="E76" s="31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</row>
    <row r="77" spans="2:30" x14ac:dyDescent="0.25">
      <c r="B77" s="232" t="str">
        <f>"Depreciation " &amp; B76</f>
        <v>Depreciation Office equipment</v>
      </c>
      <c r="C77" s="232"/>
      <c r="D77" s="232"/>
      <c r="E77" s="232"/>
      <c r="F77" s="233">
        <f>F76*Assumptions!$E$69/365*F38</f>
        <v>0</v>
      </c>
      <c r="G77" s="233">
        <f>G76*Assumptions!$E$69/365*G38</f>
        <v>0</v>
      </c>
      <c r="H77" s="233">
        <f>H76*Assumptions!$E$69/365*H38</f>
        <v>0</v>
      </c>
      <c r="I77" s="233">
        <f>I76*Assumptions!$E$69/365*I38</f>
        <v>0</v>
      </c>
      <c r="J77" s="233">
        <f>J76*Assumptions!$E$69/365*J38</f>
        <v>0</v>
      </c>
      <c r="K77" s="233">
        <f>K76*Assumptions!$E$69/365*K38</f>
        <v>0</v>
      </c>
      <c r="L77" s="233">
        <f>L76*Assumptions!$E$69/365*L38</f>
        <v>0</v>
      </c>
      <c r="M77" s="233">
        <f>M76*Assumptions!$E$69/365*M38</f>
        <v>0</v>
      </c>
      <c r="N77" s="233">
        <f>N76*Assumptions!$E$69/365*N38</f>
        <v>0</v>
      </c>
      <c r="O77" s="233">
        <f>O76*Assumptions!$E$69/365*O38</f>
        <v>0</v>
      </c>
      <c r="P77" s="233">
        <f>P76*Assumptions!$E$69/365*P38</f>
        <v>0</v>
      </c>
      <c r="Q77" s="233">
        <f>Q76*Assumptions!$E$69/365*Q38</f>
        <v>0</v>
      </c>
      <c r="R77" s="233">
        <f>R76*Assumptions!$E$69/365*R38</f>
        <v>0</v>
      </c>
      <c r="S77" s="233">
        <f>S76*Assumptions!$E$69/365*S38</f>
        <v>0</v>
      </c>
      <c r="T77" s="233">
        <f>T76*Assumptions!$E$69/365*T38</f>
        <v>0</v>
      </c>
      <c r="U77" s="233">
        <f>U76*Assumptions!$E$69/365*U38</f>
        <v>0</v>
      </c>
      <c r="V77" s="233">
        <f>V76*Assumptions!$E$69/365*V38</f>
        <v>0</v>
      </c>
      <c r="W77" s="233">
        <f>W76*Assumptions!$E$69/365*W38</f>
        <v>0</v>
      </c>
      <c r="X77" s="233">
        <f>X76*Assumptions!$E$69/365*X38</f>
        <v>0</v>
      </c>
      <c r="Y77" s="233">
        <f>Y76*Assumptions!$E$69/365*Y38</f>
        <v>0</v>
      </c>
      <c r="Z77" s="233">
        <f>Z76*Assumptions!$E$69/365*Z38</f>
        <v>0</v>
      </c>
      <c r="AA77" s="233">
        <f>AA76*Assumptions!$E$69/365*AA38</f>
        <v>0</v>
      </c>
      <c r="AB77" s="233">
        <f>AB76*Assumptions!$E$69/365*AB38</f>
        <v>0</v>
      </c>
      <c r="AC77" s="233">
        <f>AC76*Assumptions!$E$69/365*AC38</f>
        <v>0</v>
      </c>
      <c r="AD77" s="233">
        <f>AD76*Assumptions!$E$69/365*AD38</f>
        <v>0</v>
      </c>
    </row>
    <row r="78" spans="2:30" x14ac:dyDescent="0.25">
      <c r="B78" s="122" t="str">
        <f>"WDV " &amp; "of "&amp; B76</f>
        <v>WDV of Office equipment</v>
      </c>
      <c r="C78" s="122"/>
      <c r="D78" s="122"/>
      <c r="E78" s="122"/>
      <c r="F78" s="251">
        <f>F76-F77</f>
        <v>0</v>
      </c>
      <c r="G78" s="251">
        <f t="shared" ref="G78:AD78" si="147">G76-G77</f>
        <v>0</v>
      </c>
      <c r="H78" s="251">
        <f t="shared" si="147"/>
        <v>0</v>
      </c>
      <c r="I78" s="251">
        <f t="shared" si="147"/>
        <v>0</v>
      </c>
      <c r="J78" s="251">
        <f t="shared" si="147"/>
        <v>0</v>
      </c>
      <c r="K78" s="251">
        <f t="shared" si="147"/>
        <v>0</v>
      </c>
      <c r="L78" s="251">
        <f t="shared" si="147"/>
        <v>0</v>
      </c>
      <c r="M78" s="251">
        <f t="shared" si="147"/>
        <v>0</v>
      </c>
      <c r="N78" s="251">
        <f t="shared" si="147"/>
        <v>0</v>
      </c>
      <c r="O78" s="251">
        <f t="shared" si="147"/>
        <v>0</v>
      </c>
      <c r="P78" s="251">
        <f t="shared" si="147"/>
        <v>0</v>
      </c>
      <c r="Q78" s="251">
        <f t="shared" si="147"/>
        <v>0</v>
      </c>
      <c r="R78" s="251">
        <f t="shared" si="147"/>
        <v>0</v>
      </c>
      <c r="S78" s="251">
        <f t="shared" si="147"/>
        <v>0</v>
      </c>
      <c r="T78" s="251">
        <f t="shared" si="147"/>
        <v>0</v>
      </c>
      <c r="U78" s="251">
        <f t="shared" si="147"/>
        <v>0</v>
      </c>
      <c r="V78" s="251">
        <f t="shared" si="147"/>
        <v>0</v>
      </c>
      <c r="W78" s="251">
        <f t="shared" si="147"/>
        <v>0</v>
      </c>
      <c r="X78" s="251">
        <f t="shared" si="147"/>
        <v>0</v>
      </c>
      <c r="Y78" s="251">
        <f t="shared" si="147"/>
        <v>0</v>
      </c>
      <c r="Z78" s="251">
        <f t="shared" si="147"/>
        <v>0</v>
      </c>
      <c r="AA78" s="251">
        <f t="shared" si="147"/>
        <v>0</v>
      </c>
      <c r="AB78" s="251">
        <f t="shared" si="147"/>
        <v>0</v>
      </c>
      <c r="AC78" s="251">
        <f t="shared" si="147"/>
        <v>0</v>
      </c>
      <c r="AD78" s="251">
        <f t="shared" si="147"/>
        <v>0</v>
      </c>
    </row>
    <row r="79" spans="2:30" x14ac:dyDescent="0.25">
      <c r="B79" s="229" t="s">
        <v>214</v>
      </c>
      <c r="C79" s="229"/>
      <c r="D79" s="229"/>
      <c r="E79" s="229"/>
      <c r="F79" s="230">
        <f>F63+F66+F69+F72+F75+F78</f>
        <v>22.171598822062613</v>
      </c>
      <c r="G79" s="230">
        <f t="shared" ref="G79:AD79" si="148">G63+G66+G69+G72+G75+G78</f>
        <v>18.845858998753222</v>
      </c>
      <c r="H79" s="230">
        <f t="shared" si="148"/>
        <v>16.011235275379107</v>
      </c>
      <c r="I79" s="230">
        <f t="shared" si="148"/>
        <v>13.609549984072242</v>
      </c>
      <c r="J79" s="230">
        <f t="shared" si="148"/>
        <v>11.568117486461405</v>
      </c>
      <c r="K79" s="230">
        <f t="shared" si="148"/>
        <v>9.8328998634921945</v>
      </c>
      <c r="L79" s="230">
        <f t="shared" si="148"/>
        <v>8.3539239662162448</v>
      </c>
      <c r="M79" s="230">
        <f t="shared" si="148"/>
        <v>7.1008353712838082</v>
      </c>
      <c r="N79" s="230">
        <f t="shared" si="148"/>
        <v>6.0357100655912372</v>
      </c>
      <c r="O79" s="230">
        <f t="shared" si="148"/>
        <v>5.1303535557525519</v>
      </c>
      <c r="P79" s="230">
        <f t="shared" si="148"/>
        <v>4.3586921579147022</v>
      </c>
      <c r="Q79" s="230">
        <f t="shared" si="148"/>
        <v>3.7048883342274967</v>
      </c>
      <c r="R79" s="230">
        <f t="shared" si="148"/>
        <v>3.1491550840933722</v>
      </c>
      <c r="S79" s="230">
        <f t="shared" si="148"/>
        <v>2.6767818214793664</v>
      </c>
      <c r="T79" s="230">
        <f t="shared" si="148"/>
        <v>2.2741645009335656</v>
      </c>
      <c r="U79" s="230">
        <f t="shared" si="148"/>
        <v>1.9330398257935308</v>
      </c>
      <c r="V79" s="230">
        <f t="shared" si="148"/>
        <v>1.6430838519245012</v>
      </c>
      <c r="W79" s="230">
        <f t="shared" si="148"/>
        <v>1.3966212741358262</v>
      </c>
      <c r="X79" s="230">
        <f t="shared" si="148"/>
        <v>1.1865541290671773</v>
      </c>
      <c r="Y79" s="230">
        <f t="shared" si="148"/>
        <v>1.0085710097071008</v>
      </c>
      <c r="Z79" s="230">
        <f t="shared" si="148"/>
        <v>0.85728535825103569</v>
      </c>
      <c r="AA79" s="230">
        <f t="shared" si="148"/>
        <v>0.72869255451338033</v>
      </c>
      <c r="AB79" s="230">
        <f t="shared" si="148"/>
        <v>0.61908920864273764</v>
      </c>
      <c r="AC79" s="230">
        <f t="shared" si="148"/>
        <v>0.52622582734632706</v>
      </c>
      <c r="AD79" s="230">
        <f t="shared" si="148"/>
        <v>0.44729195324437798</v>
      </c>
    </row>
    <row r="80" spans="2:30" x14ac:dyDescent="0.25">
      <c r="B80" s="95" t="s">
        <v>215</v>
      </c>
      <c r="C80" s="95"/>
      <c r="D80" s="95"/>
      <c r="E80" s="95"/>
      <c r="F80" s="96">
        <f>F62+F65+F68+F71+F74+F77</f>
        <v>1.1601975453955209</v>
      </c>
      <c r="G80" s="96">
        <f t="shared" ref="G80:AD80" si="149">G62+G65+G68+G71+G74+G77</f>
        <v>3.3257398233093918</v>
      </c>
      <c r="H80" s="96">
        <f t="shared" si="149"/>
        <v>2.8346237233741149</v>
      </c>
      <c r="I80" s="96">
        <f t="shared" si="149"/>
        <v>2.4016852913068658</v>
      </c>
      <c r="J80" s="96">
        <f t="shared" si="149"/>
        <v>2.041432497610836</v>
      </c>
      <c r="K80" s="96">
        <f t="shared" si="149"/>
        <v>1.7352176229692109</v>
      </c>
      <c r="L80" s="96">
        <f t="shared" si="149"/>
        <v>1.478975897275949</v>
      </c>
      <c r="M80" s="96">
        <f t="shared" si="149"/>
        <v>1.2530885949324366</v>
      </c>
      <c r="N80" s="96">
        <f t="shared" si="149"/>
        <v>1.0651253056925711</v>
      </c>
      <c r="O80" s="96">
        <f t="shared" si="149"/>
        <v>0.90535650983868554</v>
      </c>
      <c r="P80" s="96">
        <f t="shared" si="149"/>
        <v>0.77166139783784948</v>
      </c>
      <c r="Q80" s="96">
        <f t="shared" si="149"/>
        <v>0.65380382368720535</v>
      </c>
      <c r="R80" s="96">
        <f t="shared" si="149"/>
        <v>0.55573325013412445</v>
      </c>
      <c r="S80" s="96">
        <f t="shared" si="149"/>
        <v>0.47237326261400581</v>
      </c>
      <c r="T80" s="96">
        <f t="shared" si="149"/>
        <v>0.40261732054580057</v>
      </c>
      <c r="U80" s="96">
        <f t="shared" si="149"/>
        <v>0.34112467514003481</v>
      </c>
      <c r="V80" s="96">
        <f t="shared" si="149"/>
        <v>0.2899559738690296</v>
      </c>
      <c r="W80" s="96">
        <f t="shared" si="149"/>
        <v>0.24646257778867517</v>
      </c>
      <c r="X80" s="96">
        <f t="shared" si="149"/>
        <v>0.21006714506864893</v>
      </c>
      <c r="Y80" s="96">
        <f t="shared" si="149"/>
        <v>0.17798311936007657</v>
      </c>
      <c r="Z80" s="96">
        <f t="shared" si="149"/>
        <v>0.15128565145606512</v>
      </c>
      <c r="AA80" s="96">
        <f t="shared" si="149"/>
        <v>0.12859280373765536</v>
      </c>
      <c r="AB80" s="96">
        <f t="shared" si="149"/>
        <v>0.10960334587064269</v>
      </c>
      <c r="AC80" s="96">
        <f t="shared" si="149"/>
        <v>9.2863381296410627E-2</v>
      </c>
      <c r="AD80" s="96">
        <f t="shared" si="149"/>
        <v>7.8933874101949061E-2</v>
      </c>
    </row>
    <row r="81" spans="8:8" x14ac:dyDescent="0.25">
      <c r="H81" s="67"/>
    </row>
    <row r="82" spans="8:8" x14ac:dyDescent="0.25">
      <c r="H82" s="67"/>
    </row>
    <row r="83" spans="8:8" x14ac:dyDescent="0.25">
      <c r="H83" s="67"/>
    </row>
    <row r="84" spans="8:8" x14ac:dyDescent="0.25">
      <c r="H84" s="67"/>
    </row>
    <row r="85" spans="8:8" x14ac:dyDescent="0.25">
      <c r="H85" s="67"/>
    </row>
    <row r="86" spans="8:8" x14ac:dyDescent="0.25">
      <c r="H86" s="67"/>
    </row>
    <row r="87" spans="8:8" x14ac:dyDescent="0.25">
      <c r="H87" s="67"/>
    </row>
    <row r="88" spans="8:8" x14ac:dyDescent="0.25">
      <c r="H88" s="67"/>
    </row>
    <row r="89" spans="8:8" x14ac:dyDescent="0.25">
      <c r="H89" s="67"/>
    </row>
    <row r="90" spans="8:8" x14ac:dyDescent="0.25">
      <c r="H90" s="67"/>
    </row>
    <row r="91" spans="8:8" x14ac:dyDescent="0.25">
      <c r="H91" s="67"/>
    </row>
    <row r="92" spans="8:8" x14ac:dyDescent="0.25">
      <c r="H92" s="67"/>
    </row>
    <row r="93" spans="8:8" x14ac:dyDescent="0.25">
      <c r="H93" s="67"/>
    </row>
    <row r="94" spans="8:8" x14ac:dyDescent="0.25">
      <c r="H94" s="67"/>
    </row>
    <row r="95" spans="8:8" x14ac:dyDescent="0.25">
      <c r="H95" s="67"/>
    </row>
    <row r="96" spans="8:8" x14ac:dyDescent="0.25">
      <c r="H96" s="67"/>
    </row>
    <row r="97" spans="8:8" x14ac:dyDescent="0.25">
      <c r="H97" s="67"/>
    </row>
    <row r="98" spans="8:8" x14ac:dyDescent="0.25">
      <c r="H98" s="67"/>
    </row>
    <row r="99" spans="8:8" x14ac:dyDescent="0.25">
      <c r="H99" s="67"/>
    </row>
    <row r="100" spans="8:8" x14ac:dyDescent="0.25">
      <c r="H100" s="67"/>
    </row>
    <row r="101" spans="8:8" x14ac:dyDescent="0.25">
      <c r="H101" s="67"/>
    </row>
    <row r="102" spans="8:8" x14ac:dyDescent="0.25">
      <c r="H102" s="67"/>
    </row>
    <row r="103" spans="8:8" x14ac:dyDescent="0.25">
      <c r="H103" s="67"/>
    </row>
    <row r="104" spans="8:8" x14ac:dyDescent="0.25">
      <c r="H104" s="67"/>
    </row>
    <row r="105" spans="8:8" x14ac:dyDescent="0.25">
      <c r="H105" s="67"/>
    </row>
    <row r="106" spans="8:8" x14ac:dyDescent="0.25">
      <c r="H106" s="67"/>
    </row>
    <row r="107" spans="8:8" x14ac:dyDescent="0.25">
      <c r="H107" s="67"/>
    </row>
    <row r="108" spans="8:8" x14ac:dyDescent="0.25">
      <c r="H108" s="67"/>
    </row>
    <row r="109" spans="8:8" x14ac:dyDescent="0.25">
      <c r="H109" s="67"/>
    </row>
    <row r="110" spans="8:8" x14ac:dyDescent="0.25">
      <c r="H110" s="67"/>
    </row>
    <row r="111" spans="8:8" x14ac:dyDescent="0.25">
      <c r="H111" s="67"/>
    </row>
    <row r="112" spans="8:8" x14ac:dyDescent="0.25">
      <c r="H112" s="67"/>
    </row>
    <row r="113" spans="8:8" x14ac:dyDescent="0.25">
      <c r="H113" s="67"/>
    </row>
    <row r="114" spans="8:8" x14ac:dyDescent="0.25">
      <c r="H114" s="67"/>
    </row>
    <row r="115" spans="8:8" x14ac:dyDescent="0.25">
      <c r="H115" s="67"/>
    </row>
    <row r="116" spans="8:8" x14ac:dyDescent="0.25">
      <c r="H116" s="67"/>
    </row>
    <row r="117" spans="8:8" x14ac:dyDescent="0.25">
      <c r="H117" s="67"/>
    </row>
    <row r="118" spans="8:8" x14ac:dyDescent="0.25">
      <c r="H118" s="67"/>
    </row>
    <row r="119" spans="8:8" x14ac:dyDescent="0.25">
      <c r="H119" s="67"/>
    </row>
    <row r="120" spans="8:8" x14ac:dyDescent="0.25">
      <c r="H120" s="67"/>
    </row>
    <row r="121" spans="8:8" x14ac:dyDescent="0.25">
      <c r="H121" s="67"/>
    </row>
    <row r="122" spans="8:8" x14ac:dyDescent="0.25">
      <c r="H122" s="67"/>
    </row>
    <row r="123" spans="8:8" x14ac:dyDescent="0.25">
      <c r="H123" s="67"/>
    </row>
    <row r="124" spans="8:8" x14ac:dyDescent="0.25">
      <c r="H124" s="67"/>
    </row>
    <row r="125" spans="8:8" x14ac:dyDescent="0.25">
      <c r="H125" s="67"/>
    </row>
    <row r="126" spans="8:8" x14ac:dyDescent="0.25">
      <c r="H126" s="67"/>
    </row>
    <row r="127" spans="8:8" x14ac:dyDescent="0.25">
      <c r="H127" s="67"/>
    </row>
    <row r="128" spans="8:8" x14ac:dyDescent="0.25">
      <c r="H128" s="67"/>
    </row>
    <row r="129" spans="8:8" x14ac:dyDescent="0.25">
      <c r="H129" s="67"/>
    </row>
    <row r="130" spans="8:8" x14ac:dyDescent="0.25">
      <c r="H130" s="67"/>
    </row>
    <row r="131" spans="8:8" x14ac:dyDescent="0.25">
      <c r="H131" s="67"/>
    </row>
    <row r="132" spans="8:8" x14ac:dyDescent="0.25">
      <c r="H132" s="67"/>
    </row>
    <row r="133" spans="8:8" x14ac:dyDescent="0.25">
      <c r="H133" s="67"/>
    </row>
    <row r="134" spans="8:8" x14ac:dyDescent="0.25">
      <c r="H134" s="67"/>
    </row>
    <row r="135" spans="8:8" x14ac:dyDescent="0.25">
      <c r="H135" s="67"/>
    </row>
    <row r="136" spans="8:8" x14ac:dyDescent="0.25">
      <c r="H136" s="67"/>
    </row>
    <row r="137" spans="8:8" x14ac:dyDescent="0.25">
      <c r="H137" s="67"/>
    </row>
    <row r="138" spans="8:8" x14ac:dyDescent="0.25">
      <c r="H138" s="67"/>
    </row>
    <row r="139" spans="8:8" x14ac:dyDescent="0.25">
      <c r="H139" s="67"/>
    </row>
    <row r="140" spans="8:8" x14ac:dyDescent="0.25">
      <c r="H140" s="67"/>
    </row>
    <row r="141" spans="8:8" x14ac:dyDescent="0.25">
      <c r="H141" s="67"/>
    </row>
    <row r="142" spans="8:8" x14ac:dyDescent="0.25">
      <c r="H142" s="67"/>
    </row>
    <row r="143" spans="8:8" x14ac:dyDescent="0.25">
      <c r="H143" s="67"/>
    </row>
    <row r="144" spans="8:8" x14ac:dyDescent="0.25">
      <c r="H144" s="67"/>
    </row>
    <row r="145" spans="8:8" x14ac:dyDescent="0.25">
      <c r="H145" s="67"/>
    </row>
    <row r="146" spans="8:8" x14ac:dyDescent="0.25">
      <c r="H146" s="67"/>
    </row>
    <row r="147" spans="8:8" x14ac:dyDescent="0.25">
      <c r="H147" s="67"/>
    </row>
    <row r="148" spans="8:8" x14ac:dyDescent="0.25">
      <c r="H148" s="67"/>
    </row>
    <row r="149" spans="8:8" x14ac:dyDescent="0.25">
      <c r="H149" s="67"/>
    </row>
    <row r="150" spans="8:8" x14ac:dyDescent="0.25">
      <c r="H150" s="67"/>
    </row>
    <row r="151" spans="8:8" x14ac:dyDescent="0.25">
      <c r="H151" s="67"/>
    </row>
    <row r="152" spans="8:8" x14ac:dyDescent="0.25">
      <c r="H152" s="67"/>
    </row>
    <row r="153" spans="8:8" x14ac:dyDescent="0.25">
      <c r="H153" s="67"/>
    </row>
    <row r="154" spans="8:8" x14ac:dyDescent="0.25">
      <c r="H154" s="67"/>
    </row>
    <row r="155" spans="8:8" x14ac:dyDescent="0.25">
      <c r="H155" s="67"/>
    </row>
    <row r="156" spans="8:8" x14ac:dyDescent="0.25">
      <c r="H156" s="67"/>
    </row>
    <row r="157" spans="8:8" x14ac:dyDescent="0.25">
      <c r="H157" s="67"/>
    </row>
    <row r="158" spans="8:8" x14ac:dyDescent="0.25">
      <c r="H158" s="67"/>
    </row>
    <row r="159" spans="8:8" x14ac:dyDescent="0.25">
      <c r="H159" s="67"/>
    </row>
    <row r="160" spans="8:8" x14ac:dyDescent="0.25">
      <c r="H160" s="67"/>
    </row>
    <row r="161" spans="8:8" x14ac:dyDescent="0.25">
      <c r="H161" s="67"/>
    </row>
    <row r="162" spans="8:8" x14ac:dyDescent="0.25">
      <c r="H162" s="67"/>
    </row>
    <row r="163" spans="8:8" x14ac:dyDescent="0.25">
      <c r="H163" s="67"/>
    </row>
    <row r="164" spans="8:8" x14ac:dyDescent="0.25">
      <c r="H164" s="67"/>
    </row>
    <row r="165" spans="8:8" x14ac:dyDescent="0.25">
      <c r="H165" s="67"/>
    </row>
    <row r="166" spans="8:8" x14ac:dyDescent="0.25">
      <c r="H166" s="67"/>
    </row>
  </sheetData>
  <mergeCells count="2">
    <mergeCell ref="D7:E7"/>
    <mergeCell ref="F7:AD7"/>
  </mergeCells>
  <pageMargins left="0.7" right="0.7" top="0.75" bottom="0.75" header="0.3" footer="0.3"/>
  <ignoredErrors>
    <ignoredError sqref="G22:AD22 G24:AD24 G26:AD26 G28:AD28 G30:AD30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140"/>
  <sheetViews>
    <sheetView showGridLines="0" zoomScaleNormal="100" workbookViewId="0">
      <pane xSplit="2" ySplit="8" topLeftCell="C27" activePane="bottomRight" state="frozen"/>
      <selection activeCell="A9" sqref="A9"/>
      <selection pane="topRight" activeCell="A9" sqref="A9"/>
      <selection pane="bottomLeft" activeCell="A9" sqref="A9"/>
      <selection pane="bottomRight" activeCell="Y102" sqref="Y102"/>
    </sheetView>
  </sheetViews>
  <sheetFormatPr defaultColWidth="13.7109375" defaultRowHeight="15" x14ac:dyDescent="0.25"/>
  <cols>
    <col min="1" max="1" width="7.140625" style="67" bestFit="1" customWidth="1"/>
    <col min="2" max="2" width="55.140625" style="67" customWidth="1"/>
    <col min="3" max="3" width="7.42578125" style="67" bestFit="1" customWidth="1"/>
    <col min="4" max="4" width="14.42578125" style="67" customWidth="1"/>
    <col min="5" max="5" width="12" style="67" bestFit="1" customWidth="1"/>
    <col min="6" max="6" width="13.42578125" style="67" customWidth="1"/>
    <col min="7" max="15" width="12.7109375" style="67" customWidth="1"/>
    <col min="16" max="18" width="13.7109375" style="67"/>
    <col min="19" max="19" width="20.5703125" style="67" bestFit="1" customWidth="1"/>
    <col min="20" max="20" width="13.7109375" style="67"/>
    <col min="21" max="21" width="18.85546875" style="67" bestFit="1" customWidth="1"/>
    <col min="22" max="22" width="18.42578125" style="67" customWidth="1"/>
    <col min="23" max="16384" width="13.7109375" style="67"/>
  </cols>
  <sheetData>
    <row r="1" spans="2:30" s="1" customFormat="1" ht="18" customHeight="1" x14ac:dyDescent="0.25">
      <c r="B1" s="100" t="str">
        <f>Company</f>
        <v xml:space="preserve">M/s. Bikaner Private Limited, Badi Shisha 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2:30" s="1" customFormat="1" ht="13.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5.75" x14ac:dyDescent="0.25">
      <c r="B3" s="101" t="str">
        <f>Project</f>
        <v>Financial Model for Proposed locations Solar Power Plant (4 MW AC/5.6 MW DC )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</row>
    <row r="4" spans="2:30" s="1" customFormat="1" ht="9" customHeight="1" x14ac:dyDescent="0.25">
      <c r="B4" s="2"/>
      <c r="C4" s="2"/>
      <c r="D4" s="2"/>
      <c r="E4" s="2"/>
      <c r="F4" s="2"/>
      <c r="G4" s="273"/>
    </row>
    <row r="5" spans="2:30" customFormat="1" ht="15.75" x14ac:dyDescent="0.25">
      <c r="B5" s="68" t="s">
        <v>243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</row>
    <row r="6" spans="2:30" customFormat="1" x14ac:dyDescent="0.25">
      <c r="B6" s="274" t="s">
        <v>256</v>
      </c>
      <c r="C6" s="65"/>
      <c r="D6" s="65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s="31" customFormat="1" ht="15.75" x14ac:dyDescent="0.25">
      <c r="C7" s="65"/>
      <c r="D7" s="373" t="s">
        <v>20</v>
      </c>
      <c r="E7" s="373"/>
      <c r="F7" s="377" t="s">
        <v>76</v>
      </c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</row>
    <row r="8" spans="2:30" s="31" customFormat="1" x14ac:dyDescent="0.25">
      <c r="B8" s="70" t="s">
        <v>77</v>
      </c>
      <c r="C8" s="71" t="s">
        <v>78</v>
      </c>
      <c r="D8" s="72"/>
      <c r="E8" s="72">
        <f>'Revenue &amp; Expenses Modeling'!E8</f>
        <v>45991</v>
      </c>
      <c r="F8" s="72">
        <f>DATE(YEAR(E8),MONTH(E8)+4,DAY(E8)+1)</f>
        <v>46112</v>
      </c>
      <c r="G8" s="72">
        <f>DATE(YEAR(F8)+1,MONTH(F8),DAY(F8))</f>
        <v>46477</v>
      </c>
      <c r="H8" s="72">
        <f t="shared" ref="H8:AD8" si="0">DATE(YEAR(G8)+1,MONTH(G8),DAY(G8))</f>
        <v>46843</v>
      </c>
      <c r="I8" s="72">
        <f t="shared" si="0"/>
        <v>47208</v>
      </c>
      <c r="J8" s="72">
        <f t="shared" si="0"/>
        <v>47573</v>
      </c>
      <c r="K8" s="72">
        <f t="shared" si="0"/>
        <v>47938</v>
      </c>
      <c r="L8" s="72">
        <f t="shared" si="0"/>
        <v>48304</v>
      </c>
      <c r="M8" s="72">
        <f t="shared" si="0"/>
        <v>48669</v>
      </c>
      <c r="N8" s="72">
        <f t="shared" si="0"/>
        <v>49034</v>
      </c>
      <c r="O8" s="72">
        <f t="shared" si="0"/>
        <v>49399</v>
      </c>
      <c r="P8" s="72">
        <f t="shared" si="0"/>
        <v>49765</v>
      </c>
      <c r="Q8" s="72">
        <f t="shared" si="0"/>
        <v>50130</v>
      </c>
      <c r="R8" s="72">
        <f t="shared" si="0"/>
        <v>50495</v>
      </c>
      <c r="S8" s="72">
        <f t="shared" si="0"/>
        <v>50860</v>
      </c>
      <c r="T8" s="72">
        <f t="shared" si="0"/>
        <v>51226</v>
      </c>
      <c r="U8" s="72">
        <f t="shared" si="0"/>
        <v>51591</v>
      </c>
      <c r="V8" s="72">
        <f t="shared" si="0"/>
        <v>51956</v>
      </c>
      <c r="W8" s="72">
        <f t="shared" si="0"/>
        <v>52321</v>
      </c>
      <c r="X8" s="72">
        <f t="shared" si="0"/>
        <v>52687</v>
      </c>
      <c r="Y8" s="72">
        <f t="shared" si="0"/>
        <v>53052</v>
      </c>
      <c r="Z8" s="72">
        <f t="shared" si="0"/>
        <v>53417</v>
      </c>
      <c r="AA8" s="72">
        <f t="shared" si="0"/>
        <v>53782</v>
      </c>
      <c r="AB8" s="72">
        <f t="shared" si="0"/>
        <v>54148</v>
      </c>
      <c r="AC8" s="72">
        <f t="shared" si="0"/>
        <v>54513</v>
      </c>
      <c r="AD8" s="72">
        <f t="shared" si="0"/>
        <v>54878</v>
      </c>
    </row>
    <row r="9" spans="2:30" s="77" customFormat="1" ht="12.75" x14ac:dyDescent="0.25">
      <c r="B9" s="73" t="s">
        <v>79</v>
      </c>
      <c r="C9" s="74"/>
      <c r="D9" s="75"/>
      <c r="E9" s="75">
        <v>0</v>
      </c>
      <c r="F9" s="76">
        <v>1</v>
      </c>
      <c r="G9" s="76">
        <f>F9+1</f>
        <v>2</v>
      </c>
      <c r="H9" s="76">
        <f t="shared" ref="H9:AD9" si="1">G9+1</f>
        <v>3</v>
      </c>
      <c r="I9" s="76">
        <f t="shared" si="1"/>
        <v>4</v>
      </c>
      <c r="J9" s="76">
        <f t="shared" si="1"/>
        <v>5</v>
      </c>
      <c r="K9" s="76">
        <f t="shared" si="1"/>
        <v>6</v>
      </c>
      <c r="L9" s="76">
        <f t="shared" si="1"/>
        <v>7</v>
      </c>
      <c r="M9" s="76">
        <f t="shared" si="1"/>
        <v>8</v>
      </c>
      <c r="N9" s="76">
        <f t="shared" si="1"/>
        <v>9</v>
      </c>
      <c r="O9" s="76">
        <f t="shared" si="1"/>
        <v>10</v>
      </c>
      <c r="P9" s="76">
        <f t="shared" si="1"/>
        <v>11</v>
      </c>
      <c r="Q9" s="76">
        <f t="shared" si="1"/>
        <v>12</v>
      </c>
      <c r="R9" s="76">
        <f t="shared" si="1"/>
        <v>13</v>
      </c>
      <c r="S9" s="76">
        <f t="shared" si="1"/>
        <v>14</v>
      </c>
      <c r="T9" s="76">
        <f t="shared" si="1"/>
        <v>15</v>
      </c>
      <c r="U9" s="76">
        <f t="shared" si="1"/>
        <v>16</v>
      </c>
      <c r="V9" s="76">
        <f t="shared" si="1"/>
        <v>17</v>
      </c>
      <c r="W9" s="76">
        <f t="shared" si="1"/>
        <v>18</v>
      </c>
      <c r="X9" s="76">
        <f t="shared" si="1"/>
        <v>19</v>
      </c>
      <c r="Y9" s="76">
        <f t="shared" si="1"/>
        <v>20</v>
      </c>
      <c r="Z9" s="76">
        <f t="shared" si="1"/>
        <v>21</v>
      </c>
      <c r="AA9" s="76">
        <f t="shared" si="1"/>
        <v>22</v>
      </c>
      <c r="AB9" s="76">
        <f t="shared" si="1"/>
        <v>23</v>
      </c>
      <c r="AC9" s="76">
        <f t="shared" si="1"/>
        <v>24</v>
      </c>
      <c r="AD9" s="76">
        <f t="shared" si="1"/>
        <v>25</v>
      </c>
    </row>
    <row r="10" spans="2:30" s="77" customFormat="1" ht="12.75" x14ac:dyDescent="0.25">
      <c r="B10" s="73" t="s">
        <v>80</v>
      </c>
      <c r="C10" s="74"/>
      <c r="D10" s="75"/>
      <c r="E10" s="75">
        <v>1</v>
      </c>
      <c r="F10" s="74">
        <f>MONTH(F8-E8)</f>
        <v>4</v>
      </c>
      <c r="G10" s="74">
        <f t="shared" ref="G10:AD10" si="2">MONTH(G8-F8)</f>
        <v>12</v>
      </c>
      <c r="H10" s="74">
        <f t="shared" si="2"/>
        <v>12</v>
      </c>
      <c r="I10" s="74">
        <f t="shared" si="2"/>
        <v>12</v>
      </c>
      <c r="J10" s="74">
        <f t="shared" si="2"/>
        <v>12</v>
      </c>
      <c r="K10" s="74">
        <f t="shared" si="2"/>
        <v>12</v>
      </c>
      <c r="L10" s="74">
        <f t="shared" si="2"/>
        <v>12</v>
      </c>
      <c r="M10" s="74">
        <f t="shared" si="2"/>
        <v>12</v>
      </c>
      <c r="N10" s="74">
        <f t="shared" si="2"/>
        <v>12</v>
      </c>
      <c r="O10" s="74">
        <f t="shared" si="2"/>
        <v>12</v>
      </c>
      <c r="P10" s="74">
        <f t="shared" si="2"/>
        <v>12</v>
      </c>
      <c r="Q10" s="74">
        <f t="shared" si="2"/>
        <v>12</v>
      </c>
      <c r="R10" s="74">
        <f t="shared" si="2"/>
        <v>12</v>
      </c>
      <c r="S10" s="74">
        <f t="shared" si="2"/>
        <v>12</v>
      </c>
      <c r="T10" s="74">
        <f t="shared" si="2"/>
        <v>12</v>
      </c>
      <c r="U10" s="74">
        <f t="shared" si="2"/>
        <v>12</v>
      </c>
      <c r="V10" s="74">
        <f t="shared" si="2"/>
        <v>12</v>
      </c>
      <c r="W10" s="74">
        <f t="shared" si="2"/>
        <v>12</v>
      </c>
      <c r="X10" s="74">
        <f t="shared" si="2"/>
        <v>12</v>
      </c>
      <c r="Y10" s="74">
        <f t="shared" si="2"/>
        <v>12</v>
      </c>
      <c r="Z10" s="74">
        <f t="shared" si="2"/>
        <v>12</v>
      </c>
      <c r="AA10" s="74">
        <f t="shared" si="2"/>
        <v>12</v>
      </c>
      <c r="AB10" s="74">
        <f t="shared" si="2"/>
        <v>12</v>
      </c>
      <c r="AC10" s="74">
        <f t="shared" si="2"/>
        <v>12</v>
      </c>
      <c r="AD10" s="74">
        <f t="shared" si="2"/>
        <v>12</v>
      </c>
    </row>
    <row r="11" spans="2:30" ht="15" customHeight="1" x14ac:dyDescent="0.25">
      <c r="X11" s="356" t="s">
        <v>123</v>
      </c>
    </row>
    <row r="12" spans="2:30" ht="15" customHeight="1" x14ac:dyDescent="0.25">
      <c r="B12" s="31" t="s">
        <v>220</v>
      </c>
      <c r="C12" s="31"/>
      <c r="D12" s="31"/>
      <c r="E12" s="31"/>
      <c r="F12" s="83">
        <f>+IS!E31</f>
        <v>0.35342770868290219</v>
      </c>
      <c r="G12" s="83">
        <f>+IS!F31</f>
        <v>1.1396282204857697</v>
      </c>
      <c r="H12" s="83">
        <f>+IS!G31</f>
        <v>1.9157152424649133</v>
      </c>
      <c r="I12" s="83">
        <f>+IS!H31</f>
        <v>1.2779767074762558</v>
      </c>
      <c r="J12" s="83">
        <f>+IS!I31</f>
        <v>1.3421251021065688</v>
      </c>
      <c r="K12" s="83">
        <f>+IS!J31</f>
        <v>1.3821461670821005</v>
      </c>
      <c r="L12" s="83">
        <f>+IS!K31</f>
        <v>1.4319949060178612</v>
      </c>
      <c r="M12" s="83">
        <f>+IS!L31</f>
        <v>1.4654877711721968</v>
      </c>
      <c r="N12" s="83">
        <f>+IS!M31</f>
        <v>1.5011665078530305</v>
      </c>
      <c r="O12" s="83">
        <f>+IS!N31</f>
        <v>1.5396894701146633</v>
      </c>
      <c r="P12" s="83">
        <f>+IS!O31</f>
        <v>1.5854793292398439</v>
      </c>
      <c r="Q12" s="83">
        <f>+IS!P31</f>
        <v>1.6171061634511323</v>
      </c>
      <c r="R12" s="83">
        <f>+IS!Q31</f>
        <v>1.6579330841579858</v>
      </c>
      <c r="S12" s="83">
        <f>+IS!R31</f>
        <v>1.6994026781977383</v>
      </c>
      <c r="T12" s="83">
        <f>+IS!S31</f>
        <v>1.7394319275497299</v>
      </c>
      <c r="U12" s="83">
        <f>+IS!T31</f>
        <v>1.7639916069539483</v>
      </c>
      <c r="V12" s="83">
        <f>+IS!U31</f>
        <v>1.7951330056848382</v>
      </c>
      <c r="W12" s="83">
        <f>+IS!V31</f>
        <v>1.8245920808753568</v>
      </c>
      <c r="X12" s="83">
        <f>+SUM(F12:W12)</f>
        <v>27.032427679566837</v>
      </c>
      <c r="Y12" s="83"/>
      <c r="Z12" s="83"/>
      <c r="AA12" s="83"/>
      <c r="AB12" s="83"/>
      <c r="AC12" s="83"/>
      <c r="AD12" s="83"/>
    </row>
    <row r="13" spans="2:30" ht="15" customHeight="1" x14ac:dyDescent="0.25">
      <c r="B13" s="31" t="s">
        <v>105</v>
      </c>
      <c r="C13" s="31"/>
      <c r="D13" s="31"/>
      <c r="E13" s="31"/>
      <c r="F13" s="83">
        <f>IS!E21</f>
        <v>0.54572762945819631</v>
      </c>
      <c r="G13" s="83">
        <f>IS!F21</f>
        <v>1.5845328883745893</v>
      </c>
      <c r="H13" s="83">
        <f>IS!G21</f>
        <v>1.4792328883745895</v>
      </c>
      <c r="I13" s="83">
        <f>IS!H21</f>
        <v>1.3739328883745894</v>
      </c>
      <c r="J13" s="83">
        <f>IS!I21</f>
        <v>1.2686328883745897</v>
      </c>
      <c r="K13" s="83">
        <f>IS!J21</f>
        <v>1.1633328883745895</v>
      </c>
      <c r="L13" s="83">
        <f>IS!K21</f>
        <v>1.0580328883745898</v>
      </c>
      <c r="M13" s="83">
        <f>IS!L21</f>
        <v>0.95723045048122002</v>
      </c>
      <c r="N13" s="83">
        <f>IS!M21</f>
        <v>0.86092557469447983</v>
      </c>
      <c r="O13" s="83">
        <f>IS!N21</f>
        <v>0.76462069890773954</v>
      </c>
      <c r="P13" s="83">
        <f>IS!O21</f>
        <v>0.66831582312099946</v>
      </c>
      <c r="Q13" s="83">
        <f>IS!P21</f>
        <v>0.57201094733425939</v>
      </c>
      <c r="R13" s="83">
        <f>IS!Q21</f>
        <v>0.4757060715475192</v>
      </c>
      <c r="S13" s="83">
        <f>IS!R21</f>
        <v>0.37940119576077896</v>
      </c>
      <c r="T13" s="83">
        <f>IS!S21</f>
        <v>0.29029875786740872</v>
      </c>
      <c r="U13" s="83">
        <f>IS!T21</f>
        <v>0.20839875786740888</v>
      </c>
      <c r="V13" s="83">
        <f>IS!U21</f>
        <v>0.12649875786740888</v>
      </c>
      <c r="W13" s="83">
        <f>IS!V21</f>
        <v>4.4446726289600093E-2</v>
      </c>
      <c r="X13" s="83">
        <f>+SUM(F13:W13)</f>
        <v>13.821278721444555</v>
      </c>
      <c r="Y13" s="83"/>
      <c r="Z13" s="83"/>
      <c r="AA13" s="83"/>
      <c r="AB13" s="83"/>
      <c r="AC13" s="83"/>
      <c r="AD13" s="83"/>
    </row>
    <row r="14" spans="2:30" ht="15" customHeight="1" x14ac:dyDescent="0.25">
      <c r="B14" s="60" t="s">
        <v>221</v>
      </c>
      <c r="C14" s="60"/>
      <c r="D14" s="60"/>
      <c r="E14" s="60"/>
      <c r="F14" s="117">
        <f>SUM(F12:F13)</f>
        <v>0.89915533814109849</v>
      </c>
      <c r="G14" s="117">
        <f t="shared" ref="G14:T14" si="3">SUM(G12:G13)</f>
        <v>2.724161108860359</v>
      </c>
      <c r="H14" s="117">
        <f t="shared" si="3"/>
        <v>3.3949481308395031</v>
      </c>
      <c r="I14" s="117">
        <f t="shared" si="3"/>
        <v>2.651909595850845</v>
      </c>
      <c r="J14" s="117">
        <f t="shared" si="3"/>
        <v>2.6107579904811584</v>
      </c>
      <c r="K14" s="117">
        <f t="shared" si="3"/>
        <v>2.5454790554566902</v>
      </c>
      <c r="L14" s="117">
        <f t="shared" si="3"/>
        <v>2.4900277943924509</v>
      </c>
      <c r="M14" s="117">
        <f t="shared" si="3"/>
        <v>2.4227182216534167</v>
      </c>
      <c r="N14" s="117">
        <f t="shared" si="3"/>
        <v>2.3620920825475102</v>
      </c>
      <c r="O14" s="117">
        <f t="shared" si="3"/>
        <v>2.3043101690224028</v>
      </c>
      <c r="P14" s="117">
        <f t="shared" si="3"/>
        <v>2.2537951523608433</v>
      </c>
      <c r="Q14" s="117">
        <f t="shared" si="3"/>
        <v>2.189117110785392</v>
      </c>
      <c r="R14" s="117">
        <f t="shared" si="3"/>
        <v>2.133639155705505</v>
      </c>
      <c r="S14" s="117">
        <f t="shared" si="3"/>
        <v>2.0788038739585173</v>
      </c>
      <c r="T14" s="117">
        <f t="shared" si="3"/>
        <v>2.0297306854171384</v>
      </c>
      <c r="U14" s="117">
        <f t="shared" ref="U14:W14" si="4">SUM(U12:U13)</f>
        <v>1.9723903648213572</v>
      </c>
      <c r="V14" s="117">
        <f t="shared" si="4"/>
        <v>1.9216317635522471</v>
      </c>
      <c r="W14" s="117">
        <f t="shared" si="4"/>
        <v>1.8690388071649569</v>
      </c>
      <c r="X14" s="117">
        <f>SUM(X12:X13)</f>
        <v>40.853706401011394</v>
      </c>
      <c r="Y14" s="117"/>
      <c r="Z14" s="117"/>
      <c r="AA14" s="117"/>
      <c r="AB14" s="117"/>
      <c r="AC14" s="117"/>
      <c r="AD14" s="117"/>
    </row>
    <row r="15" spans="2:30" ht="15" customHeight="1" x14ac:dyDescent="0.25">
      <c r="B15" s="31" t="s">
        <v>105</v>
      </c>
      <c r="C15" s="31"/>
      <c r="D15" s="31"/>
      <c r="E15" s="31"/>
      <c r="F15" s="83">
        <f>F13</f>
        <v>0.54572762945819631</v>
      </c>
      <c r="G15" s="83">
        <f t="shared" ref="G15:T15" si="5">G13</f>
        <v>1.5845328883745893</v>
      </c>
      <c r="H15" s="83">
        <f t="shared" si="5"/>
        <v>1.4792328883745895</v>
      </c>
      <c r="I15" s="83">
        <f t="shared" si="5"/>
        <v>1.3739328883745894</v>
      </c>
      <c r="J15" s="83">
        <f t="shared" si="5"/>
        <v>1.2686328883745897</v>
      </c>
      <c r="K15" s="83">
        <f t="shared" si="5"/>
        <v>1.1633328883745895</v>
      </c>
      <c r="L15" s="83">
        <f t="shared" si="5"/>
        <v>1.0580328883745898</v>
      </c>
      <c r="M15" s="83">
        <f t="shared" si="5"/>
        <v>0.95723045048122002</v>
      </c>
      <c r="N15" s="83">
        <f t="shared" si="5"/>
        <v>0.86092557469447983</v>
      </c>
      <c r="O15" s="83">
        <f t="shared" si="5"/>
        <v>0.76462069890773954</v>
      </c>
      <c r="P15" s="83">
        <f t="shared" si="5"/>
        <v>0.66831582312099946</v>
      </c>
      <c r="Q15" s="83">
        <f t="shared" si="5"/>
        <v>0.57201094733425939</v>
      </c>
      <c r="R15" s="83">
        <f t="shared" si="5"/>
        <v>0.4757060715475192</v>
      </c>
      <c r="S15" s="83">
        <f t="shared" si="5"/>
        <v>0.37940119576077896</v>
      </c>
      <c r="T15" s="83">
        <f t="shared" si="5"/>
        <v>0.29029875786740872</v>
      </c>
      <c r="U15" s="83">
        <f t="shared" ref="U15:W15" si="6">U13</f>
        <v>0.20839875786740888</v>
      </c>
      <c r="V15" s="83">
        <f t="shared" si="6"/>
        <v>0.12649875786740888</v>
      </c>
      <c r="W15" s="83">
        <f t="shared" si="6"/>
        <v>4.4446726289600093E-2</v>
      </c>
      <c r="X15" s="83">
        <f>+SUM(F15:W15)</f>
        <v>13.821278721444555</v>
      </c>
      <c r="Y15" s="83"/>
      <c r="Z15" s="83"/>
      <c r="AA15" s="83"/>
      <c r="AB15" s="83"/>
      <c r="AC15" s="83"/>
      <c r="AD15" s="83"/>
    </row>
    <row r="16" spans="2:30" ht="15" customHeight="1" x14ac:dyDescent="0.25">
      <c r="B16" s="31" t="s">
        <v>222</v>
      </c>
      <c r="C16" s="31"/>
      <c r="D16" s="31"/>
      <c r="E16" s="31"/>
      <c r="F16" s="83">
        <f>CFS!E22</f>
        <v>0</v>
      </c>
      <c r="G16" s="83">
        <f>CFS!F22</f>
        <v>1.0799999999999998</v>
      </c>
      <c r="H16" s="83">
        <f>CFS!G22</f>
        <v>1.0799999999999998</v>
      </c>
      <c r="I16" s="83">
        <f>CFS!H22</f>
        <v>1.0799999999999998</v>
      </c>
      <c r="J16" s="83">
        <f>CFS!I22</f>
        <v>1.0799999999999998</v>
      </c>
      <c r="K16" s="83">
        <f>CFS!J22</f>
        <v>1.0799999999999998</v>
      </c>
      <c r="L16" s="83">
        <f>CFS!K22</f>
        <v>1.0799999999999998</v>
      </c>
      <c r="M16" s="83">
        <f>CFS!L22</f>
        <v>0.98774231576144134</v>
      </c>
      <c r="N16" s="83">
        <f>CFS!M22</f>
        <v>0.98774231576144134</v>
      </c>
      <c r="O16" s="83">
        <f>CFS!N22</f>
        <v>0.98774231576144134</v>
      </c>
      <c r="P16" s="83">
        <f>CFS!O22</f>
        <v>0.98774231576144134</v>
      </c>
      <c r="Q16" s="83">
        <f>CFS!P22</f>
        <v>0.98774231576144134</v>
      </c>
      <c r="R16" s="83">
        <f>CFS!Q22</f>
        <v>0.98774231576144134</v>
      </c>
      <c r="S16" s="83">
        <f>CFS!R22</f>
        <v>0.98774231576144134</v>
      </c>
      <c r="T16" s="83">
        <f>CFS!S22</f>
        <v>0.8400000000000003</v>
      </c>
      <c r="U16" s="83">
        <f>CFS!T22</f>
        <v>0.8400000000000003</v>
      </c>
      <c r="V16" s="83">
        <f>CFS!U22</f>
        <v>0.8400000000000003</v>
      </c>
      <c r="W16" s="83">
        <f>CFS!V22</f>
        <v>0.87742315761444944</v>
      </c>
      <c r="X16" s="83">
        <f>+SUM(F16:W16)</f>
        <v>16.791619367944534</v>
      </c>
      <c r="Y16" s="83"/>
      <c r="Z16" s="83"/>
      <c r="AA16" s="83"/>
      <c r="AB16" s="83"/>
      <c r="AC16" s="83"/>
      <c r="AD16" s="83"/>
    </row>
    <row r="17" spans="1:30" ht="15" customHeight="1" x14ac:dyDescent="0.25">
      <c r="B17" s="60" t="s">
        <v>221</v>
      </c>
      <c r="C17" s="60"/>
      <c r="D17" s="60"/>
      <c r="E17" s="60"/>
      <c r="F17" s="117">
        <f>SUM(F15:F16)</f>
        <v>0.54572762945819631</v>
      </c>
      <c r="G17" s="117">
        <f t="shared" ref="G17:T17" si="7">SUM(G15:G16)</f>
        <v>2.6645328883745893</v>
      </c>
      <c r="H17" s="117">
        <f t="shared" si="7"/>
        <v>2.5592328883745896</v>
      </c>
      <c r="I17" s="117">
        <f t="shared" si="7"/>
        <v>2.453932888374589</v>
      </c>
      <c r="J17" s="117">
        <f t="shared" si="7"/>
        <v>2.3486328883745893</v>
      </c>
      <c r="K17" s="117">
        <f t="shared" si="7"/>
        <v>2.2433328883745896</v>
      </c>
      <c r="L17" s="117">
        <f t="shared" si="7"/>
        <v>2.1380328883745898</v>
      </c>
      <c r="M17" s="117">
        <f t="shared" si="7"/>
        <v>1.9449727662426612</v>
      </c>
      <c r="N17" s="117">
        <f t="shared" si="7"/>
        <v>1.8486678904559213</v>
      </c>
      <c r="O17" s="117">
        <f t="shared" si="7"/>
        <v>1.7523630146691809</v>
      </c>
      <c r="P17" s="117">
        <f t="shared" si="7"/>
        <v>1.6560581388824409</v>
      </c>
      <c r="Q17" s="117">
        <f t="shared" si="7"/>
        <v>1.5597532630957007</v>
      </c>
      <c r="R17" s="117">
        <f t="shared" si="7"/>
        <v>1.4634483873089605</v>
      </c>
      <c r="S17" s="117">
        <f t="shared" si="7"/>
        <v>1.3671435115222204</v>
      </c>
      <c r="T17" s="117">
        <f t="shared" si="7"/>
        <v>1.1302987578674091</v>
      </c>
      <c r="U17" s="117">
        <f t="shared" ref="U17:W17" si="8">SUM(U15:U16)</f>
        <v>1.0483987578674092</v>
      </c>
      <c r="V17" s="117">
        <f t="shared" si="8"/>
        <v>0.96649875786740913</v>
      </c>
      <c r="W17" s="117">
        <f t="shared" si="8"/>
        <v>0.92186988390404956</v>
      </c>
      <c r="X17" s="117">
        <f>SUM(X15:X16)</f>
        <v>30.612898089389091</v>
      </c>
      <c r="Y17" s="117"/>
      <c r="Z17" s="117"/>
      <c r="AA17" s="117"/>
      <c r="AB17" s="117"/>
      <c r="AC17" s="117"/>
      <c r="AD17" s="117"/>
    </row>
    <row r="18" spans="1:30" s="252" customFormat="1" ht="15" customHeight="1" x14ac:dyDescent="0.25">
      <c r="B18" s="122" t="s">
        <v>223</v>
      </c>
      <c r="C18" s="122"/>
      <c r="D18" s="122"/>
      <c r="E18" s="122"/>
      <c r="F18" s="251">
        <f>F14/F17</f>
        <v>1.6476265624186714</v>
      </c>
      <c r="G18" s="251">
        <f t="shared" ref="G18:T18" si="9">G14/G17</f>
        <v>1.0223784892075938</v>
      </c>
      <c r="H18" s="251">
        <f t="shared" si="9"/>
        <v>1.3265491180037507</v>
      </c>
      <c r="I18" s="251">
        <f t="shared" si="9"/>
        <v>1.0806773112721064</v>
      </c>
      <c r="J18" s="251">
        <f t="shared" si="9"/>
        <v>1.1116075242768049</v>
      </c>
      <c r="K18" s="251">
        <f t="shared" si="9"/>
        <v>1.13468628247189</v>
      </c>
      <c r="L18" s="251">
        <f t="shared" si="9"/>
        <v>1.1646349351929102</v>
      </c>
      <c r="M18" s="251">
        <f t="shared" si="9"/>
        <v>1.2456309228091014</v>
      </c>
      <c r="N18" s="251">
        <f t="shared" si="9"/>
        <v>1.2777265698951301</v>
      </c>
      <c r="O18" s="251">
        <f t="shared" si="9"/>
        <v>1.3149730676422779</v>
      </c>
      <c r="P18" s="251">
        <f t="shared" si="9"/>
        <v>1.3609396309490522</v>
      </c>
      <c r="Q18" s="251">
        <f t="shared" si="9"/>
        <v>1.4035021836983173</v>
      </c>
      <c r="R18" s="251">
        <f t="shared" si="9"/>
        <v>1.4579531292039034</v>
      </c>
      <c r="S18" s="251">
        <f t="shared" si="9"/>
        <v>1.520545470492642</v>
      </c>
      <c r="T18" s="251">
        <f t="shared" si="9"/>
        <v>1.7957470724348421</v>
      </c>
      <c r="U18" s="251">
        <f t="shared" ref="U18:X18" si="10">U14/U17</f>
        <v>1.8813360374763102</v>
      </c>
      <c r="V18" s="251">
        <f t="shared" si="10"/>
        <v>1.9882402826800836</v>
      </c>
      <c r="W18" s="251">
        <f t="shared" si="10"/>
        <v>2.0274431780434328</v>
      </c>
      <c r="X18" s="251">
        <f t="shared" si="10"/>
        <v>1.3345259335368815</v>
      </c>
      <c r="Y18" s="251"/>
      <c r="Z18" s="251"/>
      <c r="AA18" s="251"/>
      <c r="AB18" s="251"/>
      <c r="AC18" s="251"/>
      <c r="AD18" s="251"/>
    </row>
    <row r="19" spans="1:30" ht="15" customHeight="1" x14ac:dyDescent="0.25">
      <c r="B19" s="70" t="s">
        <v>224</v>
      </c>
      <c r="C19" s="70"/>
      <c r="D19" s="70"/>
      <c r="E19" s="70"/>
      <c r="F19" s="379">
        <f>+X18</f>
        <v>1.3345259335368815</v>
      </c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83"/>
      <c r="AB19" s="83"/>
      <c r="AC19" s="83"/>
      <c r="AD19" s="83"/>
    </row>
    <row r="20" spans="1:30" ht="15" customHeight="1" x14ac:dyDescent="0.25">
      <c r="B20" s="70" t="s">
        <v>225</v>
      </c>
      <c r="C20" s="70"/>
      <c r="D20" s="70"/>
      <c r="E20" s="70"/>
      <c r="F20" s="379">
        <f>MAX(F18:Z18)</f>
        <v>2.0274431780434328</v>
      </c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83"/>
      <c r="AB20" s="83"/>
      <c r="AC20" s="83"/>
      <c r="AD20" s="83"/>
    </row>
    <row r="21" spans="1:30" ht="15" customHeight="1" x14ac:dyDescent="0.25"/>
    <row r="22" spans="1:30" x14ac:dyDescent="0.25">
      <c r="B22" s="31" t="s">
        <v>103</v>
      </c>
      <c r="C22" s="31"/>
      <c r="D22" s="83"/>
      <c r="E22" s="83">
        <f>IS!D19</f>
        <v>0</v>
      </c>
      <c r="F22" s="83">
        <f>IS!E19</f>
        <v>0.34071358629072102</v>
      </c>
      <c r="G22" s="83">
        <f>IS!F19</f>
        <v>1.079924905613479</v>
      </c>
      <c r="H22" s="83">
        <f>IS!G19</f>
        <v>1.945207513925659</v>
      </c>
      <c r="I22" s="83">
        <f>IS!H19</f>
        <v>1.2368317209623267</v>
      </c>
      <c r="J22" s="83">
        <f>IS!I19</f>
        <v>1.3039006935230701</v>
      </c>
      <c r="K22" s="83">
        <f>IS!J19</f>
        <v>1.3613398448909464</v>
      </c>
      <c r="L22" s="83">
        <f>IS!K19</f>
        <v>1.4186429922501786</v>
      </c>
      <c r="M22" s="83">
        <f>IS!L19</f>
        <v>1.4607799408576474</v>
      </c>
      <c r="N22" s="83">
        <f>IS!M19</f>
        <v>1.4989142454623812</v>
      </c>
      <c r="O22" s="83">
        <f>IS!N19</f>
        <v>1.5338850523113621</v>
      </c>
      <c r="P22" s="83">
        <f>IS!O19</f>
        <v>1.5687383893681306</v>
      </c>
      <c r="Q22" s="83">
        <f>IS!P19</f>
        <v>1.5865542777246411</v>
      </c>
      <c r="R22" s="83">
        <f>IS!Q19</f>
        <v>1.6072238854441512</v>
      </c>
      <c r="S22" s="83">
        <f>IS!R19</f>
        <v>1.62378204579726</v>
      </c>
      <c r="T22" s="83">
        <f>IS!S19</f>
        <v>1.6392181018087699</v>
      </c>
      <c r="U22" s="83">
        <f>IS!T19</f>
        <v>1.6432265633665522</v>
      </c>
      <c r="V22" s="83">
        <f>IS!U19</f>
        <v>1.6490666080173422</v>
      </c>
      <c r="W22" s="83">
        <f>IS!V19</f>
        <v>1.6491031378240439</v>
      </c>
      <c r="X22" s="83">
        <f>IS!W19</f>
        <v>1.6543979559991637</v>
      </c>
      <c r="Y22" s="83">
        <f>IS!X19</f>
        <v>1.6462169154840378</v>
      </c>
      <c r="Z22" s="83">
        <f>IS!Y19</f>
        <v>1.6380091450569716</v>
      </c>
      <c r="AA22" s="83">
        <f>IS!Z19</f>
        <v>1.6302894222278488</v>
      </c>
      <c r="AB22" s="83">
        <f>IS!AA19</f>
        <v>1.6258468600621991</v>
      </c>
      <c r="AC22" s="83">
        <f>IS!AB19</f>
        <v>1.6054471358222484</v>
      </c>
      <c r="AD22" s="83">
        <f>IS!AC19</f>
        <v>1.5915019069444731</v>
      </c>
    </row>
    <row r="23" spans="1:30" x14ac:dyDescent="0.25">
      <c r="A23" s="355">
        <f>+IS!A24</f>
        <v>0.25168000000000001</v>
      </c>
      <c r="B23" s="31" t="s">
        <v>226</v>
      </c>
      <c r="C23" s="31"/>
      <c r="D23" s="83"/>
      <c r="E23" s="83">
        <f>IS!D24</f>
        <v>0</v>
      </c>
      <c r="F23" s="83">
        <f>+F22*$A$23</f>
        <v>8.5750795397648669E-2</v>
      </c>
      <c r="G23" s="83">
        <f t="shared" ref="G23:AD23" si="11">+G22*$A$23</f>
        <v>0.27179550024480043</v>
      </c>
      <c r="H23" s="83">
        <f t="shared" si="11"/>
        <v>0.4895698271048099</v>
      </c>
      <c r="I23" s="83">
        <f t="shared" si="11"/>
        <v>0.31128580753179841</v>
      </c>
      <c r="J23" s="83">
        <f t="shared" si="11"/>
        <v>0.32816572654588633</v>
      </c>
      <c r="K23" s="83">
        <f t="shared" si="11"/>
        <v>0.34262201216215343</v>
      </c>
      <c r="L23" s="83">
        <f t="shared" si="11"/>
        <v>0.35704406828952501</v>
      </c>
      <c r="M23" s="83">
        <f t="shared" si="11"/>
        <v>0.3676490955150527</v>
      </c>
      <c r="N23" s="83">
        <f t="shared" si="11"/>
        <v>0.37724673729797209</v>
      </c>
      <c r="O23" s="83">
        <f t="shared" si="11"/>
        <v>0.38604818996572365</v>
      </c>
      <c r="P23" s="83">
        <f t="shared" si="11"/>
        <v>0.39482007783617112</v>
      </c>
      <c r="Q23" s="83">
        <f t="shared" si="11"/>
        <v>0.3993039806177377</v>
      </c>
      <c r="R23" s="83">
        <f t="shared" si="11"/>
        <v>0.40450610748858401</v>
      </c>
      <c r="S23" s="83">
        <f t="shared" si="11"/>
        <v>0.40867346528625442</v>
      </c>
      <c r="T23" s="83">
        <f t="shared" si="11"/>
        <v>0.41255841186323122</v>
      </c>
      <c r="U23" s="83">
        <f t="shared" si="11"/>
        <v>0.41356726146809386</v>
      </c>
      <c r="V23" s="83">
        <f t="shared" si="11"/>
        <v>0.41503708390580468</v>
      </c>
      <c r="W23" s="83">
        <f t="shared" si="11"/>
        <v>0.41504627772755542</v>
      </c>
      <c r="X23" s="83">
        <f t="shared" si="11"/>
        <v>0.41637887756586955</v>
      </c>
      <c r="Y23" s="83">
        <f t="shared" si="11"/>
        <v>0.41431987328902264</v>
      </c>
      <c r="Z23" s="83">
        <f t="shared" si="11"/>
        <v>0.41225414162793861</v>
      </c>
      <c r="AA23" s="83">
        <f t="shared" si="11"/>
        <v>0.41031124178630501</v>
      </c>
      <c r="AB23" s="83">
        <f t="shared" si="11"/>
        <v>0.40919313774045429</v>
      </c>
      <c r="AC23" s="83">
        <f t="shared" si="11"/>
        <v>0.40405893514374353</v>
      </c>
      <c r="AD23" s="83">
        <f t="shared" si="11"/>
        <v>0.40054919993978499</v>
      </c>
    </row>
    <row r="24" spans="1:30" x14ac:dyDescent="0.25">
      <c r="B24" s="31" t="s">
        <v>227</v>
      </c>
      <c r="C24" s="31"/>
      <c r="D24" s="83"/>
      <c r="E24" s="83">
        <f>IS!D16</f>
        <v>0</v>
      </c>
      <c r="F24" s="83">
        <f>IS!E16</f>
        <v>0.55844175185037748</v>
      </c>
      <c r="G24" s="83">
        <f>IS!F16</f>
        <v>1.64423620324688</v>
      </c>
      <c r="H24" s="83">
        <f>IS!G16</f>
        <v>1.5297018626584074</v>
      </c>
      <c r="I24" s="83">
        <f>IS!H16</f>
        <v>1.4150778748885184</v>
      </c>
      <c r="J24" s="83">
        <f>IS!I16</f>
        <v>1.3129092523215675</v>
      </c>
      <c r="K24" s="83">
        <f>IS!J16</f>
        <v>1.2181172043039503</v>
      </c>
      <c r="L24" s="83">
        <f>IS!K16</f>
        <v>1.1332654959673234</v>
      </c>
      <c r="M24" s="83">
        <f>IS!L16</f>
        <v>1.0483473733443642</v>
      </c>
      <c r="N24" s="83">
        <f>IS!M16</f>
        <v>0.97265669298890112</v>
      </c>
      <c r="O24" s="83">
        <f>IS!N16</f>
        <v>0.9024308797551025</v>
      </c>
      <c r="P24" s="83">
        <f>IS!O16</f>
        <v>0.83956927536072046</v>
      </c>
      <c r="Q24" s="83">
        <f>IS!P16</f>
        <v>0.77665846855574006</v>
      </c>
      <c r="R24" s="83">
        <f>IS!Q16</f>
        <v>0.72058372712601582</v>
      </c>
      <c r="S24" s="83">
        <f>IS!R16</f>
        <v>0.66855758202751736</v>
      </c>
      <c r="T24" s="83">
        <f>IS!S16</f>
        <v>0.62198714302870628</v>
      </c>
      <c r="U24" s="83">
        <f>IS!T16</f>
        <v>0.57538025287845795</v>
      </c>
      <c r="V24" s="83">
        <f>IS!U16</f>
        <v>0.53383779862063341</v>
      </c>
      <c r="W24" s="83">
        <f>IS!V16</f>
        <v>0.49529470956022364</v>
      </c>
      <c r="X24" s="83">
        <f>IS!W16</f>
        <v>0.46079342997252337</v>
      </c>
      <c r="Y24" s="83">
        <f>IS!X16</f>
        <v>0.42626514588595926</v>
      </c>
      <c r="Z24" s="83">
        <f>IS!Y16</f>
        <v>0.395488802352993</v>
      </c>
      <c r="AA24" s="83">
        <f>IS!Z16</f>
        <v>0.36693451082310691</v>
      </c>
      <c r="AB24" s="83">
        <f>IS!AA16</f>
        <v>0.34137455650919002</v>
      </c>
      <c r="AC24" s="83">
        <f>IS!AB16</f>
        <v>0.31579459616171507</v>
      </c>
      <c r="AD24" s="83">
        <f>IS!AC16</f>
        <v>0.29299422631883926</v>
      </c>
    </row>
    <row r="25" spans="1:30" x14ac:dyDescent="0.25">
      <c r="B25" s="60" t="s">
        <v>228</v>
      </c>
      <c r="C25" s="60"/>
      <c r="D25" s="117"/>
      <c r="E25" s="117">
        <f t="shared" ref="E25:AD25" si="12">E22-E23+E24</f>
        <v>0</v>
      </c>
      <c r="F25" s="117">
        <f t="shared" si="12"/>
        <v>0.81340454274344975</v>
      </c>
      <c r="G25" s="117">
        <f t="shared" si="12"/>
        <v>2.4523656086155583</v>
      </c>
      <c r="H25" s="117">
        <f t="shared" si="12"/>
        <v>2.9853395494792565</v>
      </c>
      <c r="I25" s="117">
        <f t="shared" si="12"/>
        <v>2.3406237883190468</v>
      </c>
      <c r="J25" s="117">
        <f t="shared" si="12"/>
        <v>2.2886442192987513</v>
      </c>
      <c r="K25" s="117">
        <f t="shared" si="12"/>
        <v>2.2368350370327432</v>
      </c>
      <c r="L25" s="117">
        <f t="shared" si="12"/>
        <v>2.1948644199279768</v>
      </c>
      <c r="M25" s="117">
        <f t="shared" si="12"/>
        <v>2.141478218686959</v>
      </c>
      <c r="N25" s="117">
        <f t="shared" si="12"/>
        <v>2.0943242011533103</v>
      </c>
      <c r="O25" s="117">
        <f t="shared" si="12"/>
        <v>2.0502677421007407</v>
      </c>
      <c r="P25" s="117">
        <f t="shared" si="12"/>
        <v>2.0134875868926798</v>
      </c>
      <c r="Q25" s="117">
        <f t="shared" si="12"/>
        <v>1.9639087656626435</v>
      </c>
      <c r="R25" s="117">
        <f t="shared" si="12"/>
        <v>1.9233015050815829</v>
      </c>
      <c r="S25" s="117">
        <f t="shared" si="12"/>
        <v>1.8836661625385229</v>
      </c>
      <c r="T25" s="117">
        <f t="shared" si="12"/>
        <v>1.8486468329742449</v>
      </c>
      <c r="U25" s="117">
        <f t="shared" si="12"/>
        <v>1.8050395547769162</v>
      </c>
      <c r="V25" s="117">
        <f t="shared" si="12"/>
        <v>1.7678673227321711</v>
      </c>
      <c r="W25" s="117">
        <f t="shared" si="12"/>
        <v>1.7293515696567121</v>
      </c>
      <c r="X25" s="117">
        <f t="shared" si="12"/>
        <v>1.6988125084058174</v>
      </c>
      <c r="Y25" s="117">
        <f t="shared" si="12"/>
        <v>1.6581621880809743</v>
      </c>
      <c r="Z25" s="117">
        <f t="shared" si="12"/>
        <v>1.621243805782026</v>
      </c>
      <c r="AA25" s="117">
        <f t="shared" si="12"/>
        <v>1.5869126912646507</v>
      </c>
      <c r="AB25" s="117">
        <f t="shared" si="12"/>
        <v>1.558028278830935</v>
      </c>
      <c r="AC25" s="117">
        <f t="shared" si="12"/>
        <v>1.5171827968402198</v>
      </c>
      <c r="AD25" s="117">
        <f t="shared" si="12"/>
        <v>1.4839469333235273</v>
      </c>
    </row>
    <row r="26" spans="1:30" x14ac:dyDescent="0.25">
      <c r="B26" s="31" t="s">
        <v>229</v>
      </c>
      <c r="C26" s="31"/>
      <c r="D26" s="83"/>
      <c r="E26" s="83">
        <f>CFS!D21</f>
        <v>23.331796367458136</v>
      </c>
      <c r="F26" s="83">
        <f>CFS!E21</f>
        <v>0</v>
      </c>
      <c r="G26" s="83">
        <f>CFS!F21</f>
        <v>0</v>
      </c>
      <c r="H26" s="83">
        <f>CFS!G21</f>
        <v>0</v>
      </c>
      <c r="I26" s="83">
        <f>CFS!H21</f>
        <v>0</v>
      </c>
      <c r="J26" s="83">
        <f>CFS!I21</f>
        <v>0</v>
      </c>
      <c r="K26" s="83">
        <f>CFS!J21</f>
        <v>0</v>
      </c>
      <c r="L26" s="83">
        <f>CFS!K21</f>
        <v>0</v>
      </c>
      <c r="M26" s="83">
        <f>CFS!L21</f>
        <v>0</v>
      </c>
      <c r="N26" s="83">
        <f>CFS!M21</f>
        <v>0</v>
      </c>
      <c r="O26" s="83">
        <f>CFS!N21</f>
        <v>0</v>
      </c>
      <c r="P26" s="83">
        <f>CFS!O21</f>
        <v>0</v>
      </c>
      <c r="Q26" s="83">
        <f>CFS!P21</f>
        <v>0</v>
      </c>
      <c r="R26" s="83">
        <f>CFS!Q21</f>
        <v>0</v>
      </c>
      <c r="S26" s="83">
        <f>CFS!R21</f>
        <v>0</v>
      </c>
      <c r="T26" s="83">
        <f>CFS!S21</f>
        <v>0</v>
      </c>
      <c r="U26" s="83">
        <f>CFS!T21</f>
        <v>0</v>
      </c>
      <c r="V26" s="83">
        <f>CFS!U21</f>
        <v>0</v>
      </c>
      <c r="W26" s="83">
        <f>CFS!V21</f>
        <v>0</v>
      </c>
      <c r="X26" s="83">
        <f>CFS!W21</f>
        <v>0</v>
      </c>
      <c r="Y26" s="83">
        <f>CFS!X21</f>
        <v>0</v>
      </c>
      <c r="Z26" s="83">
        <f>CFS!Y21</f>
        <v>0</v>
      </c>
      <c r="AA26" s="83">
        <f>CFS!Z21</f>
        <v>0</v>
      </c>
      <c r="AB26" s="83">
        <f>CFS!AA21</f>
        <v>0</v>
      </c>
      <c r="AC26" s="83">
        <f>CFS!AB21</f>
        <v>0</v>
      </c>
      <c r="AD26" s="83">
        <f>CFS!AC21</f>
        <v>0</v>
      </c>
    </row>
    <row r="27" spans="1:30" x14ac:dyDescent="0.25">
      <c r="B27" s="31" t="s">
        <v>387</v>
      </c>
      <c r="C27" s="31"/>
      <c r="D27" s="83"/>
      <c r="E27" s="83">
        <f>+BS!C44</f>
        <v>0.65623130103400751</v>
      </c>
      <c r="F27" s="83">
        <f>+BS!D44</f>
        <v>-2.817701536538042E-2</v>
      </c>
      <c r="G27" s="83">
        <f>+BS!E44</f>
        <v>-4.8302339746580714E-2</v>
      </c>
      <c r="H27" s="83">
        <f>+BS!F44</f>
        <v>1.1994772660303799E-2</v>
      </c>
      <c r="I27" s="83">
        <f>+BS!G44</f>
        <v>1.1392555638667812E-2</v>
      </c>
      <c r="J27" s="83">
        <f>+BS!H44</f>
        <v>1.0259834549853908E-2</v>
      </c>
      <c r="K27" s="83">
        <f>+BS!I44</f>
        <v>9.0526857494878099E-3</v>
      </c>
      <c r="L27" s="83">
        <f>+BS!J44</f>
        <v>8.4869133176522782E-3</v>
      </c>
      <c r="M27" s="83">
        <f>+BS!K44</f>
        <v>7.6561803392166672E-3</v>
      </c>
      <c r="N27" s="83">
        <f>+BS!L44</f>
        <v>6.6140911251753032E-3</v>
      </c>
      <c r="O27" s="83">
        <f>+BS!M44</f>
        <v>6.2049448387544448E-3</v>
      </c>
      <c r="P27" s="83">
        <f>+BS!N44</f>
        <v>5.6630904275147831E-3</v>
      </c>
      <c r="Q27" s="83">
        <f>+BS!O44</f>
        <v>4.5607118042590988E-3</v>
      </c>
      <c r="R27" s="83">
        <f>+BS!P44</f>
        <v>4.3855451863830108E-3</v>
      </c>
      <c r="S27" s="83">
        <f>+BS!Q44</f>
        <v>3.860282041329155E-3</v>
      </c>
      <c r="T27" s="83">
        <f>+BS!R44</f>
        <v>3.2153491305335624E-3</v>
      </c>
      <c r="U27" s="83">
        <f>+BS!S44</f>
        <v>2.7652661179753402E-3</v>
      </c>
      <c r="V27" s="83">
        <f>+BS!T44</f>
        <v>2.4848484066793963E-3</v>
      </c>
      <c r="W27" s="83">
        <f>+BS!U44</f>
        <v>1.7516981475685922E-3</v>
      </c>
      <c r="X27" s="83">
        <f>+BS!V44</f>
        <v>1.9133507132589322E-3</v>
      </c>
      <c r="Y27" s="83">
        <f>+BS!W44</f>
        <v>1.1729614865847449E-3</v>
      </c>
      <c r="Z27" s="83">
        <f>+BS!X44</f>
        <v>6.8338414776691891E-4</v>
      </c>
      <c r="AA27" s="83">
        <f>+BS!Y44</f>
        <v>7.2660138907076899E-4</v>
      </c>
      <c r="AB27" s="83">
        <f>+BS!Z44</f>
        <v>6.631804799952512E-4</v>
      </c>
      <c r="AC27" s="83">
        <f>+BS!AA44</f>
        <v>-4.194146469419513E-4</v>
      </c>
      <c r="AD27" s="83">
        <f>+BS!AB44</f>
        <v>-9.0775369027129571E-5</v>
      </c>
    </row>
    <row r="28" spans="1:30" x14ac:dyDescent="0.25">
      <c r="B28" s="31" t="s">
        <v>389</v>
      </c>
      <c r="C28" s="31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>
        <f>+BS!AB29</f>
        <v>3.7650975509504008</v>
      </c>
    </row>
    <row r="29" spans="1:30" x14ac:dyDescent="0.25">
      <c r="B29" s="98" t="s">
        <v>230</v>
      </c>
      <c r="C29" s="98"/>
      <c r="D29" s="99"/>
      <c r="E29" s="99">
        <f>E25-E26-E27</f>
        <v>-23.988027668492144</v>
      </c>
      <c r="F29" s="99">
        <f t="shared" ref="F29:AC29" si="13">F25-F26-F27</f>
        <v>0.84158155810883017</v>
      </c>
      <c r="G29" s="99">
        <f t="shared" si="13"/>
        <v>2.500667948362139</v>
      </c>
      <c r="H29" s="99">
        <f t="shared" si="13"/>
        <v>2.9733447768189527</v>
      </c>
      <c r="I29" s="99">
        <f t="shared" si="13"/>
        <v>2.329231232680379</v>
      </c>
      <c r="J29" s="99">
        <f t="shared" si="13"/>
        <v>2.2783843847488976</v>
      </c>
      <c r="K29" s="99">
        <f t="shared" si="13"/>
        <v>2.2277823512832553</v>
      </c>
      <c r="L29" s="99">
        <f t="shared" si="13"/>
        <v>2.1863775066103246</v>
      </c>
      <c r="M29" s="99">
        <f t="shared" si="13"/>
        <v>2.1338220383477422</v>
      </c>
      <c r="N29" s="99">
        <f t="shared" si="13"/>
        <v>2.087710110028135</v>
      </c>
      <c r="O29" s="99">
        <f t="shared" si="13"/>
        <v>2.0440627972619865</v>
      </c>
      <c r="P29" s="99">
        <f t="shared" si="13"/>
        <v>2.0078244964651653</v>
      </c>
      <c r="Q29" s="99">
        <f t="shared" si="13"/>
        <v>1.9593480538583843</v>
      </c>
      <c r="R29" s="99">
        <f t="shared" si="13"/>
        <v>1.9189159598951999</v>
      </c>
      <c r="S29" s="99">
        <f t="shared" si="13"/>
        <v>1.8798058804971938</v>
      </c>
      <c r="T29" s="99">
        <f t="shared" si="13"/>
        <v>1.8454314838437114</v>
      </c>
      <c r="U29" s="99">
        <f t="shared" si="13"/>
        <v>1.8022742886589409</v>
      </c>
      <c r="V29" s="99">
        <f t="shared" si="13"/>
        <v>1.7653824743254916</v>
      </c>
      <c r="W29" s="99">
        <f t="shared" si="13"/>
        <v>1.7275998715091436</v>
      </c>
      <c r="X29" s="99">
        <f t="shared" si="13"/>
        <v>1.6968991576925585</v>
      </c>
      <c r="Y29" s="99">
        <f t="shared" si="13"/>
        <v>1.6569892265943895</v>
      </c>
      <c r="Z29" s="99">
        <f t="shared" si="13"/>
        <v>1.6205604216342591</v>
      </c>
      <c r="AA29" s="99">
        <f t="shared" si="13"/>
        <v>1.58618608987558</v>
      </c>
      <c r="AB29" s="99">
        <f t="shared" si="13"/>
        <v>1.5573650983509397</v>
      </c>
      <c r="AC29" s="99">
        <f t="shared" si="13"/>
        <v>1.5176022114871617</v>
      </c>
      <c r="AD29" s="99">
        <f>AD25-AD26-AD27+AD28</f>
        <v>5.249135259642955</v>
      </c>
    </row>
    <row r="31" spans="1:30" x14ac:dyDescent="0.25">
      <c r="B31" s="60" t="s">
        <v>231</v>
      </c>
      <c r="C31" s="60"/>
      <c r="D31" s="61">
        <v>7.0000000000000007E-2</v>
      </c>
    </row>
    <row r="32" spans="1:30" x14ac:dyDescent="0.25"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</row>
    <row r="33" spans="2:30" x14ac:dyDescent="0.25">
      <c r="B33" s="70" t="s">
        <v>232</v>
      </c>
      <c r="C33" s="70"/>
      <c r="D33" s="359">
        <f>XNPV(D31,E29:AD29,E8:AD8)</f>
        <v>1.1140943549069138</v>
      </c>
      <c r="E33" s="260"/>
      <c r="F33" s="261"/>
      <c r="G33" s="260"/>
      <c r="H33" s="261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</row>
    <row r="34" spans="2:30" x14ac:dyDescent="0.25">
      <c r="B34" s="31"/>
      <c r="C34" s="31"/>
      <c r="D34" s="65"/>
      <c r="E34" s="31"/>
      <c r="F34" s="31"/>
      <c r="G34" s="31"/>
      <c r="H34" s="31"/>
      <c r="I34" s="31"/>
      <c r="J34" s="31"/>
      <c r="K34" s="31"/>
      <c r="L34" s="31"/>
      <c r="M34" s="31"/>
      <c r="N34" s="31"/>
    </row>
    <row r="35" spans="2:30" x14ac:dyDescent="0.25">
      <c r="B35" s="70" t="s">
        <v>233</v>
      </c>
      <c r="C35" s="70"/>
      <c r="D35" s="147">
        <f>XIRR(E29:AD29,E8:AD8)</f>
        <v>7.5556710362434401E-2</v>
      </c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</row>
    <row r="36" spans="2:30" x14ac:dyDescent="0.25">
      <c r="B36" s="31"/>
      <c r="C36" s="31"/>
      <c r="D36" s="63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30" x14ac:dyDescent="0.25">
      <c r="B37" s="263" t="s">
        <v>231</v>
      </c>
      <c r="C37" s="264"/>
      <c r="D37" s="31"/>
      <c r="E37" s="31"/>
      <c r="F37" s="31"/>
      <c r="G37" s="31"/>
      <c r="H37" s="31"/>
      <c r="I37" s="31"/>
      <c r="J37" s="31"/>
      <c r="K37" s="31"/>
      <c r="L37" s="31"/>
      <c r="M37" s="31"/>
    </row>
    <row r="38" spans="2:30" x14ac:dyDescent="0.25">
      <c r="B38" s="265" t="s">
        <v>234</v>
      </c>
      <c r="C38" s="266">
        <f>'PC &amp; MoF'!C25</f>
        <v>0.7</v>
      </c>
      <c r="D38" s="31"/>
      <c r="E38" s="31"/>
      <c r="F38" s="31"/>
      <c r="G38" s="31"/>
      <c r="H38" s="31"/>
      <c r="I38" s="31"/>
      <c r="J38" s="31"/>
      <c r="K38" s="31"/>
      <c r="L38" s="31"/>
      <c r="M38" s="31"/>
    </row>
    <row r="39" spans="2:30" x14ac:dyDescent="0.25">
      <c r="B39" s="265" t="s">
        <v>235</v>
      </c>
      <c r="C39" s="267">
        <f>Assumptions!D50</f>
        <v>9.7500000000000003E-2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</row>
    <row r="40" spans="2:30" x14ac:dyDescent="0.25">
      <c r="B40" s="265" t="s">
        <v>107</v>
      </c>
      <c r="C40" s="267">
        <f>+IS!A24</f>
        <v>0.25168000000000001</v>
      </c>
      <c r="D40" s="31"/>
      <c r="E40" s="31"/>
      <c r="F40" s="31"/>
      <c r="G40" s="31"/>
      <c r="H40" s="31"/>
      <c r="I40" s="31"/>
      <c r="J40" s="31"/>
      <c r="K40" s="31"/>
      <c r="L40" s="31"/>
      <c r="M40" s="31"/>
    </row>
    <row r="41" spans="2:30" x14ac:dyDescent="0.25">
      <c r="B41" s="265" t="s">
        <v>236</v>
      </c>
      <c r="C41" s="267">
        <f>C39*(1-C40)</f>
        <v>7.2961200000000004E-2</v>
      </c>
      <c r="D41" s="31"/>
      <c r="E41" s="31"/>
      <c r="F41" s="31"/>
      <c r="G41" s="31"/>
      <c r="H41" s="31"/>
      <c r="I41" s="31"/>
      <c r="J41" s="31"/>
      <c r="K41" s="31"/>
      <c r="L41" s="31"/>
      <c r="M41" s="31"/>
    </row>
    <row r="42" spans="2:30" x14ac:dyDescent="0.25">
      <c r="B42" s="265" t="s">
        <v>237</v>
      </c>
      <c r="C42" s="266">
        <f>1-C38</f>
        <v>0.30000000000000004</v>
      </c>
      <c r="D42" s="31"/>
      <c r="E42" s="31"/>
      <c r="F42" s="31"/>
      <c r="G42" s="31"/>
      <c r="H42" s="31"/>
      <c r="I42" s="31"/>
      <c r="J42" s="31"/>
      <c r="K42" s="31"/>
      <c r="L42" s="31"/>
      <c r="M42" s="31"/>
    </row>
    <row r="43" spans="2:30" x14ac:dyDescent="0.25">
      <c r="B43" s="265" t="s">
        <v>309</v>
      </c>
      <c r="C43" s="267">
        <v>0.11269999999999999</v>
      </c>
      <c r="D43" s="31" t="s">
        <v>308</v>
      </c>
      <c r="E43" s="31"/>
      <c r="F43" s="31"/>
      <c r="G43" s="31"/>
      <c r="H43" s="31"/>
      <c r="I43" s="31"/>
      <c r="J43" s="31"/>
      <c r="K43" s="31"/>
      <c r="L43" s="31"/>
      <c r="M43" s="31"/>
    </row>
    <row r="44" spans="2:30" x14ac:dyDescent="0.25">
      <c r="B44" s="263" t="s">
        <v>231</v>
      </c>
      <c r="C44" s="268">
        <f>C38*C41+C42*C43</f>
        <v>8.4882840000000015E-2</v>
      </c>
      <c r="D44" s="31"/>
      <c r="E44" s="31"/>
      <c r="F44" s="31"/>
      <c r="G44" s="31"/>
      <c r="H44" s="31"/>
      <c r="I44" s="31"/>
      <c r="J44" s="31"/>
      <c r="K44" s="31"/>
      <c r="L44" s="31"/>
      <c r="M44" s="31"/>
    </row>
    <row r="45" spans="2:30" x14ac:dyDescent="0.25">
      <c r="B45" s="70" t="s">
        <v>310</v>
      </c>
      <c r="C45" s="262">
        <v>0</v>
      </c>
      <c r="D45" s="31"/>
      <c r="E45" s="31"/>
      <c r="F45" s="31"/>
      <c r="G45" s="31"/>
      <c r="H45" s="31"/>
      <c r="I45" s="31"/>
      <c r="J45" s="31"/>
      <c r="K45" s="31"/>
      <c r="L45" s="31"/>
      <c r="M45" s="31"/>
    </row>
    <row r="46" spans="2:30" x14ac:dyDescent="0.25">
      <c r="B46" s="70" t="s">
        <v>311</v>
      </c>
      <c r="C46" s="262">
        <f>+C44+C45</f>
        <v>8.4882840000000015E-2</v>
      </c>
      <c r="D46" s="31"/>
      <c r="E46" s="31"/>
      <c r="F46" s="31"/>
      <c r="G46" s="31"/>
      <c r="H46" s="31"/>
      <c r="I46" s="31"/>
      <c r="J46" s="31"/>
      <c r="K46" s="31"/>
      <c r="L46" s="31"/>
      <c r="M46" s="31"/>
    </row>
    <row r="48" spans="2:30" hidden="1" x14ac:dyDescent="0.25">
      <c r="B48" s="269" t="s">
        <v>238</v>
      </c>
      <c r="C48" s="269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69"/>
      <c r="O48" s="270"/>
      <c r="P48" s="270"/>
      <c r="Q48" s="270"/>
      <c r="R48" s="270"/>
      <c r="S48" s="270"/>
      <c r="T48" s="270"/>
      <c r="U48" s="270"/>
      <c r="V48" s="270"/>
      <c r="W48" s="270"/>
      <c r="X48" s="270"/>
      <c r="Y48" s="270"/>
      <c r="Z48" s="270"/>
      <c r="AA48" s="270"/>
      <c r="AB48" s="270"/>
      <c r="AC48" s="270"/>
      <c r="AD48" s="270"/>
    </row>
    <row r="49" spans="2:30" hidden="1" x14ac:dyDescent="0.25"/>
    <row r="50" spans="2:30" hidden="1" x14ac:dyDescent="0.25">
      <c r="B50" s="31" t="s">
        <v>239</v>
      </c>
      <c r="C50" s="31"/>
      <c r="D50" s="84"/>
      <c r="E50" s="84"/>
      <c r="F50" s="84">
        <f t="shared" ref="F50:AD50" si="14">F9</f>
        <v>1</v>
      </c>
      <c r="G50" s="84">
        <f t="shared" si="14"/>
        <v>2</v>
      </c>
      <c r="H50" s="84">
        <f t="shared" si="14"/>
        <v>3</v>
      </c>
      <c r="I50" s="84">
        <f t="shared" si="14"/>
        <v>4</v>
      </c>
      <c r="J50" s="84">
        <f t="shared" si="14"/>
        <v>5</v>
      </c>
      <c r="K50" s="84">
        <f t="shared" si="14"/>
        <v>6</v>
      </c>
      <c r="L50" s="84">
        <f t="shared" si="14"/>
        <v>7</v>
      </c>
      <c r="M50" s="84">
        <f t="shared" si="14"/>
        <v>8</v>
      </c>
      <c r="N50" s="84">
        <f t="shared" si="14"/>
        <v>9</v>
      </c>
      <c r="O50" s="84">
        <f t="shared" si="14"/>
        <v>10</v>
      </c>
      <c r="P50" s="84">
        <f t="shared" si="14"/>
        <v>11</v>
      </c>
      <c r="Q50" s="84">
        <f t="shared" si="14"/>
        <v>12</v>
      </c>
      <c r="R50" s="84">
        <f t="shared" si="14"/>
        <v>13</v>
      </c>
      <c r="S50" s="84">
        <f t="shared" si="14"/>
        <v>14</v>
      </c>
      <c r="T50" s="84">
        <f t="shared" si="14"/>
        <v>15</v>
      </c>
      <c r="U50" s="84">
        <f t="shared" si="14"/>
        <v>16</v>
      </c>
      <c r="V50" s="84">
        <f t="shared" si="14"/>
        <v>17</v>
      </c>
      <c r="W50" s="84">
        <f t="shared" si="14"/>
        <v>18</v>
      </c>
      <c r="X50" s="84">
        <f t="shared" si="14"/>
        <v>19</v>
      </c>
      <c r="Y50" s="84">
        <f t="shared" si="14"/>
        <v>20</v>
      </c>
      <c r="Z50" s="84">
        <f t="shared" si="14"/>
        <v>21</v>
      </c>
      <c r="AA50" s="84">
        <f t="shared" si="14"/>
        <v>22</v>
      </c>
      <c r="AB50" s="84">
        <f t="shared" si="14"/>
        <v>23</v>
      </c>
      <c r="AC50" s="84">
        <f t="shared" si="14"/>
        <v>24</v>
      </c>
      <c r="AD50" s="84">
        <f t="shared" si="14"/>
        <v>25</v>
      </c>
    </row>
    <row r="51" spans="2:30" hidden="1" x14ac:dyDescent="0.25">
      <c r="B51" s="31" t="s">
        <v>109</v>
      </c>
      <c r="C51" s="31"/>
      <c r="D51" s="83"/>
      <c r="E51" s="83"/>
      <c r="F51" s="83">
        <f>IS!E33</f>
        <v>0.35342770868290219</v>
      </c>
      <c r="G51" s="83">
        <f>IS!F33</f>
        <v>5.9628220485769878E-2</v>
      </c>
      <c r="H51" s="83">
        <f>IS!G33</f>
        <v>0.83571524246491347</v>
      </c>
      <c r="I51" s="83">
        <f>IS!H33</f>
        <v>0.19797670747625595</v>
      </c>
      <c r="J51" s="83">
        <f>IS!I33</f>
        <v>0.26212510210656892</v>
      </c>
      <c r="K51" s="83">
        <f>IS!J33</f>
        <v>0.30214616708210063</v>
      </c>
      <c r="L51" s="83">
        <f>IS!K33</f>
        <v>0.35199490601786132</v>
      </c>
      <c r="M51" s="83">
        <f>IS!L33</f>
        <v>0.47774545541075542</v>
      </c>
      <c r="N51" s="83">
        <f>IS!M33</f>
        <v>0.51342419209158918</v>
      </c>
      <c r="O51" s="83">
        <f>IS!N33</f>
        <v>0.55194715435322195</v>
      </c>
      <c r="P51" s="83">
        <f>IS!O33</f>
        <v>0.59773701347840258</v>
      </c>
      <c r="Q51" s="83">
        <f>IS!P33</f>
        <v>0.629363847689691</v>
      </c>
      <c r="R51" s="83">
        <f>IS!Q33</f>
        <v>0.67019076839654446</v>
      </c>
      <c r="S51" s="83">
        <f>IS!R33</f>
        <v>0.71166036243629693</v>
      </c>
      <c r="T51" s="83">
        <f>IS!S33</f>
        <v>0.89943192754972956</v>
      </c>
      <c r="U51" s="83">
        <f>IS!T33</f>
        <v>0.923991606953948</v>
      </c>
      <c r="V51" s="83">
        <f>IS!U33</f>
        <v>0.95513300568483794</v>
      </c>
      <c r="W51" s="83">
        <f>IS!V33</f>
        <v>0.9471689232609074</v>
      </c>
      <c r="X51" s="83">
        <f>IS!W33</f>
        <v>1.8312966967222306</v>
      </c>
      <c r="Y51" s="83">
        <f>IS!X33</f>
        <v>1.7899912386729362</v>
      </c>
      <c r="Z51" s="83">
        <f>IS!Y33</f>
        <v>1.7044317848885879</v>
      </c>
      <c r="AA51" s="83">
        <f>IS!Z33</f>
        <v>1.5269268504253843</v>
      </c>
      <c r="AB51" s="83">
        <f>IS!AA33</f>
        <v>1.4996961005374252</v>
      </c>
      <c r="AC51" s="83">
        <f>IS!AB33</f>
        <v>1.4610754686829202</v>
      </c>
      <c r="AD51" s="83">
        <f>IS!AC33</f>
        <v>1.4300722238775803</v>
      </c>
    </row>
    <row r="52" spans="2:30" hidden="1" x14ac:dyDescent="0.25">
      <c r="B52" s="31" t="s">
        <v>240</v>
      </c>
      <c r="C52" s="31"/>
      <c r="D52" s="83"/>
      <c r="E52" s="83"/>
      <c r="F52" s="83">
        <f t="shared" ref="F52:AD52" si="15">E52+F51</f>
        <v>0.35342770868290219</v>
      </c>
      <c r="G52" s="83">
        <f t="shared" si="15"/>
        <v>0.41305592916867206</v>
      </c>
      <c r="H52" s="83">
        <f t="shared" si="15"/>
        <v>1.2487711716335856</v>
      </c>
      <c r="I52" s="83">
        <f t="shared" si="15"/>
        <v>1.4467478791098416</v>
      </c>
      <c r="J52" s="83">
        <f t="shared" si="15"/>
        <v>1.7088729812164105</v>
      </c>
      <c r="K52" s="83">
        <f t="shared" si="15"/>
        <v>2.0110191482985114</v>
      </c>
      <c r="L52" s="83">
        <f t="shared" si="15"/>
        <v>2.3630140543163725</v>
      </c>
      <c r="M52" s="83">
        <f t="shared" si="15"/>
        <v>2.8407595097271279</v>
      </c>
      <c r="N52" s="83">
        <f t="shared" si="15"/>
        <v>3.3541837018187168</v>
      </c>
      <c r="O52" s="83">
        <f t="shared" si="15"/>
        <v>3.9061308561719388</v>
      </c>
      <c r="P52" s="83">
        <f t="shared" si="15"/>
        <v>4.5038678696503416</v>
      </c>
      <c r="Q52" s="83">
        <f t="shared" si="15"/>
        <v>5.133231717340033</v>
      </c>
      <c r="R52" s="83">
        <f t="shared" si="15"/>
        <v>5.8034224857365775</v>
      </c>
      <c r="S52" s="83">
        <f t="shared" si="15"/>
        <v>6.5150828481728746</v>
      </c>
      <c r="T52" s="83">
        <f t="shared" si="15"/>
        <v>7.414514775722604</v>
      </c>
      <c r="U52" s="83">
        <f t="shared" si="15"/>
        <v>8.3385063826765524</v>
      </c>
      <c r="V52" s="83">
        <f t="shared" si="15"/>
        <v>9.2936393883613899</v>
      </c>
      <c r="W52" s="83">
        <f t="shared" si="15"/>
        <v>10.240808311622297</v>
      </c>
      <c r="X52" s="83">
        <f t="shared" si="15"/>
        <v>12.072105008344527</v>
      </c>
      <c r="Y52" s="83">
        <f t="shared" si="15"/>
        <v>13.862096247017464</v>
      </c>
      <c r="Z52" s="83">
        <f t="shared" si="15"/>
        <v>15.566528031906051</v>
      </c>
      <c r="AA52" s="83">
        <f t="shared" si="15"/>
        <v>17.093454882331436</v>
      </c>
      <c r="AB52" s="83">
        <f t="shared" si="15"/>
        <v>18.59315098286886</v>
      </c>
      <c r="AC52" s="83">
        <f t="shared" si="15"/>
        <v>20.054226451551781</v>
      </c>
      <c r="AD52" s="83">
        <f t="shared" si="15"/>
        <v>21.484298675429361</v>
      </c>
    </row>
    <row r="53" spans="2:30" hidden="1" x14ac:dyDescent="0.25">
      <c r="B53" s="31" t="s">
        <v>241</v>
      </c>
      <c r="C53" s="31"/>
      <c r="E53" s="31"/>
      <c r="F53" s="83">
        <f>'PC &amp; MoF'!H20</f>
        <v>23.988027668492144</v>
      </c>
      <c r="G53" s="31"/>
      <c r="H53" s="31"/>
      <c r="I53" s="31"/>
      <c r="J53" s="31"/>
      <c r="K53" s="31"/>
      <c r="L53" s="31"/>
      <c r="M53" s="31"/>
      <c r="N53" s="31"/>
    </row>
    <row r="54" spans="2:30" hidden="1" x14ac:dyDescent="0.25">
      <c r="B54" s="70" t="s">
        <v>242</v>
      </c>
      <c r="C54" s="70"/>
      <c r="D54" s="70"/>
      <c r="E54" s="271"/>
      <c r="F54" s="271">
        <f>N50+F53/O52</f>
        <v>15.141122392402577</v>
      </c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  <c r="AA54" s="271"/>
      <c r="AB54" s="271"/>
      <c r="AC54" s="271"/>
      <c r="AD54" s="271"/>
    </row>
    <row r="59" spans="2:30" hidden="1" x14ac:dyDescent="0.25">
      <c r="D59" s="252" t="s">
        <v>273</v>
      </c>
      <c r="E59" s="252" t="s">
        <v>109</v>
      </c>
      <c r="F59" s="252" t="s">
        <v>240</v>
      </c>
      <c r="G59" s="252"/>
    </row>
    <row r="60" spans="2:30" hidden="1" x14ac:dyDescent="0.25">
      <c r="B60" s="112">
        <v>1</v>
      </c>
      <c r="D60" s="291">
        <f t="array" ref="D60:D85">TRANSPOSE(F8:AD8)</f>
        <v>46112</v>
      </c>
      <c r="E60" s="111">
        <f t="array" ref="E60:E85">TRANSPOSE(F51:AD51)</f>
        <v>0.35342770868290219</v>
      </c>
      <c r="F60" s="111">
        <f>E60</f>
        <v>0.35342770868290219</v>
      </c>
    </row>
    <row r="61" spans="2:30" hidden="1" x14ac:dyDescent="0.25">
      <c r="B61" s="112">
        <f>B60+1</f>
        <v>2</v>
      </c>
      <c r="D61" s="291">
        <v>46477</v>
      </c>
      <c r="E61" s="111">
        <v>5.9628220485769878E-2</v>
      </c>
      <c r="F61" s="111">
        <f>E61+F60</f>
        <v>0.41305592916867206</v>
      </c>
    </row>
    <row r="62" spans="2:30" hidden="1" x14ac:dyDescent="0.25">
      <c r="B62" s="112">
        <f t="shared" ref="B62:B85" si="16">B61+1</f>
        <v>3</v>
      </c>
      <c r="D62" s="291">
        <v>46843</v>
      </c>
      <c r="E62" s="111">
        <v>0.83571524246491347</v>
      </c>
      <c r="F62" s="111">
        <f t="shared" ref="F62:F85" si="17">E62+F61</f>
        <v>1.2487711716335856</v>
      </c>
    </row>
    <row r="63" spans="2:30" hidden="1" x14ac:dyDescent="0.25">
      <c r="B63" s="112">
        <f t="shared" si="16"/>
        <v>4</v>
      </c>
      <c r="D63" s="291">
        <v>47208</v>
      </c>
      <c r="E63" s="111">
        <v>0.19797670747625595</v>
      </c>
      <c r="F63" s="111">
        <f t="shared" si="17"/>
        <v>1.4467478791098416</v>
      </c>
    </row>
    <row r="64" spans="2:30" hidden="1" x14ac:dyDescent="0.25">
      <c r="B64" s="112">
        <f t="shared" si="16"/>
        <v>5</v>
      </c>
      <c r="D64" s="291">
        <v>47573</v>
      </c>
      <c r="E64" s="111">
        <v>0.26212510210656892</v>
      </c>
      <c r="F64" s="111">
        <f t="shared" si="17"/>
        <v>1.7088729812164105</v>
      </c>
    </row>
    <row r="65" spans="2:6" hidden="1" x14ac:dyDescent="0.25">
      <c r="B65" s="112">
        <f t="shared" si="16"/>
        <v>6</v>
      </c>
      <c r="D65" s="291">
        <v>47938</v>
      </c>
      <c r="E65" s="111">
        <v>0.30214616708210063</v>
      </c>
      <c r="F65" s="111">
        <f t="shared" si="17"/>
        <v>2.0110191482985114</v>
      </c>
    </row>
    <row r="66" spans="2:6" hidden="1" x14ac:dyDescent="0.25">
      <c r="B66" s="112">
        <f t="shared" si="16"/>
        <v>7</v>
      </c>
      <c r="D66" s="291">
        <v>48304</v>
      </c>
      <c r="E66" s="111">
        <v>0.35199490601786132</v>
      </c>
      <c r="F66" s="111">
        <f t="shared" si="17"/>
        <v>2.3630140543163725</v>
      </c>
    </row>
    <row r="67" spans="2:6" hidden="1" x14ac:dyDescent="0.25">
      <c r="B67" s="112">
        <f t="shared" si="16"/>
        <v>8</v>
      </c>
      <c r="D67" s="291">
        <v>48669</v>
      </c>
      <c r="E67" s="111">
        <v>0.47774545541075542</v>
      </c>
      <c r="F67" s="111">
        <f t="shared" si="17"/>
        <v>2.8407595097271279</v>
      </c>
    </row>
    <row r="68" spans="2:6" hidden="1" x14ac:dyDescent="0.25">
      <c r="B68" s="112">
        <f t="shared" si="16"/>
        <v>9</v>
      </c>
      <c r="D68" s="291">
        <v>49034</v>
      </c>
      <c r="E68" s="111">
        <v>0.51342419209158918</v>
      </c>
      <c r="F68" s="111">
        <f t="shared" si="17"/>
        <v>3.3541837018187168</v>
      </c>
    </row>
    <row r="69" spans="2:6" hidden="1" x14ac:dyDescent="0.25">
      <c r="B69" s="112">
        <f t="shared" si="16"/>
        <v>10</v>
      </c>
      <c r="D69" s="291">
        <v>49399</v>
      </c>
      <c r="E69" s="111">
        <v>0.55194715435322195</v>
      </c>
      <c r="F69" s="111">
        <f t="shared" si="17"/>
        <v>3.9061308561719388</v>
      </c>
    </row>
    <row r="70" spans="2:6" hidden="1" x14ac:dyDescent="0.25">
      <c r="B70" s="112">
        <f t="shared" si="16"/>
        <v>11</v>
      </c>
      <c r="D70" s="291">
        <v>49765</v>
      </c>
      <c r="E70" s="111">
        <v>0.59773701347840258</v>
      </c>
      <c r="F70" s="111">
        <f t="shared" si="17"/>
        <v>4.5038678696503416</v>
      </c>
    </row>
    <row r="71" spans="2:6" hidden="1" x14ac:dyDescent="0.25">
      <c r="B71" s="112">
        <f t="shared" si="16"/>
        <v>12</v>
      </c>
      <c r="D71" s="291">
        <v>50130</v>
      </c>
      <c r="E71" s="111">
        <v>0.629363847689691</v>
      </c>
      <c r="F71" s="111">
        <f t="shared" si="17"/>
        <v>5.133231717340033</v>
      </c>
    </row>
    <row r="72" spans="2:6" hidden="1" x14ac:dyDescent="0.25">
      <c r="B72" s="112">
        <f t="shared" si="16"/>
        <v>13</v>
      </c>
      <c r="D72" s="291">
        <v>50495</v>
      </c>
      <c r="E72" s="111">
        <v>0.67019076839654446</v>
      </c>
      <c r="F72" s="111">
        <f t="shared" si="17"/>
        <v>5.8034224857365775</v>
      </c>
    </row>
    <row r="73" spans="2:6" hidden="1" x14ac:dyDescent="0.25">
      <c r="B73" s="112">
        <f t="shared" si="16"/>
        <v>14</v>
      </c>
      <c r="D73" s="291">
        <v>50860</v>
      </c>
      <c r="E73" s="111">
        <v>0.71166036243629693</v>
      </c>
      <c r="F73" s="111">
        <f t="shared" si="17"/>
        <v>6.5150828481728746</v>
      </c>
    </row>
    <row r="74" spans="2:6" hidden="1" x14ac:dyDescent="0.25">
      <c r="B74" s="112">
        <f t="shared" si="16"/>
        <v>15</v>
      </c>
      <c r="D74" s="291">
        <v>51226</v>
      </c>
      <c r="E74" s="111">
        <v>0.89943192754972956</v>
      </c>
      <c r="F74" s="111">
        <f t="shared" si="17"/>
        <v>7.414514775722604</v>
      </c>
    </row>
    <row r="75" spans="2:6" hidden="1" x14ac:dyDescent="0.25">
      <c r="B75" s="112">
        <f t="shared" si="16"/>
        <v>16</v>
      </c>
      <c r="D75" s="291">
        <v>51591</v>
      </c>
      <c r="E75" s="111">
        <v>0.923991606953948</v>
      </c>
      <c r="F75" s="111">
        <f t="shared" si="17"/>
        <v>8.3385063826765524</v>
      </c>
    </row>
    <row r="76" spans="2:6" hidden="1" x14ac:dyDescent="0.25">
      <c r="B76" s="112">
        <f t="shared" si="16"/>
        <v>17</v>
      </c>
      <c r="D76" s="291">
        <v>51956</v>
      </c>
      <c r="E76" s="111">
        <v>0.95513300568483794</v>
      </c>
      <c r="F76" s="111">
        <f t="shared" si="17"/>
        <v>9.2936393883613899</v>
      </c>
    </row>
    <row r="77" spans="2:6" hidden="1" x14ac:dyDescent="0.25">
      <c r="B77" s="112">
        <f t="shared" si="16"/>
        <v>18</v>
      </c>
      <c r="D77" s="291">
        <v>52321</v>
      </c>
      <c r="E77" s="111">
        <v>0.9471689232609074</v>
      </c>
      <c r="F77" s="111">
        <f t="shared" si="17"/>
        <v>10.240808311622297</v>
      </c>
    </row>
    <row r="78" spans="2:6" hidden="1" x14ac:dyDescent="0.25">
      <c r="B78" s="112">
        <f t="shared" si="16"/>
        <v>19</v>
      </c>
      <c r="D78" s="291">
        <v>52687</v>
      </c>
      <c r="E78" s="111">
        <v>1.8312966967222306</v>
      </c>
      <c r="F78" s="111">
        <f t="shared" si="17"/>
        <v>12.072105008344527</v>
      </c>
    </row>
    <row r="79" spans="2:6" hidden="1" x14ac:dyDescent="0.25">
      <c r="B79" s="112">
        <f t="shared" si="16"/>
        <v>20</v>
      </c>
      <c r="D79" s="291">
        <v>53052</v>
      </c>
      <c r="E79" s="111">
        <v>1.7899912386729362</v>
      </c>
      <c r="F79" s="111">
        <f t="shared" si="17"/>
        <v>13.862096247017464</v>
      </c>
    </row>
    <row r="80" spans="2:6" hidden="1" x14ac:dyDescent="0.25">
      <c r="B80" s="112">
        <f t="shared" si="16"/>
        <v>21</v>
      </c>
      <c r="D80" s="291">
        <v>53417</v>
      </c>
      <c r="E80" s="111">
        <v>1.7044317848885879</v>
      </c>
      <c r="F80" s="111">
        <f t="shared" si="17"/>
        <v>15.566528031906051</v>
      </c>
    </row>
    <row r="81" spans="2:30" hidden="1" x14ac:dyDescent="0.25">
      <c r="B81" s="112">
        <f t="shared" si="16"/>
        <v>22</v>
      </c>
      <c r="D81" s="291">
        <v>53782</v>
      </c>
      <c r="E81" s="111">
        <v>1.5269268504253843</v>
      </c>
      <c r="F81" s="111">
        <f t="shared" si="17"/>
        <v>17.093454882331436</v>
      </c>
    </row>
    <row r="82" spans="2:30" hidden="1" x14ac:dyDescent="0.25">
      <c r="B82" s="112">
        <f t="shared" si="16"/>
        <v>23</v>
      </c>
      <c r="D82" s="291">
        <v>54148</v>
      </c>
      <c r="E82" s="111">
        <v>1.4996961005374252</v>
      </c>
      <c r="F82" s="111">
        <f t="shared" si="17"/>
        <v>18.59315098286886</v>
      </c>
    </row>
    <row r="83" spans="2:30" hidden="1" x14ac:dyDescent="0.25">
      <c r="B83" s="112">
        <f t="shared" si="16"/>
        <v>24</v>
      </c>
      <c r="D83" s="291">
        <v>54513</v>
      </c>
      <c r="E83" s="111">
        <v>1.4610754686829202</v>
      </c>
      <c r="F83" s="111">
        <f t="shared" si="17"/>
        <v>20.054226451551781</v>
      </c>
    </row>
    <row r="84" spans="2:30" hidden="1" x14ac:dyDescent="0.25">
      <c r="B84" s="112">
        <f t="shared" si="16"/>
        <v>25</v>
      </c>
      <c r="D84" s="291">
        <v>54878</v>
      </c>
      <c r="E84" s="111">
        <v>1.4300722238775803</v>
      </c>
      <c r="F84" s="111">
        <f t="shared" si="17"/>
        <v>21.484298675429361</v>
      </c>
    </row>
    <row r="85" spans="2:30" hidden="1" x14ac:dyDescent="0.25">
      <c r="B85" s="112">
        <f t="shared" si="16"/>
        <v>26</v>
      </c>
      <c r="D85" s="291" t="e">
        <v>#N/A</v>
      </c>
      <c r="E85" s="111" t="e">
        <v>#N/A</v>
      </c>
      <c r="F85" s="111" t="e">
        <f t="shared" si="17"/>
        <v>#N/A</v>
      </c>
    </row>
    <row r="86" spans="2:30" hidden="1" x14ac:dyDescent="0.25">
      <c r="B86" s="112"/>
      <c r="D86" s="252" t="s">
        <v>123</v>
      </c>
      <c r="E86" s="111" t="e">
        <f>SUM(E60:E85)</f>
        <v>#N/A</v>
      </c>
    </row>
    <row r="87" spans="2:30" hidden="1" x14ac:dyDescent="0.25">
      <c r="B87" s="112"/>
      <c r="D87" s="67" t="s">
        <v>241</v>
      </c>
      <c r="E87" s="110">
        <f>F53</f>
        <v>23.988027668492144</v>
      </c>
    </row>
    <row r="88" spans="2:30" hidden="1" x14ac:dyDescent="0.25">
      <c r="B88" s="112"/>
      <c r="D88" s="67" t="s">
        <v>242</v>
      </c>
      <c r="E88" s="292">
        <f>F54</f>
        <v>15.141122392402577</v>
      </c>
    </row>
    <row r="89" spans="2:30" x14ac:dyDescent="0.25">
      <c r="B89" s="112"/>
    </row>
    <row r="90" spans="2:30" x14ac:dyDescent="0.25">
      <c r="B90" s="112"/>
    </row>
    <row r="91" spans="2:30" x14ac:dyDescent="0.25">
      <c r="B91" s="294" t="s">
        <v>274</v>
      </c>
    </row>
    <row r="92" spans="2:30" x14ac:dyDescent="0.25">
      <c r="B92" s="112"/>
    </row>
    <row r="93" spans="2:30" x14ac:dyDescent="0.25">
      <c r="B93" s="31" t="s">
        <v>275</v>
      </c>
      <c r="F93" s="111">
        <f>IS!E12</f>
        <v>1.0106692785691263</v>
      </c>
      <c r="G93" s="111">
        <f>IS!F12</f>
        <v>3.0184646114727198</v>
      </c>
      <c r="H93" s="111">
        <f>IS!G12</f>
        <v>3.776849625594207</v>
      </c>
      <c r="I93" s="111">
        <f>IS!H12</f>
        <v>2.959441885935659</v>
      </c>
      <c r="J93" s="111">
        <f>IS!I12</f>
        <v>2.9303724521171302</v>
      </c>
      <c r="K93" s="111">
        <f>IS!J12</f>
        <v>2.9015937126367852</v>
      </c>
      <c r="L93" s="111">
        <f>IS!K12</f>
        <v>2.8808304434456793</v>
      </c>
      <c r="M93" s="111">
        <f>IS!L12</f>
        <v>2.8448967179865594</v>
      </c>
      <c r="N93" s="111">
        <f>IS!M12</f>
        <v>2.8169727358475214</v>
      </c>
      <c r="O93" s="111">
        <f>IS!N12</f>
        <v>2.7893279935298732</v>
      </c>
      <c r="P93" s="111">
        <f>IS!O12</f>
        <v>2.7693828799903399</v>
      </c>
      <c r="Q93" s="111">
        <f>IS!P12</f>
        <v>2.7348650866898745</v>
      </c>
      <c r="R93" s="111">
        <f>IS!Q12</f>
        <v>2.7080414208638026</v>
      </c>
      <c r="S93" s="111">
        <f>IS!R12</f>
        <v>2.6814859916959919</v>
      </c>
      <c r="T93" s="111">
        <f>IS!S12</f>
        <v>2.6623267952109209</v>
      </c>
      <c r="U93" s="111">
        <f>IS!T12</f>
        <v>2.6291691406924884</v>
      </c>
      <c r="V93" s="111">
        <f>IS!U12</f>
        <v>2.6034024343263904</v>
      </c>
      <c r="W93" s="111">
        <f>IS!V12</f>
        <v>2.5778933950239535</v>
      </c>
      <c r="X93" s="111">
        <f>IS!W12</f>
        <v>2.559489147325587</v>
      </c>
      <c r="Y93" s="111">
        <f>IS!X12</f>
        <v>2.5276380366942228</v>
      </c>
      <c r="Z93" s="111">
        <f>IS!Y12</f>
        <v>2.5028866413681077</v>
      </c>
      <c r="AA93" s="111">
        <f>IS!Z12</f>
        <v>2.4783827599952541</v>
      </c>
      <c r="AB93" s="111">
        <f>IS!AA12</f>
        <v>2.4607037130891523</v>
      </c>
      <c r="AC93" s="111">
        <f>IS!AB12</f>
        <v>2.4301076633025946</v>
      </c>
      <c r="AD93" s="111">
        <f>IS!AC12</f>
        <v>2.4063315717103957</v>
      </c>
    </row>
    <row r="94" spans="2:30" x14ac:dyDescent="0.25">
      <c r="B94" s="31" t="s">
        <v>276</v>
      </c>
      <c r="F94" s="111">
        <f>+IS!E17</f>
        <v>1.4073919145753424E-2</v>
      </c>
      <c r="G94" s="111">
        <f>+IS!F17</f>
        <v>4.24543842E-2</v>
      </c>
      <c r="H94" s="111">
        <f>+IS!G17</f>
        <v>4.469923246043836E-2</v>
      </c>
      <c r="I94" s="111">
        <f>+IS!H17</f>
        <v>4.4577103410000006E-2</v>
      </c>
      <c r="J94" s="111">
        <f>+IS!I17</f>
        <v>4.4577103410000006E-2</v>
      </c>
      <c r="K94" s="111">
        <f>+IS!J17</f>
        <v>4.6805958580499997E-2</v>
      </c>
      <c r="L94" s="111">
        <f>+IS!K17</f>
        <v>4.6934194083460272E-2</v>
      </c>
      <c r="M94" s="111">
        <f>+IS!L17</f>
        <v>4.6805958580499997E-2</v>
      </c>
      <c r="N94" s="111">
        <f>+IS!M17</f>
        <v>4.9146256509525005E-2</v>
      </c>
      <c r="O94" s="111">
        <f>+IS!N17</f>
        <v>4.9146256509525005E-2</v>
      </c>
      <c r="P94" s="111">
        <f>+IS!O17</f>
        <v>4.9280903787633286E-2</v>
      </c>
      <c r="Q94" s="111">
        <f>+IS!P17</f>
        <v>5.1603569335001244E-2</v>
      </c>
      <c r="R94" s="111">
        <f>+IS!Q17</f>
        <v>5.1603569335001244E-2</v>
      </c>
      <c r="S94" s="111">
        <f>+IS!R17</f>
        <v>5.1603569335001244E-2</v>
      </c>
      <c r="T94" s="111">
        <f>+IS!S17</f>
        <v>5.4332196425865696E-2</v>
      </c>
      <c r="U94" s="111">
        <f>+IS!T17</f>
        <v>5.4183747801751309E-2</v>
      </c>
      <c r="V94" s="111">
        <f>+IS!U17</f>
        <v>5.4183747801751309E-2</v>
      </c>
      <c r="W94" s="111">
        <f>+IS!V17</f>
        <v>5.6892935191838877E-2</v>
      </c>
      <c r="X94" s="111">
        <f>+IS!W17</f>
        <v>5.7048806247158974E-2</v>
      </c>
      <c r="Y94" s="111">
        <f>+IS!X17</f>
        <v>5.6892935191838877E-2</v>
      </c>
      <c r="Z94" s="111">
        <f>+IS!Y17</f>
        <v>5.9737581951430814E-2</v>
      </c>
      <c r="AA94" s="111">
        <f>+IS!Z17</f>
        <v>5.9737581951430814E-2</v>
      </c>
      <c r="AB94" s="111">
        <f>+IS!AA17</f>
        <v>5.9901246559516924E-2</v>
      </c>
      <c r="AC94" s="111">
        <f>+IS!AB17</f>
        <v>6.2724461049002353E-2</v>
      </c>
      <c r="AD94" s="111">
        <f>+IS!AC17</f>
        <v>6.2724461049002353E-2</v>
      </c>
    </row>
    <row r="95" spans="2:30" x14ac:dyDescent="0.25">
      <c r="B95" s="122" t="s">
        <v>277</v>
      </c>
      <c r="F95" s="254">
        <f>F93-F94</f>
        <v>0.99659535942337285</v>
      </c>
      <c r="G95" s="254">
        <f t="shared" ref="G95:AD95" si="18">G93-G94</f>
        <v>2.9760102272727198</v>
      </c>
      <c r="H95" s="254">
        <f t="shared" si="18"/>
        <v>3.7321503931337685</v>
      </c>
      <c r="I95" s="254">
        <f t="shared" si="18"/>
        <v>2.9148647825256591</v>
      </c>
      <c r="J95" s="254">
        <f t="shared" si="18"/>
        <v>2.8857953487071302</v>
      </c>
      <c r="K95" s="254">
        <f t="shared" si="18"/>
        <v>2.8547877540562854</v>
      </c>
      <c r="L95" s="254">
        <f t="shared" si="18"/>
        <v>2.8338962493622191</v>
      </c>
      <c r="M95" s="254">
        <f t="shared" si="18"/>
        <v>2.7980907594060596</v>
      </c>
      <c r="N95" s="254">
        <f t="shared" si="18"/>
        <v>2.7678264793379963</v>
      </c>
      <c r="O95" s="254">
        <f t="shared" si="18"/>
        <v>2.7401817370203481</v>
      </c>
      <c r="P95" s="254">
        <f t="shared" si="18"/>
        <v>2.7201019762027068</v>
      </c>
      <c r="Q95" s="254">
        <f t="shared" si="18"/>
        <v>2.6832615173548731</v>
      </c>
      <c r="R95" s="254">
        <f t="shared" si="18"/>
        <v>2.6564378515288012</v>
      </c>
      <c r="S95" s="254">
        <f t="shared" si="18"/>
        <v>2.6298824223609905</v>
      </c>
      <c r="T95" s="254">
        <f t="shared" si="18"/>
        <v>2.607994598785055</v>
      </c>
      <c r="U95" s="254">
        <f t="shared" si="18"/>
        <v>2.5749853928907371</v>
      </c>
      <c r="V95" s="254">
        <f t="shared" si="18"/>
        <v>2.5492186865246391</v>
      </c>
      <c r="W95" s="254">
        <f t="shared" si="18"/>
        <v>2.5210004598321145</v>
      </c>
      <c r="X95" s="254">
        <f t="shared" si="18"/>
        <v>2.5024403410784282</v>
      </c>
      <c r="Y95" s="254">
        <f t="shared" si="18"/>
        <v>2.4707451015023838</v>
      </c>
      <c r="Z95" s="254">
        <f t="shared" si="18"/>
        <v>2.4431490594166769</v>
      </c>
      <c r="AA95" s="254">
        <f t="shared" si="18"/>
        <v>2.4186451780438234</v>
      </c>
      <c r="AB95" s="254">
        <f t="shared" si="18"/>
        <v>2.4008024665296355</v>
      </c>
      <c r="AC95" s="254">
        <f t="shared" si="18"/>
        <v>2.3673832022535923</v>
      </c>
      <c r="AD95" s="254">
        <f t="shared" si="18"/>
        <v>2.3436071106613934</v>
      </c>
    </row>
    <row r="96" spans="2:30" x14ac:dyDescent="0.25">
      <c r="B96" s="31" t="s">
        <v>278</v>
      </c>
      <c r="F96" s="111">
        <f>IS!E18-F94</f>
        <v>0.65588177313265184</v>
      </c>
      <c r="G96" s="111">
        <f>IS!F18-G94</f>
        <v>1.8960853216592408</v>
      </c>
      <c r="H96" s="111">
        <f>IS!G18-H94</f>
        <v>1.7869428792081097</v>
      </c>
      <c r="I96" s="111">
        <f>IS!H18-I94</f>
        <v>1.6780330615633323</v>
      </c>
      <c r="J96" s="111">
        <f>IS!I18-J94</f>
        <v>1.58189465518406</v>
      </c>
      <c r="K96" s="111">
        <f>IS!J18-K94</f>
        <v>1.4934479091653388</v>
      </c>
      <c r="L96" s="111">
        <f>IS!K18-L94</f>
        <v>1.4152532571120404</v>
      </c>
      <c r="M96" s="111">
        <f>IS!L18-M94</f>
        <v>1.3373108185484119</v>
      </c>
      <c r="N96" s="111">
        <f>IS!M18-N94</f>
        <v>1.2689122338756151</v>
      </c>
      <c r="O96" s="111">
        <f>IS!N18-O94</f>
        <v>1.206296684708986</v>
      </c>
      <c r="P96" s="111">
        <f>IS!O18-P94</f>
        <v>1.151363586834576</v>
      </c>
      <c r="Q96" s="111">
        <f>IS!P18-Q94</f>
        <v>1.0967072396302322</v>
      </c>
      <c r="R96" s="111">
        <f>IS!Q18-R94</f>
        <v>1.0492139660846502</v>
      </c>
      <c r="S96" s="111">
        <f>IS!R18-S94</f>
        <v>1.0061003765637306</v>
      </c>
      <c r="T96" s="111">
        <f>IS!S18-T94</f>
        <v>0.96877649697628521</v>
      </c>
      <c r="U96" s="111">
        <f>IS!T18-U94</f>
        <v>0.93175882952418498</v>
      </c>
      <c r="V96" s="111">
        <f>IS!U18-V94</f>
        <v>0.90015207850729695</v>
      </c>
      <c r="W96" s="111">
        <f>IS!V18-W94</f>
        <v>0.8718973220080708</v>
      </c>
      <c r="X96" s="111">
        <f>IS!W18-X94</f>
        <v>0.84804238507926422</v>
      </c>
      <c r="Y96" s="111">
        <f>IS!X18-Y94</f>
        <v>0.82452818601834621</v>
      </c>
      <c r="Z96" s="111">
        <f>IS!Y18-Z94</f>
        <v>0.80513991435970511</v>
      </c>
      <c r="AA96" s="111">
        <f>IS!Z18-AA94</f>
        <v>0.7883557558159745</v>
      </c>
      <c r="AB96" s="111">
        <f>IS!AA18-AB94</f>
        <v>0.77495560646743622</v>
      </c>
      <c r="AC96" s="111">
        <f>IS!AB18-AC94</f>
        <v>0.76193606643134404</v>
      </c>
      <c r="AD96" s="111">
        <f>IS!AC18-AD94</f>
        <v>0.75210520371692025</v>
      </c>
    </row>
    <row r="97" spans="2:30" x14ac:dyDescent="0.25">
      <c r="B97" s="31" t="s">
        <v>279</v>
      </c>
      <c r="F97" s="111">
        <f>F95-F96</f>
        <v>0.34071358629072102</v>
      </c>
      <c r="G97" s="111">
        <f t="shared" ref="G97:AD97" si="19">G95-G96</f>
        <v>1.079924905613479</v>
      </c>
      <c r="H97" s="111">
        <f t="shared" si="19"/>
        <v>1.9452075139256588</v>
      </c>
      <c r="I97" s="111">
        <f t="shared" si="19"/>
        <v>1.2368317209623267</v>
      </c>
      <c r="J97" s="111">
        <f t="shared" si="19"/>
        <v>1.3039006935230701</v>
      </c>
      <c r="K97" s="111">
        <f t="shared" si="19"/>
        <v>1.3613398448909466</v>
      </c>
      <c r="L97" s="111">
        <f t="shared" si="19"/>
        <v>1.4186429922501786</v>
      </c>
      <c r="M97" s="111">
        <f t="shared" si="19"/>
        <v>1.4607799408576476</v>
      </c>
      <c r="N97" s="111">
        <f t="shared" si="19"/>
        <v>1.4989142454623812</v>
      </c>
      <c r="O97" s="111">
        <f t="shared" si="19"/>
        <v>1.5338850523113621</v>
      </c>
      <c r="P97" s="111">
        <f t="shared" si="19"/>
        <v>1.5687383893681308</v>
      </c>
      <c r="Q97" s="111">
        <f t="shared" si="19"/>
        <v>1.5865542777246409</v>
      </c>
      <c r="R97" s="111">
        <f t="shared" si="19"/>
        <v>1.607223885444151</v>
      </c>
      <c r="S97" s="111">
        <f t="shared" si="19"/>
        <v>1.6237820457972598</v>
      </c>
      <c r="T97" s="111">
        <f t="shared" si="19"/>
        <v>1.6392181018087699</v>
      </c>
      <c r="U97" s="111">
        <f t="shared" si="19"/>
        <v>1.6432265633665522</v>
      </c>
      <c r="V97" s="111">
        <f t="shared" si="19"/>
        <v>1.6490666080173422</v>
      </c>
      <c r="W97" s="111">
        <f t="shared" si="19"/>
        <v>1.6491031378240437</v>
      </c>
      <c r="X97" s="111">
        <f t="shared" si="19"/>
        <v>1.6543979559991639</v>
      </c>
      <c r="Y97" s="111">
        <f t="shared" si="19"/>
        <v>1.6462169154840376</v>
      </c>
      <c r="Z97" s="111">
        <f t="shared" si="19"/>
        <v>1.6380091450569718</v>
      </c>
      <c r="AA97" s="111">
        <f t="shared" si="19"/>
        <v>1.630289422227849</v>
      </c>
      <c r="AB97" s="111">
        <f t="shared" si="19"/>
        <v>1.6258468600621994</v>
      </c>
      <c r="AC97" s="111">
        <f t="shared" si="19"/>
        <v>1.6054471358222484</v>
      </c>
      <c r="AD97" s="111">
        <f t="shared" si="19"/>
        <v>1.5915019069444731</v>
      </c>
    </row>
    <row r="98" spans="2:30" x14ac:dyDescent="0.25">
      <c r="B98" s="122" t="s">
        <v>280</v>
      </c>
      <c r="F98" s="296">
        <f>F95/F93</f>
        <v>0.98607465424725405</v>
      </c>
      <c r="G98" s="296">
        <f t="shared" ref="G98:AD98" si="20">G95/G93</f>
        <v>0.98593510619980851</v>
      </c>
      <c r="H98" s="296">
        <f t="shared" si="20"/>
        <v>0.98816494250723419</v>
      </c>
      <c r="I98" s="296">
        <f t="shared" si="20"/>
        <v>0.98493732766916409</v>
      </c>
      <c r="J98" s="296">
        <f t="shared" si="20"/>
        <v>0.98478790524467497</v>
      </c>
      <c r="K98" s="296">
        <f t="shared" si="20"/>
        <v>0.98386887923810484</v>
      </c>
      <c r="L98" s="296">
        <f t="shared" si="20"/>
        <v>0.98370810257499097</v>
      </c>
      <c r="M98" s="296">
        <f t="shared" si="20"/>
        <v>0.98354739619031717</v>
      </c>
      <c r="N98" s="296">
        <f t="shared" si="20"/>
        <v>0.9825535207053615</v>
      </c>
      <c r="O98" s="296">
        <f t="shared" si="20"/>
        <v>0.98238061044684422</v>
      </c>
      <c r="P98" s="296">
        <f t="shared" si="20"/>
        <v>0.98220509553095636</v>
      </c>
      <c r="Q98" s="296">
        <f t="shared" si="20"/>
        <v>0.98113121938403935</v>
      </c>
      <c r="R98" s="296">
        <f t="shared" si="20"/>
        <v>0.98094432051983127</v>
      </c>
      <c r="S98" s="296">
        <f t="shared" si="20"/>
        <v>0.98075560734055411</v>
      </c>
      <c r="T98" s="296">
        <f t="shared" si="20"/>
        <v>0.97959221365175742</v>
      </c>
      <c r="U98" s="296">
        <f t="shared" si="20"/>
        <v>0.97939130390543072</v>
      </c>
      <c r="V98" s="296">
        <f t="shared" si="20"/>
        <v>0.97918733305027006</v>
      </c>
      <c r="W98" s="296">
        <f t="shared" si="20"/>
        <v>0.97793045464887796</v>
      </c>
      <c r="X98" s="296">
        <f t="shared" si="20"/>
        <v>0.97771086222156123</v>
      </c>
      <c r="Y98" s="296">
        <f t="shared" si="20"/>
        <v>0.97749166044903857</v>
      </c>
      <c r="Z98" s="296">
        <f t="shared" si="20"/>
        <v>0.97613252595460043</v>
      </c>
      <c r="AA98" s="296">
        <f t="shared" si="20"/>
        <v>0.97589654716951579</v>
      </c>
      <c r="AB98" s="296">
        <f t="shared" si="20"/>
        <v>0.97565686342452129</v>
      </c>
      <c r="AC98" s="296">
        <f t="shared" si="20"/>
        <v>0.97418860818546704</v>
      </c>
      <c r="AD98" s="296">
        <f t="shared" si="20"/>
        <v>0.97393357516212187</v>
      </c>
    </row>
    <row r="99" spans="2:30" x14ac:dyDescent="0.25">
      <c r="B99" s="295" t="s">
        <v>281</v>
      </c>
      <c r="F99" s="251">
        <f>(F96/F95)*F93</f>
        <v>0.66514413519059201</v>
      </c>
      <c r="G99" s="251">
        <f t="shared" ref="G99:AD99" si="21">(G96/G95)*G93</f>
        <v>1.9231339970918757</v>
      </c>
      <c r="H99" s="251">
        <f t="shared" si="21"/>
        <v>1.8083447432107498</v>
      </c>
      <c r="I99" s="251">
        <f t="shared" si="21"/>
        <v>1.7036952650930253</v>
      </c>
      <c r="J99" s="251">
        <f t="shared" si="21"/>
        <v>1.6063303039765007</v>
      </c>
      <c r="K99" s="251">
        <f t="shared" si="21"/>
        <v>1.5179338839560057</v>
      </c>
      <c r="L99" s="251">
        <f t="shared" si="21"/>
        <v>1.4386922842329148</v>
      </c>
      <c r="M99" s="251">
        <f t="shared" si="21"/>
        <v>1.3596811132115907</v>
      </c>
      <c r="N99" s="251">
        <f t="shared" si="21"/>
        <v>1.2914433739595994</v>
      </c>
      <c r="O99" s="251">
        <f t="shared" si="21"/>
        <v>1.2279320987008198</v>
      </c>
      <c r="P99" s="251">
        <f t="shared" si="21"/>
        <v>1.1722231864539214</v>
      </c>
      <c r="Q99" s="251">
        <f t="shared" si="21"/>
        <v>1.1177987388055517</v>
      </c>
      <c r="R99" s="251">
        <f t="shared" si="21"/>
        <v>1.0695958416158022</v>
      </c>
      <c r="S99" s="251">
        <f t="shared" si="21"/>
        <v>1.0258420844433429</v>
      </c>
      <c r="T99" s="251">
        <f t="shared" si="21"/>
        <v>0.98895896014204421</v>
      </c>
      <c r="U99" s="251">
        <f t="shared" si="21"/>
        <v>0.9513652263489516</v>
      </c>
      <c r="V99" s="251">
        <f t="shared" si="21"/>
        <v>0.91928484787811737</v>
      </c>
      <c r="W99" s="251">
        <f t="shared" si="21"/>
        <v>0.89157395381568516</v>
      </c>
      <c r="X99" s="251">
        <f t="shared" si="21"/>
        <v>0.86737543567055864</v>
      </c>
      <c r="Y99" s="251">
        <f t="shared" si="21"/>
        <v>0.84351429212150597</v>
      </c>
      <c r="Z99" s="251">
        <f t="shared" si="21"/>
        <v>0.82482643795966681</v>
      </c>
      <c r="AA99" s="251">
        <f t="shared" si="21"/>
        <v>0.80782718014785126</v>
      </c>
      <c r="AB99" s="251">
        <f t="shared" si="21"/>
        <v>0.79429114427317127</v>
      </c>
      <c r="AC99" s="251">
        <f t="shared" si="21"/>
        <v>0.78212376949319229</v>
      </c>
      <c r="AD99" s="251">
        <f t="shared" si="21"/>
        <v>0.77223459884492041</v>
      </c>
    </row>
    <row r="100" spans="2:30" x14ac:dyDescent="0.25">
      <c r="B100" s="93" t="s">
        <v>282</v>
      </c>
      <c r="C100" s="298"/>
      <c r="D100" s="298"/>
      <c r="E100" s="298"/>
      <c r="F100" s="297">
        <f>F99/F93</f>
        <v>0.65812244350820892</v>
      </c>
      <c r="G100" s="297">
        <f t="shared" ref="G100:AD100" si="22">G99/G93</f>
        <v>0.63712325457861563</v>
      </c>
      <c r="H100" s="297">
        <f t="shared" si="22"/>
        <v>0.47879712524330253</v>
      </c>
      <c r="I100" s="297">
        <f t="shared" si="22"/>
        <v>0.5756812705765918</v>
      </c>
      <c r="J100" s="297">
        <f t="shared" si="22"/>
        <v>0.54816591754947808</v>
      </c>
      <c r="K100" s="297">
        <f t="shared" si="22"/>
        <v>0.5231379835657981</v>
      </c>
      <c r="L100" s="297">
        <f t="shared" si="22"/>
        <v>0.49940193026845964</v>
      </c>
      <c r="M100" s="297">
        <f t="shared" si="22"/>
        <v>0.47793689824138441</v>
      </c>
      <c r="N100" s="297">
        <f t="shared" si="22"/>
        <v>0.45845078921967364</v>
      </c>
      <c r="O100" s="297">
        <f t="shared" si="22"/>
        <v>0.44022506551726143</v>
      </c>
      <c r="P100" s="297">
        <f t="shared" si="22"/>
        <v>0.42327956705575154</v>
      </c>
      <c r="Q100" s="297">
        <f t="shared" si="22"/>
        <v>0.40872171144590969</v>
      </c>
      <c r="R100" s="297">
        <f t="shared" si="22"/>
        <v>0.39497026647200467</v>
      </c>
      <c r="S100" s="297">
        <f t="shared" si="22"/>
        <v>0.38256477476300971</v>
      </c>
      <c r="T100" s="297">
        <f t="shared" si="22"/>
        <v>0.37146415005138189</v>
      </c>
      <c r="U100" s="297">
        <f t="shared" si="22"/>
        <v>0.36185014178980307</v>
      </c>
      <c r="V100" s="297">
        <f t="shared" si="22"/>
        <v>0.35310900679708973</v>
      </c>
      <c r="W100" s="297">
        <f t="shared" si="22"/>
        <v>0.34585369415844319</v>
      </c>
      <c r="X100" s="297">
        <f t="shared" si="22"/>
        <v>0.33888615490981089</v>
      </c>
      <c r="Y100" s="297">
        <f t="shared" si="22"/>
        <v>0.33371641029136356</v>
      </c>
      <c r="Z100" s="297">
        <f t="shared" si="22"/>
        <v>0.32955005805169302</v>
      </c>
      <c r="AA100" s="297">
        <f t="shared" si="22"/>
        <v>0.32594932194791337</v>
      </c>
      <c r="AB100" s="297">
        <f t="shared" si="22"/>
        <v>0.32279024087626668</v>
      </c>
      <c r="AC100" s="297">
        <f t="shared" si="22"/>
        <v>0.32184737380329104</v>
      </c>
      <c r="AD100" s="297">
        <f t="shared" si="22"/>
        <v>0.32091778536406101</v>
      </c>
    </row>
    <row r="101" spans="2:30" x14ac:dyDescent="0.25">
      <c r="B101" s="112"/>
    </row>
    <row r="102" spans="2:30" x14ac:dyDescent="0.25">
      <c r="B102" s="112"/>
    </row>
    <row r="103" spans="2:30" x14ac:dyDescent="0.25">
      <c r="B103" s="300" t="s">
        <v>283</v>
      </c>
      <c r="C103" s="300"/>
      <c r="D103" s="300"/>
      <c r="E103" s="300"/>
      <c r="F103" s="300"/>
      <c r="G103" s="300"/>
      <c r="H103" s="300"/>
      <c r="I103" s="300"/>
      <c r="J103" s="300"/>
      <c r="K103" s="300"/>
      <c r="L103" s="300"/>
      <c r="M103" s="300"/>
      <c r="N103" s="300"/>
      <c r="O103" s="301"/>
      <c r="P103" s="301"/>
      <c r="Q103" s="301"/>
      <c r="R103" s="301"/>
      <c r="S103" s="301"/>
      <c r="T103" s="301"/>
      <c r="U103" s="301"/>
      <c r="V103" s="301"/>
      <c r="W103" s="301"/>
      <c r="X103" s="301"/>
      <c r="Y103" s="301"/>
      <c r="Z103" s="301"/>
      <c r="AA103" s="301"/>
      <c r="AB103" s="301"/>
      <c r="AC103" s="301"/>
      <c r="AD103" s="301"/>
    </row>
    <row r="105" spans="2:30" x14ac:dyDescent="0.25">
      <c r="B105" s="31" t="s">
        <v>269</v>
      </c>
      <c r="C105" s="31"/>
      <c r="D105" s="31"/>
      <c r="E105" s="31"/>
      <c r="F105" s="299">
        <f>IS!E43</f>
        <v>0.88966327285033764</v>
      </c>
      <c r="G105" s="299">
        <f>IS!F43</f>
        <v>0.90249893886654875</v>
      </c>
      <c r="H105" s="299">
        <f>IS!G43</f>
        <v>0.92005499849292072</v>
      </c>
      <c r="I105" s="299">
        <f>IS!H43</f>
        <v>0.89608436254608714</v>
      </c>
      <c r="J105" s="299">
        <f>IS!I43</f>
        <v>0.89299568181309152</v>
      </c>
      <c r="K105" s="299">
        <f>IS!J43</f>
        <v>0.88897940396033215</v>
      </c>
      <c r="L105" s="299">
        <f>IS!K43</f>
        <v>0.88582391026291607</v>
      </c>
      <c r="M105" s="299">
        <f>IS!L43</f>
        <v>0.88197483526847165</v>
      </c>
      <c r="N105" s="299">
        <f>IS!M43</f>
        <v>0.87738546667462836</v>
      </c>
      <c r="O105" s="299">
        <f>IS!N43</f>
        <v>0.87344189629822822</v>
      </c>
      <c r="P105" s="299">
        <f>IS!O43</f>
        <v>0.86961888951131661</v>
      </c>
      <c r="Q105" s="299">
        <f>IS!P43</f>
        <v>0.86410578634453961</v>
      </c>
      <c r="R105" s="299">
        <f>IS!Q43</f>
        <v>0.85959084474699432</v>
      </c>
      <c r="S105" s="299">
        <f>IS!R43</f>
        <v>0.85487660011041622</v>
      </c>
      <c r="T105" s="299">
        <f>IS!S43</f>
        <v>0.84933421731134018</v>
      </c>
      <c r="U105" s="299">
        <f>IS!T43</f>
        <v>0.84384331989407813</v>
      </c>
      <c r="V105" s="299">
        <f>IS!U43</f>
        <v>0.83848135726383943</v>
      </c>
      <c r="W105" s="299">
        <f>IS!V43</f>
        <v>0.83184116593942481</v>
      </c>
      <c r="X105" s="299">
        <f>IS!W43</f>
        <v>0.82641154707838971</v>
      </c>
      <c r="Y105" s="299">
        <f>IS!X43</f>
        <v>0.81992834072100662</v>
      </c>
      <c r="Z105" s="299">
        <f>IS!Y43</f>
        <v>0.81246106547535457</v>
      </c>
      <c r="AA105" s="299">
        <f>IS!Z43</f>
        <v>0.80585774130174315</v>
      </c>
      <c r="AB105" s="299">
        <f>IS!AA43</f>
        <v>0.79945480884480469</v>
      </c>
      <c r="AC105" s="299">
        <f>IS!AB43</f>
        <v>0.79059942939850414</v>
      </c>
      <c r="AD105" s="299">
        <f>IS!AC43</f>
        <v>0.7831406757979873</v>
      </c>
    </row>
    <row r="106" spans="2:30" x14ac:dyDescent="0.25">
      <c r="B106" s="31" t="s">
        <v>270</v>
      </c>
      <c r="C106" s="31"/>
      <c r="D106" s="31"/>
      <c r="E106" s="31"/>
      <c r="F106" s="299">
        <f>IS!E45</f>
        <v>0.33711679331253896</v>
      </c>
      <c r="G106" s="299">
        <f>IS!F45</f>
        <v>0.35777292253447346</v>
      </c>
      <c r="H106" s="299">
        <f>IS!G45</f>
        <v>0.51503440876855722</v>
      </c>
      <c r="I106" s="299">
        <f>IS!H45</f>
        <v>0.41792735543826676</v>
      </c>
      <c r="J106" s="299">
        <f>IS!I45</f>
        <v>0.44496073957459925</v>
      </c>
      <c r="K106" s="299">
        <f>IS!J45</f>
        <v>0.46916969766034083</v>
      </c>
      <c r="L106" s="299">
        <f>IS!K45</f>
        <v>0.49244237732831653</v>
      </c>
      <c r="M106" s="299">
        <f>IS!L45</f>
        <v>0.51347380438172685</v>
      </c>
      <c r="N106" s="299">
        <f>IS!M45</f>
        <v>0.5321010836874196</v>
      </c>
      <c r="O106" s="299">
        <f>IS!N45</f>
        <v>0.54991204184999498</v>
      </c>
      <c r="P106" s="299">
        <f>IS!O45</f>
        <v>0.56645774793465997</v>
      </c>
      <c r="Q106" s="299">
        <f>IS!P45</f>
        <v>0.58012158824438265</v>
      </c>
      <c r="R106" s="299">
        <f>IS!Q45</f>
        <v>0.59350048084991402</v>
      </c>
      <c r="S106" s="299">
        <f>IS!R45</f>
        <v>0.60555305932075632</v>
      </c>
      <c r="T106" s="299">
        <f>IS!S45</f>
        <v>0.61570882461065568</v>
      </c>
      <c r="U106" s="299">
        <f>IS!T45</f>
        <v>0.62499842171955056</v>
      </c>
      <c r="V106" s="299">
        <f>IS!U45</f>
        <v>0.63342746640859815</v>
      </c>
      <c r="W106" s="299">
        <f>IS!V45</f>
        <v>0.6397095942785177</v>
      </c>
      <c r="X106" s="299">
        <f>IS!W45</f>
        <v>0.64637818750974041</v>
      </c>
      <c r="Y106" s="299">
        <f>IS!X45</f>
        <v>0.65128665243424111</v>
      </c>
      <c r="Z106" s="299">
        <f>IS!Y45</f>
        <v>0.654447995360116</v>
      </c>
      <c r="AA106" s="299">
        <f>IS!Z45</f>
        <v>0.65780372932830222</v>
      </c>
      <c r="AB106" s="299">
        <f>IS!AA45</f>
        <v>0.66072434946713721</v>
      </c>
      <c r="AC106" s="299">
        <f>IS!AB45</f>
        <v>0.66064856305189124</v>
      </c>
      <c r="AD106" s="299">
        <f>IS!AC45</f>
        <v>0.66138096912939137</v>
      </c>
    </row>
    <row r="107" spans="2:30" x14ac:dyDescent="0.25">
      <c r="B107" s="31" t="s">
        <v>271</v>
      </c>
      <c r="C107" s="31"/>
      <c r="D107" s="31"/>
      <c r="E107" s="31"/>
      <c r="F107" s="299">
        <f>IS!E47</f>
        <v>-0.20284978233208761</v>
      </c>
      <c r="G107" s="299">
        <f>IS!F47</f>
        <v>-0.16717372827336552</v>
      </c>
      <c r="H107" s="299">
        <f>IS!G47</f>
        <v>0.10220512280675589</v>
      </c>
      <c r="I107" s="299">
        <f>IS!H47</f>
        <v>-4.6326696957225987E-2</v>
      </c>
      <c r="J107" s="299">
        <f>IS!I47</f>
        <v>9.9700124343898421E-3</v>
      </c>
      <c r="K107" s="299">
        <f>IS!J47</f>
        <v>5.6530644543301999E-2</v>
      </c>
      <c r="L107" s="299">
        <f>IS!K47</f>
        <v>0.10369558914173237</v>
      </c>
      <c r="M107" s="299">
        <f>IS!L47</f>
        <v>0.14662760696741861</v>
      </c>
      <c r="N107" s="299">
        <f>IS!M47</f>
        <v>0.18761623360373797</v>
      </c>
      <c r="O107" s="299">
        <f>IS!N47</f>
        <v>0.2284631251103299</v>
      </c>
      <c r="P107" s="299">
        <f>IS!O47</f>
        <v>0.26934161371060594</v>
      </c>
      <c r="Q107" s="299">
        <f>IS!P47</f>
        <v>0.3073086489661625</v>
      </c>
      <c r="R107" s="299">
        <f>IS!Q47</f>
        <v>0.34613553168362438</v>
      </c>
      <c r="S107" s="299">
        <f>IS!R47</f>
        <v>0.38443053566661739</v>
      </c>
      <c r="T107" s="299">
        <f>IS!S47</f>
        <v>0.41972487619893967</v>
      </c>
      <c r="U107" s="299">
        <f>IS!T47</f>
        <v>0.45208630197235078</v>
      </c>
      <c r="V107" s="299">
        <f>IS!U47</f>
        <v>0.48447953740603872</v>
      </c>
      <c r="W107" s="299">
        <f>IS!V47</f>
        <v>0.51565257658871555</v>
      </c>
      <c r="X107" s="299">
        <f>IS!W47</f>
        <v>0.53545969053306897</v>
      </c>
      <c r="Y107" s="299">
        <f>IS!X47</f>
        <v>0.53952586287652538</v>
      </c>
      <c r="Z107" s="299">
        <f>IS!Y47</f>
        <v>0.52297333842499194</v>
      </c>
      <c r="AA107" s="299">
        <f>IS!Z47</f>
        <v>0.46804406418825256</v>
      </c>
      <c r="AB107" s="299">
        <f>IS!AA47</f>
        <v>0.47072775883858264</v>
      </c>
      <c r="AC107" s="299">
        <f>IS!AB47</f>
        <v>0.47128812019988098</v>
      </c>
      <c r="AD107" s="299">
        <f>IS!AC47</f>
        <v>0.47253587615546999</v>
      </c>
    </row>
    <row r="108" spans="2:30" x14ac:dyDescent="0.25">
      <c r="B108" s="31" t="s">
        <v>284</v>
      </c>
      <c r="C108" s="31"/>
      <c r="D108" s="31"/>
      <c r="E108" s="31"/>
      <c r="F108" s="299">
        <f>IS!E40/(BS!D12+BS!D13+BS!D14)</f>
        <v>1.5007416720688706E-2</v>
      </c>
      <c r="G108" s="299">
        <f>IS!F40/(BS!E12+BS!E13+BS!E14)</f>
        <v>5.1136668358946577E-2</v>
      </c>
      <c r="H108" s="299">
        <f>IS!G40/(BS!F12+BS!F13+BS!F14)</f>
        <v>9.5239307017504354E-2</v>
      </c>
      <c r="I108" s="299">
        <f>IS!H40/(BS!G12+BS!G13+BS!G14)</f>
        <v>6.4393775867205474E-2</v>
      </c>
      <c r="J108" s="299">
        <f>IS!I40/(BS!H12+BS!H13+BS!H14)</f>
        <v>7.1814406578193296E-2</v>
      </c>
      <c r="K108" s="299">
        <f>IS!J40/(BS!I12+BS!I13+BS!I14)</f>
        <v>7.8961451035211225E-2</v>
      </c>
      <c r="L108" s="299">
        <f>IS!K40/(BS!J12+BS!J13+BS!J14)</f>
        <v>8.5710583761978681E-2</v>
      </c>
      <c r="M108" s="299">
        <f>IS!L40/(BS!K12+BS!K13+BS!K14)</f>
        <v>9.1407590784259196E-2</v>
      </c>
      <c r="N108" s="299">
        <f>IS!M40/(BS!L12+BS!L13+BS!L14)</f>
        <v>9.6568852883929371E-2</v>
      </c>
      <c r="O108" s="299">
        <f>IS!N40/(BS!M12+BS!M13+BS!M14)</f>
        <v>0.10110484705369711</v>
      </c>
      <c r="P108" s="299">
        <f>IS!O40/(BS!N12+BS!N13+BS!N14)</f>
        <v>0.10507712681486567</v>
      </c>
      <c r="Q108" s="299">
        <f>IS!P40/(BS!O12+BS!O13+BS!O14)</f>
        <v>0.10732938956835272</v>
      </c>
      <c r="R108" s="299">
        <f>IS!Q40/(BS!P12+BS!P13+BS!P14)</f>
        <v>0.10909960158545155</v>
      </c>
      <c r="S108" s="299">
        <f>IS!R40/(BS!Q12+BS!Q13+BS!Q14)</f>
        <v>0.10881392912059928</v>
      </c>
      <c r="T108" s="299">
        <f>IS!S40/(BS!R12+BS!R13+BS!R14)</f>
        <v>0.10784328441677787</v>
      </c>
      <c r="U108" s="299">
        <f>IS!T40/(BS!S12+BS!S13+BS!S14)</f>
        <v>0.10568316043483642</v>
      </c>
      <c r="V108" s="299">
        <f>IS!U40/(BS!T12+BS!T13+BS!T14)</f>
        <v>0.10350341467601822</v>
      </c>
      <c r="W108" s="299">
        <f>IS!V40/(BS!U12+BS!U13+BS!U14)</f>
        <v>9.5534927772127104E-2</v>
      </c>
      <c r="X108" s="299">
        <f>IS!W40/(BS!V12+BS!V13+BS!V14)</f>
        <v>8.8792002375904983E-2</v>
      </c>
      <c r="Y108" s="299">
        <f>IS!X40/(BS!W12+BS!W13+BS!W14)</f>
        <v>8.2327262690011754E-2</v>
      </c>
      <c r="Z108" s="299">
        <f>IS!Y40/(BS!X12+BS!X13+BS!X14)</f>
        <v>7.6883953167493427E-2</v>
      </c>
      <c r="AA108" s="299">
        <f>IS!Z40/(BS!Y12+BS!Y13+BS!Y14)</f>
        <v>7.2570365467820599E-2</v>
      </c>
      <c r="AB108" s="299">
        <f>IS!AA40/(BS!Z12+BS!Z13+BS!Z14)</f>
        <v>6.8823958430386634E-2</v>
      </c>
      <c r="AC108" s="299">
        <f>IS!AB40/(BS!AA12+BS!AA13+BS!AA14)</f>
        <v>6.4817971431355134E-2</v>
      </c>
      <c r="AD108" s="299">
        <f>IS!AC40/(BS!AB12+BS!AB13+BS!AB14)</f>
        <v>6.1434601623153832E-2</v>
      </c>
    </row>
    <row r="109" spans="2:30" x14ac:dyDescent="0.25">
      <c r="B109" s="31" t="s">
        <v>285</v>
      </c>
      <c r="C109" s="31"/>
      <c r="D109" s="31"/>
      <c r="E109" s="31"/>
      <c r="F109" s="299">
        <f>IS!E26/BS!D12</f>
        <v>-2.8488384011212061E-2</v>
      </c>
      <c r="G109" s="299">
        <f>IS!F26/BS!E12</f>
        <v>-7.0119420923172152E-2</v>
      </c>
      <c r="H109" s="299">
        <f>IS!G26/BS!F12</f>
        <v>5.3639727442525799E-2</v>
      </c>
      <c r="I109" s="299">
        <f>IS!H26/BS!G12</f>
        <v>-1.9051332510111922E-2</v>
      </c>
      <c r="J109" s="299">
        <f>IS!I26/BS!H12</f>
        <v>4.0597821253107493E-3</v>
      </c>
      <c r="K109" s="299">
        <f>IS!J26/BS!I12</f>
        <v>2.2793170694006829E-2</v>
      </c>
      <c r="L109" s="299">
        <f>IS!K26/BS!J12</f>
        <v>4.1510903436066095E-2</v>
      </c>
      <c r="M109" s="299">
        <f>IS!L26/BS!K12</f>
        <v>5.7965082080749658E-2</v>
      </c>
      <c r="N109" s="299">
        <f>IS!M26/BS!L12</f>
        <v>7.3440776675207528E-2</v>
      </c>
      <c r="O109" s="299">
        <f>IS!N26/BS!M12</f>
        <v>8.8552311617875495E-2</v>
      </c>
      <c r="P109" s="299">
        <f>IS!O26/BS!N12</f>
        <v>0.10365032426277979</v>
      </c>
      <c r="Q109" s="299">
        <f>IS!P26/BS!O12</f>
        <v>0.11678710542749975</v>
      </c>
      <c r="R109" s="299">
        <f>IS!Q26/BS!P12</f>
        <v>0.13025238673028569</v>
      </c>
      <c r="S109" s="299">
        <f>IS!R26/BS!Q12</f>
        <v>0.1432443870773388</v>
      </c>
      <c r="T109" s="299">
        <f>IS!S26/BS!R12</f>
        <v>0.15527812456610976</v>
      </c>
      <c r="U109" s="299">
        <f>IS!T26/BS!S12</f>
        <v>0.16516730352626563</v>
      </c>
      <c r="V109" s="299">
        <f>IS!U26/BS!T12</f>
        <v>0.17526732147316049</v>
      </c>
      <c r="W109" s="299">
        <f>IS!V26/BS!U12</f>
        <v>0.18471678034360195</v>
      </c>
      <c r="X109" s="299">
        <f>IS!W26/BS!V12</f>
        <v>0.19044267772374898</v>
      </c>
      <c r="Y109" s="299">
        <f>IS!X26/BS!W12</f>
        <v>0.1895009337759779</v>
      </c>
      <c r="Z109" s="299">
        <f>IS!Y26/BS!X12</f>
        <v>0.18188837095804924</v>
      </c>
      <c r="AA109" s="299">
        <f>IS!Z26/BS!Y12</f>
        <v>0.16119045656622932</v>
      </c>
      <c r="AB109" s="299">
        <f>IS!AA26/BS!Z12</f>
        <v>0.1609582858076698</v>
      </c>
      <c r="AC109" s="299">
        <f>IS!AB26/BS!AA12</f>
        <v>0.15914617746661894</v>
      </c>
      <c r="AD109" s="299">
        <f>IS!AC26/BS!AB12</f>
        <v>0.15800632066307432</v>
      </c>
    </row>
    <row r="110" spans="2:30" x14ac:dyDescent="0.25">
      <c r="B110" s="31" t="s">
        <v>286</v>
      </c>
      <c r="C110" s="31"/>
      <c r="D110" s="31"/>
      <c r="E110" s="31"/>
      <c r="F110" s="299">
        <f>IS!E26/(BS!D12+BS!D13)</f>
        <v>-2.9323770856015004E-2</v>
      </c>
      <c r="G110" s="299">
        <f>IS!F26/(BS!E12+BS!E13)</f>
        <v>-7.7790135422758894E-2</v>
      </c>
      <c r="H110" s="299">
        <f>IS!G26/(BS!F12+BS!F13)</f>
        <v>5.6165376442763378E-2</v>
      </c>
      <c r="I110" s="299">
        <f>IS!H26/(BS!G12+BS!G13)</f>
        <v>-2.035440981757114E-2</v>
      </c>
      <c r="J110" s="299">
        <f>IS!I26/(BS!H12+BS!H13)</f>
        <v>4.3187316690884376E-3</v>
      </c>
      <c r="K110" s="299">
        <f>IS!J26/(BS!I12+BS!I13)</f>
        <v>2.3673012707172342E-2</v>
      </c>
      <c r="L110" s="299">
        <f>IS!K26/(BS!J12+BS!J13)</f>
        <v>4.1331341643713521E-2</v>
      </c>
      <c r="M110" s="299">
        <f>IS!L26/(BS!K12+BS!K13)</f>
        <v>5.4565153125987968E-2</v>
      </c>
      <c r="N110" s="299">
        <f>IS!M26/(BS!L12+BS!L13)</f>
        <v>6.4662784021529807E-2</v>
      </c>
      <c r="O110" s="299">
        <f>IS!N26/(BS!M12+BS!M13)</f>
        <v>7.2328777554868467E-2</v>
      </c>
      <c r="P110" s="299">
        <f>IS!O26/(BS!N12+BS!N13)</f>
        <v>7.8052708850745001E-2</v>
      </c>
      <c r="Q110" s="299">
        <f>IS!P26/(BS!O12+BS!O13)</f>
        <v>8.0836068554461751E-2</v>
      </c>
      <c r="R110" s="299">
        <f>IS!Q26/(BS!P12+BS!P13)</f>
        <v>8.2700325409329561E-2</v>
      </c>
      <c r="S110" s="299">
        <f>IS!R26/(BS!Q12+BS!Q13)</f>
        <v>8.3367080369576421E-2</v>
      </c>
      <c r="T110" s="299">
        <f>IS!S26/(BS!R12+BS!R13)</f>
        <v>8.2880643683201763E-2</v>
      </c>
      <c r="U110" s="299">
        <f>IS!T26/(BS!S12+BS!S13)</f>
        <v>8.1016697756933834E-2</v>
      </c>
      <c r="V110" s="299">
        <f>IS!U26/(BS!T12+BS!T13)</f>
        <v>7.9165001711239219E-2</v>
      </c>
      <c r="W110" s="299">
        <f>IS!V26/(BS!U12+BS!U13)</f>
        <v>7.7008117590410805E-2</v>
      </c>
      <c r="X110" s="299">
        <f>IS!W26/(BS!V12+BS!V13)</f>
        <v>7.3555294768199539E-2</v>
      </c>
      <c r="Y110" s="299">
        <f>IS!X26/(BS!W12+BS!W13)</f>
        <v>6.8199904412405629E-2</v>
      </c>
      <c r="Z110" s="299">
        <f>IS!Y26/(BS!X12+BS!X13)</f>
        <v>6.1438430470231252E-2</v>
      </c>
      <c r="AA110" s="299">
        <f>IS!Z26/(BS!Y12+BS!Y13)</f>
        <v>5.1635658599669357E-2</v>
      </c>
      <c r="AB110" s="299">
        <f>IS!AA26/(BS!Z12+BS!Z13)</f>
        <v>4.903307670205212E-2</v>
      </c>
      <c r="AC110" s="299">
        <f>IS!AB26/(BS!AA12+BS!AA13)</f>
        <v>4.6239319389321805E-2</v>
      </c>
      <c r="AD110" s="299">
        <f>IS!AC26/(BS!AB12+BS!AB13)</f>
        <v>4.3893088339800462E-2</v>
      </c>
    </row>
    <row r="111" spans="2:30" x14ac:dyDescent="0.25">
      <c r="B111" s="31" t="s">
        <v>223</v>
      </c>
      <c r="C111" s="31"/>
      <c r="D111" s="31"/>
      <c r="E111" s="31"/>
      <c r="F111" s="83">
        <f t="shared" ref="F111:AD111" si="23">F18</f>
        <v>1.6476265624186714</v>
      </c>
      <c r="G111" s="83">
        <f t="shared" si="23"/>
        <v>1.0223784892075938</v>
      </c>
      <c r="H111" s="83">
        <f t="shared" si="23"/>
        <v>1.3265491180037507</v>
      </c>
      <c r="I111" s="83">
        <f t="shared" si="23"/>
        <v>1.0806773112721064</v>
      </c>
      <c r="J111" s="83">
        <f t="shared" si="23"/>
        <v>1.1116075242768049</v>
      </c>
      <c r="K111" s="83">
        <f t="shared" si="23"/>
        <v>1.13468628247189</v>
      </c>
      <c r="L111" s="83">
        <f t="shared" si="23"/>
        <v>1.1646349351929102</v>
      </c>
      <c r="M111" s="83">
        <f t="shared" si="23"/>
        <v>1.2456309228091014</v>
      </c>
      <c r="N111" s="83">
        <f t="shared" si="23"/>
        <v>1.2777265698951301</v>
      </c>
      <c r="O111" s="83">
        <f t="shared" si="23"/>
        <v>1.3149730676422779</v>
      </c>
      <c r="P111" s="83">
        <f t="shared" si="23"/>
        <v>1.3609396309490522</v>
      </c>
      <c r="Q111" s="83">
        <f t="shared" si="23"/>
        <v>1.4035021836983173</v>
      </c>
      <c r="R111" s="83">
        <f t="shared" si="23"/>
        <v>1.4579531292039034</v>
      </c>
      <c r="S111" s="83">
        <f t="shared" si="23"/>
        <v>1.520545470492642</v>
      </c>
      <c r="T111" s="83">
        <f t="shared" si="23"/>
        <v>1.7957470724348421</v>
      </c>
      <c r="U111" s="83">
        <f t="shared" si="23"/>
        <v>1.8813360374763102</v>
      </c>
      <c r="V111" s="83">
        <f t="shared" si="23"/>
        <v>1.9882402826800836</v>
      </c>
      <c r="W111" s="83">
        <f t="shared" si="23"/>
        <v>2.0274431780434328</v>
      </c>
      <c r="X111" s="83">
        <f t="shared" si="23"/>
        <v>1.3345259335368815</v>
      </c>
      <c r="Y111" s="83">
        <f t="shared" si="23"/>
        <v>0</v>
      </c>
      <c r="Z111" s="83">
        <f t="shared" si="23"/>
        <v>0</v>
      </c>
      <c r="AA111" s="83">
        <f t="shared" si="23"/>
        <v>0</v>
      </c>
      <c r="AB111" s="83">
        <f t="shared" si="23"/>
        <v>0</v>
      </c>
      <c r="AC111" s="83">
        <f t="shared" si="23"/>
        <v>0</v>
      </c>
      <c r="AD111" s="83">
        <f t="shared" si="23"/>
        <v>0</v>
      </c>
    </row>
    <row r="112" spans="2:30" x14ac:dyDescent="0.25">
      <c r="B112" s="31" t="s">
        <v>287</v>
      </c>
      <c r="C112" s="31"/>
      <c r="D112" s="31"/>
      <c r="E112" s="31"/>
      <c r="F112" s="83">
        <f>IS!E39/IS!E21</f>
        <v>1.6476265624186714</v>
      </c>
      <c r="G112" s="83">
        <f>IS!F39/IS!F21</f>
        <v>1.7192203007252176</v>
      </c>
      <c r="H112" s="83">
        <f>IS!G39/IS!G21</f>
        <v>2.3491293385197554</v>
      </c>
      <c r="I112" s="83">
        <f>IS!H39/IS!H21</f>
        <v>1.9301594847097274</v>
      </c>
      <c r="J112" s="83">
        <f>IS!I39/IS!I21</f>
        <v>2.0627006991734014</v>
      </c>
      <c r="K112" s="83">
        <f>IS!J39/IS!J21</f>
        <v>2.2172991711761179</v>
      </c>
      <c r="L112" s="83">
        <f>IS!K39/IS!K21</f>
        <v>2.4119368275384039</v>
      </c>
      <c r="M112" s="83">
        <f>IS!L39/IS!L21</f>
        <v>2.62123641484725</v>
      </c>
      <c r="N112" s="83">
        <f>IS!M39/IS!M21</f>
        <v>2.870829966142403</v>
      </c>
      <c r="O112" s="83">
        <f>IS!N39/IS!N21</f>
        <v>3.186306538060951</v>
      </c>
      <c r="P112" s="83">
        <f>IS!O39/IS!O21</f>
        <v>3.6035472772172028</v>
      </c>
      <c r="Q112" s="83">
        <f>IS!P39/IS!P21</f>
        <v>4.1314117453409827</v>
      </c>
      <c r="R112" s="83">
        <f>IS!Q39/IS!Q21</f>
        <v>4.8933737696422019</v>
      </c>
      <c r="S112" s="83">
        <f>IS!R39/IS!R21</f>
        <v>6.0419936822501459</v>
      </c>
      <c r="T112" s="83">
        <f>IS!S39/IS!S21</f>
        <v>7.7892349986225593</v>
      </c>
      <c r="U112" s="83">
        <f>IS!T39/IS!T21</f>
        <v>10.645969481529113</v>
      </c>
      <c r="V112" s="83">
        <f>IS!U39/IS!U21</f>
        <v>17.256330761176418</v>
      </c>
      <c r="W112" s="83">
        <f>IS!V39/IS!V21</f>
        <v>48.246474519002462</v>
      </c>
      <c r="X112" s="83" t="e">
        <f>IS!W39/IS!W21</f>
        <v>#DIV/0!</v>
      </c>
      <c r="Y112" s="83" t="e">
        <f>IS!X39/IS!X21</f>
        <v>#DIV/0!</v>
      </c>
      <c r="Z112" s="83"/>
      <c r="AA112" s="83"/>
      <c r="AB112" s="83"/>
      <c r="AC112" s="83"/>
      <c r="AD112" s="83"/>
    </row>
    <row r="113" spans="2:30" x14ac:dyDescent="0.25">
      <c r="B113" s="31" t="s">
        <v>288</v>
      </c>
      <c r="C113" s="31"/>
      <c r="D113" s="31"/>
      <c r="E113" s="31"/>
      <c r="F113" s="83">
        <f>IFERROR(BS!D29/BS!D14,0)</f>
        <v>1.4494594148627926</v>
      </c>
      <c r="G113" s="83">
        <f>IFERROR(BS!E29/BS!E14,0)</f>
        <v>1.4440724489219108</v>
      </c>
      <c r="H113" s="83">
        <f>IFERROR(BS!F29/BS!F14,0)</f>
        <v>1.4462785603367558</v>
      </c>
      <c r="I113" s="83">
        <f>IFERROR(BS!G29/BS!G14,0)</f>
        <v>1.4580575415533217</v>
      </c>
      <c r="J113" s="83">
        <f>IFERROR(BS!H29/BS!H14,0)</f>
        <v>1.481038724833786</v>
      </c>
      <c r="K113" s="83">
        <f>IFERROR(BS!I29/BS!I14,0)</f>
        <v>1.5180265736776062</v>
      </c>
      <c r="L113" s="83">
        <f>IFERROR(BS!J29/BS!J14,0)</f>
        <v>1.5572971030137552</v>
      </c>
      <c r="M113" s="83">
        <f>IFERROR(BS!K29/BS!K14,0)</f>
        <v>1.6160606533885782</v>
      </c>
      <c r="N113" s="83">
        <f>IFERROR(BS!L29/BS!L14,0)</f>
        <v>1.7009220439488903</v>
      </c>
      <c r="O113" s="83">
        <f>IFERROR(BS!M29/BS!M14,0)</f>
        <v>1.8231802700798556</v>
      </c>
      <c r="P113" s="83">
        <f>IFERROR(BS!N29/BS!N14,0)</f>
        <v>2.0020895431185561</v>
      </c>
      <c r="Q113" s="83">
        <f>IFERROR(BS!O29/BS!O14,0)</f>
        <v>2.2759424000784692</v>
      </c>
      <c r="R113" s="83">
        <f>IFERROR(BS!P29/BS!P14,0)</f>
        <v>2.7255363478455439</v>
      </c>
      <c r="S113" s="83">
        <f>IFERROR(BS!Q29/BS!Q14,0)</f>
        <v>3.3593356255820925</v>
      </c>
      <c r="T113" s="83">
        <f>IFERROR(BS!R29/BS!R14,0)</f>
        <v>4.640239969224436</v>
      </c>
      <c r="U113" s="83">
        <f>IFERROR(BS!S29/BS!S14,0)</f>
        <v>8.426806681577057</v>
      </c>
      <c r="V113" s="83">
        <f>IFERROR(BS!T29/BS!T14,0)</f>
        <v>-194920267869133.31</v>
      </c>
      <c r="W113" s="83">
        <f>IFERROR(BS!U29/BS!U14,0)</f>
        <v>-180847024528981.91</v>
      </c>
      <c r="X113" s="83">
        <f>IFERROR(BS!V29/BS!V14,0)</f>
        <v>-167754096330123.72</v>
      </c>
      <c r="Y113" s="83">
        <v>0</v>
      </c>
      <c r="Z113" s="83">
        <v>0</v>
      </c>
      <c r="AA113" s="83">
        <v>0</v>
      </c>
      <c r="AB113" s="83">
        <v>0</v>
      </c>
      <c r="AC113" s="83">
        <v>0</v>
      </c>
      <c r="AD113" s="83">
        <v>0</v>
      </c>
    </row>
    <row r="114" spans="2:30" x14ac:dyDescent="0.25">
      <c r="B114" s="31" t="s">
        <v>289</v>
      </c>
      <c r="C114" s="31"/>
      <c r="D114" s="31"/>
      <c r="E114" s="31"/>
      <c r="F114" s="83">
        <f>(BS!D14+BS!E16+BS!D17)/(BS!D12+BS!D13)</f>
        <v>2.435940069592657</v>
      </c>
      <c r="G114" s="83">
        <f>(BS!E14+BS!F16+BS!E17)/(BS!E12+BS!E13)</f>
        <v>2.4569081797534822</v>
      </c>
      <c r="H114" s="83">
        <f>(BS!F14+BS!G16+BS!F17)/(BS!F12+BS!F13)</f>
        <v>2.1598179359218959</v>
      </c>
      <c r="I114" s="83">
        <f>(BS!G14+BS!H16+BS!G17)/(BS!G12+BS!G13)</f>
        <v>2.0416803557793286</v>
      </c>
      <c r="J114" s="83">
        <f>(BS!H14+BS!I16+BS!H17)/(BS!H12+BS!H13)</f>
        <v>1.8716443475910669</v>
      </c>
      <c r="K114" s="83">
        <f>(BS!I14+BS!J16+BS!I17)/(BS!I12+BS!I13)</f>
        <v>1.6700799174407568</v>
      </c>
      <c r="L114" s="83">
        <f>(BS!J14+BS!K16+BS!J17)/(BS!J12+BS!J13)</f>
        <v>1.4502958729922972</v>
      </c>
      <c r="M114" s="83">
        <f>(BS!K14+BS!L16+BS!K17)/(BS!K12+BS!K13)</f>
        <v>1.2408906902852528</v>
      </c>
      <c r="N114" s="83">
        <f>(BS!L14+BS!M16+BS!L17)/(BS!L12+BS!L13)</f>
        <v>1.0388572008850889</v>
      </c>
      <c r="O114" s="83">
        <f>(BS!M14+BS!N16+BS!M17)/(BS!M12+BS!M13)</f>
        <v>0.85084248674167029</v>
      </c>
      <c r="P114" s="83">
        <f>(BS!N14+BS!O16+BS!N17)/(BS!N12+BS!N13)</f>
        <v>0.68039851498867387</v>
      </c>
      <c r="Q114" s="83">
        <f>(BS!O14+BS!P16+BS!O17)/(BS!O12+BS!O13)</f>
        <v>0.52983141297698033</v>
      </c>
      <c r="R114" s="83">
        <f>(BS!P14+BS!Q16+BS!P17)/(BS!P12+BS!P13)</f>
        <v>0.39839883046167829</v>
      </c>
      <c r="S114" s="83">
        <f>(BS!Q14+BS!R16+BS!Q17)/(BS!Q12+BS!Q13)</f>
        <v>0.28495929984695073</v>
      </c>
      <c r="T114" s="83">
        <f>(BS!R14+BS!S16+BS!R17)/(BS!R12+BS!R13)</f>
        <v>0.19869921188339082</v>
      </c>
      <c r="U114" s="83">
        <f>(BS!S14+BS!T16+BS!S17)/(BS!S12+BS!S13)</f>
        <v>0.12508058429953664</v>
      </c>
      <c r="V114" s="83">
        <f>(BS!T14+BS!U16+BS!T17)/(BS!T12+BS!T13)</f>
        <v>6.2258432487662774E-2</v>
      </c>
      <c r="W114" s="83">
        <f>(BS!U14+BS!V16+BS!U17)/(BS!U12+BS!U13)</f>
        <v>6.4643721280784154E-3</v>
      </c>
      <c r="X114" s="83">
        <f>(BS!V14+BS!W16+BS!V17)/(BS!V12+BS!V13)</f>
        <v>5.8322612248739494E-3</v>
      </c>
      <c r="Y114" s="83">
        <f>(BS!W14+BS!X16+BS!W17)/(BS!W12+BS!W13)</f>
        <v>5.3324999772696464E-3</v>
      </c>
      <c r="Z114" s="83">
        <f>(BS!X14+BS!Y16+BS!X17)/(BS!X12+BS!X13)</f>
        <v>4.9077528543023793E-3</v>
      </c>
      <c r="AA114" s="83">
        <f>(BS!Y14+BS!Z16+BS!Y17)/(BS!Y12+BS!Y13)</f>
        <v>4.5816959507331096E-3</v>
      </c>
      <c r="AB114" s="83">
        <f>(BS!Z14+BS!AA16+BS!Z17)/(BS!Z12+BS!Z13)</f>
        <v>4.3038276144367832E-3</v>
      </c>
      <c r="AC114" s="83">
        <f>(BS!AA14+BS!AB16+BS!AA17)/(BS!AA12+BS!AA13)</f>
        <v>4.0558875560852761E-3</v>
      </c>
      <c r="AD114" s="83" t="e">
        <f>(BS!AB14+BS!#REF!+BS!AB17)/(BS!AB12+BS!AB13)</f>
        <v>#REF!</v>
      </c>
    </row>
    <row r="115" spans="2:30" x14ac:dyDescent="0.25">
      <c r="B115" s="31" t="s">
        <v>290</v>
      </c>
      <c r="C115" s="31"/>
      <c r="D115" s="31"/>
      <c r="E115" s="31"/>
      <c r="F115" s="83">
        <f>(BS!D14+BS!D17)/BS!D12</f>
        <v>2.333333333333333</v>
      </c>
      <c r="G115" s="83">
        <f>(BS!E14+BS!E17)/BS!E12</f>
        <v>2.1832584689155077</v>
      </c>
      <c r="H115" s="83">
        <f>(BS!F14+BS!F17)/BS!F12</f>
        <v>2.0331836044976823</v>
      </c>
      <c r="I115" s="83">
        <f>(BS!G14+BS!G17)/BS!G12</f>
        <v>1.8831087400798572</v>
      </c>
      <c r="J115" s="83">
        <f>(BS!H14+BS!H17)/BS!H12</f>
        <v>1.7330338756620318</v>
      </c>
      <c r="K115" s="83">
        <f>(BS!I14+BS!I17)/BS!I12</f>
        <v>1.5829590112442067</v>
      </c>
      <c r="L115" s="83">
        <f>(BS!J14+BS!J17)/BS!J12</f>
        <v>1.4328841468263813</v>
      </c>
      <c r="M115" s="83">
        <f>(BS!K14+BS!K17)/BS!K12</f>
        <v>1.2956292448655971</v>
      </c>
      <c r="N115" s="83">
        <f>(BS!L14+BS!L17)/BS!L12</f>
        <v>1.158374342904813</v>
      </c>
      <c r="O115" s="83">
        <f>(BS!M14+BS!M17)/BS!M12</f>
        <v>1.0211194409440287</v>
      </c>
      <c r="P115" s="83">
        <f>(BS!N14+BS!N17)/BS!N12</f>
        <v>0.88386453898324446</v>
      </c>
      <c r="Q115" s="83">
        <f>(BS!O14+BS!O17)/BS!O12</f>
        <v>0.74660963702246019</v>
      </c>
      <c r="R115" s="83">
        <f>(BS!P14+BS!P17)/BS!P12</f>
        <v>0.60935473506167603</v>
      </c>
      <c r="S115" s="83">
        <f>(BS!Q14+BS!Q17)/BS!Q12</f>
        <v>0.47209983310089171</v>
      </c>
      <c r="T115" s="83">
        <f>(BS!R14+BS!R17)/BS!R12</f>
        <v>0.35537493855369429</v>
      </c>
      <c r="U115" s="83">
        <f>(BS!S14+BS!S17)/BS!S12</f>
        <v>0.23865004400649681</v>
      </c>
      <c r="V115" s="83">
        <f>(BS!T14+BS!T17)/BS!T12</f>
        <v>0.12192514945929937</v>
      </c>
      <c r="W115" s="83">
        <f>(BS!U14+BS!U17)/BS!U12</f>
        <v>-4.8905048755973452E-15</v>
      </c>
      <c r="X115" s="83">
        <f>(BS!V14+BS!V17)/BS!V12</f>
        <v>-4.8905048755973452E-15</v>
      </c>
      <c r="Y115" s="83">
        <f>(BS!W14+BS!W17)/BS!W12</f>
        <v>-4.8905048755973452E-15</v>
      </c>
      <c r="Z115" s="83">
        <f>(BS!X14+BS!X17)/BS!X12</f>
        <v>-4.8905048755973452E-15</v>
      </c>
      <c r="AA115" s="83">
        <f>(BS!Y14+BS!Y17)/BS!Y12</f>
        <v>-4.8905048755973452E-15</v>
      </c>
      <c r="AB115" s="83">
        <f>(BS!Z14+BS!Z17)/BS!Z12</f>
        <v>-4.8905048755973452E-15</v>
      </c>
      <c r="AC115" s="83">
        <f>(BS!AA14+BS!AA17)/BS!AA12</f>
        <v>-4.8905048755973452E-15</v>
      </c>
      <c r="AD115" s="83">
        <f>(BS!AB14+BS!AB17)/BS!AB12</f>
        <v>-4.8905048755973452E-15</v>
      </c>
    </row>
    <row r="137" spans="2:5" x14ac:dyDescent="0.25">
      <c r="B137" s="360" t="s">
        <v>385</v>
      </c>
      <c r="C137" s="360"/>
      <c r="D137" s="360" t="s">
        <v>224</v>
      </c>
      <c r="E137" s="360" t="s">
        <v>384</v>
      </c>
    </row>
    <row r="138" spans="2:5" x14ac:dyDescent="0.25">
      <c r="B138" s="265" t="s">
        <v>381</v>
      </c>
      <c r="C138" s="360"/>
      <c r="D138" s="361">
        <v>1.26</v>
      </c>
      <c r="E138" s="361">
        <v>1.91</v>
      </c>
    </row>
    <row r="139" spans="2:5" x14ac:dyDescent="0.25">
      <c r="B139" s="265" t="s">
        <v>382</v>
      </c>
      <c r="C139" s="360"/>
      <c r="D139" s="360">
        <v>1.32</v>
      </c>
      <c r="E139" s="360">
        <v>2.0099999999999998</v>
      </c>
    </row>
    <row r="140" spans="2:5" x14ac:dyDescent="0.25">
      <c r="B140" s="265" t="s">
        <v>383</v>
      </c>
      <c r="C140" s="360"/>
      <c r="D140" s="360">
        <v>1.23</v>
      </c>
      <c r="E140" s="361">
        <v>2</v>
      </c>
    </row>
  </sheetData>
  <mergeCells count="4">
    <mergeCell ref="D7:E7"/>
    <mergeCell ref="F7:AD7"/>
    <mergeCell ref="F19:Z19"/>
    <mergeCell ref="F20:Z2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PC &amp; MoF</vt:lpstr>
      <vt:lpstr>Revenue &amp; Expenses Modeling</vt:lpstr>
      <vt:lpstr>Assumptions</vt:lpstr>
      <vt:lpstr>IS</vt:lpstr>
      <vt:lpstr>BS</vt:lpstr>
      <vt:lpstr>CFS</vt:lpstr>
      <vt:lpstr>Loan Schedule</vt:lpstr>
      <vt:lpstr>Dep Schedule</vt:lpstr>
      <vt:lpstr>Ratio</vt:lpstr>
      <vt:lpstr>Tax Schedule</vt:lpstr>
      <vt:lpstr>Company</vt:lpstr>
      <vt:lpstr>Project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krunal kansara</dc:creator>
  <cp:lastModifiedBy>Mohammad Umair</cp:lastModifiedBy>
  <cp:lastPrinted>2025-02-26T10:37:01Z</cp:lastPrinted>
  <dcterms:created xsi:type="dcterms:W3CDTF">2024-10-04T06:45:08Z</dcterms:created>
  <dcterms:modified xsi:type="dcterms:W3CDTF">2025-04-04T06:50:06Z</dcterms:modified>
</cp:coreProperties>
</file>