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Files For Review\Anuj Sharma\VIS(2024-25)-PL811-733-1000-Indian Survey Instruments\Working\"/>
    </mc:Choice>
  </mc:AlternateContent>
  <xr:revisionPtr revIDLastSave="0" documentId="13_ncr:1_{08A05F6E-0029-4412-8F6D-A3AE3994025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4" r:id="rId1"/>
    <sheet name="Boundary Wall Length" sheetId="5" r:id="rId2"/>
    <sheet name="Sheet2" sheetId="9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2" i="4" l="1"/>
  <c r="Y18" i="4"/>
  <c r="Y17" i="4"/>
  <c r="Z14" i="4"/>
  <c r="Y14" i="4"/>
  <c r="G4" i="4"/>
  <c r="G3" i="4"/>
  <c r="AH4" i="4"/>
  <c r="H5" i="4"/>
  <c r="P5" i="4" s="1"/>
  <c r="K5" i="4"/>
  <c r="N5" i="4"/>
  <c r="F5" i="4"/>
  <c r="Q5" i="4" l="1"/>
  <c r="S5" i="4" s="1"/>
  <c r="F4" i="4"/>
  <c r="F3" i="4"/>
  <c r="H4" i="4" l="1"/>
  <c r="H3" i="4"/>
  <c r="AC3" i="4"/>
  <c r="E22" i="5"/>
  <c r="E24" i="5" s="1"/>
  <c r="E25" i="5" s="1"/>
  <c r="D22" i="5"/>
  <c r="D24" i="5" s="1"/>
  <c r="D25" i="5" s="1"/>
  <c r="AA3" i="4" l="1"/>
  <c r="X3" i="4"/>
  <c r="N4" i="4" l="1"/>
  <c r="K4" i="4"/>
  <c r="N3" i="4" l="1"/>
  <c r="K3" i="4"/>
  <c r="P3" i="4" l="1"/>
  <c r="Q3" i="4" l="1"/>
  <c r="S3" i="4" s="1"/>
  <c r="P4" i="4"/>
  <c r="Q4" i="4" l="1"/>
  <c r="S4" i="4" s="1"/>
  <c r="D9" i="5"/>
  <c r="D10" i="5" s="1"/>
  <c r="F10" i="5" s="1"/>
  <c r="L4" i="5"/>
  <c r="I3" i="5"/>
  <c r="J3" i="5" l="1"/>
  <c r="K3" i="5" s="1"/>
  <c r="L3" i="5" s="1"/>
  <c r="L5" i="5" s="1"/>
  <c r="K5" i="5" l="1"/>
  <c r="G6" i="4"/>
  <c r="F6" i="4" s="1"/>
  <c r="R6" i="4" l="1"/>
  <c r="AA4" i="4"/>
  <c r="AA10" i="4" s="1"/>
  <c r="P6" i="4" l="1"/>
  <c r="AC9" i="4" s="1"/>
  <c r="Q6" i="4" l="1"/>
  <c r="S6" i="4"/>
  <c r="AC4" i="4" l="1"/>
  <c r="AD5" i="4" s="1"/>
  <c r="AE5" i="4" l="1"/>
  <c r="AC6" i="4" s="1"/>
  <c r="AC7" i="4" s="1"/>
  <c r="AC8" i="4" l="1"/>
</calcChain>
</file>

<file path=xl/sharedStrings.xml><?xml version="1.0" encoding="utf-8"?>
<sst xmlns="http://schemas.openxmlformats.org/spreadsheetml/2006/main" count="58" uniqueCount="56">
  <si>
    <t>Market Value</t>
  </si>
  <si>
    <t>Sr. No.</t>
  </si>
  <si>
    <t>Height 
(in ft.)</t>
  </si>
  <si>
    <t>Type of Structure</t>
  </si>
  <si>
    <t>Built-up Area 
(in sq mtr)</t>
  </si>
  <si>
    <t>Built-up area 
(in sq ft.)</t>
  </si>
  <si>
    <t xml:space="preserve">Year of Construction 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</si>
  <si>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</si>
  <si>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</si>
  <si>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</si>
  <si>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</si>
  <si>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</si>
  <si>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(INR per sq feet)</t>
  </si>
  <si>
    <t>Gross Replacement value
(INR)</t>
  </si>
  <si>
    <t xml:space="preserve">Depreciation
(INR) </t>
  </si>
  <si>
    <t>Deterioration</t>
  </si>
  <si>
    <t>Depreciated Replacement Cost
(INR)</t>
  </si>
  <si>
    <t>Land Area in Sq.mtr.</t>
  </si>
  <si>
    <t>Govt. Rate per sq.mtr.</t>
  </si>
  <si>
    <t xml:space="preserve">Govt. Value </t>
  </si>
  <si>
    <t xml:space="preserve">Total Value - </t>
  </si>
  <si>
    <t>Aesthtics</t>
  </si>
  <si>
    <t>RCC Structure</t>
  </si>
  <si>
    <t>Total</t>
  </si>
  <si>
    <t>Diff. in value</t>
  </si>
  <si>
    <t>FMV</t>
  </si>
  <si>
    <t>RV</t>
  </si>
  <si>
    <t>DV</t>
  </si>
  <si>
    <t>Insurance</t>
  </si>
  <si>
    <t>Remarks:</t>
  </si>
  <si>
    <t>1. All the details pertaining to the building area statement such as area, floor, etc has been taken from the documents provided to us.</t>
  </si>
  <si>
    <t xml:space="preserve">2.The maintenance of the building was average as per site survey observation from external. </t>
  </si>
  <si>
    <t>3. Age of construction taken from the information as per documents provided to us.</t>
  </si>
  <si>
    <t>4. The Valuation is done by considering the depreciated replacement cost and while calculating D.R.C. 10% salvage value is considered.</t>
  </si>
  <si>
    <t>Land Area in Sq.yds.</t>
  </si>
  <si>
    <t>S.No.</t>
  </si>
  <si>
    <t>Running   mtr.</t>
  </si>
  <si>
    <t>Height/Width (in ft.)</t>
  </si>
  <si>
    <t>CoC</t>
  </si>
  <si>
    <t>EL</t>
  </si>
  <si>
    <t>SV</t>
  </si>
  <si>
    <t>GCRC</t>
  </si>
  <si>
    <t>Dep.</t>
  </si>
  <si>
    <t>DRC</t>
  </si>
  <si>
    <t>LENGTH OF BOUNDARY WALL</t>
  </si>
  <si>
    <t>Total Built-up Area</t>
  </si>
  <si>
    <t xml:space="preserve">Floor </t>
  </si>
  <si>
    <t>GF</t>
  </si>
  <si>
    <t>Guideline construction rate (Sq.m.)</t>
  </si>
  <si>
    <t>Guideline value (INR)</t>
  </si>
  <si>
    <t>Market Rate per sq.mts.</t>
  </si>
  <si>
    <t>Mumty</t>
  </si>
  <si>
    <t>M/S INDIAN SURVEY INSTRUMENTS AND CONSULTANT</t>
  </si>
  <si>
    <t>SQ.FT</t>
  </si>
  <si>
    <t>https://findauction.in/auction/bankofbaroda/individual-house-in-gulab-nagar-roorkee-1154679</t>
  </si>
  <si>
    <t>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</si>
</sst>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₹&quot;\ #,##0;[Red]&quot;₹&quot;\ \-#,##0"/>
    <numFmt numFmtId="43" formatCode="_ * #,##0.00_ ;_ * \-#,##0.00_ ;_ * &quot;-&quot;??_ ;_ @_ "/>
    <numFmt numFmtId="164" formatCode="_ * #,##0_ ;_ * \-#,##0_ ;_ * &quot;-&quot;??_ ;_ @_ "/>
    <numFmt numFmtId="165" formatCode="_ [$₹-439]* #,##0_ ;_ [$₹-439]* \-#,##0_ ;_ [$₹-439]* &quot;-&quot;??_ ;_ @_ "/>
    <numFmt numFmtId="166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8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3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9" fontId="5" fillId="0" borderId="1" xfId="2" applyFont="1" applyBorder="1" applyAlignment="1">
      <alignment horizontal="center" vertical="center" wrapText="1"/>
    </xf>
    <xf numFmtId="164" fontId="1" fillId="0" borderId="0" xfId="1" applyNumberFormat="1" applyFont="1" applyAlignment="1">
      <alignment horizontal="center" vertical="center"/>
    </xf>
    <xf numFmtId="164" fontId="0" fillId="5" borderId="1" xfId="0" applyNumberFormat="1" applyFill="1" applyBorder="1"/>
    <xf numFmtId="0" fontId="0" fillId="0" borderId="1" xfId="0" applyBorder="1" applyAlignment="1">
      <alignment horizontal="center" vertical="center"/>
    </xf>
    <xf numFmtId="9" fontId="0" fillId="0" borderId="1" xfId="2" applyFont="1" applyBorder="1"/>
    <xf numFmtId="9" fontId="0" fillId="0" borderId="0" xfId="2" applyFont="1" applyBorder="1"/>
    <xf numFmtId="164" fontId="0" fillId="0" borderId="0" xfId="0" applyNumberFormat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/>
    <xf numFmtId="6" fontId="0" fillId="0" borderId="0" xfId="0" applyNumberFormat="1"/>
    <xf numFmtId="0" fontId="2" fillId="0" borderId="1" xfId="0" applyFont="1" applyBorder="1" applyAlignment="1">
      <alignment vertical="center" wrapText="1"/>
    </xf>
    <xf numFmtId="2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4" fontId="0" fillId="0" borderId="1" xfId="1" applyNumberFormat="1" applyFont="1" applyBorder="1"/>
    <xf numFmtId="1" fontId="0" fillId="0" borderId="1" xfId="0" applyNumberFormat="1" applyBorder="1"/>
    <xf numFmtId="164" fontId="0" fillId="0" borderId="1" xfId="0" applyNumberFormat="1" applyBorder="1"/>
    <xf numFmtId="9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2" fillId="0" borderId="1" xfId="0" applyFont="1" applyBorder="1"/>
    <xf numFmtId="164" fontId="0" fillId="0" borderId="0" xfId="1" applyNumberFormat="1" applyFont="1" applyBorder="1" applyAlignment="1">
      <alignment horizontal="center"/>
    </xf>
    <xf numFmtId="1" fontId="0" fillId="0" borderId="0" xfId="0" applyNumberFormat="1"/>
    <xf numFmtId="9" fontId="0" fillId="0" borderId="0" xfId="2" applyFont="1"/>
    <xf numFmtId="2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right"/>
    </xf>
    <xf numFmtId="164" fontId="0" fillId="5" borderId="0" xfId="0" applyNumberFormat="1" applyFill="1"/>
    <xf numFmtId="9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9" fontId="0" fillId="0" borderId="0" xfId="0" applyNumberFormat="1"/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43" fontId="0" fillId="0" borderId="0" xfId="1" applyFont="1"/>
    <xf numFmtId="0" fontId="3" fillId="3" borderId="0" xfId="0" applyFont="1" applyFill="1" applyAlignment="1">
      <alignment horizontal="center" vertical="center" wrapText="1"/>
    </xf>
    <xf numFmtId="0" fontId="2" fillId="2" borderId="0" xfId="3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2" borderId="1" xfId="3" applyFont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center" vertical="center" wrapText="1"/>
    </xf>
    <xf numFmtId="165" fontId="10" fillId="2" borderId="1" xfId="3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4">
    <cellStyle name="40% - Accent1" xfId="3" builtinId="31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9"/>
  <sheetViews>
    <sheetView tabSelected="1" zoomScaleNormal="100" workbookViewId="0">
      <selection activeCell="V15" sqref="V15"/>
    </sheetView>
  </sheetViews>
  <sheetFormatPr defaultRowHeight="15" x14ac:dyDescent="0.25"/>
  <cols>
    <col min="1" max="1" width="4.28515625" customWidth="1"/>
    <col min="2" max="2" width="8.28515625" customWidth="1"/>
    <col min="3" max="3" width="7" hidden="1" customWidth="1"/>
    <col min="4" max="4" width="6.7109375" customWidth="1"/>
    <col min="5" max="5" width="8.85546875" customWidth="1"/>
    <col min="6" max="6" width="11.140625" hidden="1" customWidth="1"/>
    <col min="7" max="7" width="10" customWidth="1"/>
    <col min="8" max="8" width="10" hidden="1" customWidth="1"/>
    <col min="9" max="9" width="12" customWidth="1"/>
    <col min="10" max="10" width="9.7109375" hidden="1" customWidth="1"/>
    <col min="11" max="11" width="10.140625" customWidth="1"/>
    <col min="12" max="12" width="10.7109375" customWidth="1"/>
    <col min="13" max="13" width="9" hidden="1" customWidth="1"/>
    <col min="14" max="14" width="14.28515625" hidden="1" customWidth="1"/>
    <col min="15" max="15" width="9.140625" customWidth="1"/>
    <col min="16" max="16" width="11.5703125" hidden="1" customWidth="1"/>
    <col min="17" max="17" width="10.85546875" hidden="1" customWidth="1"/>
    <col min="18" max="18" width="10.5703125" hidden="1" customWidth="1"/>
    <col min="19" max="19" width="12.7109375" customWidth="1"/>
    <col min="20" max="21" width="11.5703125" hidden="1" customWidth="1"/>
    <col min="22" max="22" width="11.5703125" customWidth="1"/>
    <col min="24" max="24" width="7.5703125" customWidth="1"/>
    <col min="25" max="25" width="11.5703125" bestFit="1" customWidth="1"/>
    <col min="26" max="26" width="12.28515625" bestFit="1" customWidth="1"/>
    <col min="27" max="27" width="12.28515625" customWidth="1"/>
    <col min="28" max="28" width="11.85546875" bestFit="1" customWidth="1"/>
    <col min="29" max="29" width="10.7109375" customWidth="1"/>
    <col min="30" max="31" width="12.5703125" bestFit="1" customWidth="1"/>
  </cols>
  <sheetData>
    <row r="1" spans="1:36" ht="15.75" x14ac:dyDescent="0.25">
      <c r="A1" s="61" t="s">
        <v>52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47"/>
      <c r="U1" s="47"/>
      <c r="V1" s="47"/>
    </row>
    <row r="2" spans="1:36" ht="60" x14ac:dyDescent="0.25">
      <c r="A2" s="56" t="s">
        <v>1</v>
      </c>
      <c r="B2" s="56" t="s">
        <v>46</v>
      </c>
      <c r="C2" s="56"/>
      <c r="D2" s="56" t="s">
        <v>2</v>
      </c>
      <c r="E2" s="56" t="s">
        <v>3</v>
      </c>
      <c r="F2" s="56" t="s">
        <v>4</v>
      </c>
      <c r="G2" s="56" t="s">
        <v>5</v>
      </c>
      <c r="H2" s="57" t="s">
        <v>45</v>
      </c>
      <c r="I2" s="56" t="s">
        <v>6</v>
      </c>
      <c r="J2" s="58" t="s">
        <v>7</v>
      </c>
      <c r="K2" s="56" t="s">
        <v>8</v>
      </c>
      <c r="L2" s="56" t="s">
        <v>9</v>
      </c>
      <c r="M2" s="58" t="s">
        <v>10</v>
      </c>
      <c r="N2" s="58" t="s">
        <v>11</v>
      </c>
      <c r="O2" s="56" t="s">
        <v>12</v>
      </c>
      <c r="P2" s="59" t="s">
        <v>13</v>
      </c>
      <c r="Q2" s="59" t="s">
        <v>14</v>
      </c>
      <c r="R2" s="59" t="s">
        <v>15</v>
      </c>
      <c r="S2" s="56" t="s">
        <v>16</v>
      </c>
      <c r="T2" s="4" t="s">
        <v>48</v>
      </c>
      <c r="U2" s="4" t="s">
        <v>49</v>
      </c>
      <c r="V2" s="48"/>
      <c r="X2" s="23" t="s">
        <v>34</v>
      </c>
      <c r="Y2" s="23" t="s">
        <v>17</v>
      </c>
      <c r="Z2" s="1" t="s">
        <v>18</v>
      </c>
      <c r="AA2" s="2" t="s">
        <v>19</v>
      </c>
      <c r="AB2" s="5" t="s">
        <v>50</v>
      </c>
      <c r="AC2" s="77" t="s">
        <v>0</v>
      </c>
      <c r="AD2" s="78"/>
    </row>
    <row r="3" spans="1:36" ht="15" customHeight="1" x14ac:dyDescent="0.25">
      <c r="A3" s="55">
        <v>1</v>
      </c>
      <c r="B3" s="6" t="s">
        <v>47</v>
      </c>
      <c r="C3" s="6">
        <v>8.5</v>
      </c>
      <c r="D3" s="6">
        <v>10</v>
      </c>
      <c r="E3" s="72" t="s">
        <v>22</v>
      </c>
      <c r="F3" s="7">
        <f>G3/10.764</f>
        <v>133.77926421404683</v>
      </c>
      <c r="G3" s="60">
        <f>600+840</f>
        <v>1440</v>
      </c>
      <c r="H3" s="7">
        <f>G3</f>
        <v>1440</v>
      </c>
      <c r="I3" s="55">
        <v>2015</v>
      </c>
      <c r="J3" s="8">
        <v>2025</v>
      </c>
      <c r="K3" s="8">
        <f t="shared" ref="K3:K4" si="0">J3-I3</f>
        <v>10</v>
      </c>
      <c r="L3" s="8">
        <v>60</v>
      </c>
      <c r="M3" s="39">
        <v>0.1</v>
      </c>
      <c r="N3" s="9">
        <f>(1-M3)/L3</f>
        <v>1.5000000000000001E-2</v>
      </c>
      <c r="O3" s="6">
        <v>1500</v>
      </c>
      <c r="P3" s="10">
        <f>O3*H3</f>
        <v>2160000</v>
      </c>
      <c r="Q3" s="10">
        <f>P3*N3*IF(K3&gt;L3,L3,K3)</f>
        <v>324000.00000000006</v>
      </c>
      <c r="R3" s="11">
        <v>0</v>
      </c>
      <c r="S3" s="10">
        <f>P3-Q3</f>
        <v>1836000</v>
      </c>
      <c r="T3" s="10"/>
      <c r="U3" s="10"/>
      <c r="V3" s="49"/>
      <c r="X3" s="23">
        <f>Y3*1.196</f>
        <v>160.0248</v>
      </c>
      <c r="Y3" s="36">
        <v>133.80000000000001</v>
      </c>
      <c r="Z3" s="1">
        <v>19000</v>
      </c>
      <c r="AA3" s="12">
        <f>Z3*Y3</f>
        <v>2542200</v>
      </c>
      <c r="AB3" s="26">
        <v>29000</v>
      </c>
      <c r="AC3" s="79">
        <f>AB3*Y3</f>
        <v>3880200.0000000005</v>
      </c>
      <c r="AD3" s="79"/>
    </row>
    <row r="4" spans="1:36" x14ac:dyDescent="0.25">
      <c r="A4" s="55">
        <v>2</v>
      </c>
      <c r="B4" s="6">
        <v>1</v>
      </c>
      <c r="C4" s="6">
        <v>6</v>
      </c>
      <c r="D4" s="6">
        <v>10</v>
      </c>
      <c r="E4" s="72"/>
      <c r="F4" s="7">
        <f>G4/10.764</f>
        <v>90.115198810850984</v>
      </c>
      <c r="G4" s="60">
        <f>600+370</f>
        <v>970</v>
      </c>
      <c r="H4" s="7">
        <f t="shared" ref="H4" si="1">G4</f>
        <v>970</v>
      </c>
      <c r="I4" s="55">
        <v>2015</v>
      </c>
      <c r="J4" s="8">
        <v>2025</v>
      </c>
      <c r="K4" s="8">
        <f t="shared" si="0"/>
        <v>10</v>
      </c>
      <c r="L4" s="8">
        <v>60</v>
      </c>
      <c r="M4" s="39">
        <v>0.1</v>
      </c>
      <c r="N4" s="9">
        <f t="shared" ref="N4" si="2">(1-M4)/L4</f>
        <v>1.5000000000000001E-2</v>
      </c>
      <c r="O4" s="6">
        <v>1500</v>
      </c>
      <c r="P4" s="10">
        <f t="shared" ref="P4" si="3">O4*H4</f>
        <v>1455000</v>
      </c>
      <c r="Q4" s="10">
        <f t="shared" ref="Q4" si="4">P4*N4*IF(K4&gt;L4,L4,K4)</f>
        <v>218250</v>
      </c>
      <c r="R4" s="11">
        <v>0</v>
      </c>
      <c r="S4" s="10">
        <f t="shared" ref="S4" si="5">P4-Q4</f>
        <v>1236750</v>
      </c>
      <c r="T4" s="10"/>
      <c r="U4" s="10"/>
      <c r="V4" s="49"/>
      <c r="X4" s="80" t="s">
        <v>20</v>
      </c>
      <c r="Y4" s="80"/>
      <c r="Z4" s="80"/>
      <c r="AA4" s="13">
        <f>SUM(AA3:AA3)</f>
        <v>2542200</v>
      </c>
      <c r="AB4" s="14" t="s">
        <v>55</v>
      </c>
      <c r="AC4" s="76">
        <f>S6</f>
        <v>3113550</v>
      </c>
      <c r="AD4" s="62"/>
      <c r="AH4">
        <f>1440/10.764</f>
        <v>133.77926421404683</v>
      </c>
    </row>
    <row r="5" spans="1:36" x14ac:dyDescent="0.25">
      <c r="A5" s="55">
        <v>3</v>
      </c>
      <c r="B5" s="6" t="s">
        <v>51</v>
      </c>
      <c r="C5" s="6"/>
      <c r="D5" s="6"/>
      <c r="E5" s="72"/>
      <c r="F5" s="7">
        <f>G5/10.764</f>
        <v>3.7160906726124119</v>
      </c>
      <c r="G5" s="53">
        <v>40</v>
      </c>
      <c r="H5" s="7">
        <f t="shared" ref="H5" si="6">G5</f>
        <v>40</v>
      </c>
      <c r="I5" s="55">
        <v>2015</v>
      </c>
      <c r="J5" s="8">
        <v>2025</v>
      </c>
      <c r="K5" s="8">
        <f t="shared" ref="K5" si="7">J5-I5</f>
        <v>10</v>
      </c>
      <c r="L5" s="8">
        <v>60</v>
      </c>
      <c r="M5" s="39">
        <v>0.1</v>
      </c>
      <c r="N5" s="9">
        <f t="shared" ref="N5" si="8">(1-M5)/L5</f>
        <v>1.5000000000000001E-2</v>
      </c>
      <c r="O5" s="6">
        <v>1200</v>
      </c>
      <c r="P5" s="10">
        <f t="shared" ref="P5" si="9">O5*H5</f>
        <v>48000</v>
      </c>
      <c r="Q5" s="10">
        <f t="shared" ref="Q5" si="10">P5*N5*IF(K5&gt;L5,L5,K5)</f>
        <v>7200</v>
      </c>
      <c r="R5" s="11">
        <v>0</v>
      </c>
      <c r="S5" s="10">
        <f t="shared" ref="S5" si="11">P5-Q5</f>
        <v>40800</v>
      </c>
      <c r="T5" s="10"/>
      <c r="U5" s="10"/>
      <c r="V5" s="49"/>
      <c r="X5" s="37"/>
      <c r="Y5" s="37"/>
      <c r="Z5" s="37"/>
      <c r="AA5" s="38"/>
      <c r="AB5" s="14" t="s">
        <v>23</v>
      </c>
      <c r="AC5" s="41"/>
      <c r="AD5" s="42">
        <f>SUM(AC3:AD4)</f>
        <v>6993750</v>
      </c>
      <c r="AE5" s="26">
        <f>ROUND(AD5,-5)</f>
        <v>7000000</v>
      </c>
    </row>
    <row r="6" spans="1:36" ht="15" customHeight="1" x14ac:dyDescent="0.25">
      <c r="A6" s="69" t="s">
        <v>23</v>
      </c>
      <c r="B6" s="70"/>
      <c r="C6" s="70"/>
      <c r="D6" s="70"/>
      <c r="E6" s="71"/>
      <c r="F6" s="7">
        <f t="shared" ref="F6" si="12">G6/10.764</f>
        <v>227.61055369751023</v>
      </c>
      <c r="G6" s="18">
        <f>SUM(G3:G5)</f>
        <v>2450</v>
      </c>
      <c r="H6" s="18"/>
      <c r="I6" s="55"/>
      <c r="J6" s="55"/>
      <c r="K6" s="55"/>
      <c r="L6" s="55"/>
      <c r="M6" s="39"/>
      <c r="N6" s="9"/>
      <c r="O6" s="40"/>
      <c r="P6" s="19">
        <f>SUM(P3:P5)</f>
        <v>3663000</v>
      </c>
      <c r="Q6" s="19">
        <f>SUM(Q3:Q5)</f>
        <v>549450</v>
      </c>
      <c r="R6" s="19">
        <f>SUM(R3:R5)</f>
        <v>0</v>
      </c>
      <c r="S6" s="19">
        <f>SUM(S3:S5)</f>
        <v>3113550</v>
      </c>
      <c r="T6" s="19"/>
      <c r="U6" s="19"/>
      <c r="V6" s="50"/>
      <c r="AB6" s="3" t="s">
        <v>25</v>
      </c>
      <c r="AC6" s="76">
        <f>AE5</f>
        <v>7000000</v>
      </c>
      <c r="AD6" s="62"/>
    </row>
    <row r="7" spans="1:36" ht="15" customHeight="1" x14ac:dyDescent="0.25">
      <c r="A7" s="66" t="s">
        <v>29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44"/>
      <c r="U7" s="44"/>
      <c r="V7" s="51"/>
      <c r="AB7" s="3" t="s">
        <v>26</v>
      </c>
      <c r="AC7" s="74">
        <f>AC6*AE8</f>
        <v>5600000</v>
      </c>
      <c r="AD7" s="75"/>
    </row>
    <row r="8" spans="1:36" ht="15" customHeight="1" x14ac:dyDescent="0.25">
      <c r="A8" s="63" t="s">
        <v>30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5"/>
      <c r="T8" s="45"/>
      <c r="U8" s="45"/>
      <c r="V8" s="52"/>
      <c r="AB8" s="3" t="s">
        <v>27</v>
      </c>
      <c r="AC8" s="76">
        <f>AC6*AE9</f>
        <v>4200000</v>
      </c>
      <c r="AD8" s="76"/>
      <c r="AE8" s="35">
        <v>0.8</v>
      </c>
    </row>
    <row r="9" spans="1:36" ht="15" customHeight="1" x14ac:dyDescent="0.25">
      <c r="A9" s="63" t="s">
        <v>31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5"/>
      <c r="T9" s="45"/>
      <c r="U9" s="45"/>
      <c r="V9" s="52"/>
      <c r="AB9" s="3" t="s">
        <v>28</v>
      </c>
      <c r="AC9" s="76">
        <f>P6*0.8</f>
        <v>2930400</v>
      </c>
      <c r="AD9" s="76"/>
      <c r="AE9" s="35">
        <v>0.6</v>
      </c>
    </row>
    <row r="10" spans="1:36" ht="11.25" customHeight="1" x14ac:dyDescent="0.25">
      <c r="A10" s="63" t="s">
        <v>32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5"/>
      <c r="T10" s="45"/>
      <c r="U10" s="45"/>
      <c r="V10" s="52"/>
      <c r="Z10" s="3" t="s">
        <v>24</v>
      </c>
      <c r="AA10" s="15">
        <f>(AC3-AA4)/AC3</f>
        <v>0.34482758620689663</v>
      </c>
      <c r="AC10" s="17"/>
      <c r="AD10" s="17"/>
    </row>
    <row r="11" spans="1:36" ht="24" customHeight="1" x14ac:dyDescent="0.25">
      <c r="A11" s="63" t="s">
        <v>33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  <c r="T11" s="45"/>
      <c r="U11" s="45"/>
      <c r="V11" s="52"/>
      <c r="AA11" s="16"/>
      <c r="AC11" s="17"/>
      <c r="AD11" s="17"/>
    </row>
    <row r="12" spans="1:36" ht="26.25" customHeight="1" x14ac:dyDescent="0.25">
      <c r="AA12" s="16"/>
      <c r="AC12" s="35">
        <f>AA3/AC3</f>
        <v>0.65517241379310331</v>
      </c>
    </row>
    <row r="13" spans="1:36" ht="16.5" customHeight="1" x14ac:dyDescent="0.25">
      <c r="Y13" s="25">
        <v>2500</v>
      </c>
      <c r="Z13" s="25">
        <v>3000</v>
      </c>
      <c r="AA13" s="25"/>
    </row>
    <row r="14" spans="1:36" ht="15" customHeight="1" x14ac:dyDescent="0.25">
      <c r="T14" s="24"/>
      <c r="U14" s="24"/>
      <c r="V14" s="24"/>
      <c r="Y14" s="25">
        <f>Y13*10.764</f>
        <v>26910</v>
      </c>
      <c r="Z14" s="25">
        <f>Z13*10.764</f>
        <v>32291.999999999996</v>
      </c>
      <c r="AA14" s="25"/>
      <c r="AD14" s="33"/>
      <c r="AJ14" s="24"/>
    </row>
    <row r="15" spans="1:36" x14ac:dyDescent="0.25">
      <c r="J15" s="81"/>
      <c r="K15" s="82"/>
      <c r="L15" s="3"/>
      <c r="M15" s="3"/>
      <c r="N15" s="3"/>
      <c r="O15" s="20"/>
      <c r="P15" s="20"/>
      <c r="Q15" s="20"/>
      <c r="R15" s="20"/>
      <c r="T15" s="20"/>
      <c r="U15" s="20"/>
      <c r="V15" s="20"/>
      <c r="Z15" s="73"/>
      <c r="AA15" s="73"/>
      <c r="AD15" s="33"/>
      <c r="AE15" s="33"/>
      <c r="AF15" s="20"/>
      <c r="AG15" s="20"/>
      <c r="AH15" s="20"/>
      <c r="AJ15" s="20"/>
    </row>
    <row r="16" spans="1:36" x14ac:dyDescent="0.25">
      <c r="J16" s="3"/>
      <c r="K16" s="3"/>
      <c r="L16" s="3"/>
      <c r="M16" s="3"/>
      <c r="N16" s="27"/>
      <c r="P16" s="21"/>
      <c r="Q16" s="21"/>
      <c r="R16" s="22"/>
      <c r="S16" s="21"/>
      <c r="T16" s="21"/>
      <c r="U16" s="21"/>
      <c r="V16" s="21"/>
      <c r="Y16">
        <v>2700</v>
      </c>
      <c r="AC16" s="26"/>
      <c r="AD16" s="17"/>
      <c r="AE16" s="33"/>
      <c r="AF16" s="21"/>
      <c r="AG16" s="21"/>
      <c r="AH16" s="22"/>
      <c r="AI16" s="21"/>
      <c r="AJ16" s="21"/>
    </row>
    <row r="17" spans="10:36" x14ac:dyDescent="0.25">
      <c r="J17" s="3"/>
      <c r="K17" s="28"/>
      <c r="L17" s="3"/>
      <c r="M17" s="29"/>
      <c r="N17" s="29"/>
      <c r="P17" s="21"/>
      <c r="Q17" s="21"/>
      <c r="R17" s="22"/>
      <c r="S17" s="21"/>
      <c r="T17" s="21"/>
      <c r="U17" s="21"/>
      <c r="V17" s="21"/>
      <c r="Y17" s="25">
        <f>Y16*10.764</f>
        <v>29062.799999999999</v>
      </c>
      <c r="AA17" s="34"/>
      <c r="AE17" s="17"/>
      <c r="AF17" s="21"/>
      <c r="AG17" s="21"/>
      <c r="AH17" s="22"/>
      <c r="AI17" s="21"/>
      <c r="AJ17" s="21"/>
    </row>
    <row r="18" spans="10:36" x14ac:dyDescent="0.25">
      <c r="P18" s="21"/>
      <c r="Q18" s="21"/>
      <c r="R18" s="22"/>
      <c r="S18" s="21"/>
      <c r="T18" s="21"/>
      <c r="U18" s="21"/>
      <c r="V18" s="21"/>
      <c r="Y18" s="26">
        <f>Y16*9</f>
        <v>24300</v>
      </c>
      <c r="AF18" s="21"/>
      <c r="AG18" s="21"/>
      <c r="AH18" s="22"/>
      <c r="AI18" s="21"/>
      <c r="AJ18" s="21"/>
    </row>
    <row r="19" spans="10:36" ht="29.25" customHeight="1" x14ac:dyDescent="0.25">
      <c r="P19" s="21"/>
      <c r="Q19" s="21"/>
      <c r="R19" s="22"/>
      <c r="S19" s="21"/>
      <c r="T19" s="21"/>
      <c r="U19" s="21"/>
      <c r="V19" s="21"/>
    </row>
    <row r="20" spans="10:36" x14ac:dyDescent="0.25">
      <c r="N20" s="46"/>
      <c r="P20" s="21"/>
      <c r="Q20" s="21"/>
      <c r="R20" s="22"/>
      <c r="S20" s="21"/>
      <c r="T20" s="21"/>
      <c r="U20" s="21"/>
      <c r="V20" s="21"/>
    </row>
    <row r="21" spans="10:36" x14ac:dyDescent="0.25">
      <c r="P21" s="21"/>
      <c r="Q21" s="21"/>
      <c r="R21" s="22"/>
      <c r="S21" s="21"/>
      <c r="T21" s="21"/>
      <c r="U21" s="21"/>
      <c r="V21" s="21"/>
    </row>
    <row r="22" spans="10:36" ht="28.5" customHeight="1" x14ac:dyDescent="0.25">
      <c r="P22" s="21"/>
      <c r="Q22" s="21"/>
      <c r="R22" s="22"/>
      <c r="S22" s="21"/>
      <c r="T22" s="21"/>
      <c r="U22" s="21"/>
      <c r="V22" s="21"/>
    </row>
    <row r="23" spans="10:36" ht="15" customHeight="1" x14ac:dyDescent="0.25">
      <c r="P23" s="21"/>
      <c r="Q23" s="21"/>
      <c r="R23" s="43"/>
      <c r="S23" s="21"/>
      <c r="T23" s="21"/>
      <c r="U23" s="21"/>
      <c r="V23" s="21"/>
      <c r="Z23" s="43"/>
    </row>
    <row r="24" spans="10:36" ht="15" customHeight="1" x14ac:dyDescent="0.25">
      <c r="Q24" s="21"/>
      <c r="R24" s="21"/>
      <c r="S24" s="21"/>
      <c r="Z24" s="43"/>
    </row>
    <row r="25" spans="10:36" ht="15" customHeight="1" x14ac:dyDescent="0.25"/>
    <row r="26" spans="10:36" ht="28.5" customHeight="1" x14ac:dyDescent="0.25"/>
    <row r="27" spans="10:36" ht="15" customHeight="1" x14ac:dyDescent="0.25"/>
    <row r="29" spans="10:36" ht="33" customHeight="1" x14ac:dyDescent="0.25"/>
  </sheetData>
  <mergeCells count="18">
    <mergeCell ref="J15:K15"/>
    <mergeCell ref="Z15:AA15"/>
    <mergeCell ref="AC7:AD7"/>
    <mergeCell ref="AC8:AD8"/>
    <mergeCell ref="AC9:AD9"/>
    <mergeCell ref="AC2:AD2"/>
    <mergeCell ref="AC3:AD3"/>
    <mergeCell ref="X4:Z4"/>
    <mergeCell ref="AC4:AD4"/>
    <mergeCell ref="AC6:AD6"/>
    <mergeCell ref="A1:S1"/>
    <mergeCell ref="A11:S11"/>
    <mergeCell ref="A10:S10"/>
    <mergeCell ref="A9:S9"/>
    <mergeCell ref="A8:S8"/>
    <mergeCell ref="A7:S7"/>
    <mergeCell ref="A6:E6"/>
    <mergeCell ref="E3:E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5"/>
  <sheetViews>
    <sheetView workbookViewId="0">
      <selection activeCell="C4" sqref="C4"/>
    </sheetView>
  </sheetViews>
  <sheetFormatPr defaultRowHeight="15" x14ac:dyDescent="0.25"/>
  <cols>
    <col min="2" max="2" width="27" bestFit="1" customWidth="1"/>
    <col min="3" max="3" width="8.140625" customWidth="1"/>
    <col min="4" max="4" width="13.28515625" customWidth="1"/>
    <col min="6" max="6" width="9" bestFit="1" customWidth="1"/>
    <col min="9" max="9" width="14.28515625" bestFit="1" customWidth="1"/>
    <col min="10" max="10" width="10" bestFit="1" customWidth="1"/>
    <col min="11" max="12" width="11.5703125" bestFit="1" customWidth="1"/>
  </cols>
  <sheetData>
    <row r="2" spans="1:12" ht="30" x14ac:dyDescent="0.25">
      <c r="A2" s="2" t="s">
        <v>35</v>
      </c>
      <c r="B2" s="2" t="s">
        <v>21</v>
      </c>
      <c r="C2" s="1" t="s">
        <v>36</v>
      </c>
      <c r="D2" s="1" t="s">
        <v>37</v>
      </c>
      <c r="E2" s="2" t="s">
        <v>38</v>
      </c>
      <c r="F2" s="2" t="s">
        <v>39</v>
      </c>
      <c r="G2" s="2" t="s">
        <v>40</v>
      </c>
      <c r="H2" s="2"/>
      <c r="I2" s="2" t="s">
        <v>41</v>
      </c>
      <c r="J2" s="2" t="s">
        <v>42</v>
      </c>
      <c r="K2" s="2" t="s">
        <v>43</v>
      </c>
    </row>
    <row r="3" spans="1:12" x14ac:dyDescent="0.25">
      <c r="A3" s="14">
        <v>1</v>
      </c>
      <c r="B3" s="3" t="s">
        <v>44</v>
      </c>
      <c r="C3" s="14">
        <v>137</v>
      </c>
      <c r="D3" s="14">
        <v>5</v>
      </c>
      <c r="E3" s="14">
        <v>5000</v>
      </c>
      <c r="F3" s="14">
        <v>40</v>
      </c>
      <c r="G3" s="30">
        <v>0.1</v>
      </c>
      <c r="H3" s="14">
        <v>28</v>
      </c>
      <c r="I3" s="27">
        <f>E3*C3</f>
        <v>685000</v>
      </c>
      <c r="J3" s="29">
        <f>I3*(G3/F3)*H3</f>
        <v>47950</v>
      </c>
      <c r="K3" s="29">
        <f>I3-J3</f>
        <v>637050</v>
      </c>
      <c r="L3" s="26">
        <f>ROUND(K3,-5)</f>
        <v>600000</v>
      </c>
    </row>
    <row r="4" spans="1:12" x14ac:dyDescent="0.25">
      <c r="A4" s="14">
        <v>2</v>
      </c>
      <c r="B4" s="3"/>
      <c r="C4" s="54"/>
      <c r="D4" s="31"/>
      <c r="E4" s="14"/>
      <c r="F4" s="14"/>
      <c r="G4" s="30"/>
      <c r="H4" s="14"/>
      <c r="I4" s="27"/>
      <c r="J4" s="29"/>
      <c r="K4" s="29"/>
      <c r="L4" s="26">
        <f>ROUND(K4,-5)</f>
        <v>0</v>
      </c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2" t="s">
        <v>23</v>
      </c>
      <c r="K5" s="29">
        <f>ROUND(SUM(K3:K4),-5)</f>
        <v>600000</v>
      </c>
      <c r="L5" s="26">
        <f>SUM(L3:L4)</f>
        <v>600000</v>
      </c>
    </row>
    <row r="6" spans="1:12" x14ac:dyDescent="0.25">
      <c r="K6" s="26"/>
    </row>
    <row r="9" spans="1:12" x14ac:dyDescent="0.25">
      <c r="D9">
        <f>80*3.28</f>
        <v>262.39999999999998</v>
      </c>
    </row>
    <row r="10" spans="1:12" x14ac:dyDescent="0.25">
      <c r="D10">
        <f>D9*D4</f>
        <v>0</v>
      </c>
      <c r="E10">
        <v>50</v>
      </c>
      <c r="F10" s="25">
        <f>E10*D10</f>
        <v>0</v>
      </c>
    </row>
    <row r="22" spans="4:5" x14ac:dyDescent="0.25">
      <c r="D22">
        <f>5*10^7</f>
        <v>50000000</v>
      </c>
      <c r="E22">
        <f>5*10^7</f>
        <v>50000000</v>
      </c>
    </row>
    <row r="23" spans="4:5" x14ac:dyDescent="0.25">
      <c r="D23">
        <v>7.25</v>
      </c>
      <c r="E23">
        <v>3.5</v>
      </c>
    </row>
    <row r="24" spans="4:5" x14ac:dyDescent="0.25">
      <c r="D24">
        <f>D22*D23%</f>
        <v>3624999.9999999995</v>
      </c>
      <c r="E24">
        <f>E22*E23%</f>
        <v>1750000.0000000002</v>
      </c>
    </row>
    <row r="25" spans="4:5" x14ac:dyDescent="0.25">
      <c r="D25">
        <f>D24/12</f>
        <v>302083.33333333331</v>
      </c>
      <c r="E25">
        <f>E24/12</f>
        <v>145833.33333333334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6:L14"/>
  <sheetViews>
    <sheetView workbookViewId="0">
      <selection activeCell="L6" sqref="L6"/>
    </sheetView>
  </sheetViews>
  <sheetFormatPr defaultRowHeight="15" x14ac:dyDescent="0.25"/>
  <sheetData>
    <row r="6" spans="6:12" x14ac:dyDescent="0.25">
      <c r="L6" t="s">
        <v>54</v>
      </c>
    </row>
    <row r="7" spans="6:12" x14ac:dyDescent="0.25">
      <c r="G7" t="s">
        <v>53</v>
      </c>
    </row>
    <row r="9" spans="6:12" x14ac:dyDescent="0.25">
      <c r="F9">
        <v>78.06</v>
      </c>
      <c r="G9">
        <v>1240</v>
      </c>
    </row>
    <row r="11" spans="6:12" x14ac:dyDescent="0.25">
      <c r="F11">
        <v>11.15</v>
      </c>
      <c r="G11">
        <v>120</v>
      </c>
    </row>
    <row r="12" spans="6:12" x14ac:dyDescent="0.25">
      <c r="F12">
        <v>16.059999999999999</v>
      </c>
      <c r="G12">
        <v>172.85</v>
      </c>
    </row>
    <row r="13" spans="6:12" x14ac:dyDescent="0.25">
      <c r="F13">
        <v>65.055000000000007</v>
      </c>
      <c r="G13">
        <v>700</v>
      </c>
    </row>
    <row r="14" spans="6:12" x14ac:dyDescent="0.25">
      <c r="F14">
        <v>93.710999999999999</v>
      </c>
      <c r="G14">
        <v>1008.33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Boundary Wall Length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Manmohan Dubey</dc:creator>
  <cp:lastModifiedBy>Abhinav Chaturvedi</cp:lastModifiedBy>
  <dcterms:created xsi:type="dcterms:W3CDTF">2015-06-05T18:17:20Z</dcterms:created>
  <dcterms:modified xsi:type="dcterms:W3CDTF">2025-03-11T11:43:15Z</dcterms:modified>
</cp:coreProperties>
</file>