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48E6A086-C432-4CA7-91AE-5CCE50976D93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Land" sheetId="1" r:id="rId1"/>
    <sheet name="Building Sheet" sheetId="3" r:id="rId2"/>
    <sheet name="Boundary Wall" sheetId="5" r:id="rId3"/>
    <sheet name="Sheet1" sheetId="6" r:id="rId4"/>
  </sheets>
  <calcPr calcId="181029"/>
</workbook>
</file>

<file path=xl/calcChain.xml><?xml version="1.0" encoding="utf-8"?>
<calcChain xmlns="http://schemas.openxmlformats.org/spreadsheetml/2006/main">
  <c r="L18" i="1" l="1"/>
  <c r="N18" i="1" s="1"/>
  <c r="L17" i="1"/>
  <c r="N17" i="1" s="1"/>
  <c r="L11" i="1" l="1"/>
  <c r="M11" i="1"/>
  <c r="K4" i="1"/>
  <c r="L16" i="1"/>
  <c r="E4" i="1"/>
  <c r="E13" i="1"/>
  <c r="L12" i="1" l="1"/>
  <c r="G16" i="3" l="1"/>
  <c r="F6" i="3"/>
  <c r="F5" i="3"/>
  <c r="E17" i="3"/>
  <c r="K5" i="3"/>
  <c r="L4" i="1"/>
  <c r="F13" i="1"/>
  <c r="F7" i="3" l="1"/>
  <c r="K6" i="3" l="1"/>
  <c r="N6" i="3"/>
  <c r="Q6" i="3" l="1"/>
  <c r="H13" i="1"/>
  <c r="G6" i="3"/>
  <c r="P6" i="3" s="1"/>
  <c r="E5" i="5"/>
  <c r="R6" i="3" l="1"/>
  <c r="S6" i="3" s="1"/>
  <c r="D14" i="1" l="1"/>
  <c r="G5" i="3" l="1"/>
  <c r="G7" i="3" l="1"/>
  <c r="J5" i="5" l="1"/>
  <c r="H5" i="5"/>
  <c r="K5" i="5" l="1"/>
  <c r="L5" i="5" s="1"/>
  <c r="N5" i="5" s="1"/>
  <c r="P5" i="3" l="1"/>
  <c r="N5" i="3"/>
  <c r="P7" i="3" l="1"/>
  <c r="Q5" i="3"/>
  <c r="R5" i="3" s="1"/>
  <c r="D5" i="1"/>
  <c r="R7" i="3" l="1"/>
  <c r="S5" i="3"/>
  <c r="R13" i="3"/>
  <c r="L5" i="1"/>
  <c r="H14" i="1"/>
  <c r="S7" i="3" l="1"/>
  <c r="L15" i="1" s="1"/>
</calcChain>
</file>

<file path=xl/sharedStrings.xml><?xml version="1.0" encoding="utf-8"?>
<sst xmlns="http://schemas.openxmlformats.org/spreadsheetml/2006/main" count="85" uniqueCount="66">
  <si>
    <t>FMV</t>
  </si>
  <si>
    <t>Discription</t>
  </si>
  <si>
    <t>Total</t>
  </si>
  <si>
    <t>Sr No.</t>
  </si>
  <si>
    <t>Rate Range</t>
  </si>
  <si>
    <t>Basic rate on Super Area</t>
  </si>
  <si>
    <t>Discount</t>
  </si>
  <si>
    <t>Primium</t>
  </si>
  <si>
    <t>Rate Adopted</t>
  </si>
  <si>
    <t>Remark</t>
  </si>
  <si>
    <t>Remarks:</t>
  </si>
  <si>
    <t>2. Area details are mentioned above is taken from the documents provided to us by Client.</t>
  </si>
  <si>
    <t>4. The valuation is done by considering the Market Comparable Sales Method.</t>
  </si>
  <si>
    <t xml:space="preserve"> Circle rate in Rs.</t>
  </si>
  <si>
    <t>CIRCLE RATE</t>
  </si>
  <si>
    <t>Roundoff</t>
  </si>
  <si>
    <t>SR. No.</t>
  </si>
  <si>
    <t>Particulars</t>
  </si>
  <si>
    <t>Type of Structure</t>
  </si>
  <si>
    <r>
      <t xml:space="preserve">Area 
</t>
    </r>
    <r>
      <rPr>
        <b/>
        <i/>
        <sz val="10"/>
        <rFont val="Calibri"/>
        <family val="2"/>
        <scheme val="minor"/>
      </rPr>
      <t>(in sq.mt.)</t>
    </r>
  </si>
  <si>
    <r>
      <t xml:space="preserve">Area 
</t>
    </r>
    <r>
      <rPr>
        <b/>
        <i/>
        <sz val="10"/>
        <rFont val="Calibri"/>
        <family val="2"/>
        <scheme val="minor"/>
      </rPr>
      <t>(in sq.ft)</t>
    </r>
  </si>
  <si>
    <t>Year of Construction</t>
  </si>
  <si>
    <t xml:space="preserve">Year of Valuation 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</si>
  <si>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</si>
  <si>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</si>
  <si>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Salvage value</t>
  </si>
  <si>
    <t>Depreciation Rate</t>
  </si>
  <si>
    <t>Gross Replacement Value
(INR)</t>
  </si>
  <si>
    <t xml:space="preserve">Depreciation factor
 </t>
  </si>
  <si>
    <t>Depreciation amount
(INR)</t>
  </si>
  <si>
    <t>Discounting Factor</t>
  </si>
  <si>
    <t>Depreciated Replacement Market Value
(INR)</t>
  </si>
  <si>
    <t>Land</t>
  </si>
  <si>
    <t>Building</t>
  </si>
  <si>
    <t>Boundary Wall</t>
  </si>
  <si>
    <t>Boundary wall valuation</t>
  </si>
  <si>
    <r>
      <t xml:space="preserve">Wall
</t>
    </r>
    <r>
      <rPr>
        <b/>
        <i/>
        <sz val="10"/>
        <rFont val="Calibri"/>
        <family val="2"/>
        <scheme val="minor"/>
      </rPr>
      <t>(in Running mtr.)As per approved plan approx.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</si>
  <si>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running mtr)</t>
    </r>
  </si>
  <si>
    <t xml:space="preserve">Depreciation
(INR) </t>
  </si>
  <si>
    <t>Depreciated Value
(INR)</t>
  </si>
  <si>
    <t>Floor</t>
  </si>
  <si>
    <t>VALUATION OF LAND</t>
  </si>
  <si>
    <t>Area in Acre</t>
  </si>
  <si>
    <t>Sq.mtr</t>
  </si>
  <si>
    <t>Area in Bigha</t>
  </si>
  <si>
    <t xml:space="preserve"> Land Area</t>
  </si>
  <si>
    <t>Land Area</t>
  </si>
  <si>
    <r>
      <t xml:space="preserve">Covered Area  Rate 
</t>
    </r>
    <r>
      <rPr>
        <b/>
        <i/>
        <sz val="10"/>
        <rFont val="Calibri"/>
        <family val="2"/>
        <scheme val="minor"/>
      </rPr>
      <t>(in per sq.ft)</t>
    </r>
  </si>
  <si>
    <t>Circle rate per sq.mtr.</t>
  </si>
  <si>
    <r>
      <t>3.</t>
    </r>
    <r>
      <rPr>
        <b/>
        <i/>
        <sz val="10"/>
        <color theme="1"/>
        <rFont val="Calibri"/>
        <family val="2"/>
        <scheme val="minor"/>
      </rPr>
      <t xml:space="preserve"> The valuation is done by considering the depriciated replacement cost method.</t>
    </r>
  </si>
  <si>
    <t>MPP-1</t>
  </si>
  <si>
    <t>Utility-1</t>
  </si>
  <si>
    <t>G + 4</t>
  </si>
  <si>
    <t>G + 1</t>
  </si>
  <si>
    <t>GI Shed</t>
  </si>
  <si>
    <t>RCC/GI Shed</t>
  </si>
  <si>
    <r>
      <t xml:space="preserve">1. </t>
    </r>
    <r>
      <rPr>
        <b/>
        <i/>
        <sz val="10"/>
        <color theme="1"/>
        <rFont val="Calibri"/>
        <family val="2"/>
        <scheme val="minor"/>
      </rPr>
      <t>All the details pertaining to the building area statement such as area, floor,type of structure, age of the building etc. has been taken as per the site survey measurement &amp; layout plan provided by the client.</t>
    </r>
  </si>
  <si>
    <t>2. Construction year of the buildings is taken as per the information provided to us during the site visit.</t>
  </si>
  <si>
    <t xml:space="preserve">Insurance </t>
  </si>
  <si>
    <t>BUILDING/SHEDS VALUATION FOR M/S. NEOGEN IONICS LTD.</t>
  </si>
  <si>
    <t>1. The subject property is situated at Plot No. Z-109-D,Dahej SEZ Area (Part-2),Village-Lakhigam,Taluka-Vagra,District-Bharuch,Gujrat.</t>
  </si>
  <si>
    <t>Elec Tank Farm</t>
  </si>
  <si>
    <t>MPP-2</t>
  </si>
  <si>
    <r>
      <t xml:space="preserve">Height </t>
    </r>
    <r>
      <rPr>
        <b/>
        <i/>
        <sz val="10"/>
        <rFont val="Calibri"/>
        <family val="2"/>
        <scheme val="minor"/>
      </rPr>
      <t>(in mtr.)</t>
    </r>
  </si>
  <si>
    <t>RV</t>
  </si>
  <si>
    <t>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</si>
</sst>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_(* #,##0_);_(* \(#,##0\);_(* &quot;-&quot;??_);_(@_)"/>
    <numFmt numFmtId="166" formatCode="_ * #,##0.0_ ;_ * \-#,##0.0_ ;_ * &quot;-&quot;??_ ;_ @_ "/>
    <numFmt numFmtId="167" formatCode="_ * #,##0.000_ ;_ * \-#,##0.000_ ;_ * &quot;-&quot;??_ ;_ @_ "/>
    <numFmt numFmtId="168" formatCode="0.0000"/>
    <numFmt numFmtId="169" formatCode="_ &quot;₹&quot;\ * #,##0_ ;_ &quot;₹&quot;\ * \-#,##0_ ;_ &quot;₹&quot;\ * &quot;-&quot;??_ ;_ @_ "/>
    <numFmt numFmtId="170" formatCode="_ * #,##0.0_ ;_ * \-#,##0.0_ ;_ * &quot;-&quot;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1" applyNumberFormat="1" applyFont="1" applyBorder="1" applyAlignment="1">
      <alignment horizontal="center" vertical="center"/>
    </xf>
    <xf numFmtId="43" fontId="0" fillId="0" borderId="0" xfId="0" applyNumberFormat="1"/>
    <xf numFmtId="0" fontId="3" fillId="3" borderId="1" xfId="2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 wrapText="1"/>
    </xf>
    <xf numFmtId="0" fontId="1" fillId="0" borderId="1" xfId="2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  <xf numFmtId="10" fontId="1" fillId="0" borderId="1" xfId="2" applyNumberFormat="1" applyBorder="1" applyAlignment="1">
      <alignment horizontal="center" vertical="center"/>
    </xf>
    <xf numFmtId="164" fontId="1" fillId="0" borderId="1" xfId="3" applyNumberFormat="1" applyFont="1" applyBorder="1" applyAlignment="1">
      <alignment horizontal="center" vertical="center" wrapText="1"/>
    </xf>
    <xf numFmtId="164" fontId="0" fillId="0" borderId="1" xfId="3" applyNumberFormat="1" applyFont="1" applyBorder="1" applyAlignment="1">
      <alignment horizontal="center" vertical="center" wrapText="1"/>
    </xf>
    <xf numFmtId="0" fontId="3" fillId="3" borderId="5" xfId="2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6" fontId="2" fillId="0" borderId="1" xfId="0" applyNumberFormat="1" applyFont="1" applyBorder="1"/>
    <xf numFmtId="164" fontId="0" fillId="4" borderId="1" xfId="1" applyNumberFormat="1" applyFont="1" applyFill="1" applyBorder="1" applyAlignment="1">
      <alignment horizontal="centerContinuous"/>
    </xf>
    <xf numFmtId="0" fontId="2" fillId="4" borderId="1" xfId="0" applyFont="1" applyFill="1" applyBorder="1" applyAlignment="1">
      <alignment horizontal="centerContinuous"/>
    </xf>
    <xf numFmtId="0" fontId="0" fillId="4" borderId="1" xfId="0" applyFill="1" applyBorder="1" applyAlignment="1">
      <alignment horizontal="centerContinuous"/>
    </xf>
    <xf numFmtId="1" fontId="0" fillId="0" borderId="0" xfId="0" applyNumberFormat="1"/>
    <xf numFmtId="164" fontId="2" fillId="0" borderId="1" xfId="3" applyNumberFormat="1" applyFont="1" applyBorder="1" applyAlignment="1">
      <alignment horizontal="center" vertical="center"/>
    </xf>
    <xf numFmtId="164" fontId="2" fillId="0" borderId="1" xfId="1" applyNumberFormat="1" applyFont="1" applyBorder="1"/>
    <xf numFmtId="0" fontId="2" fillId="0" borderId="3" xfId="2" applyFont="1" applyBorder="1" applyAlignment="1">
      <alignment vertical="center"/>
    </xf>
    <xf numFmtId="164" fontId="2" fillId="0" borderId="1" xfId="2" applyNumberFormat="1" applyFont="1" applyBorder="1" applyAlignment="1">
      <alignment vertical="center"/>
    </xf>
    <xf numFmtId="0" fontId="2" fillId="0" borderId="1" xfId="2" applyFont="1" applyBorder="1" applyAlignment="1">
      <alignment vertical="center"/>
    </xf>
    <xf numFmtId="164" fontId="2" fillId="0" borderId="0" xfId="1" applyNumberFormat="1" applyFont="1"/>
    <xf numFmtId="0" fontId="3" fillId="3" borderId="5" xfId="2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Continuous"/>
    </xf>
    <xf numFmtId="0" fontId="0" fillId="4" borderId="3" xfId="0" applyFill="1" applyBorder="1" applyAlignment="1">
      <alignment horizontal="centerContinuous"/>
    </xf>
    <xf numFmtId="0" fontId="0" fillId="4" borderId="4" xfId="0" applyFill="1" applyBorder="1" applyAlignment="1">
      <alignment horizontal="centerContinuous"/>
    </xf>
    <xf numFmtId="0" fontId="7" fillId="6" borderId="1" xfId="0" applyFont="1" applyFill="1" applyBorder="1" applyAlignment="1">
      <alignment horizontal="center" vertical="center" wrapText="1"/>
    </xf>
    <xf numFmtId="164" fontId="9" fillId="0" borderId="1" xfId="1" applyNumberFormat="1" applyFont="1" applyFill="1" applyBorder="1" applyAlignment="1">
      <alignment horizontal="center" vertical="center" wrapText="1"/>
    </xf>
    <xf numFmtId="167" fontId="9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8" fontId="0" fillId="0" borderId="1" xfId="0" applyNumberFormat="1" applyBorder="1" applyAlignment="1">
      <alignment horizontal="center" vertical="center"/>
    </xf>
    <xf numFmtId="169" fontId="0" fillId="0" borderId="1" xfId="5" applyNumberFormat="1" applyFont="1" applyBorder="1" applyAlignment="1">
      <alignment horizontal="center" vertical="center"/>
    </xf>
    <xf numFmtId="9" fontId="0" fillId="0" borderId="1" xfId="4" applyFont="1" applyBorder="1" applyAlignment="1">
      <alignment horizontal="center" vertical="center"/>
    </xf>
    <xf numFmtId="164" fontId="0" fillId="0" borderId="1" xfId="1" applyNumberFormat="1" applyFont="1" applyFill="1" applyBorder="1"/>
    <xf numFmtId="164" fontId="0" fillId="0" borderId="0" xfId="0" applyNumberFormat="1"/>
    <xf numFmtId="10" fontId="1" fillId="2" borderId="1" xfId="2" applyNumberFormat="1" applyFill="1" applyBorder="1" applyAlignment="1">
      <alignment horizontal="center" vertical="center"/>
    </xf>
    <xf numFmtId="43" fontId="0" fillId="0" borderId="2" xfId="1" applyFont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3" fontId="0" fillId="0" borderId="1" xfId="1" applyFont="1" applyFill="1" applyBorder="1"/>
    <xf numFmtId="0" fontId="9" fillId="0" borderId="1" xfId="0" applyFont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 wrapText="1"/>
    </xf>
    <xf numFmtId="164" fontId="0" fillId="0" borderId="0" xfId="1" applyNumberFormat="1" applyFont="1" applyBorder="1"/>
    <xf numFmtId="43" fontId="0" fillId="7" borderId="1" xfId="1" applyFont="1" applyFill="1" applyBorder="1"/>
    <xf numFmtId="43" fontId="7" fillId="7" borderId="1" xfId="1" applyFont="1" applyFill="1" applyBorder="1" applyAlignment="1">
      <alignment horizontal="center" vertical="center" wrapText="1"/>
    </xf>
    <xf numFmtId="164" fontId="7" fillId="7" borderId="1" xfId="1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7" fillId="7" borderId="1" xfId="0" applyFont="1" applyFill="1" applyBorder="1" applyAlignment="1">
      <alignment horizontal="center" vertical="center" wrapText="1"/>
    </xf>
    <xf numFmtId="165" fontId="1" fillId="0" borderId="1" xfId="1" applyNumberFormat="1" applyFont="1" applyFill="1" applyBorder="1" applyAlignment="1">
      <alignment horizontal="center" vertical="center"/>
    </xf>
    <xf numFmtId="164" fontId="1" fillId="0" borderId="1" xfId="3" applyNumberFormat="1" applyFont="1" applyFill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 wrapText="1"/>
    </xf>
    <xf numFmtId="164" fontId="0" fillId="0" borderId="0" xfId="1" applyNumberFormat="1" applyFont="1" applyFill="1" applyBorder="1"/>
    <xf numFmtId="43" fontId="0" fillId="0" borderId="0" xfId="1" applyFont="1" applyFill="1" applyBorder="1"/>
    <xf numFmtId="43" fontId="2" fillId="0" borderId="0" xfId="1" applyFont="1" applyFill="1" applyBorder="1"/>
    <xf numFmtId="164" fontId="0" fillId="0" borderId="1" xfId="3" quotePrefix="1" applyNumberFormat="1" applyFon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164" fontId="0" fillId="0" borderId="0" xfId="1" applyNumberFormat="1" applyFont="1"/>
    <xf numFmtId="0" fontId="0" fillId="0" borderId="1" xfId="0" applyBorder="1" applyAlignment="1">
      <alignment horizontal="left" vertical="center" wrapText="1"/>
    </xf>
    <xf numFmtId="43" fontId="9" fillId="0" borderId="1" xfId="1" applyFont="1" applyBorder="1" applyAlignment="1">
      <alignment horizontal="center" vertical="center" wrapText="1"/>
    </xf>
    <xf numFmtId="0" fontId="2" fillId="6" borderId="0" xfId="0" applyFont="1" applyFill="1" applyAlignment="1">
      <alignment vertical="center"/>
    </xf>
    <xf numFmtId="164" fontId="2" fillId="8" borderId="0" xfId="0" applyNumberFormat="1" applyFont="1" applyFill="1" applyAlignment="1">
      <alignment vertical="center"/>
    </xf>
    <xf numFmtId="1" fontId="9" fillId="0" borderId="1" xfId="0" applyNumberFormat="1" applyFont="1" applyBorder="1" applyAlignment="1">
      <alignment horizontal="center" vertical="center" wrapText="1"/>
    </xf>
    <xf numFmtId="43" fontId="0" fillId="0" borderId="1" xfId="1" applyFont="1" applyBorder="1"/>
    <xf numFmtId="9" fontId="0" fillId="0" borderId="0" xfId="4" applyFont="1"/>
    <xf numFmtId="164" fontId="2" fillId="0" borderId="1" xfId="0" applyNumberFormat="1" applyFont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1" fillId="0" borderId="0" xfId="1" applyNumberFormat="1" applyFont="1" applyFill="1"/>
    <xf numFmtId="164" fontId="2" fillId="0" borderId="0" xfId="0" applyNumberFormat="1" applyFont="1"/>
    <xf numFmtId="0" fontId="7" fillId="9" borderId="1" xfId="0" applyFont="1" applyFill="1" applyBorder="1" applyAlignment="1">
      <alignment horizontal="center" vertical="center" wrapText="1"/>
    </xf>
    <xf numFmtId="164" fontId="7" fillId="9" borderId="1" xfId="1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left"/>
    </xf>
    <xf numFmtId="0" fontId="3" fillId="3" borderId="0" xfId="0" applyFont="1" applyFill="1" applyAlignment="1">
      <alignment horizontal="left" vertical="center"/>
    </xf>
    <xf numFmtId="170" fontId="2" fillId="0" borderId="1" xfId="2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3" fontId="12" fillId="0" borderId="0" xfId="0" applyNumberFormat="1" applyFont="1"/>
    <xf numFmtId="0" fontId="2" fillId="0" borderId="0" xfId="0" applyFont="1" applyAlignment="1">
      <alignment horizontal="center"/>
    </xf>
    <xf numFmtId="0" fontId="2" fillId="0" borderId="2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2" xfId="2" applyFont="1" applyBorder="1" applyAlignment="1">
      <alignment horizontal="left" vertical="center"/>
    </xf>
    <xf numFmtId="0" fontId="4" fillId="0" borderId="3" xfId="2" applyFont="1" applyBorder="1" applyAlignment="1">
      <alignment horizontal="left" vertical="center"/>
    </xf>
    <xf numFmtId="0" fontId="4" fillId="0" borderId="4" xfId="2" applyFont="1" applyBorder="1" applyAlignment="1">
      <alignment horizontal="left" vertical="center"/>
    </xf>
    <xf numFmtId="0" fontId="4" fillId="2" borderId="2" xfId="2" applyFont="1" applyFill="1" applyBorder="1" applyAlignment="1">
      <alignment horizontal="left" vertical="center" wrapText="1"/>
    </xf>
    <xf numFmtId="0" fontId="4" fillId="2" borderId="3" xfId="2" applyFont="1" applyFill="1" applyBorder="1" applyAlignment="1">
      <alignment horizontal="left" vertical="center" wrapText="1"/>
    </xf>
    <xf numFmtId="0" fontId="4" fillId="2" borderId="4" xfId="2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" fontId="7" fillId="7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5" borderId="6" xfId="0" applyFont="1" applyFill="1" applyBorder="1" applyAlignment="1">
      <alignment horizontal="center" vertical="center" wrapText="1"/>
    </xf>
  </cellXfs>
  <cellStyles count="6">
    <cellStyle name="Comma" xfId="1" builtinId="3"/>
    <cellStyle name="Comma 3" xfId="3" xr:uid="{00000000-0005-0000-0000-000001000000}"/>
    <cellStyle name="Currency" xfId="5" builtinId="4"/>
    <cellStyle name="Normal" xfId="0" builtinId="0"/>
    <cellStyle name="Normal 2 2" xfId="2" xr:uid="{00000000-0005-0000-0000-000004000000}"/>
    <cellStyle name="Percent" xfId="4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163200</xdr:colOff>
      <xdr:row>27</xdr:row>
      <xdr:rowOff>72499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67F76C8-6747-C0FB-8B5F-E52284719F5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8707" t="18815" r="29622" b="4514"/>
        <a:stretch/>
      </xdr:blipFill>
      <xdr:spPr>
        <a:xfrm>
          <a:off x="0" y="0"/>
          <a:ext cx="5040000" cy="5215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workbookViewId="0">
      <selection activeCell="K4" sqref="K4"/>
    </sheetView>
  </sheetViews>
  <sheetFormatPr defaultRowHeight="15" x14ac:dyDescent="0.25"/>
  <cols>
    <col min="2" max="2" width="6.28515625" bestFit="1" customWidth="1"/>
    <col min="3" max="3" width="10.5703125" bestFit="1" customWidth="1"/>
    <col min="4" max="4" width="9" bestFit="1" customWidth="1"/>
    <col min="5" max="5" width="11.7109375" bestFit="1" customWidth="1"/>
    <col min="6" max="6" width="12.5703125" bestFit="1" customWidth="1"/>
    <col min="7" max="7" width="20.42578125" bestFit="1" customWidth="1"/>
    <col min="8" max="8" width="15.7109375" customWidth="1"/>
    <col min="9" max="9" width="10" bestFit="1" customWidth="1"/>
    <col min="10" max="10" width="8.5703125" bestFit="1" customWidth="1"/>
    <col min="11" max="11" width="14.140625" bestFit="1" customWidth="1"/>
    <col min="12" max="12" width="12.5703125" bestFit="1" customWidth="1"/>
    <col min="13" max="13" width="24" bestFit="1" customWidth="1"/>
    <col min="14" max="14" width="17.28515625" customWidth="1"/>
    <col min="15" max="15" width="16.7109375" bestFit="1" customWidth="1"/>
    <col min="16" max="16" width="13.28515625" bestFit="1" customWidth="1"/>
    <col min="17" max="17" width="11.5703125" bestFit="1" customWidth="1"/>
    <col min="18" max="18" width="17.28515625" customWidth="1"/>
    <col min="20" max="21" width="11.5703125" bestFit="1" customWidth="1"/>
  </cols>
  <sheetData>
    <row r="1" spans="2:21" x14ac:dyDescent="0.25">
      <c r="G1" s="39"/>
    </row>
    <row r="2" spans="2:21" x14ac:dyDescent="0.25">
      <c r="B2" s="26" t="s">
        <v>41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</row>
    <row r="3" spans="2:21" s="82" customFormat="1" ht="30" x14ac:dyDescent="0.25">
      <c r="B3" s="12" t="s">
        <v>3</v>
      </c>
      <c r="C3" s="12" t="s">
        <v>1</v>
      </c>
      <c r="D3" s="25" t="s">
        <v>43</v>
      </c>
      <c r="E3" s="25" t="s">
        <v>42</v>
      </c>
      <c r="F3" s="42" t="s">
        <v>44</v>
      </c>
      <c r="G3" s="25" t="s">
        <v>4</v>
      </c>
      <c r="H3" s="25" t="s">
        <v>5</v>
      </c>
      <c r="I3" s="12" t="s">
        <v>6</v>
      </c>
      <c r="J3" s="12" t="s">
        <v>7</v>
      </c>
      <c r="K3" s="12" t="s">
        <v>8</v>
      </c>
      <c r="L3" s="12" t="s">
        <v>0</v>
      </c>
      <c r="M3" s="12" t="s">
        <v>9</v>
      </c>
    </row>
    <row r="4" spans="2:21" x14ac:dyDescent="0.25">
      <c r="B4" s="7">
        <v>1</v>
      </c>
      <c r="C4" s="44" t="s">
        <v>45</v>
      </c>
      <c r="D4" s="62">
        <v>6455.25</v>
      </c>
      <c r="E4" s="41">
        <f>D4/4046.845</f>
        <v>1.5951315160328603</v>
      </c>
      <c r="F4" s="43"/>
      <c r="G4" s="61"/>
      <c r="H4" s="8">
        <v>3500</v>
      </c>
      <c r="I4" s="40"/>
      <c r="J4" s="9">
        <v>0.1</v>
      </c>
      <c r="K4" s="54">
        <f>H4*0.9</f>
        <v>3150</v>
      </c>
      <c r="L4" s="55">
        <f>K4*D4</f>
        <v>20334037.5</v>
      </c>
      <c r="M4" s="11"/>
    </row>
    <row r="5" spans="2:21" x14ac:dyDescent="0.25">
      <c r="B5" s="85" t="s">
        <v>2</v>
      </c>
      <c r="C5" s="86"/>
      <c r="D5" s="22">
        <f>SUM(D4:D4)</f>
        <v>6455.25</v>
      </c>
      <c r="E5" s="21"/>
      <c r="F5" s="1"/>
      <c r="G5" s="23"/>
      <c r="H5" s="23"/>
      <c r="I5" s="23"/>
      <c r="J5" s="81"/>
      <c r="K5" s="23"/>
      <c r="L5" s="19">
        <f>SUM(L4:L4)</f>
        <v>20334037.5</v>
      </c>
      <c r="M5" s="10"/>
      <c r="O5" s="24"/>
    </row>
    <row r="6" spans="2:21" x14ac:dyDescent="0.25">
      <c r="B6" s="88" t="s">
        <v>10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90"/>
    </row>
    <row r="7" spans="2:21" x14ac:dyDescent="0.25">
      <c r="B7" s="91" t="s">
        <v>60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3"/>
      <c r="O7" s="18"/>
    </row>
    <row r="8" spans="2:21" x14ac:dyDescent="0.25">
      <c r="B8" s="88" t="s">
        <v>11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90"/>
    </row>
    <row r="9" spans="2:21" x14ac:dyDescent="0.25">
      <c r="B9" s="88" t="s">
        <v>12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90"/>
    </row>
    <row r="11" spans="2:21" x14ac:dyDescent="0.25">
      <c r="B11" s="16" t="s">
        <v>14</v>
      </c>
      <c r="C11" s="17"/>
      <c r="D11" s="17"/>
      <c r="E11" s="17"/>
      <c r="F11" s="17"/>
      <c r="G11" s="17"/>
      <c r="H11" s="15"/>
      <c r="K11" s="78" t="s">
        <v>32</v>
      </c>
      <c r="L11" s="73">
        <f>L5</f>
        <v>20334037.5</v>
      </c>
      <c r="M11" s="70">
        <f>H14/L11</f>
        <v>0.6374603174603175</v>
      </c>
      <c r="N11" s="18"/>
    </row>
    <row r="12" spans="2:21" x14ac:dyDescent="0.25">
      <c r="B12" s="5" t="s">
        <v>3</v>
      </c>
      <c r="C12" s="5" t="s">
        <v>1</v>
      </c>
      <c r="D12" s="25" t="s">
        <v>43</v>
      </c>
      <c r="E12" s="25" t="s">
        <v>42</v>
      </c>
      <c r="F12" s="42" t="s">
        <v>44</v>
      </c>
      <c r="G12" s="6" t="s">
        <v>48</v>
      </c>
      <c r="H12" s="5" t="s">
        <v>13</v>
      </c>
      <c r="K12" s="78" t="s">
        <v>33</v>
      </c>
      <c r="L12" s="73">
        <f>'Building Sheet'!S7</f>
        <v>45238553.364480004</v>
      </c>
    </row>
    <row r="13" spans="2:21" x14ac:dyDescent="0.25">
      <c r="B13" s="7">
        <v>1</v>
      </c>
      <c r="C13" s="13" t="s">
        <v>46</v>
      </c>
      <c r="D13" s="3">
        <v>6455.25</v>
      </c>
      <c r="E13" s="41">
        <f>D13/4046.856</f>
        <v>1.5951271802110081</v>
      </c>
      <c r="F13" s="43">
        <f>E13*6.25</f>
        <v>9.9695448763187997</v>
      </c>
      <c r="G13" s="3">
        <v>2008</v>
      </c>
      <c r="H13" s="2">
        <f>D13*G13</f>
        <v>12962142</v>
      </c>
      <c r="K13" s="78" t="s">
        <v>34</v>
      </c>
      <c r="L13" s="73">
        <v>1500000</v>
      </c>
      <c r="T13" s="48"/>
    </row>
    <row r="14" spans="2:21" x14ac:dyDescent="0.25">
      <c r="B14" s="87" t="s">
        <v>2</v>
      </c>
      <c r="C14" s="87"/>
      <c r="D14" s="22">
        <f>SUM(D13:D13)</f>
        <v>6455.25</v>
      </c>
      <c r="E14" s="21"/>
      <c r="F14" s="1"/>
      <c r="G14" s="14"/>
      <c r="H14" s="20">
        <f>SUM(H13:H13)</f>
        <v>12962142</v>
      </c>
      <c r="K14" s="79"/>
      <c r="L14" s="74">
        <v>741338528.05861533</v>
      </c>
      <c r="S14" s="48"/>
    </row>
    <row r="15" spans="2:21" x14ac:dyDescent="0.25">
      <c r="K15" s="78" t="s">
        <v>2</v>
      </c>
      <c r="L15" s="71">
        <f>SUM(L11:L14)</f>
        <v>808411118.92309535</v>
      </c>
      <c r="T15" s="48"/>
    </row>
    <row r="16" spans="2:21" x14ac:dyDescent="0.25">
      <c r="K16" s="78" t="s">
        <v>15</v>
      </c>
      <c r="L16" s="71">
        <f>81*10^7</f>
        <v>810000000</v>
      </c>
      <c r="U16" s="48"/>
    </row>
    <row r="17" spans="1:14" x14ac:dyDescent="0.25">
      <c r="A17" s="56"/>
      <c r="B17" s="56"/>
      <c r="C17" s="56"/>
      <c r="D17" s="56"/>
      <c r="E17" s="56"/>
      <c r="F17" s="57"/>
      <c r="G17" s="57"/>
      <c r="H17" s="57"/>
      <c r="I17" s="57"/>
      <c r="K17" s="78" t="s">
        <v>64</v>
      </c>
      <c r="L17" s="72">
        <f>L16*0.85</f>
        <v>688500000</v>
      </c>
      <c r="M17" s="83">
        <v>688500000</v>
      </c>
      <c r="N17" s="39">
        <f>L17-M17</f>
        <v>0</v>
      </c>
    </row>
    <row r="18" spans="1:14" x14ac:dyDescent="0.25">
      <c r="F18" s="58"/>
      <c r="G18" s="59"/>
      <c r="H18" s="59"/>
      <c r="I18" s="59"/>
      <c r="K18" s="80" t="s">
        <v>65</v>
      </c>
      <c r="L18" s="75">
        <f>L16*0.75</f>
        <v>607500000</v>
      </c>
      <c r="M18" s="83">
        <v>607500000</v>
      </c>
      <c r="N18" s="39">
        <f>L18-M18</f>
        <v>0</v>
      </c>
    </row>
    <row r="19" spans="1:14" x14ac:dyDescent="0.25">
      <c r="F19" s="58"/>
      <c r="G19" s="59"/>
      <c r="H19" s="59"/>
      <c r="I19" s="59"/>
      <c r="K19" s="52"/>
    </row>
    <row r="20" spans="1:14" x14ac:dyDescent="0.25">
      <c r="F20" s="58"/>
      <c r="G20" s="59"/>
      <c r="H20" s="59"/>
      <c r="I20" s="59"/>
      <c r="K20" s="4"/>
    </row>
    <row r="21" spans="1:14" x14ac:dyDescent="0.25">
      <c r="H21" s="59"/>
      <c r="I21" s="59"/>
      <c r="K21" s="94"/>
      <c r="L21" s="94"/>
    </row>
    <row r="22" spans="1:14" x14ac:dyDescent="0.25">
      <c r="F22" s="58"/>
      <c r="G22" s="59"/>
      <c r="H22" s="59"/>
      <c r="I22" s="59"/>
    </row>
    <row r="23" spans="1:14" x14ac:dyDescent="0.25">
      <c r="F23" s="58"/>
      <c r="G23" s="59"/>
      <c r="H23" s="59"/>
      <c r="I23" s="59"/>
      <c r="L23" s="39"/>
    </row>
    <row r="24" spans="1:14" x14ac:dyDescent="0.25">
      <c r="F24" s="58"/>
      <c r="G24" s="59"/>
      <c r="H24" s="59"/>
      <c r="I24" s="59"/>
    </row>
    <row r="25" spans="1:14" x14ac:dyDescent="0.25">
      <c r="A25" s="84"/>
      <c r="B25" s="84"/>
      <c r="C25" s="84"/>
      <c r="D25" s="84"/>
      <c r="E25" s="84"/>
      <c r="F25" s="84"/>
      <c r="G25" s="84"/>
      <c r="H25" s="84"/>
      <c r="I25" s="60"/>
    </row>
  </sheetData>
  <mergeCells count="8">
    <mergeCell ref="A25:H25"/>
    <mergeCell ref="B5:C5"/>
    <mergeCell ref="B14:C14"/>
    <mergeCell ref="B6:M6"/>
    <mergeCell ref="B7:M7"/>
    <mergeCell ref="B8:M8"/>
    <mergeCell ref="B9:M9"/>
    <mergeCell ref="K21:L21"/>
  </mergeCells>
  <phoneticPr fontId="5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T23"/>
  <sheetViews>
    <sheetView tabSelected="1" topLeftCell="B1" workbookViewId="0">
      <selection activeCell="B9" sqref="B9:S9"/>
    </sheetView>
  </sheetViews>
  <sheetFormatPr defaultRowHeight="15" x14ac:dyDescent="0.25"/>
  <cols>
    <col min="2" max="2" width="4.140625" customWidth="1"/>
    <col min="3" max="3" width="14.140625" bestFit="1" customWidth="1"/>
    <col min="4" max="4" width="5.5703125" bestFit="1" customWidth="1"/>
    <col min="5" max="5" width="12.140625" customWidth="1"/>
    <col min="6" max="6" width="9" style="63" bestFit="1" customWidth="1"/>
    <col min="7" max="7" width="7.7109375" bestFit="1" customWidth="1"/>
    <col min="8" max="8" width="9" customWidth="1"/>
    <col min="9" max="9" width="13.28515625" customWidth="1"/>
    <col min="10" max="10" width="9.5703125" hidden="1" customWidth="1"/>
    <col min="11" max="11" width="10.42578125" customWidth="1"/>
    <col min="12" max="12" width="11" customWidth="1"/>
    <col min="13" max="13" width="8.85546875" customWidth="1"/>
    <col min="14" max="14" width="9.5703125" hidden="1" customWidth="1"/>
    <col min="15" max="15" width="10.7109375" hidden="1" customWidth="1"/>
    <col min="16" max="16" width="12.7109375" bestFit="1" customWidth="1"/>
    <col min="17" max="17" width="10" hidden="1" customWidth="1"/>
    <col min="18" max="18" width="12.5703125" hidden="1" customWidth="1"/>
    <col min="19" max="19" width="13.7109375" customWidth="1"/>
    <col min="20" max="20" width="12.5703125" bestFit="1" customWidth="1"/>
  </cols>
  <sheetData>
    <row r="3" spans="2:20" ht="15.75" x14ac:dyDescent="0.25">
      <c r="B3" s="95" t="s">
        <v>59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</row>
    <row r="4" spans="2:20" ht="60" x14ac:dyDescent="0.25">
      <c r="B4" s="76" t="s">
        <v>16</v>
      </c>
      <c r="C4" s="76" t="s">
        <v>17</v>
      </c>
      <c r="D4" s="76" t="s">
        <v>40</v>
      </c>
      <c r="E4" s="76" t="s">
        <v>18</v>
      </c>
      <c r="F4" s="77" t="s">
        <v>19</v>
      </c>
      <c r="G4" s="76" t="s">
        <v>20</v>
      </c>
      <c r="H4" s="76" t="s">
        <v>63</v>
      </c>
      <c r="I4" s="76" t="s">
        <v>21</v>
      </c>
      <c r="J4" s="76" t="s">
        <v>22</v>
      </c>
      <c r="K4" s="76" t="s">
        <v>23</v>
      </c>
      <c r="L4" s="76" t="s">
        <v>24</v>
      </c>
      <c r="M4" s="76" t="s">
        <v>25</v>
      </c>
      <c r="N4" s="76" t="s">
        <v>26</v>
      </c>
      <c r="O4" s="76" t="s">
        <v>47</v>
      </c>
      <c r="P4" s="76" t="s">
        <v>27</v>
      </c>
      <c r="Q4" s="76" t="s">
        <v>28</v>
      </c>
      <c r="R4" s="76" t="s">
        <v>29</v>
      </c>
      <c r="S4" s="76" t="s">
        <v>31</v>
      </c>
    </row>
    <row r="5" spans="2:20" x14ac:dyDescent="0.25">
      <c r="B5" s="68">
        <v>1</v>
      </c>
      <c r="C5" s="44" t="s">
        <v>50</v>
      </c>
      <c r="D5" s="44" t="s">
        <v>52</v>
      </c>
      <c r="E5" s="64" t="s">
        <v>54</v>
      </c>
      <c r="F5" s="69">
        <f>E13</f>
        <v>4822.3999999999996</v>
      </c>
      <c r="G5" s="38">
        <f>F5*10.7639</f>
        <v>51907.831359999996</v>
      </c>
      <c r="H5" s="45">
        <v>6</v>
      </c>
      <c r="I5" s="13">
        <v>2023</v>
      </c>
      <c r="J5" s="46">
        <v>2025</v>
      </c>
      <c r="K5" s="46">
        <f>J5-I5</f>
        <v>2</v>
      </c>
      <c r="L5" s="46">
        <v>45</v>
      </c>
      <c r="M5" s="47">
        <v>0.1</v>
      </c>
      <c r="N5" s="65">
        <f>(1-M5)/L5</f>
        <v>0.02</v>
      </c>
      <c r="O5" s="46">
        <v>800</v>
      </c>
      <c r="P5" s="30">
        <f>O5*G5</f>
        <v>41526265.088</v>
      </c>
      <c r="Q5" s="31">
        <f>N5*IF(K5&gt;L5,L5,K5)</f>
        <v>0.04</v>
      </c>
      <c r="R5" s="32">
        <f>P5*Q5</f>
        <v>1661050.6035200001</v>
      </c>
      <c r="S5" s="32">
        <f>P5-R5</f>
        <v>39865214.484480001</v>
      </c>
    </row>
    <row r="6" spans="2:20" x14ac:dyDescent="0.25">
      <c r="B6" s="68">
        <v>2</v>
      </c>
      <c r="C6" s="44" t="s">
        <v>51</v>
      </c>
      <c r="D6" s="44" t="s">
        <v>53</v>
      </c>
      <c r="E6" s="64" t="s">
        <v>55</v>
      </c>
      <c r="F6" s="69">
        <f>E14</f>
        <v>520</v>
      </c>
      <c r="G6" s="38">
        <f>F6*10.7639</f>
        <v>5597.2280000000001</v>
      </c>
      <c r="H6" s="45">
        <v>11</v>
      </c>
      <c r="I6" s="13">
        <v>2023</v>
      </c>
      <c r="J6" s="46">
        <v>2025</v>
      </c>
      <c r="K6" s="46">
        <f>J6-I6</f>
        <v>2</v>
      </c>
      <c r="L6" s="46">
        <v>45</v>
      </c>
      <c r="M6" s="47">
        <v>0.1</v>
      </c>
      <c r="N6" s="65">
        <f>(1-M6)/L6</f>
        <v>0.02</v>
      </c>
      <c r="O6" s="46">
        <v>1000</v>
      </c>
      <c r="P6" s="30">
        <f>O6*G6</f>
        <v>5597228</v>
      </c>
      <c r="Q6" s="31">
        <f t="shared" ref="Q6" si="0">N6*IF(K6&gt;L6,L6,K6)</f>
        <v>0.04</v>
      </c>
      <c r="R6" s="32">
        <f>P6*Q6</f>
        <v>223889.12</v>
      </c>
      <c r="S6" s="32">
        <f t="shared" ref="S6" si="1">P6-R6</f>
        <v>5373338.8799999999</v>
      </c>
    </row>
    <row r="7" spans="2:20" x14ac:dyDescent="0.25">
      <c r="B7" s="98" t="s">
        <v>2</v>
      </c>
      <c r="C7" s="98"/>
      <c r="D7" s="98"/>
      <c r="E7" s="53"/>
      <c r="F7" s="50">
        <f>SUM(F5:F6)</f>
        <v>5342.4</v>
      </c>
      <c r="G7" s="51">
        <f>SUM(G5:G6)</f>
        <v>57505.059359999999</v>
      </c>
      <c r="H7" s="49"/>
      <c r="I7" s="50"/>
      <c r="J7" s="50"/>
      <c r="K7" s="50"/>
      <c r="L7" s="50"/>
      <c r="M7" s="50"/>
      <c r="N7" s="50"/>
      <c r="O7" s="50"/>
      <c r="P7" s="51">
        <f>SUM(P5:P6)</f>
        <v>47123493.088</v>
      </c>
      <c r="Q7" s="51"/>
      <c r="R7" s="51">
        <f>SUM(R5:R6)</f>
        <v>1884939.72352</v>
      </c>
      <c r="S7" s="51">
        <f>SUM(S5:S6)</f>
        <v>45238553.364480004</v>
      </c>
      <c r="T7" s="4"/>
    </row>
    <row r="8" spans="2:20" x14ac:dyDescent="0.25">
      <c r="B8" s="97" t="s">
        <v>10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</row>
    <row r="9" spans="2:20" ht="29.25" customHeight="1" x14ac:dyDescent="0.25">
      <c r="B9" s="99" t="s">
        <v>56</v>
      </c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</row>
    <row r="10" spans="2:20" x14ac:dyDescent="0.25">
      <c r="B10" s="96" t="s">
        <v>57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</row>
    <row r="11" spans="2:20" x14ac:dyDescent="0.25">
      <c r="B11" s="97" t="s">
        <v>49</v>
      </c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</row>
    <row r="13" spans="2:20" x14ac:dyDescent="0.25">
      <c r="C13" t="s">
        <v>50</v>
      </c>
      <c r="E13" s="63">
        <v>4822.3999999999996</v>
      </c>
      <c r="G13">
        <v>1296</v>
      </c>
      <c r="P13" s="66" t="s">
        <v>58</v>
      </c>
      <c r="R13" s="67">
        <f>P7*0.8</f>
        <v>37698794.470399998</v>
      </c>
      <c r="S13" s="4"/>
    </row>
    <row r="14" spans="2:20" x14ac:dyDescent="0.25">
      <c r="C14" t="s">
        <v>51</v>
      </c>
      <c r="E14" s="63">
        <v>520</v>
      </c>
      <c r="G14">
        <v>260</v>
      </c>
    </row>
    <row r="15" spans="2:20" x14ac:dyDescent="0.25">
      <c r="C15" t="s">
        <v>61</v>
      </c>
      <c r="E15" s="63">
        <v>278.43</v>
      </c>
      <c r="G15">
        <v>278.43</v>
      </c>
    </row>
    <row r="16" spans="2:20" x14ac:dyDescent="0.25">
      <c r="C16" t="s">
        <v>62</v>
      </c>
      <c r="E16" s="63">
        <v>4426.3999999999996</v>
      </c>
      <c r="G16">
        <f>SUM(G13:G15)</f>
        <v>1834.43</v>
      </c>
    </row>
    <row r="17" spans="5:13" x14ac:dyDescent="0.25">
      <c r="E17" s="63">
        <f>SUM(E13:E16)</f>
        <v>10047.23</v>
      </c>
    </row>
    <row r="18" spans="5:13" x14ac:dyDescent="0.25">
      <c r="M18" s="63"/>
    </row>
    <row r="19" spans="5:13" x14ac:dyDescent="0.25">
      <c r="M19" s="63"/>
    </row>
    <row r="20" spans="5:13" x14ac:dyDescent="0.25">
      <c r="M20" s="63"/>
    </row>
    <row r="21" spans="5:13" x14ac:dyDescent="0.25">
      <c r="M21" s="63"/>
    </row>
    <row r="22" spans="5:13" x14ac:dyDescent="0.25">
      <c r="M22" s="63"/>
    </row>
    <row r="23" spans="5:13" x14ac:dyDescent="0.25">
      <c r="M23" s="63"/>
    </row>
  </sheetData>
  <mergeCells count="6">
    <mergeCell ref="B3:S3"/>
    <mergeCell ref="B10:S10"/>
    <mergeCell ref="B11:S11"/>
    <mergeCell ref="B7:D7"/>
    <mergeCell ref="B8:S8"/>
    <mergeCell ref="B9:S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N5"/>
  <sheetViews>
    <sheetView workbookViewId="0">
      <selection activeCell="I5" sqref="I5"/>
    </sheetView>
  </sheetViews>
  <sheetFormatPr defaultRowHeight="15" x14ac:dyDescent="0.25"/>
  <cols>
    <col min="2" max="3" width="8.7109375" customWidth="1"/>
    <col min="4" max="4" width="8.42578125" customWidth="1"/>
    <col min="6" max="6" width="8.5703125" customWidth="1"/>
    <col min="7" max="7" width="7.7109375" customWidth="1"/>
    <col min="8" max="9" width="9" customWidth="1"/>
    <col min="10" max="12" width="13.28515625" bestFit="1" customWidth="1"/>
    <col min="13" max="13" width="8.7109375" customWidth="1"/>
    <col min="14" max="14" width="13.28515625" bestFit="1" customWidth="1"/>
  </cols>
  <sheetData>
    <row r="3" spans="2:14" ht="15.75" x14ac:dyDescent="0.25">
      <c r="B3" s="100" t="s">
        <v>35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</row>
    <row r="4" spans="2:14" ht="105" x14ac:dyDescent="0.25">
      <c r="B4" s="29" t="s">
        <v>36</v>
      </c>
      <c r="C4" s="29" t="s">
        <v>21</v>
      </c>
      <c r="D4" s="29" t="s">
        <v>22</v>
      </c>
      <c r="E4" s="29" t="s">
        <v>23</v>
      </c>
      <c r="F4" s="29" t="s">
        <v>24</v>
      </c>
      <c r="G4" s="29" t="s">
        <v>25</v>
      </c>
      <c r="H4" s="29" t="s">
        <v>26</v>
      </c>
      <c r="I4" s="29" t="s">
        <v>37</v>
      </c>
      <c r="J4" s="29" t="s">
        <v>27</v>
      </c>
      <c r="K4" s="29" t="s">
        <v>38</v>
      </c>
      <c r="L4" s="29" t="s">
        <v>39</v>
      </c>
      <c r="M4" s="29" t="s">
        <v>30</v>
      </c>
      <c r="N4" s="29" t="s">
        <v>31</v>
      </c>
    </row>
    <row r="5" spans="2:14" x14ac:dyDescent="0.25">
      <c r="B5" s="33">
        <v>400</v>
      </c>
      <c r="C5" s="13">
        <v>2023</v>
      </c>
      <c r="D5" s="13">
        <v>2025</v>
      </c>
      <c r="E5" s="13">
        <f>D5-C5</f>
        <v>2</v>
      </c>
      <c r="F5" s="13">
        <v>20</v>
      </c>
      <c r="G5" s="34">
        <v>0.1</v>
      </c>
      <c r="H5" s="35">
        <f>(1-G5)/F5</f>
        <v>4.4999999999999998E-2</v>
      </c>
      <c r="I5" s="36">
        <v>6000</v>
      </c>
      <c r="J5" s="36">
        <f>I5*B5</f>
        <v>2400000</v>
      </c>
      <c r="K5" s="36">
        <f>J5*H5*E5</f>
        <v>216000</v>
      </c>
      <c r="L5" s="36">
        <f>MAX(J5-K5,0)</f>
        <v>2184000</v>
      </c>
      <c r="M5" s="37">
        <v>0</v>
      </c>
      <c r="N5" s="36">
        <f>IF(L5&gt;G5*J5,L5*(1-M5),J5*G5)</f>
        <v>2184000</v>
      </c>
    </row>
  </sheetData>
  <mergeCells count="1">
    <mergeCell ref="B3:N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E8B22-D8A9-4E32-8603-ECAC62090F5D}">
  <dimension ref="A1"/>
  <sheetViews>
    <sheetView workbookViewId="0">
      <selection activeCell="L2" sqref="L2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Land</vt:lpstr>
      <vt:lpstr>Building Sheet</vt:lpstr>
      <vt:lpstr>Boundary Wall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2025-03-27T05:14:25Z</dcterms:modified>
</cp:coreProperties>
</file>