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Files For Review\Anuj Sharma\Mayapuri\VIS (2024-25)-PL-855-758-1034-Mayapuri\Working\"/>
    </mc:Choice>
  </mc:AlternateContent>
  <bookViews>
    <workbookView xWindow="0" yWindow="0" windowWidth="24000" windowHeight="9735"/>
  </bookViews>
  <sheets>
    <sheet name="Sheet1" sheetId="4" r:id="rId1"/>
    <sheet name="Sheet2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4" l="1"/>
  <c r="V4" i="4" l="1"/>
  <c r="V5" i="4"/>
  <c r="V6" i="4"/>
  <c r="V7" i="4"/>
  <c r="V8" i="4"/>
  <c r="V3" i="4"/>
  <c r="P8" i="5"/>
  <c r="P10" i="5" s="1"/>
  <c r="K24" i="5"/>
  <c r="K22" i="5"/>
  <c r="K25" i="5"/>
  <c r="K26" i="5" s="1"/>
  <c r="L26" i="5" s="1"/>
  <c r="N4" i="4"/>
  <c r="N5" i="4"/>
  <c r="N6" i="4"/>
  <c r="N7" i="4"/>
  <c r="N8" i="4"/>
  <c r="K4" i="4"/>
  <c r="K5" i="4"/>
  <c r="K6" i="4"/>
  <c r="K7" i="4"/>
  <c r="K8" i="4"/>
  <c r="N3" i="4"/>
  <c r="K3" i="4"/>
  <c r="H5" i="4"/>
  <c r="P5" i="4" s="1"/>
  <c r="Q5" i="4" s="1"/>
  <c r="G8" i="4"/>
  <c r="H8" i="4" s="1"/>
  <c r="P8" i="4" s="1"/>
  <c r="G4" i="4"/>
  <c r="H4" i="4" s="1"/>
  <c r="G5" i="4"/>
  <c r="G6" i="4"/>
  <c r="H6" i="4" s="1"/>
  <c r="P6" i="4" s="1"/>
  <c r="G7" i="4"/>
  <c r="H7" i="4" s="1"/>
  <c r="P7" i="4" s="1"/>
  <c r="Q7" i="4" s="1"/>
  <c r="G3" i="4"/>
  <c r="H3" i="4" s="1"/>
  <c r="P3" i="4" s="1"/>
  <c r="M13" i="5"/>
  <c r="L13" i="5"/>
  <c r="K13" i="5"/>
  <c r="M8" i="5"/>
  <c r="M9" i="5"/>
  <c r="M10" i="5"/>
  <c r="M11" i="5"/>
  <c r="M12" i="5"/>
  <c r="M7" i="5"/>
  <c r="Q8" i="4" l="1"/>
  <c r="V9" i="4"/>
  <c r="Q6" i="4"/>
  <c r="S6" i="4" s="1"/>
  <c r="T6" i="4" s="1"/>
  <c r="K28" i="5"/>
  <c r="K27" i="5"/>
  <c r="S8" i="4"/>
  <c r="T8" i="4" s="1"/>
  <c r="S7" i="4"/>
  <c r="T7" i="4" s="1"/>
  <c r="S5" i="4"/>
  <c r="T5" i="4" s="1"/>
  <c r="Q3" i="4"/>
  <c r="S3" i="4" s="1"/>
  <c r="AE20" i="4"/>
  <c r="AE19" i="4"/>
  <c r="AC14" i="4"/>
  <c r="X3" i="4"/>
  <c r="AB17" i="4"/>
  <c r="Z16" i="4"/>
  <c r="Z17" i="4" s="1"/>
  <c r="Y16" i="4"/>
  <c r="O25" i="4"/>
  <c r="T21" i="4"/>
  <c r="T3" i="4" l="1"/>
  <c r="P4" i="4"/>
  <c r="Q4" i="4" l="1"/>
  <c r="S4" i="4" s="1"/>
  <c r="P9" i="4"/>
  <c r="AA3" i="4"/>
  <c r="Y19" i="4" l="1"/>
  <c r="V14" i="4"/>
  <c r="T4" i="4"/>
  <c r="T9" i="4" s="1"/>
  <c r="S9" i="4"/>
  <c r="K20" i="4"/>
  <c r="M19" i="4"/>
  <c r="N19" i="4" s="1"/>
  <c r="J18" i="4"/>
  <c r="G9" i="4"/>
  <c r="N20" i="4" l="1"/>
  <c r="M20" i="4" s="1"/>
  <c r="R9" i="4"/>
  <c r="AA4" i="4"/>
  <c r="AA11" i="4" s="1"/>
  <c r="AC10" i="4" l="1"/>
  <c r="Q9" i="4" l="1"/>
  <c r="AC4" i="4" l="1"/>
  <c r="AC6" i="4" l="1"/>
  <c r="AC7" i="4" s="1"/>
  <c r="AC8" i="4" s="1"/>
  <c r="AC9" i="4" l="1"/>
</calcChain>
</file>

<file path=xl/sharedStrings.xml><?xml version="1.0" encoding="utf-8"?>
<sst xmlns="http://schemas.openxmlformats.org/spreadsheetml/2006/main" count="89" uniqueCount="73">
  <si>
    <t>Market Value</t>
  </si>
  <si>
    <t>Sr. No.</t>
  </si>
  <si>
    <t>Height 
(in ft.)</t>
  </si>
  <si>
    <t>Type of Structure</t>
  </si>
  <si>
    <t>Built-up Area 
(in sq mtr)</t>
  </si>
  <si>
    <t>Built-up area 
(in sq ft.)</t>
  </si>
  <si>
    <t xml:space="preserve">Year of Construction 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</si>
  <si>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</si>
  <si>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</si>
  <si>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</si>
  <si>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</si>
  <si>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</si>
  <si>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(INR per sq feet)</t>
  </si>
  <si>
    <t>Gross Replacement value
(INR)</t>
  </si>
  <si>
    <t xml:space="preserve">Depreciation
(INR) </t>
  </si>
  <si>
    <t>Deterioration</t>
  </si>
  <si>
    <t>Depreciated Replacement Cost
(INR)</t>
  </si>
  <si>
    <t>Fair Market Value         (INR)</t>
  </si>
  <si>
    <t>Land Area in Sq.mtr.</t>
  </si>
  <si>
    <t>Govt. Rate per sq.mtr.</t>
  </si>
  <si>
    <t xml:space="preserve">Govt. Value </t>
  </si>
  <si>
    <t>L&amp;B</t>
  </si>
  <si>
    <t>RCC Structure</t>
  </si>
  <si>
    <t>Total</t>
  </si>
  <si>
    <t>Diff. in value</t>
  </si>
  <si>
    <t>FMV</t>
  </si>
  <si>
    <t>RV</t>
  </si>
  <si>
    <t>DV</t>
  </si>
  <si>
    <t>Insurance</t>
  </si>
  <si>
    <t>Remarks:</t>
  </si>
  <si>
    <t>1. All the details pertaining to the building area statement such as area, floor, etc has been taken from the documents provided to us.</t>
  </si>
  <si>
    <t xml:space="preserve">2.The maintenance of the building was average as per site survey observation from external. </t>
  </si>
  <si>
    <t>3. Age of construction taken from the information as per documents provided to us.</t>
  </si>
  <si>
    <t>4. The Valuation is done by considering the depreciated replacement cost and while calculating D.R.C. 10% salvage value is considered.</t>
  </si>
  <si>
    <t>Land Area in Sq.yds.</t>
  </si>
  <si>
    <t>builtup</t>
  </si>
  <si>
    <t>land</t>
  </si>
  <si>
    <t>Market Rate per sq.yds.</t>
  </si>
  <si>
    <t>Total Built-up Area</t>
  </si>
  <si>
    <t xml:space="preserve">Floor </t>
  </si>
  <si>
    <t>GF</t>
  </si>
  <si>
    <t>239.198 sq.yds</t>
  </si>
  <si>
    <t>Total Area</t>
  </si>
  <si>
    <t>Sq.mt</t>
  </si>
  <si>
    <t>Gorund Coverage</t>
  </si>
  <si>
    <t>Permitted FAR</t>
  </si>
  <si>
    <t>Covered Area</t>
  </si>
  <si>
    <t>1st floor</t>
  </si>
  <si>
    <t xml:space="preserve">2nd floor </t>
  </si>
  <si>
    <t>3rd floor</t>
  </si>
  <si>
    <t>Basement</t>
  </si>
  <si>
    <t>Total Proposed Covered Area</t>
  </si>
  <si>
    <t>Proposed FAR</t>
  </si>
  <si>
    <t>ECS</t>
  </si>
  <si>
    <t>Equivalent Car Space Requirements</t>
  </si>
  <si>
    <t>Required ECS</t>
  </si>
  <si>
    <t>ECS provided in Open area</t>
  </si>
  <si>
    <t>ECS in basement</t>
  </si>
  <si>
    <t>Ground Floor</t>
  </si>
  <si>
    <t>First Floor</t>
  </si>
  <si>
    <t>Second Floor</t>
  </si>
  <si>
    <t>Third Floor</t>
  </si>
  <si>
    <t>Terrace</t>
  </si>
  <si>
    <t>FAR</t>
  </si>
  <si>
    <t>NON FAR</t>
  </si>
  <si>
    <t>Total Area (Sq.mt)</t>
  </si>
  <si>
    <t>.</t>
  </si>
  <si>
    <t>First</t>
  </si>
  <si>
    <t>Second</t>
  </si>
  <si>
    <t>Third</t>
  </si>
  <si>
    <r>
      <t xml:space="preserve">      </t>
    </r>
    <r>
      <rPr>
        <b/>
        <sz val="11"/>
        <color theme="0"/>
        <rFont val="Calibri"/>
        <family val="2"/>
        <scheme val="minor"/>
      </rPr>
      <t>M/S.  JONQUIL GLOBAL PRIVATE LIMITED</t>
    </r>
  </si>
  <si>
    <t>Rate for Construction</t>
  </si>
  <si>
    <t>Final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</si>
</sst>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₹&quot;\ #,##0;[Red]&quot;₹&quot;\ \-#,##0"/>
    <numFmt numFmtId="43" formatCode="_ * #,##0.00_ ;_ * \-#,##0.00_ ;_ * &quot;-&quot;??_ ;_ @_ "/>
    <numFmt numFmtId="164" formatCode="_ * #,##0_ ;_ * \-#,##0_ ;_ * &quot;-&quot;??_ ;_ @_ "/>
    <numFmt numFmtId="165" formatCode="_ [$₹-439]* #,##0_ ;_ [$₹-439]* \-#,##0_ ;_ [$₹-439]* &quot;-&quot;??_ ;_ @_ 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164" fontId="0" fillId="5" borderId="1" xfId="0" applyNumberFormat="1" applyFill="1" applyBorder="1"/>
    <xf numFmtId="0" fontId="0" fillId="0" borderId="1" xfId="0" applyBorder="1" applyAlignment="1">
      <alignment horizontal="center" vertical="center"/>
    </xf>
    <xf numFmtId="9" fontId="0" fillId="0" borderId="1" xfId="2" applyFont="1" applyBorder="1"/>
    <xf numFmtId="9" fontId="0" fillId="0" borderId="0" xfId="2" applyFon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/>
    <xf numFmtId="6" fontId="0" fillId="0" borderId="0" xfId="0" applyNumberFormat="1"/>
    <xf numFmtId="0" fontId="2" fillId="0" borderId="1" xfId="0" applyFont="1" applyBorder="1" applyAlignment="1">
      <alignment vertical="center" wrapText="1"/>
    </xf>
    <xf numFmtId="2" fontId="0" fillId="0" borderId="0" xfId="0" applyNumberFormat="1"/>
    <xf numFmtId="164" fontId="0" fillId="0" borderId="0" xfId="0" applyNumberFormat="1"/>
    <xf numFmtId="164" fontId="0" fillId="0" borderId="1" xfId="1" applyNumberFormat="1" applyFont="1" applyBorder="1"/>
    <xf numFmtId="1" fontId="0" fillId="0" borderId="1" xfId="0" applyNumberFormat="1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9" fontId="0" fillId="0" borderId="0" xfId="2" applyFont="1"/>
    <xf numFmtId="2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164" fontId="0" fillId="5" borderId="0" xfId="0" applyNumberFormat="1" applyFill="1" applyBorder="1"/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6" borderId="0" xfId="0" applyFill="1" applyBorder="1"/>
    <xf numFmtId="3" fontId="2" fillId="0" borderId="2" xfId="0" applyNumberFormat="1" applyFont="1" applyBorder="1" applyAlignment="1">
      <alignment horizontal="center" vertical="center" wrapText="1"/>
    </xf>
    <xf numFmtId="164" fontId="0" fillId="0" borderId="0" xfId="1" applyNumberFormat="1" applyFont="1"/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/>
    </xf>
    <xf numFmtId="0" fontId="5" fillId="2" borderId="1" xfId="3" applyFont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 wrapText="1"/>
    </xf>
    <xf numFmtId="165" fontId="5" fillId="2" borderId="1" xfId="3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 applyBorder="1" applyAlignment="1">
      <alignment horizontal="right" vertical="top"/>
    </xf>
    <xf numFmtId="164" fontId="0" fillId="5" borderId="0" xfId="0" applyNumberFormat="1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9" fontId="0" fillId="0" borderId="0" xfId="2" applyFont="1" applyAlignment="1">
      <alignment vertical="top"/>
    </xf>
    <xf numFmtId="1" fontId="6" fillId="0" borderId="1" xfId="0" applyNumberFormat="1" applyFont="1" applyFill="1" applyBorder="1" applyAlignment="1">
      <alignment horizontal="center" vertical="center"/>
    </xf>
    <xf numFmtId="165" fontId="5" fillId="2" borderId="4" xfId="3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4" fontId="0" fillId="0" borderId="2" xfId="0" applyNumberFormat="1" applyBorder="1" applyAlignment="1">
      <alignment horizontal="center" vertical="top"/>
    </xf>
    <xf numFmtId="164" fontId="0" fillId="0" borderId="3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40% - Accent1" xfId="3" builtinId="31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zoomScaleNormal="100" workbookViewId="0">
      <selection activeCell="AC4" sqref="AC4:AD4"/>
    </sheetView>
  </sheetViews>
  <sheetFormatPr defaultRowHeight="15" x14ac:dyDescent="0.25"/>
  <cols>
    <col min="1" max="1" width="4.28515625" customWidth="1"/>
    <col min="2" max="2" width="8.28515625" customWidth="1"/>
    <col min="3" max="3" width="3.5703125" hidden="1" customWidth="1"/>
    <col min="4" max="4" width="6.7109375" customWidth="1"/>
    <col min="5" max="5" width="11" hidden="1" customWidth="1"/>
    <col min="6" max="6" width="9.28515625" customWidth="1"/>
    <col min="7" max="7" width="10" customWidth="1"/>
    <col min="8" max="8" width="5.7109375" hidden="1" customWidth="1"/>
    <col min="9" max="9" width="12" customWidth="1"/>
    <col min="10" max="10" width="9.5703125" hidden="1" customWidth="1"/>
    <col min="11" max="11" width="10.140625" customWidth="1"/>
    <col min="12" max="12" width="10.7109375" customWidth="1"/>
    <col min="13" max="13" width="9" hidden="1" customWidth="1"/>
    <col min="14" max="14" width="14.28515625" hidden="1" customWidth="1"/>
    <col min="15" max="15" width="14.28515625" bestFit="1" customWidth="1"/>
    <col min="16" max="16" width="11.5703125" hidden="1" customWidth="1"/>
    <col min="17" max="17" width="10.85546875" hidden="1" customWidth="1"/>
    <col min="18" max="18" width="9.140625" hidden="1" customWidth="1"/>
    <col min="19" max="19" width="12.7109375" hidden="1" customWidth="1"/>
    <col min="20" max="20" width="11.5703125" customWidth="1"/>
    <col min="22" max="22" width="14.28515625" bestFit="1" customWidth="1"/>
    <col min="24" max="24" width="7.5703125" customWidth="1"/>
    <col min="25" max="25" width="11.5703125" bestFit="1" customWidth="1"/>
    <col min="26" max="26" width="12.28515625" bestFit="1" customWidth="1"/>
    <col min="27" max="27" width="12.28515625" customWidth="1"/>
    <col min="28" max="28" width="12" bestFit="1" customWidth="1"/>
    <col min="29" max="29" width="10.7109375" customWidth="1"/>
    <col min="30" max="30" width="6.140625" customWidth="1"/>
    <col min="31" max="31" width="4.5703125" customWidth="1"/>
  </cols>
  <sheetData>
    <row r="1" spans="1:31" x14ac:dyDescent="0.25">
      <c r="A1" s="75" t="s">
        <v>70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31" ht="51" x14ac:dyDescent="0.25">
      <c r="A2" s="38" t="s">
        <v>1</v>
      </c>
      <c r="B2" s="38" t="s">
        <v>39</v>
      </c>
      <c r="C2" s="38"/>
      <c r="D2" s="38" t="s">
        <v>2</v>
      </c>
      <c r="E2" s="38" t="s">
        <v>3</v>
      </c>
      <c r="F2" s="38" t="s">
        <v>4</v>
      </c>
      <c r="G2" s="38" t="s">
        <v>5</v>
      </c>
      <c r="H2" s="38" t="s">
        <v>38</v>
      </c>
      <c r="I2" s="38" t="s">
        <v>6</v>
      </c>
      <c r="J2" s="39" t="s">
        <v>7</v>
      </c>
      <c r="K2" s="38" t="s">
        <v>8</v>
      </c>
      <c r="L2" s="38" t="s">
        <v>9</v>
      </c>
      <c r="M2" s="39" t="s">
        <v>10</v>
      </c>
      <c r="N2" s="39" t="s">
        <v>11</v>
      </c>
      <c r="O2" s="38" t="s">
        <v>12</v>
      </c>
      <c r="P2" s="40" t="s">
        <v>13</v>
      </c>
      <c r="Q2" s="40" t="s">
        <v>14</v>
      </c>
      <c r="R2" s="40" t="s">
        <v>15</v>
      </c>
      <c r="S2" s="38" t="s">
        <v>16</v>
      </c>
      <c r="T2" s="38" t="s">
        <v>17</v>
      </c>
      <c r="U2" s="59" t="s">
        <v>71</v>
      </c>
      <c r="V2" s="59" t="s">
        <v>72</v>
      </c>
      <c r="X2" s="14" t="s">
        <v>34</v>
      </c>
      <c r="Y2" s="14" t="s">
        <v>18</v>
      </c>
      <c r="Z2" s="1" t="s">
        <v>19</v>
      </c>
      <c r="AA2" s="2" t="s">
        <v>20</v>
      </c>
      <c r="AB2" s="4" t="s">
        <v>37</v>
      </c>
      <c r="AC2" s="69" t="s">
        <v>0</v>
      </c>
      <c r="AD2" s="70"/>
    </row>
    <row r="3" spans="1:31" x14ac:dyDescent="0.25">
      <c r="A3" s="42">
        <v>1</v>
      </c>
      <c r="B3" s="48" t="s">
        <v>50</v>
      </c>
      <c r="C3" s="42"/>
      <c r="D3" s="42">
        <v>12</v>
      </c>
      <c r="E3" s="42"/>
      <c r="F3" s="42">
        <v>675.27</v>
      </c>
      <c r="G3" s="58">
        <f>F3*10.764</f>
        <v>7268.6062799999991</v>
      </c>
      <c r="H3" s="42">
        <f>G3</f>
        <v>7268.6062799999991</v>
      </c>
      <c r="I3" s="43">
        <v>2024</v>
      </c>
      <c r="J3" s="44">
        <v>2025</v>
      </c>
      <c r="K3" s="44">
        <f t="shared" ref="K3:K8" si="0">J3-I3</f>
        <v>1</v>
      </c>
      <c r="L3" s="44">
        <v>60</v>
      </c>
      <c r="M3" s="45">
        <v>0</v>
      </c>
      <c r="N3" s="46">
        <f>(1-M3)/L3</f>
        <v>1.6666666666666666E-2</v>
      </c>
      <c r="O3" s="42">
        <v>1600</v>
      </c>
      <c r="P3" s="41">
        <f>O3*H3</f>
        <v>11629770.047999999</v>
      </c>
      <c r="Q3" s="41">
        <f>P3*N3*IF(K3&gt;L3,L3,K3)</f>
        <v>193829.50079999998</v>
      </c>
      <c r="R3" s="47">
        <v>0</v>
      </c>
      <c r="S3" s="41">
        <f>P3-Q3</f>
        <v>11435940.547199998</v>
      </c>
      <c r="T3" s="41">
        <f t="shared" ref="T3" si="1">S3-R3*S3</f>
        <v>11435940.547199998</v>
      </c>
      <c r="U3">
        <v>8040</v>
      </c>
      <c r="V3">
        <f>U3*F3</f>
        <v>5429170.7999999998</v>
      </c>
      <c r="X3" s="27">
        <f>AE8*Y3</f>
        <v>1565.2052000000001</v>
      </c>
      <c r="Y3" s="27">
        <v>1308.7</v>
      </c>
      <c r="Z3" s="34">
        <v>92400</v>
      </c>
      <c r="AA3" s="5">
        <f>Z3*Y3</f>
        <v>120923880</v>
      </c>
      <c r="AB3" s="33">
        <v>375000</v>
      </c>
      <c r="AC3" s="71">
        <f>AB3*Y3</f>
        <v>490762500</v>
      </c>
      <c r="AD3" s="71"/>
    </row>
    <row r="4" spans="1:31" s="37" customFormat="1" ht="18" customHeight="1" x14ac:dyDescent="0.25">
      <c r="A4" s="43">
        <v>2</v>
      </c>
      <c r="B4" s="48" t="s">
        <v>40</v>
      </c>
      <c r="C4" s="42">
        <v>8.5</v>
      </c>
      <c r="D4" s="42">
        <v>12</v>
      </c>
      <c r="E4" s="43" t="s">
        <v>22</v>
      </c>
      <c r="F4" s="42">
        <v>675.27</v>
      </c>
      <c r="G4" s="58">
        <f t="shared" ref="G4:G8" si="2">F4*10.764</f>
        <v>7268.6062799999991</v>
      </c>
      <c r="H4" s="42">
        <f t="shared" ref="H4:H8" si="3">G4</f>
        <v>7268.6062799999991</v>
      </c>
      <c r="I4" s="43">
        <v>2024</v>
      </c>
      <c r="J4" s="44">
        <v>2025</v>
      </c>
      <c r="K4" s="44">
        <f t="shared" si="0"/>
        <v>1</v>
      </c>
      <c r="L4" s="44">
        <v>60</v>
      </c>
      <c r="M4" s="45">
        <v>0</v>
      </c>
      <c r="N4" s="46">
        <f t="shared" ref="N4:N8" si="4">(1-M4)/L4</f>
        <v>1.6666666666666666E-2</v>
      </c>
      <c r="O4" s="42">
        <v>1600</v>
      </c>
      <c r="P4" s="41">
        <f>O4*H4</f>
        <v>11629770.047999999</v>
      </c>
      <c r="Q4" s="41">
        <f>P4*N4*IF(K4&gt;L4,L4,K4)</f>
        <v>193829.50079999998</v>
      </c>
      <c r="R4" s="47">
        <v>0</v>
      </c>
      <c r="S4" s="41">
        <f>P4-Q4</f>
        <v>11435940.547199998</v>
      </c>
      <c r="T4" s="41">
        <f t="shared" ref="T4" si="5">S4-R4*S4</f>
        <v>11435940.547199998</v>
      </c>
      <c r="U4">
        <v>8040</v>
      </c>
      <c r="V4">
        <f t="shared" ref="V4:V8" si="6">U4*F4</f>
        <v>5429170.7999999998</v>
      </c>
      <c r="X4" s="72" t="s">
        <v>66</v>
      </c>
      <c r="Y4" s="72"/>
      <c r="Z4" s="72"/>
      <c r="AA4" s="6">
        <f>SUM(AA3:AA3)</f>
        <v>120923880</v>
      </c>
      <c r="AB4" s="7" t="s">
        <v>21</v>
      </c>
      <c r="AC4" s="65">
        <f>T9</f>
        <v>40369336.277399994</v>
      </c>
      <c r="AD4" s="73"/>
    </row>
    <row r="5" spans="1:31" x14ac:dyDescent="0.25">
      <c r="A5" s="49">
        <v>3</v>
      </c>
      <c r="B5" s="49" t="s">
        <v>67</v>
      </c>
      <c r="C5" s="49"/>
      <c r="D5" s="42">
        <v>12</v>
      </c>
      <c r="E5" s="49"/>
      <c r="F5" s="42">
        <v>353.99</v>
      </c>
      <c r="G5" s="58">
        <f t="shared" si="2"/>
        <v>3810.34836</v>
      </c>
      <c r="H5" s="42">
        <f t="shared" si="3"/>
        <v>3810.34836</v>
      </c>
      <c r="I5" s="43">
        <v>2024</v>
      </c>
      <c r="J5" s="44">
        <v>2025</v>
      </c>
      <c r="K5" s="44">
        <f t="shared" si="0"/>
        <v>1</v>
      </c>
      <c r="L5" s="44">
        <v>60</v>
      </c>
      <c r="M5" s="45">
        <v>0</v>
      </c>
      <c r="N5" s="46">
        <f t="shared" si="4"/>
        <v>1.6666666666666666E-2</v>
      </c>
      <c r="O5" s="42">
        <v>1500</v>
      </c>
      <c r="P5" s="41">
        <f t="shared" ref="P5:P8" si="7">O5*H5</f>
        <v>5715522.54</v>
      </c>
      <c r="Q5" s="41">
        <f t="shared" ref="Q5:Q8" si="8">P5*N5*IF(K5&gt;L5,L5,K5)</f>
        <v>95258.709000000003</v>
      </c>
      <c r="R5" s="47">
        <v>0</v>
      </c>
      <c r="S5" s="41">
        <f t="shared" ref="S5:S8" si="9">P5-Q5</f>
        <v>5620263.8310000002</v>
      </c>
      <c r="T5" s="41">
        <f t="shared" ref="T5:T8" si="10">S5-R5*S5</f>
        <v>5620263.8310000002</v>
      </c>
      <c r="U5">
        <v>8040</v>
      </c>
      <c r="V5">
        <f t="shared" si="6"/>
        <v>2846079.6</v>
      </c>
      <c r="X5" s="28"/>
      <c r="Y5" s="28"/>
      <c r="Z5" s="28"/>
      <c r="AA5" s="29"/>
      <c r="AB5" s="7"/>
      <c r="AC5" s="30"/>
      <c r="AD5" s="31"/>
    </row>
    <row r="6" spans="1:31" x14ac:dyDescent="0.25">
      <c r="A6" s="49">
        <v>4</v>
      </c>
      <c r="B6" s="49" t="s">
        <v>68</v>
      </c>
      <c r="C6" s="49"/>
      <c r="D6" s="42">
        <v>12</v>
      </c>
      <c r="E6" s="49"/>
      <c r="F6" s="42">
        <v>353.99</v>
      </c>
      <c r="G6" s="58">
        <f t="shared" si="2"/>
        <v>3810.34836</v>
      </c>
      <c r="H6" s="42">
        <f t="shared" si="3"/>
        <v>3810.34836</v>
      </c>
      <c r="I6" s="43">
        <v>2024</v>
      </c>
      <c r="J6" s="44">
        <v>2025</v>
      </c>
      <c r="K6" s="44">
        <f t="shared" si="0"/>
        <v>1</v>
      </c>
      <c r="L6" s="44">
        <v>60</v>
      </c>
      <c r="M6" s="45">
        <v>0</v>
      </c>
      <c r="N6" s="46">
        <f t="shared" si="4"/>
        <v>1.6666666666666666E-2</v>
      </c>
      <c r="O6" s="42">
        <v>1500</v>
      </c>
      <c r="P6" s="41">
        <f t="shared" si="7"/>
        <v>5715522.54</v>
      </c>
      <c r="Q6" s="41">
        <f t="shared" si="8"/>
        <v>95258.709000000003</v>
      </c>
      <c r="R6" s="47">
        <v>0</v>
      </c>
      <c r="S6" s="41">
        <f t="shared" si="9"/>
        <v>5620263.8310000002</v>
      </c>
      <c r="T6" s="41">
        <f t="shared" si="10"/>
        <v>5620263.8310000002</v>
      </c>
      <c r="U6">
        <v>8040</v>
      </c>
      <c r="V6">
        <f t="shared" si="6"/>
        <v>2846079.6</v>
      </c>
      <c r="X6" s="53"/>
      <c r="Y6" s="53"/>
      <c r="Z6" s="53"/>
      <c r="AA6" s="54"/>
      <c r="AB6" s="55" t="s">
        <v>23</v>
      </c>
      <c r="AC6" s="63">
        <f>SUM(AC3:AD4)</f>
        <v>531131836.27740002</v>
      </c>
      <c r="AD6" s="64"/>
    </row>
    <row r="7" spans="1:31" x14ac:dyDescent="0.25">
      <c r="A7" s="49">
        <v>5</v>
      </c>
      <c r="B7" s="49" t="s">
        <v>69</v>
      </c>
      <c r="C7" s="49"/>
      <c r="D7" s="42">
        <v>12</v>
      </c>
      <c r="E7" s="49"/>
      <c r="F7" s="42">
        <v>353.99</v>
      </c>
      <c r="G7" s="58">
        <f t="shared" si="2"/>
        <v>3810.34836</v>
      </c>
      <c r="H7" s="42">
        <f t="shared" si="3"/>
        <v>3810.34836</v>
      </c>
      <c r="I7" s="43">
        <v>2024</v>
      </c>
      <c r="J7" s="44">
        <v>2025</v>
      </c>
      <c r="K7" s="44">
        <f t="shared" si="0"/>
        <v>1</v>
      </c>
      <c r="L7" s="44">
        <v>60</v>
      </c>
      <c r="M7" s="45">
        <v>0</v>
      </c>
      <c r="N7" s="46">
        <f t="shared" si="4"/>
        <v>1.6666666666666666E-2</v>
      </c>
      <c r="O7" s="42">
        <v>1500</v>
      </c>
      <c r="P7" s="41">
        <f t="shared" si="7"/>
        <v>5715522.54</v>
      </c>
      <c r="Q7" s="41">
        <f t="shared" si="8"/>
        <v>95258.709000000003</v>
      </c>
      <c r="R7" s="47">
        <v>0</v>
      </c>
      <c r="S7" s="41">
        <f t="shared" si="9"/>
        <v>5620263.8310000002</v>
      </c>
      <c r="T7" s="41">
        <f t="shared" si="10"/>
        <v>5620263.8310000002</v>
      </c>
      <c r="U7">
        <v>8040</v>
      </c>
      <c r="V7">
        <f t="shared" si="6"/>
        <v>2846079.6</v>
      </c>
      <c r="X7" s="52"/>
      <c r="Y7" s="52"/>
      <c r="Z7" s="52"/>
      <c r="AA7" s="52"/>
      <c r="AB7" s="56" t="s">
        <v>25</v>
      </c>
      <c r="AC7" s="61">
        <f>ROUND(AC6,-6)</f>
        <v>531000000</v>
      </c>
      <c r="AD7" s="62"/>
    </row>
    <row r="8" spans="1:31" ht="15" customHeight="1" x14ac:dyDescent="0.25">
      <c r="A8" s="49">
        <v>6</v>
      </c>
      <c r="B8" s="49" t="s">
        <v>62</v>
      </c>
      <c r="C8" s="42"/>
      <c r="D8" s="42"/>
      <c r="E8" s="42"/>
      <c r="F8" s="42">
        <v>40.1</v>
      </c>
      <c r="G8" s="58">
        <f t="shared" si="2"/>
        <v>431.63639999999998</v>
      </c>
      <c r="H8" s="42">
        <f t="shared" si="3"/>
        <v>431.63639999999998</v>
      </c>
      <c r="I8" s="43">
        <v>2024</v>
      </c>
      <c r="J8" s="44">
        <v>2025</v>
      </c>
      <c r="K8" s="44">
        <f t="shared" si="0"/>
        <v>1</v>
      </c>
      <c r="L8" s="44">
        <v>60</v>
      </c>
      <c r="M8" s="45">
        <v>0</v>
      </c>
      <c r="N8" s="46">
        <f t="shared" si="4"/>
        <v>1.6666666666666666E-2</v>
      </c>
      <c r="O8" s="42">
        <v>1500</v>
      </c>
      <c r="P8" s="41">
        <f t="shared" si="7"/>
        <v>647454.6</v>
      </c>
      <c r="Q8" s="41">
        <f t="shared" si="8"/>
        <v>10790.91</v>
      </c>
      <c r="R8" s="47">
        <v>0</v>
      </c>
      <c r="S8" s="41">
        <f t="shared" si="9"/>
        <v>636663.68999999994</v>
      </c>
      <c r="T8" s="41">
        <f t="shared" si="10"/>
        <v>636663.68999999994</v>
      </c>
      <c r="U8">
        <v>8040</v>
      </c>
      <c r="V8">
        <f t="shared" si="6"/>
        <v>322404</v>
      </c>
      <c r="X8" s="52"/>
      <c r="Y8" s="52"/>
      <c r="Z8" s="52"/>
      <c r="AA8" s="52"/>
      <c r="AB8" s="56" t="s">
        <v>26</v>
      </c>
      <c r="AC8" s="63">
        <f>AC7*AE14</f>
        <v>451350000</v>
      </c>
      <c r="AD8" s="64"/>
      <c r="AE8">
        <v>1.196</v>
      </c>
    </row>
    <row r="9" spans="1:31" x14ac:dyDescent="0.25">
      <c r="A9" s="66" t="s">
        <v>23</v>
      </c>
      <c r="B9" s="66"/>
      <c r="C9" s="66"/>
      <c r="D9" s="66"/>
      <c r="E9" s="66"/>
      <c r="F9" s="42">
        <v>40.1</v>
      </c>
      <c r="G9" s="50">
        <f>SUM(G4:G4)</f>
        <v>7268.6062799999991</v>
      </c>
      <c r="H9" s="50"/>
      <c r="I9" s="43"/>
      <c r="J9" s="43"/>
      <c r="K9" s="43"/>
      <c r="L9" s="43"/>
      <c r="M9" s="45"/>
      <c r="N9" s="46"/>
      <c r="O9" s="41"/>
      <c r="P9" s="51">
        <f>SUM(P3:P8)</f>
        <v>41053562.316</v>
      </c>
      <c r="Q9" s="51">
        <f>SUM(Q4:Q4)</f>
        <v>193829.50079999998</v>
      </c>
      <c r="R9" s="51">
        <f>SUM(R4:R4)</f>
        <v>0</v>
      </c>
      <c r="S9" s="51">
        <f>SUM(S3:S8)</f>
        <v>40369336.277399994</v>
      </c>
      <c r="T9" s="51">
        <f>SUM(T3:T8)</f>
        <v>40369336.277399994</v>
      </c>
      <c r="V9" s="34">
        <f>SUM(V3:V8)</f>
        <v>19718984.399999999</v>
      </c>
      <c r="X9" s="52"/>
      <c r="Y9" s="52"/>
      <c r="Z9" s="52"/>
      <c r="AA9" s="52"/>
      <c r="AB9" s="56" t="s">
        <v>27</v>
      </c>
      <c r="AC9" s="61">
        <f>AC7*AE15</f>
        <v>398250000</v>
      </c>
      <c r="AD9" s="61"/>
    </row>
    <row r="10" spans="1:31" x14ac:dyDescent="0.25">
      <c r="A10" s="67" t="s">
        <v>29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AB10" s="3" t="s">
        <v>28</v>
      </c>
      <c r="AC10" s="65">
        <f>P9*0.8</f>
        <v>32842849.8528</v>
      </c>
      <c r="AD10" s="65"/>
    </row>
    <row r="11" spans="1:31" s="52" customFormat="1" x14ac:dyDescent="0.25">
      <c r="A11" s="68" t="s">
        <v>30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X11"/>
      <c r="Y11"/>
      <c r="Z11" s="3" t="s">
        <v>24</v>
      </c>
      <c r="AA11" s="8">
        <f>(AC3-AA4)/AC3</f>
        <v>0.75360000000000005</v>
      </c>
      <c r="AB11"/>
      <c r="AC11" s="10"/>
      <c r="AD11" s="10"/>
    </row>
    <row r="12" spans="1:31" s="52" customFormat="1" x14ac:dyDescent="0.25">
      <c r="A12" s="68" t="s">
        <v>31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X12"/>
      <c r="Y12"/>
      <c r="Z12"/>
      <c r="AA12" s="9"/>
      <c r="AB12" s="20"/>
      <c r="AC12" s="21"/>
      <c r="AD12" s="21"/>
    </row>
    <row r="13" spans="1:31" s="52" customFormat="1" x14ac:dyDescent="0.25">
      <c r="A13" s="68" t="s">
        <v>32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X13"/>
      <c r="Y13"/>
      <c r="Z13"/>
      <c r="AA13" s="9"/>
      <c r="AB13" s="20"/>
      <c r="AC13" s="20"/>
      <c r="AD13" s="20"/>
    </row>
    <row r="14" spans="1:31" s="52" customFormat="1" x14ac:dyDescent="0.25">
      <c r="A14" s="68" t="s">
        <v>33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V14" s="60">
        <f>V9+AA3</f>
        <v>140642864.40000001</v>
      </c>
      <c r="X14"/>
      <c r="Y14"/>
      <c r="Z14" s="20"/>
      <c r="AA14" s="20"/>
      <c r="AB14" s="20"/>
      <c r="AC14" s="20">
        <f>1620/10.764</f>
        <v>150.50167224080269</v>
      </c>
      <c r="AD14" s="20"/>
      <c r="AE14" s="57">
        <v>0.85</v>
      </c>
    </row>
    <row r="15" spans="1:31" ht="15" customHeight="1" x14ac:dyDescent="0.25">
      <c r="Z15" s="20"/>
      <c r="AA15" s="20"/>
      <c r="AB15" s="20"/>
      <c r="AC15" s="20"/>
      <c r="AD15" s="23"/>
      <c r="AE15" s="26">
        <v>0.75</v>
      </c>
    </row>
    <row r="16" spans="1:31" ht="11.25" customHeight="1" x14ac:dyDescent="0.25">
      <c r="Y16">
        <f>200.74*10.764</f>
        <v>2160.7653599999999</v>
      </c>
      <c r="Z16" s="74">
        <f>5.74*10^7</f>
        <v>57400000</v>
      </c>
      <c r="AA16" s="74"/>
      <c r="AB16" s="20"/>
      <c r="AC16" s="20"/>
      <c r="AD16" s="23"/>
    </row>
    <row r="17" spans="4:36" ht="24" customHeight="1" x14ac:dyDescent="0.25">
      <c r="T17" s="15">
        <v>0.42</v>
      </c>
      <c r="Z17" s="32">
        <f>Z16/440</f>
        <v>130454.54545454546</v>
      </c>
      <c r="AA17" s="20"/>
      <c r="AB17" s="20">
        <f>0.75*10^7/88.9</f>
        <v>84364.454443194598</v>
      </c>
      <c r="AC17" s="25"/>
      <c r="AD17" s="22"/>
    </row>
    <row r="18" spans="4:36" ht="26.25" customHeight="1" x14ac:dyDescent="0.25">
      <c r="D18" s="12"/>
      <c r="J18" s="73">
        <f>220*10^7</f>
        <v>2200000000</v>
      </c>
      <c r="K18" s="73"/>
      <c r="L18" s="3"/>
      <c r="M18" s="3"/>
      <c r="N18" s="3"/>
      <c r="O18" s="11"/>
      <c r="P18" s="11"/>
      <c r="Q18" s="11"/>
      <c r="R18" s="11"/>
      <c r="T18" s="11"/>
      <c r="Z18" s="20"/>
      <c r="AA18" s="24"/>
      <c r="AB18" s="20"/>
      <c r="AC18" s="20"/>
      <c r="AD18" s="20"/>
    </row>
    <row r="19" spans="4:36" ht="16.5" customHeight="1" x14ac:dyDescent="0.25">
      <c r="J19" s="3" t="s">
        <v>35</v>
      </c>
      <c r="K19" s="3">
        <v>18494</v>
      </c>
      <c r="L19" s="3">
        <v>1500</v>
      </c>
      <c r="M19" s="3">
        <f>L19*T17</f>
        <v>630</v>
      </c>
      <c r="N19" s="17">
        <f>M19*K19</f>
        <v>11651220</v>
      </c>
      <c r="P19" s="12"/>
      <c r="Q19" s="12"/>
      <c r="R19" s="13"/>
      <c r="S19" s="12"/>
      <c r="T19" s="12"/>
      <c r="Y19" s="16">
        <f>T21+AA3</f>
        <v>124115640</v>
      </c>
      <c r="Z19" s="20"/>
      <c r="AA19" s="20"/>
      <c r="AE19" s="20">
        <f>300*AE8</f>
        <v>358.8</v>
      </c>
    </row>
    <row r="20" spans="4:36" ht="15" customHeight="1" x14ac:dyDescent="0.25">
      <c r="J20" s="3" t="s">
        <v>36</v>
      </c>
      <c r="K20" s="18">
        <f>19883/9</f>
        <v>2209.2222222222222</v>
      </c>
      <c r="L20" s="3"/>
      <c r="M20" s="19">
        <f>N20/K20</f>
        <v>990551.67831816128</v>
      </c>
      <c r="N20" s="19">
        <f>J18-N19</f>
        <v>2188348780</v>
      </c>
      <c r="P20" s="12"/>
      <c r="Q20" s="12"/>
      <c r="R20" s="13"/>
      <c r="S20" s="12"/>
      <c r="T20" s="12" t="s">
        <v>41</v>
      </c>
      <c r="AE20" s="20">
        <f>500*AE8</f>
        <v>598</v>
      </c>
      <c r="AJ20" s="15">
        <v>0.42</v>
      </c>
    </row>
    <row r="21" spans="4:36" x14ac:dyDescent="0.25">
      <c r="P21" s="12"/>
      <c r="Q21" s="12"/>
      <c r="R21" s="13"/>
      <c r="S21" s="12"/>
      <c r="T21" s="12">
        <f>9360*341</f>
        <v>3191760</v>
      </c>
      <c r="AE21" s="23"/>
      <c r="AF21" s="11"/>
      <c r="AG21" s="11"/>
      <c r="AH21" s="11"/>
      <c r="AJ21" s="11"/>
    </row>
    <row r="22" spans="4:36" x14ac:dyDescent="0.25">
      <c r="P22" s="12"/>
      <c r="Q22" s="12"/>
      <c r="R22" s="13"/>
      <c r="S22" s="12"/>
      <c r="T22" s="12"/>
      <c r="AE22" s="23"/>
      <c r="AF22" s="12"/>
      <c r="AG22" s="12"/>
      <c r="AH22" s="13"/>
      <c r="AI22" s="12"/>
      <c r="AJ22" s="12"/>
    </row>
    <row r="23" spans="4:36" x14ac:dyDescent="0.25">
      <c r="P23" s="12"/>
      <c r="Q23" s="12"/>
      <c r="R23" s="13"/>
      <c r="S23" s="12"/>
      <c r="T23" s="12"/>
      <c r="AE23" s="22"/>
      <c r="AF23" s="12"/>
      <c r="AG23" s="12"/>
      <c r="AH23" s="13"/>
      <c r="AI23" s="12"/>
      <c r="AJ23" s="12"/>
    </row>
    <row r="24" spans="4:36" x14ac:dyDescent="0.25">
      <c r="P24" s="12"/>
      <c r="Q24" s="12"/>
      <c r="R24" s="13"/>
      <c r="S24" s="12"/>
      <c r="T24" s="12"/>
      <c r="AE24" s="20"/>
      <c r="AF24" s="12"/>
      <c r="AG24" s="12"/>
      <c r="AH24" s="13"/>
      <c r="AI24" s="12"/>
      <c r="AJ24" s="12"/>
    </row>
    <row r="25" spans="4:36" ht="29.25" customHeight="1" x14ac:dyDescent="0.25">
      <c r="O25" s="34">
        <f>90000*F4</f>
        <v>60774300</v>
      </c>
      <c r="P25" s="12"/>
      <c r="Q25" s="12"/>
      <c r="R25" s="13"/>
      <c r="S25" s="12"/>
      <c r="T25" s="12"/>
    </row>
    <row r="26" spans="4:36" x14ac:dyDescent="0.25">
      <c r="P26" s="12"/>
      <c r="Q26" s="12"/>
      <c r="R26" s="13"/>
      <c r="S26" s="12"/>
      <c r="T26" s="12"/>
    </row>
    <row r="27" spans="4:36" x14ac:dyDescent="0.25">
      <c r="Q27" s="12"/>
      <c r="R27" s="12"/>
      <c r="S27" s="12"/>
    </row>
    <row r="28" spans="4:36" ht="28.5" customHeight="1" x14ac:dyDescent="0.25"/>
    <row r="29" spans="4:36" ht="15" customHeight="1" x14ac:dyDescent="0.25"/>
    <row r="30" spans="4:36" ht="15" customHeight="1" x14ac:dyDescent="0.25"/>
    <row r="31" spans="4:36" ht="15" customHeight="1" x14ac:dyDescent="0.25"/>
    <row r="32" spans="4:36" ht="28.5" customHeight="1" x14ac:dyDescent="0.25"/>
    <row r="33" ht="15" customHeight="1" x14ac:dyDescent="0.25"/>
    <row r="35" ht="33" customHeight="1" x14ac:dyDescent="0.25"/>
  </sheetData>
  <mergeCells count="18">
    <mergeCell ref="Z16:AA16"/>
    <mergeCell ref="A1:T1"/>
    <mergeCell ref="J18:K18"/>
    <mergeCell ref="A14:T14"/>
    <mergeCell ref="A13:T13"/>
    <mergeCell ref="A12:T12"/>
    <mergeCell ref="A11:T11"/>
    <mergeCell ref="AC2:AD2"/>
    <mergeCell ref="AC3:AD3"/>
    <mergeCell ref="X4:Z4"/>
    <mergeCell ref="AC4:AD4"/>
    <mergeCell ref="AC6:AD6"/>
    <mergeCell ref="AC7:AD7"/>
    <mergeCell ref="AC8:AD8"/>
    <mergeCell ref="AC9:AD9"/>
    <mergeCell ref="AC10:AD10"/>
    <mergeCell ref="A9:E9"/>
    <mergeCell ref="A10:T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8"/>
  <sheetViews>
    <sheetView workbookViewId="0">
      <selection activeCell="L7" sqref="K7:L11"/>
    </sheetView>
  </sheetViews>
  <sheetFormatPr defaultRowHeight="15" x14ac:dyDescent="0.25"/>
  <cols>
    <col min="4" max="4" width="27.28515625" bestFit="1" customWidth="1"/>
    <col min="10" max="10" width="12.5703125" bestFit="1" customWidth="1"/>
    <col min="11" max="11" width="14.28515625" bestFit="1" customWidth="1"/>
    <col min="12" max="12" width="11.5703125" bestFit="1" customWidth="1"/>
    <col min="13" max="13" width="17.28515625" bestFit="1" customWidth="1"/>
    <col min="16" max="16" width="15.28515625" bestFit="1" customWidth="1"/>
  </cols>
  <sheetData>
    <row r="5" spans="4:16" x14ac:dyDescent="0.25">
      <c r="E5" t="s">
        <v>43</v>
      </c>
    </row>
    <row r="6" spans="4:16" x14ac:dyDescent="0.25">
      <c r="D6" t="s">
        <v>42</v>
      </c>
      <c r="E6">
        <v>1308.712</v>
      </c>
      <c r="J6" s="7"/>
      <c r="K6" s="7" t="s">
        <v>63</v>
      </c>
      <c r="L6" s="7" t="s">
        <v>64</v>
      </c>
      <c r="M6" s="7" t="s">
        <v>65</v>
      </c>
      <c r="P6">
        <v>46200</v>
      </c>
    </row>
    <row r="7" spans="4:16" x14ac:dyDescent="0.25">
      <c r="D7" t="s">
        <v>44</v>
      </c>
      <c r="E7">
        <v>654.35599999999999</v>
      </c>
      <c r="J7" s="7" t="s">
        <v>50</v>
      </c>
      <c r="K7" s="7">
        <v>0</v>
      </c>
      <c r="L7" s="7">
        <v>675.27</v>
      </c>
      <c r="M7" s="7">
        <f>L7+K7</f>
        <v>675.27</v>
      </c>
      <c r="P7">
        <v>2</v>
      </c>
    </row>
    <row r="8" spans="4:16" x14ac:dyDescent="0.25">
      <c r="D8" t="s">
        <v>45</v>
      </c>
      <c r="E8">
        <v>2617.424</v>
      </c>
      <c r="J8" s="7" t="s">
        <v>58</v>
      </c>
      <c r="K8" s="7">
        <v>620.25</v>
      </c>
      <c r="L8" s="7">
        <v>55.02</v>
      </c>
      <c r="M8" s="7">
        <f t="shared" ref="M8:M12" si="0">L8+K8</f>
        <v>675.27</v>
      </c>
      <c r="P8" s="34">
        <f>P7*P6</f>
        <v>92400</v>
      </c>
    </row>
    <row r="9" spans="4:16" x14ac:dyDescent="0.25">
      <c r="F9" t="s">
        <v>43</v>
      </c>
      <c r="J9" s="7" t="s">
        <v>59</v>
      </c>
      <c r="K9" s="7">
        <v>326.48</v>
      </c>
      <c r="L9" s="7">
        <v>27.51</v>
      </c>
      <c r="M9" s="7">
        <f t="shared" si="0"/>
        <v>353.99</v>
      </c>
      <c r="P9">
        <v>1308.7</v>
      </c>
    </row>
    <row r="10" spans="4:16" x14ac:dyDescent="0.25">
      <c r="D10" t="s">
        <v>46</v>
      </c>
      <c r="E10" t="s">
        <v>50</v>
      </c>
      <c r="F10">
        <v>620.25</v>
      </c>
      <c r="J10" s="7" t="s">
        <v>60</v>
      </c>
      <c r="K10" s="7">
        <v>326.48</v>
      </c>
      <c r="L10" s="7">
        <v>27.51</v>
      </c>
      <c r="M10" s="7">
        <f t="shared" si="0"/>
        <v>353.99</v>
      </c>
      <c r="P10" s="34">
        <f>P9*P8</f>
        <v>120923880</v>
      </c>
    </row>
    <row r="11" spans="4:16" x14ac:dyDescent="0.25">
      <c r="D11" t="s">
        <v>46</v>
      </c>
      <c r="E11" t="s">
        <v>40</v>
      </c>
      <c r="F11">
        <v>620.25</v>
      </c>
      <c r="J11" s="7" t="s">
        <v>61</v>
      </c>
      <c r="K11" s="7">
        <v>326.48</v>
      </c>
      <c r="L11" s="7">
        <v>27.51</v>
      </c>
      <c r="M11" s="7">
        <f t="shared" si="0"/>
        <v>353.99</v>
      </c>
    </row>
    <row r="12" spans="4:16" x14ac:dyDescent="0.25">
      <c r="D12" t="s">
        <v>46</v>
      </c>
      <c r="E12" t="s">
        <v>47</v>
      </c>
      <c r="F12">
        <v>326.48</v>
      </c>
      <c r="J12" s="7" t="s">
        <v>62</v>
      </c>
      <c r="K12" s="7">
        <v>0</v>
      </c>
      <c r="L12" s="7">
        <v>40.1</v>
      </c>
      <c r="M12" s="7">
        <f t="shared" si="0"/>
        <v>40.1</v>
      </c>
    </row>
    <row r="13" spans="4:16" x14ac:dyDescent="0.25">
      <c r="D13" t="s">
        <v>46</v>
      </c>
      <c r="E13" t="s">
        <v>48</v>
      </c>
      <c r="F13">
        <v>326.48</v>
      </c>
      <c r="J13" s="7" t="s">
        <v>23</v>
      </c>
      <c r="K13" s="7">
        <f>SUM(K7:K12)</f>
        <v>1599.69</v>
      </c>
      <c r="L13" s="7">
        <f t="shared" ref="L13:M13" si="1">SUM(L7:L12)</f>
        <v>852.92</v>
      </c>
      <c r="M13" s="7">
        <f t="shared" si="1"/>
        <v>2452.61</v>
      </c>
    </row>
    <row r="14" spans="4:16" x14ac:dyDescent="0.25">
      <c r="D14" t="s">
        <v>46</v>
      </c>
      <c r="E14" t="s">
        <v>49</v>
      </c>
      <c r="F14">
        <v>326.48</v>
      </c>
    </row>
    <row r="16" spans="4:16" x14ac:dyDescent="0.25">
      <c r="D16" t="s">
        <v>51</v>
      </c>
      <c r="E16">
        <v>1599.69</v>
      </c>
    </row>
    <row r="17" spans="1:12" x14ac:dyDescent="0.25">
      <c r="D17" t="s">
        <v>52</v>
      </c>
      <c r="E17" s="35">
        <v>1.2222999999999999</v>
      </c>
    </row>
    <row r="20" spans="1:12" x14ac:dyDescent="0.25">
      <c r="A20" t="s">
        <v>53</v>
      </c>
      <c r="B20" t="s">
        <v>54</v>
      </c>
      <c r="K20">
        <v>70000</v>
      </c>
    </row>
    <row r="21" spans="1:12" x14ac:dyDescent="0.25">
      <c r="D21" t="s">
        <v>55</v>
      </c>
      <c r="E21">
        <v>31.99</v>
      </c>
      <c r="F21" t="s">
        <v>53</v>
      </c>
      <c r="K21" s="36">
        <v>0.65</v>
      </c>
    </row>
    <row r="22" spans="1:12" x14ac:dyDescent="0.25">
      <c r="D22" t="s">
        <v>56</v>
      </c>
      <c r="E22">
        <v>27.28</v>
      </c>
      <c r="F22" t="s">
        <v>53</v>
      </c>
      <c r="K22">
        <f>K21*K20</f>
        <v>45500</v>
      </c>
      <c r="L22">
        <v>46000</v>
      </c>
    </row>
    <row r="23" spans="1:12" x14ac:dyDescent="0.25">
      <c r="D23" t="s">
        <v>57</v>
      </c>
      <c r="E23">
        <v>18.510000000000002</v>
      </c>
      <c r="F23" t="s">
        <v>53</v>
      </c>
      <c r="K23">
        <v>1350</v>
      </c>
    </row>
    <row r="24" spans="1:12" x14ac:dyDescent="0.25">
      <c r="D24" t="s">
        <v>23</v>
      </c>
      <c r="E24">
        <v>45.79</v>
      </c>
      <c r="F24" t="s">
        <v>53</v>
      </c>
      <c r="K24" s="34">
        <f>L22*K23</f>
        <v>62100000</v>
      </c>
    </row>
    <row r="25" spans="1:12" x14ac:dyDescent="0.25">
      <c r="J25" s="36"/>
      <c r="K25" s="34">
        <f>K24*J25</f>
        <v>0</v>
      </c>
    </row>
    <row r="26" spans="1:12" x14ac:dyDescent="0.25">
      <c r="K26" s="34">
        <f>K25+K24</f>
        <v>62100000</v>
      </c>
      <c r="L26" s="16">
        <f>ROUND(K26,-5)</f>
        <v>62100000</v>
      </c>
    </row>
    <row r="27" spans="1:12" x14ac:dyDescent="0.25">
      <c r="J27" s="36">
        <v>0.85</v>
      </c>
      <c r="K27" s="16">
        <f>J27*L26</f>
        <v>52785000</v>
      </c>
    </row>
    <row r="28" spans="1:12" x14ac:dyDescent="0.25">
      <c r="J28" s="36">
        <v>0.75</v>
      </c>
      <c r="K28" s="16">
        <f>J28*L26</f>
        <v>46575000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Manmohan Dubey</dc:creator>
  <cp:lastModifiedBy>Anuj</cp:lastModifiedBy>
  <dcterms:created xsi:type="dcterms:W3CDTF">2015-06-05T18:17:20Z</dcterms:created>
  <dcterms:modified xsi:type="dcterms:W3CDTF">2025-03-25T11:47:54Z</dcterms:modified>
</cp:coreProperties>
</file>