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In Progress Files\Nishchay Gautam\Draft Shared\VIS(2024-25)-PL884-777-1058 Ms. Urban Infrastructure Holdings Pvt Ltd\Working\"/>
    </mc:Choice>
  </mc:AlternateContent>
  <bookViews>
    <workbookView xWindow="0" yWindow="0" windowWidth="10215" windowHeight="7680" activeTab="1"/>
  </bookViews>
  <sheets>
    <sheet name="Market Approach" sheetId="17" r:id="rId1"/>
    <sheet name="Model(Capitilization Rate)" sheetId="16" r:id="rId2"/>
    <sheet name="Model(60 Year projection)" sheetId="3" r:id="rId3"/>
    <sheet name="Security Deposit" sheetId="11" r:id="rId4"/>
    <sheet name="Maintainence Deposit" sheetId="14" r:id="rId5"/>
    <sheet name="Cost of Construction" sheetId="13" r:id="rId6"/>
    <sheet name="Lease. Rent" sheetId="15" r:id="rId7"/>
    <sheet name="Rent Shown By Company" sheetId="12" r:id="rId8"/>
    <sheet name=" Dep" sheetId="4" r:id="rId9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6" l="1"/>
  <c r="G9" i="16"/>
  <c r="H9" i="16"/>
  <c r="I9" i="16"/>
  <c r="J9" i="16"/>
  <c r="K9" i="16"/>
  <c r="L9" i="16"/>
  <c r="M9" i="16"/>
  <c r="N9" i="16"/>
  <c r="O9" i="16"/>
  <c r="F8" i="16"/>
  <c r="G8" i="16"/>
  <c r="H8" i="16"/>
  <c r="I8" i="16"/>
  <c r="J8" i="16"/>
  <c r="K8" i="16"/>
  <c r="L8" i="16"/>
  <c r="M8" i="16"/>
  <c r="N8" i="16"/>
  <c r="O8" i="16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W15" i="3"/>
  <c r="M12" i="14" l="1"/>
  <c r="N11" i="11"/>
  <c r="AW14" i="3"/>
  <c r="F18" i="17" l="1"/>
  <c r="E18" i="17"/>
  <c r="E16" i="17" l="1"/>
  <c r="E15" i="17"/>
  <c r="E7" i="17"/>
  <c r="E4" i="17"/>
  <c r="J5" i="17"/>
  <c r="K5" i="17" s="1"/>
  <c r="J6" i="17"/>
  <c r="K6" i="17" s="1"/>
  <c r="J7" i="17"/>
  <c r="J4" i="17"/>
  <c r="K4" i="17" s="1"/>
  <c r="E8" i="17" l="1"/>
  <c r="K7" i="17"/>
  <c r="K8" i="17" s="1"/>
  <c r="K14" i="17" s="1"/>
  <c r="K15" i="17" s="1"/>
  <c r="K17" i="17" l="1"/>
  <c r="K16" i="17"/>
  <c r="D14" i="12"/>
  <c r="D15" i="12"/>
  <c r="I35" i="16"/>
  <c r="C49" i="16" l="1"/>
  <c r="F48" i="16"/>
  <c r="F49" i="16" s="1"/>
  <c r="D48" i="16"/>
  <c r="D47" i="16"/>
  <c r="G13" i="16"/>
  <c r="L13" i="16" s="1"/>
  <c r="F12" i="16"/>
  <c r="F5" i="16"/>
  <c r="G5" i="16" s="1"/>
  <c r="H5" i="16" s="1"/>
  <c r="I5" i="16" s="1"/>
  <c r="I1" i="16" s="1"/>
  <c r="F3" i="16"/>
  <c r="G3" i="16" s="1"/>
  <c r="H3" i="16" s="1"/>
  <c r="I3" i="16" s="1"/>
  <c r="J3" i="16" s="1"/>
  <c r="K3" i="16" s="1"/>
  <c r="L3" i="16" s="1"/>
  <c r="M3" i="16" s="1"/>
  <c r="N3" i="16" s="1"/>
  <c r="O3" i="16" s="1"/>
  <c r="D45" i="3"/>
  <c r="D46" i="3"/>
  <c r="C47" i="3"/>
  <c r="H11" i="12"/>
  <c r="G10" i="12"/>
  <c r="G9" i="14"/>
  <c r="H9" i="14" s="1"/>
  <c r="I9" i="14" s="1"/>
  <c r="J9" i="14" s="1"/>
  <c r="D17" i="14"/>
  <c r="E9" i="11"/>
  <c r="G8" i="11"/>
  <c r="F8" i="11"/>
  <c r="E8" i="11"/>
  <c r="H8" i="11"/>
  <c r="I8" i="11" s="1"/>
  <c r="J8" i="11" s="1"/>
  <c r="K8" i="11" s="1"/>
  <c r="L8" i="11" s="1"/>
  <c r="M8" i="11" s="1"/>
  <c r="N8" i="11" s="1"/>
  <c r="O8" i="11" s="1"/>
  <c r="P8" i="11" s="1"/>
  <c r="Q8" i="11" s="1"/>
  <c r="R8" i="11" s="1"/>
  <c r="S8" i="11" s="1"/>
  <c r="T8" i="11" s="1"/>
  <c r="U8" i="11" s="1"/>
  <c r="V8" i="11" s="1"/>
  <c r="W8" i="11" s="1"/>
  <c r="X8" i="11" s="1"/>
  <c r="Y8" i="11" s="1"/>
  <c r="Z8" i="11" s="1"/>
  <c r="AA8" i="11" s="1"/>
  <c r="AB8" i="11" s="1"/>
  <c r="AC8" i="11" s="1"/>
  <c r="AD8" i="11" s="1"/>
  <c r="AE8" i="11" s="1"/>
  <c r="AF8" i="11" s="1"/>
  <c r="AG8" i="11" s="1"/>
  <c r="AH8" i="11" s="1"/>
  <c r="AI8" i="11" s="1"/>
  <c r="AJ8" i="11" s="1"/>
  <c r="AK8" i="11" s="1"/>
  <c r="AL8" i="11" s="1"/>
  <c r="AM8" i="11" s="1"/>
  <c r="AN8" i="11" s="1"/>
  <c r="AO8" i="11" s="1"/>
  <c r="AP8" i="11" s="1"/>
  <c r="AQ8" i="11" s="1"/>
  <c r="AR8" i="11" s="1"/>
  <c r="AS8" i="11" s="1"/>
  <c r="AT8" i="11" s="1"/>
  <c r="AU8" i="11" s="1"/>
  <c r="AV8" i="11" s="1"/>
  <c r="E16" i="11"/>
  <c r="D10" i="14"/>
  <c r="D11" i="14" s="1"/>
  <c r="D16" i="15"/>
  <c r="D9" i="15" s="1"/>
  <c r="E9" i="15" s="1"/>
  <c r="F9" i="15" s="1"/>
  <c r="G9" i="15" s="1"/>
  <c r="H9" i="15" s="1"/>
  <c r="I9" i="15" s="1"/>
  <c r="J9" i="15" s="1"/>
  <c r="K9" i="15" s="1"/>
  <c r="L9" i="15" s="1"/>
  <c r="M9" i="15" s="1"/>
  <c r="N9" i="15" s="1"/>
  <c r="O9" i="15" s="1"/>
  <c r="P9" i="15" s="1"/>
  <c r="Q9" i="15" s="1"/>
  <c r="R9" i="15" s="1"/>
  <c r="S9" i="15" s="1"/>
  <c r="T9" i="15" s="1"/>
  <c r="U9" i="15" s="1"/>
  <c r="V9" i="15" s="1"/>
  <c r="W9" i="15" s="1"/>
  <c r="X9" i="15" s="1"/>
  <c r="Y9" i="15" s="1"/>
  <c r="Z9" i="15" s="1"/>
  <c r="AA9" i="15" s="1"/>
  <c r="AB9" i="15" s="1"/>
  <c r="AC9" i="15" s="1"/>
  <c r="AD9" i="15" s="1"/>
  <c r="AE9" i="15" s="1"/>
  <c r="AF9" i="15" s="1"/>
  <c r="AG9" i="15" s="1"/>
  <c r="AH9" i="15" s="1"/>
  <c r="AI9" i="15" s="1"/>
  <c r="AJ9" i="15" s="1"/>
  <c r="AK9" i="15" s="1"/>
  <c r="AL9" i="15" s="1"/>
  <c r="AM9" i="15" s="1"/>
  <c r="AN9" i="15" s="1"/>
  <c r="AO9" i="15" s="1"/>
  <c r="AP9" i="15" s="1"/>
  <c r="AQ9" i="15" s="1"/>
  <c r="AR9" i="15" s="1"/>
  <c r="AS9" i="15" s="1"/>
  <c r="AT9" i="15" s="1"/>
  <c r="AU9" i="15" s="1"/>
  <c r="F7" i="12"/>
  <c r="D5" i="15"/>
  <c r="E5" i="15" s="1"/>
  <c r="D12" i="15"/>
  <c r="AU6" i="14"/>
  <c r="AT6" i="14"/>
  <c r="AS6" i="14"/>
  <c r="AR6" i="14"/>
  <c r="AQ6" i="14"/>
  <c r="AP6" i="14"/>
  <c r="AO6" i="14"/>
  <c r="AN6" i="14"/>
  <c r="AM6" i="14"/>
  <c r="AL6" i="14"/>
  <c r="AK6" i="14"/>
  <c r="AJ6" i="14"/>
  <c r="AI6" i="14"/>
  <c r="AH6" i="14"/>
  <c r="AG6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F10" i="14" s="1"/>
  <c r="E6" i="14"/>
  <c r="F7" i="15"/>
  <c r="G7" i="15" s="1"/>
  <c r="H7" i="15" s="1"/>
  <c r="I7" i="15" s="1"/>
  <c r="J7" i="15" s="1"/>
  <c r="K7" i="15" s="1"/>
  <c r="L7" i="15" s="1"/>
  <c r="M7" i="15" s="1"/>
  <c r="N7" i="15" s="1"/>
  <c r="O7" i="15" s="1"/>
  <c r="P7" i="15" s="1"/>
  <c r="Q7" i="15" s="1"/>
  <c r="R7" i="15" s="1"/>
  <c r="S7" i="15" s="1"/>
  <c r="T7" i="15" s="1"/>
  <c r="U7" i="15" s="1"/>
  <c r="V7" i="15" s="1"/>
  <c r="W7" i="15" s="1"/>
  <c r="X7" i="15" s="1"/>
  <c r="Y7" i="15" s="1"/>
  <c r="Z7" i="15" s="1"/>
  <c r="AA7" i="15" s="1"/>
  <c r="AB7" i="15" s="1"/>
  <c r="AC7" i="15" s="1"/>
  <c r="AD7" i="15" s="1"/>
  <c r="AE7" i="15" s="1"/>
  <c r="AF7" i="15" s="1"/>
  <c r="AG7" i="15" s="1"/>
  <c r="AH7" i="15" s="1"/>
  <c r="AI7" i="15" s="1"/>
  <c r="AJ7" i="15" s="1"/>
  <c r="AK7" i="15" s="1"/>
  <c r="AL7" i="15" s="1"/>
  <c r="AM7" i="15" s="1"/>
  <c r="AN7" i="15" s="1"/>
  <c r="AO7" i="15" s="1"/>
  <c r="AP7" i="15" s="1"/>
  <c r="AQ7" i="15" s="1"/>
  <c r="AR7" i="15" s="1"/>
  <c r="AS7" i="15" s="1"/>
  <c r="AT7" i="15" s="1"/>
  <c r="AU7" i="15" s="1"/>
  <c r="F7" i="11"/>
  <c r="G7" i="11" s="1"/>
  <c r="H7" i="11" s="1"/>
  <c r="I7" i="11" s="1"/>
  <c r="J7" i="11" s="1"/>
  <c r="K7" i="11" s="1"/>
  <c r="L7" i="11" s="1"/>
  <c r="M7" i="11" s="1"/>
  <c r="N7" i="11" s="1"/>
  <c r="O7" i="11" s="1"/>
  <c r="P7" i="11" s="1"/>
  <c r="Q7" i="11" s="1"/>
  <c r="R7" i="11" s="1"/>
  <c r="S7" i="11" s="1"/>
  <c r="T7" i="11" s="1"/>
  <c r="U7" i="11" s="1"/>
  <c r="V7" i="11" s="1"/>
  <c r="W7" i="11" s="1"/>
  <c r="X7" i="11" s="1"/>
  <c r="Y7" i="11" s="1"/>
  <c r="Z7" i="11" s="1"/>
  <c r="AA7" i="11" s="1"/>
  <c r="AB7" i="11" s="1"/>
  <c r="AC7" i="11" s="1"/>
  <c r="AD7" i="11" s="1"/>
  <c r="AE7" i="11" s="1"/>
  <c r="AF7" i="11" s="1"/>
  <c r="AG7" i="11" s="1"/>
  <c r="AH7" i="11" s="1"/>
  <c r="AI7" i="11" s="1"/>
  <c r="AJ7" i="11" s="1"/>
  <c r="AK7" i="11" s="1"/>
  <c r="AL7" i="11" s="1"/>
  <c r="AM7" i="11" s="1"/>
  <c r="AN7" i="11" s="1"/>
  <c r="AO7" i="11" s="1"/>
  <c r="AP7" i="11" s="1"/>
  <c r="AQ7" i="11" s="1"/>
  <c r="AR7" i="11" s="1"/>
  <c r="AS7" i="11" s="1"/>
  <c r="AT7" i="11" s="1"/>
  <c r="AU7" i="11" s="1"/>
  <c r="AV7" i="11" s="1"/>
  <c r="H8" i="15"/>
  <c r="I8" i="15" s="1"/>
  <c r="J8" i="15" s="1"/>
  <c r="K8" i="15" s="1"/>
  <c r="L8" i="15" s="1"/>
  <c r="M8" i="15" s="1"/>
  <c r="N8" i="15" s="1"/>
  <c r="O8" i="15" s="1"/>
  <c r="P8" i="15" s="1"/>
  <c r="Q8" i="15" s="1"/>
  <c r="R8" i="15" s="1"/>
  <c r="S8" i="15" s="1"/>
  <c r="T8" i="15" s="1"/>
  <c r="U8" i="15" s="1"/>
  <c r="V8" i="15" s="1"/>
  <c r="W8" i="15" s="1"/>
  <c r="X8" i="15" s="1"/>
  <c r="Y8" i="15" s="1"/>
  <c r="Z8" i="15" s="1"/>
  <c r="AA8" i="15" s="1"/>
  <c r="AB8" i="15" s="1"/>
  <c r="AC8" i="15" s="1"/>
  <c r="AD8" i="15" s="1"/>
  <c r="AE8" i="15" s="1"/>
  <c r="AF8" i="15" s="1"/>
  <c r="AG8" i="15" s="1"/>
  <c r="AH8" i="15" s="1"/>
  <c r="AI8" i="15" s="1"/>
  <c r="AJ8" i="15" s="1"/>
  <c r="AK8" i="15" s="1"/>
  <c r="AL8" i="15" s="1"/>
  <c r="AM8" i="15" s="1"/>
  <c r="AN8" i="15" s="1"/>
  <c r="AO8" i="15" s="1"/>
  <c r="AP8" i="15" s="1"/>
  <c r="AQ8" i="15" s="1"/>
  <c r="AR8" i="15" s="1"/>
  <c r="AS8" i="15" s="1"/>
  <c r="AT8" i="15" s="1"/>
  <c r="AU8" i="15" s="1"/>
  <c r="E8" i="15"/>
  <c r="F8" i="15" s="1"/>
  <c r="G8" i="15" s="1"/>
  <c r="E8" i="14"/>
  <c r="F8" i="14" s="1"/>
  <c r="G8" i="14" s="1"/>
  <c r="H8" i="14" s="1"/>
  <c r="I8" i="14" s="1"/>
  <c r="J8" i="14" s="1"/>
  <c r="K8" i="14" s="1"/>
  <c r="L8" i="14" s="1"/>
  <c r="M8" i="14" s="1"/>
  <c r="N8" i="14" s="1"/>
  <c r="O8" i="14" s="1"/>
  <c r="P8" i="14" s="1"/>
  <c r="Q8" i="14" s="1"/>
  <c r="R8" i="14" s="1"/>
  <c r="S8" i="14" s="1"/>
  <c r="T8" i="14" s="1"/>
  <c r="U8" i="14" s="1"/>
  <c r="V8" i="14" s="1"/>
  <c r="W8" i="14" s="1"/>
  <c r="X8" i="14" s="1"/>
  <c r="Y8" i="14" s="1"/>
  <c r="Z8" i="14" s="1"/>
  <c r="AA8" i="14" s="1"/>
  <c r="AB8" i="14" s="1"/>
  <c r="AC8" i="14" s="1"/>
  <c r="AD8" i="14" s="1"/>
  <c r="AE8" i="14" s="1"/>
  <c r="AF8" i="14" s="1"/>
  <c r="AG8" i="14" s="1"/>
  <c r="AH8" i="14" s="1"/>
  <c r="AI8" i="14" s="1"/>
  <c r="AJ8" i="14" s="1"/>
  <c r="AK8" i="14" s="1"/>
  <c r="AL8" i="14" s="1"/>
  <c r="AM8" i="14" s="1"/>
  <c r="AN8" i="14" s="1"/>
  <c r="AO8" i="14" s="1"/>
  <c r="AP8" i="14" s="1"/>
  <c r="AQ8" i="14" s="1"/>
  <c r="AR8" i="14" s="1"/>
  <c r="AS8" i="14" s="1"/>
  <c r="AT8" i="14" s="1"/>
  <c r="AU8" i="14" s="1"/>
  <c r="D6" i="14"/>
  <c r="D14" i="14"/>
  <c r="D14" i="15"/>
  <c r="E6" i="15"/>
  <c r="F6" i="15" s="1"/>
  <c r="D6" i="15"/>
  <c r="D13" i="15"/>
  <c r="D15" i="15"/>
  <c r="D17" i="15" s="1"/>
  <c r="G5" i="14"/>
  <c r="H5" i="14" s="1"/>
  <c r="I5" i="14" s="1"/>
  <c r="J5" i="14" s="1"/>
  <c r="K5" i="14" s="1"/>
  <c r="L5" i="14" s="1"/>
  <c r="M5" i="14" s="1"/>
  <c r="N5" i="14" s="1"/>
  <c r="O5" i="14" s="1"/>
  <c r="P5" i="14" s="1"/>
  <c r="Q5" i="14" s="1"/>
  <c r="R5" i="14" s="1"/>
  <c r="S5" i="14" s="1"/>
  <c r="T5" i="14" s="1"/>
  <c r="U5" i="14" s="1"/>
  <c r="V5" i="14" s="1"/>
  <c r="W5" i="14" s="1"/>
  <c r="X5" i="14" s="1"/>
  <c r="G12" i="16" l="1"/>
  <c r="G16" i="16" s="1"/>
  <c r="F16" i="16"/>
  <c r="F5" i="15"/>
  <c r="E10" i="15"/>
  <c r="G7" i="16" s="1"/>
  <c r="D10" i="15"/>
  <c r="F7" i="16" s="1"/>
  <c r="F9" i="11"/>
  <c r="E10" i="14"/>
  <c r="E11" i="14" s="1"/>
  <c r="G9" i="11"/>
  <c r="F2" i="16"/>
  <c r="H2" i="16"/>
  <c r="G2" i="16"/>
  <c r="I2" i="16"/>
  <c r="G1" i="16"/>
  <c r="J5" i="16"/>
  <c r="F1" i="16"/>
  <c r="H1" i="16"/>
  <c r="K9" i="14"/>
  <c r="L9" i="14" s="1"/>
  <c r="M9" i="14" s="1"/>
  <c r="N9" i="14" s="1"/>
  <c r="O9" i="14" s="1"/>
  <c r="P9" i="14" s="1"/>
  <c r="Q9" i="14" s="1"/>
  <c r="R9" i="14" s="1"/>
  <c r="J10" i="14"/>
  <c r="K10" i="14"/>
  <c r="L10" i="14"/>
  <c r="M10" i="14"/>
  <c r="N10" i="14"/>
  <c r="G10" i="14"/>
  <c r="O10" i="14"/>
  <c r="H10" i="14"/>
  <c r="I10" i="14"/>
  <c r="G6" i="15"/>
  <c r="Y5" i="14"/>
  <c r="Z5" i="14" s="1"/>
  <c r="AA5" i="14" s="1"/>
  <c r="AB5" i="14" s="1"/>
  <c r="AC5" i="14" s="1"/>
  <c r="AD5" i="14" s="1"/>
  <c r="AE5" i="14" s="1"/>
  <c r="AF5" i="14" s="1"/>
  <c r="AG5" i="14" s="1"/>
  <c r="AH5" i="14" s="1"/>
  <c r="AI5" i="14" s="1"/>
  <c r="AJ5" i="14" s="1"/>
  <c r="AK5" i="14" s="1"/>
  <c r="AL5" i="14" s="1"/>
  <c r="AM5" i="14" s="1"/>
  <c r="AN5" i="14" s="1"/>
  <c r="AO5" i="14" s="1"/>
  <c r="AP5" i="14" s="1"/>
  <c r="AQ5" i="14" s="1"/>
  <c r="AR5" i="14" s="1"/>
  <c r="AS5" i="14" s="1"/>
  <c r="AT5" i="14" s="1"/>
  <c r="AU5" i="14" s="1"/>
  <c r="G7" i="3"/>
  <c r="F7" i="3"/>
  <c r="F11" i="14"/>
  <c r="I7" i="13"/>
  <c r="H7" i="13"/>
  <c r="H12" i="16" l="1"/>
  <c r="H16" i="16" s="1"/>
  <c r="F10" i="15"/>
  <c r="H7" i="16" s="1"/>
  <c r="G5" i="15"/>
  <c r="F29" i="16"/>
  <c r="F30" i="16" s="1"/>
  <c r="Q10" i="14"/>
  <c r="P10" i="14"/>
  <c r="K5" i="16"/>
  <c r="J2" i="16"/>
  <c r="J1" i="16"/>
  <c r="R10" i="14"/>
  <c r="S9" i="14"/>
  <c r="H6" i="15"/>
  <c r="I6" i="15" s="1"/>
  <c r="J6" i="15" s="1"/>
  <c r="K6" i="15" s="1"/>
  <c r="L6" i="15" s="1"/>
  <c r="M6" i="15" s="1"/>
  <c r="N6" i="15" s="1"/>
  <c r="O6" i="15" s="1"/>
  <c r="P6" i="15" s="1"/>
  <c r="Q6" i="15" s="1"/>
  <c r="R6" i="15" s="1"/>
  <c r="S6" i="15" s="1"/>
  <c r="T6" i="15" s="1"/>
  <c r="U6" i="15" s="1"/>
  <c r="V6" i="15" s="1"/>
  <c r="W6" i="15" s="1"/>
  <c r="X6" i="15" s="1"/>
  <c r="Y6" i="15" s="1"/>
  <c r="Z6" i="15" s="1"/>
  <c r="AA6" i="15" s="1"/>
  <c r="AB6" i="15" s="1"/>
  <c r="AC6" i="15" s="1"/>
  <c r="AD6" i="15" s="1"/>
  <c r="AE6" i="15" s="1"/>
  <c r="AF6" i="15" s="1"/>
  <c r="AG6" i="15" s="1"/>
  <c r="AH6" i="15" s="1"/>
  <c r="AI6" i="15" s="1"/>
  <c r="AJ6" i="15" s="1"/>
  <c r="AK6" i="15" s="1"/>
  <c r="AL6" i="15" s="1"/>
  <c r="AM6" i="15" s="1"/>
  <c r="AN6" i="15" s="1"/>
  <c r="AO6" i="15" s="1"/>
  <c r="AP6" i="15" s="1"/>
  <c r="AQ6" i="15" s="1"/>
  <c r="AR6" i="15" s="1"/>
  <c r="AS6" i="15" s="1"/>
  <c r="AT6" i="15" s="1"/>
  <c r="AU6" i="15" s="1"/>
  <c r="H7" i="3"/>
  <c r="G11" i="14"/>
  <c r="F12" i="3"/>
  <c r="F16" i="3" s="1"/>
  <c r="D25" i="13"/>
  <c r="D22" i="13"/>
  <c r="E22" i="13" s="1"/>
  <c r="E10" i="13"/>
  <c r="D15" i="13" s="1"/>
  <c r="E19" i="13" s="1"/>
  <c r="I12" i="16" l="1"/>
  <c r="I16" i="16" s="1"/>
  <c r="G29" i="16"/>
  <c r="H29" i="16" s="1"/>
  <c r="E25" i="13"/>
  <c r="H5" i="15"/>
  <c r="G10" i="15"/>
  <c r="I7" i="16" s="1"/>
  <c r="L5" i="16"/>
  <c r="K2" i="16"/>
  <c r="K1" i="16"/>
  <c r="T9" i="14"/>
  <c r="S10" i="14"/>
  <c r="H11" i="14"/>
  <c r="E20" i="13"/>
  <c r="E18" i="13"/>
  <c r="E21" i="13"/>
  <c r="E17" i="13"/>
  <c r="D23" i="13"/>
  <c r="D24" i="13" s="1"/>
  <c r="E24" i="13" s="1"/>
  <c r="D26" i="13"/>
  <c r="J12" i="16" l="1"/>
  <c r="J16" i="16" s="1"/>
  <c r="G30" i="16"/>
  <c r="I5" i="15"/>
  <c r="H10" i="15"/>
  <c r="J7" i="16" s="1"/>
  <c r="I7" i="3"/>
  <c r="E23" i="13"/>
  <c r="E26" i="13" s="1"/>
  <c r="H30" i="16"/>
  <c r="I29" i="16"/>
  <c r="M5" i="16"/>
  <c r="L2" i="16"/>
  <c r="L1" i="16"/>
  <c r="U9" i="14"/>
  <c r="T10" i="14"/>
  <c r="J7" i="3"/>
  <c r="I11" i="14"/>
  <c r="F5" i="13"/>
  <c r="G5" i="13" s="1"/>
  <c r="F9" i="13"/>
  <c r="G9" i="13" s="1"/>
  <c r="F6" i="13"/>
  <c r="G6" i="13" s="1"/>
  <c r="F4" i="13"/>
  <c r="G4" i="13" s="1"/>
  <c r="F7" i="13"/>
  <c r="G7" i="13" s="1"/>
  <c r="F8" i="13"/>
  <c r="G8" i="13" s="1"/>
  <c r="G13" i="3"/>
  <c r="D8" i="12"/>
  <c r="F6" i="12"/>
  <c r="J6" i="12" s="1"/>
  <c r="K6" i="12" s="1"/>
  <c r="F5" i="12"/>
  <c r="F4" i="12"/>
  <c r="F3" i="12"/>
  <c r="F2" i="12"/>
  <c r="K12" i="16" l="1"/>
  <c r="K16" i="16" s="1"/>
  <c r="D9" i="12"/>
  <c r="F12" i="12" s="1"/>
  <c r="J5" i="15"/>
  <c r="I10" i="15"/>
  <c r="K7" i="16" s="1"/>
  <c r="G10" i="13"/>
  <c r="G11" i="13" s="1"/>
  <c r="J29" i="16"/>
  <c r="I30" i="16"/>
  <c r="M2" i="16"/>
  <c r="N5" i="16"/>
  <c r="M1" i="16"/>
  <c r="V9" i="14"/>
  <c r="U10" i="14"/>
  <c r="J11" i="14"/>
  <c r="D6" i="4"/>
  <c r="F8" i="12"/>
  <c r="F10" i="11"/>
  <c r="G10" i="16" s="1"/>
  <c r="E10" i="11"/>
  <c r="F10" i="16" s="1"/>
  <c r="H4" i="11"/>
  <c r="L12" i="16" l="1"/>
  <c r="L16" i="16" s="1"/>
  <c r="I4" i="11"/>
  <c r="I9" i="11" s="1"/>
  <c r="H9" i="11"/>
  <c r="K5" i="15"/>
  <c r="J10" i="15"/>
  <c r="L7" i="16" s="1"/>
  <c r="D10" i="12"/>
  <c r="K7" i="3"/>
  <c r="F8" i="3"/>
  <c r="F10" i="3" s="1"/>
  <c r="G8" i="3"/>
  <c r="G10" i="3" s="1"/>
  <c r="G17" i="16"/>
  <c r="J30" i="16"/>
  <c r="K29" i="16"/>
  <c r="O5" i="16"/>
  <c r="N2" i="16"/>
  <c r="N1" i="16"/>
  <c r="W9" i="14"/>
  <c r="V10" i="14"/>
  <c r="L7" i="3"/>
  <c r="K11" i="14"/>
  <c r="G10" i="11"/>
  <c r="H10" i="16" s="1"/>
  <c r="F9" i="12"/>
  <c r="F10" i="12" s="1"/>
  <c r="J4" i="11"/>
  <c r="J9" i="11" s="1"/>
  <c r="M12" i="16" l="1"/>
  <c r="M16" i="16" s="1"/>
  <c r="K10" i="15"/>
  <c r="M7" i="16" s="1"/>
  <c r="L5" i="15"/>
  <c r="H8" i="3"/>
  <c r="H10" i="3" s="1"/>
  <c r="H17" i="16"/>
  <c r="F17" i="16"/>
  <c r="K30" i="16"/>
  <c r="L29" i="16"/>
  <c r="O2" i="16"/>
  <c r="O1" i="16"/>
  <c r="X9" i="14"/>
  <c r="W10" i="14"/>
  <c r="M7" i="3"/>
  <c r="L11" i="14"/>
  <c r="H10" i="11"/>
  <c r="I10" i="16" s="1"/>
  <c r="I10" i="11"/>
  <c r="J10" i="16" s="1"/>
  <c r="K4" i="11"/>
  <c r="K9" i="11" s="1"/>
  <c r="J10" i="11"/>
  <c r="K10" i="16" s="1"/>
  <c r="N12" i="16" l="1"/>
  <c r="N16" i="16" s="1"/>
  <c r="M5" i="15"/>
  <c r="L10" i="15"/>
  <c r="N7" i="16" s="1"/>
  <c r="J8" i="3"/>
  <c r="J10" i="3" s="1"/>
  <c r="J17" i="16"/>
  <c r="K8" i="3"/>
  <c r="K10" i="3" s="1"/>
  <c r="K17" i="16"/>
  <c r="I8" i="3"/>
  <c r="I10" i="3" s="1"/>
  <c r="I17" i="16"/>
  <c r="L30" i="16"/>
  <c r="M29" i="16"/>
  <c r="Y9" i="14"/>
  <c r="X10" i="14"/>
  <c r="M11" i="14"/>
  <c r="L4" i="11"/>
  <c r="L9" i="11" s="1"/>
  <c r="K10" i="11"/>
  <c r="L10" i="16" s="1"/>
  <c r="O12" i="16" l="1"/>
  <c r="O16" i="16" s="1"/>
  <c r="N5" i="15"/>
  <c r="M10" i="15"/>
  <c r="O7" i="16" s="1"/>
  <c r="N7" i="3"/>
  <c r="L8" i="3"/>
  <c r="L10" i="3" s="1"/>
  <c r="L17" i="16"/>
  <c r="N29" i="16"/>
  <c r="M30" i="16"/>
  <c r="Z9" i="14"/>
  <c r="Y10" i="14"/>
  <c r="O7" i="3"/>
  <c r="N11" i="14"/>
  <c r="M4" i="11"/>
  <c r="M9" i="11" s="1"/>
  <c r="L10" i="11"/>
  <c r="M10" i="16" s="1"/>
  <c r="O5" i="15" l="1"/>
  <c r="N10" i="15"/>
  <c r="M8" i="3"/>
  <c r="M10" i="3" s="1"/>
  <c r="M17" i="16"/>
  <c r="O29" i="16"/>
  <c r="N30" i="16"/>
  <c r="Z10" i="14"/>
  <c r="AA9" i="14"/>
  <c r="P7" i="3"/>
  <c r="O11" i="14"/>
  <c r="M10" i="11"/>
  <c r="N10" i="16" s="1"/>
  <c r="N4" i="11"/>
  <c r="N9" i="11" s="1"/>
  <c r="P5" i="15" l="1"/>
  <c r="O10" i="15"/>
  <c r="N8" i="3"/>
  <c r="N10" i="3" s="1"/>
  <c r="N17" i="16"/>
  <c r="O30" i="16"/>
  <c r="AB9" i="14"/>
  <c r="AA10" i="14"/>
  <c r="Q7" i="3"/>
  <c r="P11" i="14"/>
  <c r="O4" i="11"/>
  <c r="O9" i="11" s="1"/>
  <c r="N10" i="11"/>
  <c r="O10" i="16" s="1"/>
  <c r="Q5" i="15" l="1"/>
  <c r="P10" i="15"/>
  <c r="O8" i="3"/>
  <c r="O10" i="3" s="1"/>
  <c r="O17" i="16"/>
  <c r="AC9" i="14"/>
  <c r="AB10" i="14"/>
  <c r="R7" i="3"/>
  <c r="Q11" i="14"/>
  <c r="P4" i="11"/>
  <c r="P9" i="11" s="1"/>
  <c r="O10" i="11"/>
  <c r="P8" i="3" s="1"/>
  <c r="P10" i="3" s="1"/>
  <c r="F46" i="3"/>
  <c r="R5" i="15" l="1"/>
  <c r="Q10" i="15"/>
  <c r="AD9" i="14"/>
  <c r="AC10" i="14"/>
  <c r="S7" i="3"/>
  <c r="R11" i="14"/>
  <c r="P10" i="11"/>
  <c r="Q8" i="3" s="1"/>
  <c r="Q10" i="3" s="1"/>
  <c r="Q4" i="11"/>
  <c r="Q9" i="11" s="1"/>
  <c r="F20" i="3"/>
  <c r="S5" i="15" l="1"/>
  <c r="R10" i="15"/>
  <c r="AE9" i="14"/>
  <c r="AD10" i="14"/>
  <c r="T7" i="3"/>
  <c r="S11" i="14"/>
  <c r="R4" i="11"/>
  <c r="R9" i="11" s="1"/>
  <c r="Q10" i="11"/>
  <c r="R8" i="3" s="1"/>
  <c r="R10" i="3" s="1"/>
  <c r="D9" i="4"/>
  <c r="T5" i="15" l="1"/>
  <c r="S10" i="15"/>
  <c r="AF9" i="14"/>
  <c r="AE10" i="14"/>
  <c r="U7" i="3"/>
  <c r="T11" i="14"/>
  <c r="S4" i="11"/>
  <c r="S9" i="11" s="1"/>
  <c r="R10" i="11"/>
  <c r="S8" i="3" s="1"/>
  <c r="S10" i="3" s="1"/>
  <c r="U5" i="15" l="1"/>
  <c r="T10" i="15"/>
  <c r="AG9" i="14"/>
  <c r="AF10" i="14"/>
  <c r="V7" i="3"/>
  <c r="U11" i="14"/>
  <c r="T4" i="11"/>
  <c r="T9" i="11" s="1"/>
  <c r="S10" i="11"/>
  <c r="T8" i="3" s="1"/>
  <c r="T10" i="3" s="1"/>
  <c r="V5" i="15" l="1"/>
  <c r="U10" i="15"/>
  <c r="AH9" i="14"/>
  <c r="AG10" i="14"/>
  <c r="W7" i="3"/>
  <c r="V11" i="14"/>
  <c r="T10" i="11"/>
  <c r="U8" i="3" s="1"/>
  <c r="U10" i="3" s="1"/>
  <c r="U4" i="11"/>
  <c r="U9" i="11" s="1"/>
  <c r="G12" i="3"/>
  <c r="L13" i="3"/>
  <c r="E7" i="4"/>
  <c r="D10" i="4"/>
  <c r="D11" i="4" s="1"/>
  <c r="F18" i="16" s="1"/>
  <c r="H12" i="3" l="1"/>
  <c r="G16" i="3"/>
  <c r="W5" i="15"/>
  <c r="V10" i="15"/>
  <c r="F22" i="16"/>
  <c r="G18" i="16"/>
  <c r="F19" i="16"/>
  <c r="F21" i="16" s="1"/>
  <c r="F25" i="16" s="1"/>
  <c r="AH10" i="14"/>
  <c r="AI9" i="14"/>
  <c r="X7" i="3"/>
  <c r="W11" i="14"/>
  <c r="F18" i="3"/>
  <c r="G18" i="3" s="1"/>
  <c r="H18" i="3" s="1"/>
  <c r="I18" i="3" s="1"/>
  <c r="J18" i="3" s="1"/>
  <c r="K18" i="3" s="1"/>
  <c r="L18" i="3" s="1"/>
  <c r="M18" i="3" s="1"/>
  <c r="N18" i="3" s="1"/>
  <c r="O18" i="3" s="1"/>
  <c r="P18" i="3" s="1"/>
  <c r="Q18" i="3" s="1"/>
  <c r="R18" i="3" s="1"/>
  <c r="S18" i="3" s="1"/>
  <c r="T18" i="3" s="1"/>
  <c r="U18" i="3" s="1"/>
  <c r="V18" i="3" s="1"/>
  <c r="W18" i="3" s="1"/>
  <c r="X18" i="3" s="1"/>
  <c r="Y18" i="3" s="1"/>
  <c r="Z18" i="3" s="1"/>
  <c r="AA18" i="3" s="1"/>
  <c r="AB18" i="3" s="1"/>
  <c r="AC18" i="3" s="1"/>
  <c r="AD18" i="3" s="1"/>
  <c r="AE18" i="3" s="1"/>
  <c r="AF18" i="3" s="1"/>
  <c r="AG18" i="3" s="1"/>
  <c r="AH18" i="3" s="1"/>
  <c r="AI18" i="3" s="1"/>
  <c r="AJ18" i="3" s="1"/>
  <c r="AK18" i="3" s="1"/>
  <c r="AL18" i="3" s="1"/>
  <c r="AM18" i="3" s="1"/>
  <c r="AN18" i="3" s="1"/>
  <c r="AO18" i="3" s="1"/>
  <c r="AP18" i="3" s="1"/>
  <c r="AQ18" i="3" s="1"/>
  <c r="AR18" i="3" s="1"/>
  <c r="AS18" i="3" s="1"/>
  <c r="AT18" i="3" s="1"/>
  <c r="AU18" i="3" s="1"/>
  <c r="AV18" i="3" s="1"/>
  <c r="AW18" i="3" s="1"/>
  <c r="V4" i="11"/>
  <c r="V9" i="11" s="1"/>
  <c r="U10" i="11"/>
  <c r="V8" i="3" s="1"/>
  <c r="V10" i="3" s="1"/>
  <c r="Q13" i="3"/>
  <c r="V13" i="3" s="1"/>
  <c r="I12" i="3" l="1"/>
  <c r="H16" i="3"/>
  <c r="F27" i="16"/>
  <c r="F31" i="16" s="1"/>
  <c r="X5" i="15"/>
  <c r="W10" i="15"/>
  <c r="G22" i="16"/>
  <c r="H18" i="16"/>
  <c r="G19" i="16"/>
  <c r="G21" i="16" s="1"/>
  <c r="G25" i="16" s="1"/>
  <c r="G27" i="16" s="1"/>
  <c r="G31" i="16" s="1"/>
  <c r="AJ9" i="14"/>
  <c r="AI10" i="14"/>
  <c r="Y7" i="3"/>
  <c r="X11" i="14"/>
  <c r="V10" i="11"/>
  <c r="W8" i="3" s="1"/>
  <c r="W10" i="3" s="1"/>
  <c r="W4" i="11"/>
  <c r="AA13" i="3"/>
  <c r="J12" i="3" l="1"/>
  <c r="I16" i="3"/>
  <c r="X4" i="11"/>
  <c r="W9" i="11"/>
  <c r="W10" i="11" s="1"/>
  <c r="X8" i="3" s="1"/>
  <c r="X10" i="3" s="1"/>
  <c r="Y5" i="15"/>
  <c r="X10" i="15"/>
  <c r="H22" i="16"/>
  <c r="I18" i="16"/>
  <c r="H19" i="16"/>
  <c r="H21" i="16" s="1"/>
  <c r="AK9" i="14"/>
  <c r="AJ10" i="14"/>
  <c r="Z7" i="3"/>
  <c r="Y11" i="14"/>
  <c r="AF13" i="3"/>
  <c r="H25" i="16" l="1"/>
  <c r="H27" i="16" s="1"/>
  <c r="H31" i="16" s="1"/>
  <c r="K12" i="3"/>
  <c r="J16" i="3"/>
  <c r="Z5" i="15"/>
  <c r="Y10" i="15"/>
  <c r="Y4" i="11"/>
  <c r="X9" i="11"/>
  <c r="X10" i="11" s="1"/>
  <c r="Y8" i="3" s="1"/>
  <c r="Y10" i="3" s="1"/>
  <c r="I22" i="16"/>
  <c r="J18" i="16"/>
  <c r="I19" i="16"/>
  <c r="I21" i="16" s="1"/>
  <c r="AL9" i="14"/>
  <c r="AK10" i="14"/>
  <c r="AA7" i="3"/>
  <c r="Z11" i="14"/>
  <c r="AK13" i="3"/>
  <c r="I25" i="16" l="1"/>
  <c r="I27" i="16" s="1"/>
  <c r="I31" i="16" s="1"/>
  <c r="L12" i="3"/>
  <c r="K16" i="3"/>
  <c r="Z4" i="11"/>
  <c r="Y9" i="11"/>
  <c r="Y10" i="11" s="1"/>
  <c r="Z8" i="3" s="1"/>
  <c r="Z10" i="3" s="1"/>
  <c r="AA5" i="15"/>
  <c r="Z10" i="15"/>
  <c r="K18" i="16"/>
  <c r="J22" i="16"/>
  <c r="J19" i="16"/>
  <c r="J21" i="16" s="1"/>
  <c r="AM9" i="14"/>
  <c r="AL10" i="14"/>
  <c r="AB7" i="3"/>
  <c r="AA11" i="14"/>
  <c r="AP13" i="3"/>
  <c r="J25" i="16" l="1"/>
  <c r="J27" i="16" s="1"/>
  <c r="J31" i="16" s="1"/>
  <c r="M12" i="3"/>
  <c r="L16" i="3"/>
  <c r="AB5" i="15"/>
  <c r="AA10" i="15"/>
  <c r="AA4" i="11"/>
  <c r="Z9" i="11"/>
  <c r="Z10" i="11" s="1"/>
  <c r="AA8" i="3" s="1"/>
  <c r="AA10" i="3" s="1"/>
  <c r="L18" i="16"/>
  <c r="K22" i="16"/>
  <c r="K19" i="16"/>
  <c r="K21" i="16" s="1"/>
  <c r="AN9" i="14"/>
  <c r="AM10" i="14"/>
  <c r="AC7" i="3"/>
  <c r="AB11" i="14"/>
  <c r="AU13" i="3"/>
  <c r="K25" i="16" l="1"/>
  <c r="K27" i="16" s="1"/>
  <c r="K31" i="16" s="1"/>
  <c r="N12" i="3"/>
  <c r="M16" i="3"/>
  <c r="AC5" i="15"/>
  <c r="AB10" i="15"/>
  <c r="AB4" i="11"/>
  <c r="AA9" i="11"/>
  <c r="AA10" i="11" s="1"/>
  <c r="AB8" i="3" s="1"/>
  <c r="AB10" i="3" s="1"/>
  <c r="M18" i="16"/>
  <c r="L22" i="16"/>
  <c r="L19" i="16"/>
  <c r="L21" i="16" s="1"/>
  <c r="AO9" i="14"/>
  <c r="AN10" i="14"/>
  <c r="AD7" i="3"/>
  <c r="AC11" i="14"/>
  <c r="L25" i="16" l="1"/>
  <c r="L27" i="16" s="1"/>
  <c r="L31" i="16" s="1"/>
  <c r="O12" i="3"/>
  <c r="N16" i="3"/>
  <c r="AC4" i="11"/>
  <c r="AB9" i="11"/>
  <c r="AB10" i="11" s="1"/>
  <c r="AC8" i="3" s="1"/>
  <c r="AC10" i="3" s="1"/>
  <c r="AD5" i="15"/>
  <c r="AC10" i="15"/>
  <c r="N18" i="16"/>
  <c r="M22" i="16"/>
  <c r="M19" i="16"/>
  <c r="M21" i="16" s="1"/>
  <c r="AP9" i="14"/>
  <c r="AO10" i="14"/>
  <c r="AE7" i="3"/>
  <c r="AD11" i="14"/>
  <c r="F5" i="3"/>
  <c r="M25" i="16" l="1"/>
  <c r="M27" i="16" s="1"/>
  <c r="M31" i="16" s="1"/>
  <c r="P12" i="3"/>
  <c r="O16" i="3"/>
  <c r="AE5" i="15"/>
  <c r="AD10" i="15"/>
  <c r="AD4" i="11"/>
  <c r="AC9" i="11"/>
  <c r="AC10" i="11" s="1"/>
  <c r="AD8" i="3" s="1"/>
  <c r="AD10" i="3" s="1"/>
  <c r="N22" i="16"/>
  <c r="O18" i="16"/>
  <c r="N19" i="16"/>
  <c r="N21" i="16" s="1"/>
  <c r="AP10" i="14"/>
  <c r="AQ9" i="14"/>
  <c r="D3" i="15"/>
  <c r="D3" i="14"/>
  <c r="AF7" i="3"/>
  <c r="AE11" i="14"/>
  <c r="G5" i="3"/>
  <c r="E2" i="11"/>
  <c r="N25" i="16" l="1"/>
  <c r="N27" i="16" s="1"/>
  <c r="N31" i="16" s="1"/>
  <c r="Q12" i="3"/>
  <c r="P16" i="3"/>
  <c r="AE4" i="11"/>
  <c r="AD9" i="11"/>
  <c r="AD10" i="11" s="1"/>
  <c r="AE8" i="3" s="1"/>
  <c r="AE10" i="3" s="1"/>
  <c r="AF5" i="15"/>
  <c r="AE10" i="15"/>
  <c r="O22" i="16"/>
  <c r="O19" i="16"/>
  <c r="O21" i="16" s="1"/>
  <c r="AR9" i="14"/>
  <c r="AQ10" i="14"/>
  <c r="E3" i="15"/>
  <c r="E3" i="14"/>
  <c r="AG7" i="3"/>
  <c r="AF11" i="14"/>
  <c r="H5" i="3"/>
  <c r="F2" i="11"/>
  <c r="O25" i="16" l="1"/>
  <c r="R12" i="3"/>
  <c r="Q16" i="3"/>
  <c r="D38" i="16"/>
  <c r="AG5" i="15"/>
  <c r="AF10" i="15"/>
  <c r="AF4" i="11"/>
  <c r="AE9" i="11"/>
  <c r="AE10" i="11" s="1"/>
  <c r="AF8" i="3" s="1"/>
  <c r="AF10" i="3" s="1"/>
  <c r="AS9" i="14"/>
  <c r="AR10" i="14"/>
  <c r="F3" i="15"/>
  <c r="F3" i="14"/>
  <c r="AH7" i="3"/>
  <c r="AG11" i="14"/>
  <c r="I5" i="3"/>
  <c r="G2" i="11"/>
  <c r="O26" i="16" l="1"/>
  <c r="O27" i="16" s="1"/>
  <c r="O31" i="16" s="1"/>
  <c r="S12" i="3"/>
  <c r="R16" i="3"/>
  <c r="AH5" i="15"/>
  <c r="AG10" i="15"/>
  <c r="AG4" i="11"/>
  <c r="AF9" i="11"/>
  <c r="AF10" i="11" s="1"/>
  <c r="AG8" i="3" s="1"/>
  <c r="AG10" i="3" s="1"/>
  <c r="AT9" i="14"/>
  <c r="AS10" i="14"/>
  <c r="G3" i="15"/>
  <c r="G3" i="14"/>
  <c r="AI7" i="3"/>
  <c r="AH11" i="14"/>
  <c r="J5" i="3"/>
  <c r="H2" i="11"/>
  <c r="T12" i="3" l="1"/>
  <c r="S16" i="3"/>
  <c r="AI5" i="15"/>
  <c r="AH10" i="15"/>
  <c r="AH4" i="11"/>
  <c r="AG9" i="11"/>
  <c r="AG10" i="11" s="1"/>
  <c r="AH8" i="3" s="1"/>
  <c r="AH10" i="3" s="1"/>
  <c r="AU9" i="14"/>
  <c r="AU10" i="14" s="1"/>
  <c r="AT10" i="14"/>
  <c r="H3" i="14"/>
  <c r="H3" i="15"/>
  <c r="AJ7" i="3"/>
  <c r="AI11" i="14"/>
  <c r="K5" i="3"/>
  <c r="I2" i="11"/>
  <c r="G17" i="3"/>
  <c r="U12" i="3" l="1"/>
  <c r="T16" i="3"/>
  <c r="AI4" i="11"/>
  <c r="AH9" i="11"/>
  <c r="AH10" i="11" s="1"/>
  <c r="AI8" i="3" s="1"/>
  <c r="AI10" i="3" s="1"/>
  <c r="AJ5" i="15"/>
  <c r="AI10" i="15"/>
  <c r="I3" i="14"/>
  <c r="I3" i="15"/>
  <c r="AK7" i="3"/>
  <c r="AJ11" i="14"/>
  <c r="L5" i="3"/>
  <c r="J2" i="11"/>
  <c r="V12" i="3" l="1"/>
  <c r="U16" i="3"/>
  <c r="AK5" i="15"/>
  <c r="AJ10" i="15"/>
  <c r="AJ4" i="11"/>
  <c r="AI9" i="11"/>
  <c r="AI10" i="11" s="1"/>
  <c r="AJ8" i="3" s="1"/>
  <c r="AJ10" i="3" s="1"/>
  <c r="J3" i="14"/>
  <c r="J3" i="15"/>
  <c r="AL7" i="3"/>
  <c r="AK11" i="14"/>
  <c r="M5" i="3"/>
  <c r="K2" i="11"/>
  <c r="W12" i="3" l="1"/>
  <c r="V16" i="3"/>
  <c r="AK4" i="11"/>
  <c r="AJ9" i="11"/>
  <c r="AJ10" i="11" s="1"/>
  <c r="AK8" i="3" s="1"/>
  <c r="AK10" i="3" s="1"/>
  <c r="AL5" i="15"/>
  <c r="AK10" i="15"/>
  <c r="K3" i="14"/>
  <c r="K3" i="15"/>
  <c r="AM7" i="3"/>
  <c r="AL11" i="14"/>
  <c r="N5" i="3"/>
  <c r="L2" i="11"/>
  <c r="X12" i="3" l="1"/>
  <c r="W16" i="3"/>
  <c r="AL4" i="11"/>
  <c r="AK9" i="11"/>
  <c r="AK10" i="11" s="1"/>
  <c r="AL8" i="3" s="1"/>
  <c r="AL10" i="3" s="1"/>
  <c r="AM5" i="15"/>
  <c r="AL10" i="15"/>
  <c r="L3" i="14"/>
  <c r="L3" i="15"/>
  <c r="AN7" i="3"/>
  <c r="AM11" i="14"/>
  <c r="O5" i="3"/>
  <c r="M2" i="11"/>
  <c r="Y12" i="3" l="1"/>
  <c r="X16" i="3"/>
  <c r="AN5" i="15"/>
  <c r="AM10" i="15"/>
  <c r="AM4" i="11"/>
  <c r="AL9" i="11"/>
  <c r="AL10" i="11" s="1"/>
  <c r="AM8" i="3" s="1"/>
  <c r="AM10" i="3" s="1"/>
  <c r="M3" i="15"/>
  <c r="M3" i="14"/>
  <c r="AO7" i="3"/>
  <c r="AN11" i="14"/>
  <c r="P5" i="3"/>
  <c r="N2" i="11"/>
  <c r="Z12" i="3" l="1"/>
  <c r="Y16" i="3"/>
  <c r="AN4" i="11"/>
  <c r="AM9" i="11"/>
  <c r="AM10" i="11" s="1"/>
  <c r="AN8" i="3" s="1"/>
  <c r="AN10" i="3" s="1"/>
  <c r="AO5" i="15"/>
  <c r="AN10" i="15"/>
  <c r="N3" i="15"/>
  <c r="N3" i="14"/>
  <c r="AP7" i="3"/>
  <c r="AO11" i="14"/>
  <c r="Q5" i="3"/>
  <c r="O2" i="11"/>
  <c r="AA12" i="3" l="1"/>
  <c r="Z16" i="3"/>
  <c r="AP5" i="15"/>
  <c r="AO10" i="15"/>
  <c r="AO4" i="11"/>
  <c r="AN9" i="11"/>
  <c r="AN10" i="11" s="1"/>
  <c r="AO8" i="3" s="1"/>
  <c r="AO10" i="3" s="1"/>
  <c r="O3" i="15"/>
  <c r="O3" i="14"/>
  <c r="AQ7" i="3"/>
  <c r="AP11" i="14"/>
  <c r="R5" i="3"/>
  <c r="P2" i="11"/>
  <c r="AB12" i="3" l="1"/>
  <c r="AA16" i="3"/>
  <c r="AP4" i="11"/>
  <c r="AO9" i="11"/>
  <c r="AO10" i="11" s="1"/>
  <c r="AP8" i="3" s="1"/>
  <c r="AP10" i="3" s="1"/>
  <c r="AQ5" i="15"/>
  <c r="AP10" i="15"/>
  <c r="P3" i="14"/>
  <c r="P3" i="15"/>
  <c r="AR7" i="3"/>
  <c r="AQ11" i="14"/>
  <c r="S5" i="3"/>
  <c r="Q2" i="11"/>
  <c r="AC12" i="3" l="1"/>
  <c r="AB16" i="3"/>
  <c r="AR5" i="15"/>
  <c r="AQ10" i="15"/>
  <c r="AQ4" i="11"/>
  <c r="AP9" i="11"/>
  <c r="AP10" i="11" s="1"/>
  <c r="AQ8" i="3" s="1"/>
  <c r="AQ10" i="3" s="1"/>
  <c r="Q3" i="14"/>
  <c r="Q3" i="15"/>
  <c r="AS7" i="3"/>
  <c r="AR11" i="14"/>
  <c r="T5" i="3"/>
  <c r="R2" i="11"/>
  <c r="AD12" i="3" l="1"/>
  <c r="AC16" i="3"/>
  <c r="AS5" i="15"/>
  <c r="AR10" i="15"/>
  <c r="AR4" i="11"/>
  <c r="AQ9" i="11"/>
  <c r="AQ10" i="11" s="1"/>
  <c r="AR8" i="3" s="1"/>
  <c r="AR10" i="3" s="1"/>
  <c r="R3" i="14"/>
  <c r="R3" i="15"/>
  <c r="AT7" i="3"/>
  <c r="AS11" i="14"/>
  <c r="U5" i="3"/>
  <c r="S2" i="11"/>
  <c r="AE12" i="3" l="1"/>
  <c r="AD16" i="3"/>
  <c r="AT5" i="15"/>
  <c r="AS10" i="15"/>
  <c r="AS4" i="11"/>
  <c r="AR9" i="11"/>
  <c r="AR10" i="11" s="1"/>
  <c r="AS8" i="3" s="1"/>
  <c r="AS10" i="3" s="1"/>
  <c r="S3" i="14"/>
  <c r="S3" i="15"/>
  <c r="AU7" i="3"/>
  <c r="AT11" i="14"/>
  <c r="V5" i="3"/>
  <c r="T2" i="11"/>
  <c r="AF12" i="3" l="1"/>
  <c r="AE16" i="3"/>
  <c r="AT4" i="11"/>
  <c r="AS9" i="11"/>
  <c r="AS10" i="11" s="1"/>
  <c r="AT8" i="3" s="1"/>
  <c r="AT10" i="3" s="1"/>
  <c r="AU5" i="15"/>
  <c r="AU10" i="15" s="1"/>
  <c r="AT10" i="15"/>
  <c r="AV7" i="3" s="1"/>
  <c r="T3" i="15"/>
  <c r="T3" i="14"/>
  <c r="AU11" i="14"/>
  <c r="W5" i="3"/>
  <c r="U2" i="11"/>
  <c r="AG12" i="3" l="1"/>
  <c r="AF16" i="3"/>
  <c r="AU4" i="11"/>
  <c r="AT9" i="11"/>
  <c r="AT10" i="11" s="1"/>
  <c r="AU8" i="3" s="1"/>
  <c r="AU10" i="3" s="1"/>
  <c r="U3" i="15"/>
  <c r="U3" i="14"/>
  <c r="AW7" i="3"/>
  <c r="X5" i="3"/>
  <c r="V2" i="11"/>
  <c r="AH12" i="3" l="1"/>
  <c r="AG16" i="3"/>
  <c r="AV4" i="11"/>
  <c r="AV9" i="11" s="1"/>
  <c r="AU9" i="11"/>
  <c r="AU10" i="11" s="1"/>
  <c r="AV8" i="3" s="1"/>
  <c r="AV10" i="3" s="1"/>
  <c r="E38" i="16"/>
  <c r="F32" i="16"/>
  <c r="V3" i="15"/>
  <c r="V3" i="14"/>
  <c r="Y5" i="3"/>
  <c r="W2" i="11"/>
  <c r="AI12" i="3" l="1"/>
  <c r="AH16" i="3"/>
  <c r="AV10" i="11"/>
  <c r="F33" i="16"/>
  <c r="F34" i="16" s="1"/>
  <c r="W3" i="15"/>
  <c r="W3" i="14"/>
  <c r="Z5" i="3"/>
  <c r="X2" i="11"/>
  <c r="AJ12" i="3" l="1"/>
  <c r="AI16" i="3"/>
  <c r="AW8" i="3"/>
  <c r="AW10" i="3" s="1"/>
  <c r="AV11" i="11"/>
  <c r="F36" i="16"/>
  <c r="F35" i="16"/>
  <c r="H34" i="16"/>
  <c r="X3" i="14"/>
  <c r="X3" i="15"/>
  <c r="AA5" i="3"/>
  <c r="Y2" i="11"/>
  <c r="AK12" i="3" l="1"/>
  <c r="AJ16" i="3"/>
  <c r="Y3" i="14"/>
  <c r="Y3" i="15"/>
  <c r="AB5" i="3"/>
  <c r="Z2" i="11"/>
  <c r="AL12" i="3" l="1"/>
  <c r="AK16" i="3"/>
  <c r="Z3" i="14"/>
  <c r="Z3" i="15"/>
  <c r="AC5" i="3"/>
  <c r="AA2" i="11"/>
  <c r="AM12" i="3" l="1"/>
  <c r="AL16" i="3"/>
  <c r="AA3" i="14"/>
  <c r="AA3" i="15"/>
  <c r="AD5" i="3"/>
  <c r="AB2" i="11"/>
  <c r="AN12" i="3" l="1"/>
  <c r="AM16" i="3"/>
  <c r="AB3" i="15"/>
  <c r="AB3" i="14"/>
  <c r="AE5" i="3"/>
  <c r="AC2" i="11"/>
  <c r="AO12" i="3" l="1"/>
  <c r="AN16" i="3"/>
  <c r="AC3" i="15"/>
  <c r="AC3" i="14"/>
  <c r="AF5" i="3"/>
  <c r="AD2" i="11"/>
  <c r="AP12" i="3" l="1"/>
  <c r="AO16" i="3"/>
  <c r="AD3" i="15"/>
  <c r="AD3" i="14"/>
  <c r="AG5" i="3"/>
  <c r="AE2" i="11"/>
  <c r="AQ12" i="3" l="1"/>
  <c r="AP16" i="3"/>
  <c r="AE3" i="15"/>
  <c r="AE3" i="14"/>
  <c r="AH5" i="3"/>
  <c r="AF2" i="11"/>
  <c r="AR12" i="3" l="1"/>
  <c r="AQ16" i="3"/>
  <c r="AF3" i="14"/>
  <c r="AF3" i="15"/>
  <c r="AI5" i="3"/>
  <c r="AG2" i="11"/>
  <c r="AS12" i="3" l="1"/>
  <c r="AR16" i="3"/>
  <c r="AG3" i="14"/>
  <c r="AG3" i="15"/>
  <c r="AJ5" i="3"/>
  <c r="AH2" i="11"/>
  <c r="AT12" i="3" l="1"/>
  <c r="AS16" i="3"/>
  <c r="AH3" i="14"/>
  <c r="AH3" i="15"/>
  <c r="AK5" i="3"/>
  <c r="AI2" i="11"/>
  <c r="AU12" i="3" l="1"/>
  <c r="AT16" i="3"/>
  <c r="AI3" i="14"/>
  <c r="AI3" i="15"/>
  <c r="AL5" i="3"/>
  <c r="AJ2" i="11"/>
  <c r="AV12" i="3" l="1"/>
  <c r="AU16" i="3"/>
  <c r="AJ3" i="15"/>
  <c r="AJ3" i="14"/>
  <c r="AM5" i="3"/>
  <c r="AK2" i="11"/>
  <c r="AW12" i="3" l="1"/>
  <c r="AW16" i="3" s="1"/>
  <c r="AV16" i="3"/>
  <c r="AK3" i="15"/>
  <c r="AK3" i="14"/>
  <c r="AN5" i="3"/>
  <c r="AL2" i="11"/>
  <c r="AL3" i="15" l="1"/>
  <c r="AL3" i="14"/>
  <c r="AO5" i="3"/>
  <c r="AM2" i="11"/>
  <c r="AM3" i="14" l="1"/>
  <c r="AM3" i="15"/>
  <c r="AP5" i="3"/>
  <c r="AN2" i="11"/>
  <c r="AN3" i="14" l="1"/>
  <c r="AN3" i="15"/>
  <c r="AQ5" i="3"/>
  <c r="AO2" i="11"/>
  <c r="AO3" i="14" l="1"/>
  <c r="AO3" i="15"/>
  <c r="AR5" i="3"/>
  <c r="AP2" i="11"/>
  <c r="AP3" i="14" l="1"/>
  <c r="AP3" i="15"/>
  <c r="AS5" i="3"/>
  <c r="AQ2" i="11"/>
  <c r="AQ3" i="14" l="1"/>
  <c r="AQ3" i="15"/>
  <c r="AT5" i="3"/>
  <c r="AR2" i="11"/>
  <c r="AR3" i="15" l="1"/>
  <c r="AR3" i="14"/>
  <c r="AU5" i="3"/>
  <c r="AS2" i="11"/>
  <c r="AS3" i="15" l="1"/>
  <c r="AS3" i="14"/>
  <c r="AV5" i="3"/>
  <c r="AT2" i="11"/>
  <c r="AT3" i="15" l="1"/>
  <c r="AT3" i="14"/>
  <c r="AW5" i="3"/>
  <c r="AU2" i="11"/>
  <c r="AU3" i="14" l="1"/>
  <c r="AU3" i="15"/>
  <c r="AV2" i="11"/>
  <c r="F47" i="3" l="1"/>
  <c r="F3" i="3" l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  <c r="AG3" i="3" s="1"/>
  <c r="AH3" i="3" s="1"/>
  <c r="AI3" i="3" s="1"/>
  <c r="AJ3" i="3" s="1"/>
  <c r="AK3" i="3" s="1"/>
  <c r="AL3" i="3" s="1"/>
  <c r="AM3" i="3" s="1"/>
  <c r="AN3" i="3" s="1"/>
  <c r="AO3" i="3" s="1"/>
  <c r="AP3" i="3" s="1"/>
  <c r="AQ3" i="3" s="1"/>
  <c r="AR3" i="3" s="1"/>
  <c r="AS3" i="3" s="1"/>
  <c r="AT3" i="3" s="1"/>
  <c r="AU3" i="3" s="1"/>
  <c r="AV3" i="3" s="1"/>
  <c r="AW3" i="3" s="1"/>
  <c r="H1" i="3"/>
  <c r="F1" i="3" l="1"/>
  <c r="G1" i="3"/>
  <c r="H2" i="3"/>
  <c r="F2" i="3"/>
  <c r="G2" i="3"/>
  <c r="F27" i="3" l="1"/>
  <c r="F28" i="3" s="1"/>
  <c r="I1" i="3"/>
  <c r="I2" i="3"/>
  <c r="G27" i="3" l="1"/>
  <c r="H27" i="3" s="1"/>
  <c r="I27" i="3" s="1"/>
  <c r="J27" i="3" s="1"/>
  <c r="K27" i="3" s="1"/>
  <c r="L27" i="3" s="1"/>
  <c r="M27" i="3" s="1"/>
  <c r="N27" i="3" s="1"/>
  <c r="O27" i="3" s="1"/>
  <c r="P27" i="3" s="1"/>
  <c r="Q27" i="3" s="1"/>
  <c r="R27" i="3" s="1"/>
  <c r="S27" i="3" s="1"/>
  <c r="T27" i="3" s="1"/>
  <c r="U27" i="3" s="1"/>
  <c r="V27" i="3" s="1"/>
  <c r="W27" i="3" s="1"/>
  <c r="X27" i="3" s="1"/>
  <c r="Y27" i="3" s="1"/>
  <c r="Z27" i="3" s="1"/>
  <c r="AA27" i="3" s="1"/>
  <c r="AB27" i="3" s="1"/>
  <c r="AC27" i="3" s="1"/>
  <c r="AD27" i="3" s="1"/>
  <c r="AE27" i="3" s="1"/>
  <c r="AF27" i="3" s="1"/>
  <c r="AG27" i="3" s="1"/>
  <c r="AH27" i="3" s="1"/>
  <c r="AI27" i="3" s="1"/>
  <c r="AJ27" i="3" s="1"/>
  <c r="AK27" i="3" s="1"/>
  <c r="AL27" i="3" s="1"/>
  <c r="AM27" i="3" s="1"/>
  <c r="AN27" i="3" s="1"/>
  <c r="AO27" i="3" s="1"/>
  <c r="AP27" i="3" s="1"/>
  <c r="AQ27" i="3" s="1"/>
  <c r="AR27" i="3" s="1"/>
  <c r="AS27" i="3" s="1"/>
  <c r="AT27" i="3" s="1"/>
  <c r="AU27" i="3" s="1"/>
  <c r="AV27" i="3" s="1"/>
  <c r="AW27" i="3" s="1"/>
  <c r="I22" i="3"/>
  <c r="M22" i="3"/>
  <c r="Q22" i="3"/>
  <c r="F22" i="3"/>
  <c r="J22" i="3"/>
  <c r="N22" i="3"/>
  <c r="G22" i="3"/>
  <c r="K22" i="3"/>
  <c r="O22" i="3"/>
  <c r="H22" i="3"/>
  <c r="L22" i="3"/>
  <c r="P22" i="3"/>
  <c r="R22" i="3"/>
  <c r="V22" i="3"/>
  <c r="Z22" i="3"/>
  <c r="AD22" i="3"/>
  <c r="AH22" i="3"/>
  <c r="AL22" i="3"/>
  <c r="AP22" i="3"/>
  <c r="AT22" i="3"/>
  <c r="S22" i="3"/>
  <c r="W22" i="3"/>
  <c r="AA22" i="3"/>
  <c r="AE22" i="3"/>
  <c r="AI22" i="3"/>
  <c r="AM22" i="3"/>
  <c r="AQ22" i="3"/>
  <c r="AU22" i="3"/>
  <c r="T22" i="3"/>
  <c r="Y22" i="3"/>
  <c r="AG22" i="3"/>
  <c r="AO22" i="3"/>
  <c r="AW22" i="3"/>
  <c r="AB22" i="3"/>
  <c r="AJ22" i="3"/>
  <c r="AR22" i="3"/>
  <c r="U22" i="3"/>
  <c r="AC22" i="3"/>
  <c r="AK22" i="3"/>
  <c r="AS22" i="3"/>
  <c r="X22" i="3"/>
  <c r="AF22" i="3"/>
  <c r="AN22" i="3"/>
  <c r="AV22" i="3"/>
  <c r="J1" i="3"/>
  <c r="J2" i="3"/>
  <c r="I28" i="3" l="1"/>
  <c r="M28" i="3"/>
  <c r="Q28" i="3"/>
  <c r="H28" i="3"/>
  <c r="P28" i="3"/>
  <c r="J28" i="3"/>
  <c r="N28" i="3"/>
  <c r="L28" i="3"/>
  <c r="G28" i="3"/>
  <c r="K28" i="3"/>
  <c r="O28" i="3"/>
  <c r="AA28" i="3"/>
  <c r="AR28" i="3"/>
  <c r="AC28" i="3"/>
  <c r="AT28" i="3"/>
  <c r="Y28" i="3"/>
  <c r="AH28" i="3"/>
  <c r="AI28" i="3"/>
  <c r="X28" i="3"/>
  <c r="AG28" i="3"/>
  <c r="V28" i="3"/>
  <c r="AQ28" i="3"/>
  <c r="AB28" i="3"/>
  <c r="AS28" i="3"/>
  <c r="AD28" i="3"/>
  <c r="W28" i="3"/>
  <c r="AJ28" i="3"/>
  <c r="AW28" i="3"/>
  <c r="U28" i="3"/>
  <c r="AP28" i="3"/>
  <c r="AN28" i="3"/>
  <c r="AK28" i="3"/>
  <c r="S28" i="3"/>
  <c r="AE28" i="3"/>
  <c r="AV28" i="3"/>
  <c r="Z28" i="3"/>
  <c r="T28" i="3"/>
  <c r="R28" i="3"/>
  <c r="AU28" i="3"/>
  <c r="AL28" i="3"/>
  <c r="AF28" i="3"/>
  <c r="AM28" i="3"/>
  <c r="AO28" i="3"/>
  <c r="K1" i="3"/>
  <c r="K2" i="3"/>
  <c r="L1" i="3" l="1"/>
  <c r="L2" i="3"/>
  <c r="M1" i="3" l="1"/>
  <c r="M2" i="3"/>
  <c r="N1" i="3" l="1"/>
  <c r="N2" i="3"/>
  <c r="O1" i="3" l="1"/>
  <c r="O2" i="3"/>
  <c r="P1" i="3" l="1"/>
  <c r="P2" i="3"/>
  <c r="Q1" i="3" l="1"/>
  <c r="Q2" i="3"/>
  <c r="B8" i="3"/>
  <c r="R1" i="3" l="1"/>
  <c r="R2" i="3"/>
  <c r="S1" i="3" l="1"/>
  <c r="S2" i="3"/>
  <c r="T1" i="3" l="1"/>
  <c r="T2" i="3"/>
  <c r="U1" i="3" l="1"/>
  <c r="U2" i="3"/>
  <c r="V1" i="3" l="1"/>
  <c r="V2" i="3"/>
  <c r="F17" i="3" l="1"/>
  <c r="F19" i="3" s="1"/>
  <c r="W1" i="3"/>
  <c r="W2" i="3"/>
  <c r="F21" i="3" l="1"/>
  <c r="F25" i="3" s="1"/>
  <c r="F29" i="3" s="1"/>
  <c r="X1" i="3"/>
  <c r="X2" i="3"/>
  <c r="Y1" i="3" l="1"/>
  <c r="Y2" i="3"/>
  <c r="Z1" i="3" l="1"/>
  <c r="Z2" i="3"/>
  <c r="AA1" i="3" l="1"/>
  <c r="AA2" i="3"/>
  <c r="AB1" i="3" l="1"/>
  <c r="AB2" i="3"/>
  <c r="AC1" i="3" l="1"/>
  <c r="AC2" i="3"/>
  <c r="AD1" i="3" l="1"/>
  <c r="AD2" i="3"/>
  <c r="AE1" i="3" l="1"/>
  <c r="AE2" i="3"/>
  <c r="AF1" i="3" l="1"/>
  <c r="AF2" i="3"/>
  <c r="G19" i="3" l="1"/>
  <c r="G21" i="3" s="1"/>
  <c r="G25" i="3" s="1"/>
  <c r="AG1" i="3"/>
  <c r="AG2" i="3"/>
  <c r="G29" i="3" l="1"/>
  <c r="AH1" i="3"/>
  <c r="AH2" i="3"/>
  <c r="AI1" i="3" l="1"/>
  <c r="AI2" i="3"/>
  <c r="H17" i="3" l="1"/>
  <c r="H19" i="3" s="1"/>
  <c r="H21" i="3" s="1"/>
  <c r="H25" i="3" s="1"/>
  <c r="AJ1" i="3"/>
  <c r="AJ2" i="3"/>
  <c r="H29" i="3" l="1"/>
  <c r="I17" i="3"/>
  <c r="I19" i="3" s="1"/>
  <c r="I21" i="3" s="1"/>
  <c r="I25" i="3" s="1"/>
  <c r="I29" i="3" s="1"/>
  <c r="AK1" i="3"/>
  <c r="AK2" i="3"/>
  <c r="J17" i="3" l="1"/>
  <c r="J19" i="3" s="1"/>
  <c r="J21" i="3" s="1"/>
  <c r="J25" i="3" s="1"/>
  <c r="J29" i="3" s="1"/>
  <c r="AL1" i="3"/>
  <c r="AL2" i="3"/>
  <c r="K17" i="3" l="1"/>
  <c r="K19" i="3" s="1"/>
  <c r="K21" i="3" s="1"/>
  <c r="K25" i="3" s="1"/>
  <c r="K29" i="3" s="1"/>
  <c r="AM1" i="3"/>
  <c r="AM2" i="3"/>
  <c r="L17" i="3" l="1"/>
  <c r="L19" i="3" s="1"/>
  <c r="L21" i="3" s="1"/>
  <c r="L25" i="3" s="1"/>
  <c r="AN1" i="3"/>
  <c r="AN2" i="3"/>
  <c r="L29" i="3" l="1"/>
  <c r="M17" i="3"/>
  <c r="M19" i="3" s="1"/>
  <c r="M21" i="3" s="1"/>
  <c r="M25" i="3" s="1"/>
  <c r="M29" i="3" s="1"/>
  <c r="AO1" i="3"/>
  <c r="AO2" i="3"/>
  <c r="N17" i="3" l="1"/>
  <c r="N19" i="3" s="1"/>
  <c r="N21" i="3" s="1"/>
  <c r="N25" i="3" s="1"/>
  <c r="N29" i="3" s="1"/>
  <c r="AP1" i="3"/>
  <c r="AP2" i="3"/>
  <c r="O17" i="3" l="1"/>
  <c r="O19" i="3" s="1"/>
  <c r="O21" i="3" s="1"/>
  <c r="O25" i="3" s="1"/>
  <c r="O29" i="3" s="1"/>
  <c r="AQ1" i="3"/>
  <c r="AQ2" i="3"/>
  <c r="P17" i="3" l="1"/>
  <c r="P19" i="3" s="1"/>
  <c r="P21" i="3" s="1"/>
  <c r="P25" i="3" s="1"/>
  <c r="P29" i="3" s="1"/>
  <c r="AR1" i="3"/>
  <c r="AR2" i="3"/>
  <c r="Q17" i="3" l="1"/>
  <c r="Q19" i="3" s="1"/>
  <c r="Q21" i="3" s="1"/>
  <c r="Q25" i="3" s="1"/>
  <c r="AS1" i="3"/>
  <c r="AS2" i="3"/>
  <c r="Q29" i="3" l="1"/>
  <c r="R17" i="3"/>
  <c r="R19" i="3" s="1"/>
  <c r="R21" i="3" s="1"/>
  <c r="R25" i="3" s="1"/>
  <c r="R29" i="3" s="1"/>
  <c r="AT1" i="3"/>
  <c r="AT2" i="3"/>
  <c r="S17" i="3" l="1"/>
  <c r="S19" i="3" s="1"/>
  <c r="S21" i="3" s="1"/>
  <c r="S25" i="3" s="1"/>
  <c r="S29" i="3" s="1"/>
  <c r="AU1" i="3"/>
  <c r="AU2" i="3"/>
  <c r="T17" i="3" l="1"/>
  <c r="T19" i="3" s="1"/>
  <c r="T21" i="3" s="1"/>
  <c r="T25" i="3" s="1"/>
  <c r="T29" i="3" s="1"/>
  <c r="AV1" i="3"/>
  <c r="AV2" i="3"/>
  <c r="U17" i="3" l="1"/>
  <c r="U19" i="3" s="1"/>
  <c r="U21" i="3" s="1"/>
  <c r="U25" i="3" s="1"/>
  <c r="U29" i="3" s="1"/>
  <c r="AW1" i="3"/>
  <c r="AW2" i="3"/>
  <c r="V17" i="3" l="1"/>
  <c r="V19" i="3" s="1"/>
  <c r="V21" i="3" s="1"/>
  <c r="V25" i="3" s="1"/>
  <c r="V29" i="3" l="1"/>
  <c r="W17" i="3"/>
  <c r="W19" i="3" s="1"/>
  <c r="W21" i="3" s="1"/>
  <c r="W25" i="3" s="1"/>
  <c r="W29" i="3" s="1"/>
  <c r="X17" i="3" l="1"/>
  <c r="X19" i="3" s="1"/>
  <c r="X21" i="3" s="1"/>
  <c r="X25" i="3" s="1"/>
  <c r="X29" i="3" s="1"/>
  <c r="Y17" i="3" l="1"/>
  <c r="Y19" i="3" s="1"/>
  <c r="Y21" i="3" s="1"/>
  <c r="Y25" i="3" s="1"/>
  <c r="Y29" i="3" s="1"/>
  <c r="Z17" i="3" l="1"/>
  <c r="Z19" i="3" s="1"/>
  <c r="Z21" i="3" s="1"/>
  <c r="Z25" i="3" s="1"/>
  <c r="Z29" i="3" s="1"/>
  <c r="AA17" i="3" l="1"/>
  <c r="AA19" i="3" s="1"/>
  <c r="AA21" i="3" s="1"/>
  <c r="AA25" i="3" s="1"/>
  <c r="AA29" i="3" s="1"/>
  <c r="AB17" i="3" l="1"/>
  <c r="AB19" i="3" s="1"/>
  <c r="AB21" i="3" s="1"/>
  <c r="AB25" i="3" s="1"/>
  <c r="AB29" i="3" s="1"/>
  <c r="AC17" i="3" l="1"/>
  <c r="AC19" i="3" s="1"/>
  <c r="AC21" i="3" s="1"/>
  <c r="AC25" i="3" s="1"/>
  <c r="AC29" i="3" s="1"/>
  <c r="AD17" i="3" l="1"/>
  <c r="AD19" i="3" s="1"/>
  <c r="AD21" i="3" s="1"/>
  <c r="AD25" i="3" s="1"/>
  <c r="AD29" i="3" s="1"/>
  <c r="AE17" i="3" l="1"/>
  <c r="AE19" i="3" s="1"/>
  <c r="AE21" i="3" s="1"/>
  <c r="AE25" i="3" s="1"/>
  <c r="AE29" i="3" s="1"/>
  <c r="AF17" i="3" l="1"/>
  <c r="AF19" i="3" s="1"/>
  <c r="AF21" i="3" s="1"/>
  <c r="AF25" i="3" s="1"/>
  <c r="AF29" i="3" s="1"/>
  <c r="AG17" i="3" l="1"/>
  <c r="AG19" i="3" s="1"/>
  <c r="AG21" i="3" s="1"/>
  <c r="AG25" i="3" s="1"/>
  <c r="AG29" i="3" s="1"/>
  <c r="AH17" i="3" l="1"/>
  <c r="AH19" i="3" s="1"/>
  <c r="AH21" i="3" s="1"/>
  <c r="AH25" i="3" s="1"/>
  <c r="AH29" i="3" s="1"/>
  <c r="AI17" i="3" l="1"/>
  <c r="AI19" i="3" s="1"/>
  <c r="AI21" i="3" s="1"/>
  <c r="AI25" i="3" s="1"/>
  <c r="AI29" i="3" s="1"/>
  <c r="AJ17" i="3" l="1"/>
  <c r="AJ19" i="3" s="1"/>
  <c r="AJ21" i="3" s="1"/>
  <c r="AJ25" i="3" s="1"/>
  <c r="AJ29" i="3" s="1"/>
  <c r="AK17" i="3" l="1"/>
  <c r="AK19" i="3" s="1"/>
  <c r="AK21" i="3" s="1"/>
  <c r="AK25" i="3" s="1"/>
  <c r="AK29" i="3" s="1"/>
  <c r="AL17" i="3" l="1"/>
  <c r="AL19" i="3" s="1"/>
  <c r="AL21" i="3" s="1"/>
  <c r="AL25" i="3" s="1"/>
  <c r="AL29" i="3" s="1"/>
  <c r="AM17" i="3" l="1"/>
  <c r="AM19" i="3" s="1"/>
  <c r="AM21" i="3" s="1"/>
  <c r="AM25" i="3" s="1"/>
  <c r="AM29" i="3" s="1"/>
  <c r="AN17" i="3" l="1"/>
  <c r="AN19" i="3" s="1"/>
  <c r="AN21" i="3" s="1"/>
  <c r="AN25" i="3" s="1"/>
  <c r="AN29" i="3" s="1"/>
  <c r="AO17" i="3" l="1"/>
  <c r="AO19" i="3" s="1"/>
  <c r="AO21" i="3" s="1"/>
  <c r="AO25" i="3" s="1"/>
  <c r="AO29" i="3" s="1"/>
  <c r="AP17" i="3" l="1"/>
  <c r="AP19" i="3" s="1"/>
  <c r="AP21" i="3" s="1"/>
  <c r="AP25" i="3" s="1"/>
  <c r="AP29" i="3" s="1"/>
  <c r="AQ17" i="3" l="1"/>
  <c r="AQ19" i="3" s="1"/>
  <c r="AQ21" i="3" s="1"/>
  <c r="AQ25" i="3" s="1"/>
  <c r="AQ29" i="3" s="1"/>
  <c r="AR17" i="3" l="1"/>
  <c r="AR19" i="3" s="1"/>
  <c r="AR21" i="3" s="1"/>
  <c r="AR25" i="3" s="1"/>
  <c r="AR29" i="3" s="1"/>
  <c r="AS17" i="3" l="1"/>
  <c r="AS19" i="3" s="1"/>
  <c r="AS21" i="3" s="1"/>
  <c r="AS25" i="3" s="1"/>
  <c r="AS29" i="3" s="1"/>
  <c r="AT17" i="3" l="1"/>
  <c r="AT19" i="3" s="1"/>
  <c r="AT21" i="3" s="1"/>
  <c r="AT25" i="3" s="1"/>
  <c r="AT29" i="3" s="1"/>
  <c r="AU17" i="3" l="1"/>
  <c r="AU19" i="3" s="1"/>
  <c r="AU21" i="3" s="1"/>
  <c r="AU25" i="3" s="1"/>
  <c r="AU29" i="3" l="1"/>
  <c r="AV17" i="3"/>
  <c r="AV19" i="3" s="1"/>
  <c r="AV21" i="3" s="1"/>
  <c r="AV25" i="3" s="1"/>
  <c r="AV29" i="3" s="1"/>
  <c r="AW17" i="3" l="1"/>
  <c r="AW19" i="3" s="1"/>
  <c r="AW21" i="3" s="1"/>
  <c r="AW25" i="3" s="1"/>
  <c r="AW29" i="3" s="1"/>
  <c r="E36" i="3" l="1"/>
  <c r="D36" i="3"/>
  <c r="F30" i="3"/>
  <c r="F31" i="3" s="1"/>
  <c r="F32" i="3" s="1"/>
  <c r="H32" i="3" s="1"/>
  <c r="F34" i="3" l="1"/>
  <c r="F33" i="3"/>
  <c r="S34" i="3"/>
  <c r="S35" i="3" s="1"/>
</calcChain>
</file>

<file path=xl/sharedStrings.xml><?xml version="1.0" encoding="utf-8"?>
<sst xmlns="http://schemas.openxmlformats.org/spreadsheetml/2006/main" count="246" uniqueCount="135">
  <si>
    <t>Total</t>
  </si>
  <si>
    <t>Floor</t>
  </si>
  <si>
    <t>Years</t>
  </si>
  <si>
    <t>Days</t>
  </si>
  <si>
    <t>Particulars</t>
  </si>
  <si>
    <t>End Date</t>
  </si>
  <si>
    <t xml:space="preserve">Revenue </t>
  </si>
  <si>
    <t>Valuation Date</t>
  </si>
  <si>
    <t>Total Income</t>
  </si>
  <si>
    <t>Expenses</t>
  </si>
  <si>
    <t>Total Expense</t>
  </si>
  <si>
    <t>EBITDA</t>
  </si>
  <si>
    <t>Depreciation</t>
  </si>
  <si>
    <t>Tax Rate</t>
  </si>
  <si>
    <t>EBIT</t>
  </si>
  <si>
    <t>NOPAT</t>
  </si>
  <si>
    <t>Add: Depreciation</t>
  </si>
  <si>
    <t>Less: CAPeX</t>
  </si>
  <si>
    <t>Less: Change in Working Capital</t>
  </si>
  <si>
    <t>FCFF</t>
  </si>
  <si>
    <t>PV of FCFF</t>
  </si>
  <si>
    <t>PVF</t>
  </si>
  <si>
    <t>Total Days in the Year</t>
  </si>
  <si>
    <t>Time Period</t>
  </si>
  <si>
    <t>Rent/Lease</t>
  </si>
  <si>
    <t>Net Present Value</t>
  </si>
  <si>
    <t>Vacant</t>
  </si>
  <si>
    <t xml:space="preserve"> </t>
  </si>
  <si>
    <t>Lease Start Date</t>
  </si>
  <si>
    <t>Other Income(Security Deposited)</t>
  </si>
  <si>
    <t>Return of Security</t>
  </si>
  <si>
    <t xml:space="preserve">Total area </t>
  </si>
  <si>
    <t>Economic Life</t>
  </si>
  <si>
    <t xml:space="preserve">Dep per year </t>
  </si>
  <si>
    <t xml:space="preserve">Per sq.ft </t>
  </si>
  <si>
    <t>Total Cost</t>
  </si>
  <si>
    <t>Salvage</t>
  </si>
  <si>
    <t>Salvage value</t>
  </si>
  <si>
    <t>WACC-Weighted Average Cost of Capita</t>
  </si>
  <si>
    <t>PVF- Present Value Factor</t>
  </si>
  <si>
    <t>PV of FCFF- Present value of free cash flow to firm</t>
  </si>
  <si>
    <t>Area</t>
  </si>
  <si>
    <t>Insurance</t>
  </si>
  <si>
    <t>Built up Area</t>
  </si>
  <si>
    <t>Year</t>
  </si>
  <si>
    <t>Lessee</t>
  </si>
  <si>
    <t>Deposit</t>
  </si>
  <si>
    <t>Kyocera</t>
  </si>
  <si>
    <t>Interest</t>
  </si>
  <si>
    <t>HDFC 1</t>
  </si>
  <si>
    <t>HDFC 2</t>
  </si>
  <si>
    <t>Curilanary</t>
  </si>
  <si>
    <t>Sl No</t>
  </si>
  <si>
    <t>Tenant</t>
  </si>
  <si>
    <t>Rent</t>
  </si>
  <si>
    <t>Lease Expiry Date</t>
  </si>
  <si>
    <t>Gr</t>
  </si>
  <si>
    <t>HDFC Bank</t>
  </si>
  <si>
    <t>F1</t>
  </si>
  <si>
    <t>Kyocera Documents Solutions India Pvt. Ltd.</t>
  </si>
  <si>
    <t>Combined Lease</t>
  </si>
  <si>
    <t>F2</t>
  </si>
  <si>
    <t>Culinary Brands Private Limited</t>
  </si>
  <si>
    <t>F3</t>
  </si>
  <si>
    <t>Cost per sq. ft.</t>
  </si>
  <si>
    <t>Area in Sq. ft.</t>
  </si>
  <si>
    <t>Phase 1</t>
  </si>
  <si>
    <t>sq. ft.</t>
  </si>
  <si>
    <t xml:space="preserve">Sr. No. </t>
  </si>
  <si>
    <t xml:space="preserve">Description </t>
  </si>
  <si>
    <r>
      <t xml:space="preserve">Average Cost for Residential                          </t>
    </r>
    <r>
      <rPr>
        <b/>
        <i/>
        <sz val="10"/>
        <color theme="0"/>
        <rFont val="Calibri"/>
        <family val="2"/>
        <scheme val="minor"/>
      </rPr>
      <t>(per sq.ft.)</t>
    </r>
  </si>
  <si>
    <t>T1
= Average Cost
x FAR Area</t>
  </si>
  <si>
    <t>i</t>
  </si>
  <si>
    <t>Basic structure construction cost</t>
  </si>
  <si>
    <t>ii</t>
  </si>
  <si>
    <t>Project sanctioning/ approval, Architectural, structural stability Fees, etc. (BMC Expenses)</t>
  </si>
  <si>
    <t>iii</t>
  </si>
  <si>
    <t>Finishing Work (Flooring, white washing, fittings &amp; fixtures, etc.)</t>
  </si>
  <si>
    <t>iv</t>
  </si>
  <si>
    <r>
      <t xml:space="preserve">MEP Works </t>
    </r>
    <r>
      <rPr>
        <i/>
        <sz val="11"/>
        <color theme="1"/>
        <rFont val="Calibri"/>
        <family val="2"/>
        <scheme val="minor"/>
      </rPr>
      <t>(Mechanical, Electrical &amp; Plumbing)</t>
    </r>
  </si>
  <si>
    <t>v</t>
  </si>
  <si>
    <t>Internal &amp; External Development charges</t>
  </si>
  <si>
    <t>vi</t>
  </si>
  <si>
    <t xml:space="preserve">Other expenses (Firefighting, intercom &amp; etc.) @ 1.5% of total cost (i+ii+iii+iv+v)             </t>
  </si>
  <si>
    <t>vii</t>
  </si>
  <si>
    <t xml:space="preserve">Pre-operative &amp; Administrative expenses @ 5% of total cost  (i+ii+iii+iv+v+vi)           </t>
  </si>
  <si>
    <t>Professional &amp; Other Consultancy Charges @5% of total Cost</t>
  </si>
  <si>
    <t>viii</t>
  </si>
  <si>
    <t>Marketing &amp; Selling charges @ 2% of Rs.30,000/-</t>
  </si>
  <si>
    <t xml:space="preserve">Total </t>
  </si>
  <si>
    <t>2. Cost of statutory approvals such as BMC approval, purchase of Fungible FSI, additional FSI, TDR is considered as per the applicable and as provided by company’s Architect.</t>
  </si>
  <si>
    <t>Basement</t>
  </si>
  <si>
    <t>Present Value factor</t>
  </si>
  <si>
    <t>Free cashflow to firm</t>
  </si>
  <si>
    <t>Net operating profit after tax</t>
  </si>
  <si>
    <t>Expenses on major maintainance of the building and other works(Considered to be Rs.25 per sq. ft.  Every 5 years and escalation of 10 % in every five years)</t>
  </si>
  <si>
    <t>Round off</t>
  </si>
  <si>
    <t>Ria</t>
  </si>
  <si>
    <t>Dis</t>
  </si>
  <si>
    <t>Maintainence Deposit</t>
  </si>
  <si>
    <t xml:space="preserve">Return of Maintainece </t>
  </si>
  <si>
    <t xml:space="preserve">Vacant </t>
  </si>
  <si>
    <t>WACC(12%)</t>
  </si>
  <si>
    <t xml:space="preserve">Capitalisation </t>
  </si>
  <si>
    <t>Annual Cash Flow</t>
  </si>
  <si>
    <t>Crore</t>
  </si>
  <si>
    <t>WACC(13%)</t>
  </si>
  <si>
    <t xml:space="preserve">VALUATION OF M/S </t>
  </si>
  <si>
    <t>Sr No.</t>
  </si>
  <si>
    <t>Discription</t>
  </si>
  <si>
    <t>Discount</t>
  </si>
  <si>
    <t>Premium</t>
  </si>
  <si>
    <t>FMV</t>
  </si>
  <si>
    <t>Remark</t>
  </si>
  <si>
    <t>Remarks:</t>
  </si>
  <si>
    <t xml:space="preserve">1. The subject property is situated at </t>
  </si>
  <si>
    <t>2. Area details are mentioned above is taken from the documents provided to us by Client.</t>
  </si>
  <si>
    <t>Tower A</t>
  </si>
  <si>
    <t>Ground Floor</t>
  </si>
  <si>
    <t>First Floor</t>
  </si>
  <si>
    <t xml:space="preserve">Second Floor </t>
  </si>
  <si>
    <t>Third Floor</t>
  </si>
  <si>
    <t>Super Area (in Sq.ft.)</t>
  </si>
  <si>
    <t>20,000-24,000</t>
  </si>
  <si>
    <t>3. The valuation is done by considering the Market Comparable Sales Method.</t>
  </si>
  <si>
    <t>Rate Range per Sq.ft.</t>
  </si>
  <si>
    <t xml:space="preserve">Basic rate per sq.ft. </t>
  </si>
  <si>
    <t>Rate Adopted per sq.ft.</t>
  </si>
  <si>
    <t xml:space="preserve">5% discount for First floor </t>
  </si>
  <si>
    <t>20,000-22,000</t>
  </si>
  <si>
    <t xml:space="preserve">10% discount for Second floor </t>
  </si>
  <si>
    <t>Round</t>
  </si>
  <si>
    <t>Reference</t>
  </si>
  <si>
    <t>Office 4th Floor</t>
  </si>
  <si>
    <t>15% discount for Third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</si>
</sst>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0.0"/>
    <numFmt numFmtId="167" formatCode="0.000"/>
    <numFmt numFmtId="168" formatCode="_ * #,##0.00_ ;_ * \-#,##0.00_ ;_ * &quot;-&quot;_ ;_ @_ "/>
    <numFmt numFmtId="169" formatCode="_ &quot;₹&quot;\ * #,##0_ ;_ &quot;₹&quot;\ * \-#,##0_ ;_ &quot;₹&quot;\ * &quot;-&quot;??_ ;_ @_ "/>
    <numFmt numFmtId="170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i/>
      <sz val="10"/>
      <color theme="0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43" fontId="0" fillId="0" borderId="0" xfId="0" applyNumberFormat="1"/>
    <xf numFmtId="14" fontId="0" fillId="0" borderId="0" xfId="0" applyNumberFormat="1"/>
    <xf numFmtId="10" fontId="0" fillId="0" borderId="0" xfId="0" applyNumberFormat="1"/>
    <xf numFmtId="0" fontId="6" fillId="2" borderId="1" xfId="0" applyFont="1" applyFill="1" applyBorder="1"/>
    <xf numFmtId="14" fontId="6" fillId="2" borderId="1" xfId="0" applyNumberFormat="1" applyFont="1" applyFill="1" applyBorder="1"/>
    <xf numFmtId="0" fontId="0" fillId="4" borderId="1" xfId="0" applyFill="1" applyBorder="1"/>
    <xf numFmtId="0" fontId="0" fillId="0" borderId="1" xfId="0" applyBorder="1"/>
    <xf numFmtId="2" fontId="0" fillId="0" borderId="1" xfId="0" applyNumberFormat="1" applyBorder="1"/>
    <xf numFmtId="43" fontId="0" fillId="0" borderId="1" xfId="1" applyFont="1" applyBorder="1"/>
    <xf numFmtId="43" fontId="2" fillId="0" borderId="1" xfId="0" applyNumberFormat="1" applyFont="1" applyBorder="1"/>
    <xf numFmtId="43" fontId="0" fillId="0" borderId="1" xfId="0" applyNumberFormat="1" applyBorder="1"/>
    <xf numFmtId="0" fontId="2" fillId="0" borderId="1" xfId="0" applyFont="1" applyBorder="1"/>
    <xf numFmtId="0" fontId="2" fillId="4" borderId="1" xfId="0" applyFont="1" applyFill="1" applyBorder="1"/>
    <xf numFmtId="43" fontId="2" fillId="0" borderId="1" xfId="1" applyFont="1" applyBorder="1"/>
    <xf numFmtId="10" fontId="2" fillId="0" borderId="1" xfId="0" applyNumberFormat="1" applyFont="1" applyBorder="1"/>
    <xf numFmtId="165" fontId="0" fillId="0" borderId="0" xfId="0" applyNumberFormat="1"/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right"/>
    </xf>
    <xf numFmtId="43" fontId="0" fillId="0" borderId="0" xfId="1" applyFont="1"/>
    <xf numFmtId="43" fontId="2" fillId="0" borderId="1" xfId="1" applyFont="1" applyFill="1" applyBorder="1"/>
    <xf numFmtId="43" fontId="2" fillId="0" borderId="1" xfId="0" applyNumberFormat="1" applyFont="1" applyBorder="1" applyAlignment="1">
      <alignment vertical="center"/>
    </xf>
    <xf numFmtId="2" fontId="0" fillId="0" borderId="0" xfId="0" applyNumberFormat="1"/>
    <xf numFmtId="0" fontId="0" fillId="0" borderId="1" xfId="0" applyBorder="1" applyAlignment="1">
      <alignment wrapText="1"/>
    </xf>
    <xf numFmtId="0" fontId="9" fillId="0" borderId="0" xfId="0" applyFont="1"/>
    <xf numFmtId="164" fontId="0" fillId="0" borderId="2" xfId="0" applyNumberFormat="1" applyBorder="1"/>
    <xf numFmtId="9" fontId="0" fillId="0" borderId="1" xfId="0" applyNumberFormat="1" applyBorder="1"/>
    <xf numFmtId="167" fontId="0" fillId="0" borderId="1" xfId="0" applyNumberFormat="1" applyBorder="1"/>
    <xf numFmtId="166" fontId="0" fillId="0" borderId="1" xfId="0" applyNumberFormat="1" applyBorder="1"/>
    <xf numFmtId="9" fontId="0" fillId="0" borderId="0" xfId="0" applyNumberFormat="1"/>
    <xf numFmtId="0" fontId="0" fillId="0" borderId="0" xfId="0" applyAlignment="1">
      <alignment horizontal="center" vertical="center"/>
    </xf>
    <xf numFmtId="10" fontId="0" fillId="3" borderId="0" xfId="0" applyNumberFormat="1" applyFill="1"/>
    <xf numFmtId="43" fontId="2" fillId="7" borderId="0" xfId="1" applyFont="1" applyFill="1"/>
    <xf numFmtId="165" fontId="0" fillId="8" borderId="1" xfId="1" applyNumberFormat="1" applyFont="1" applyFill="1" applyBorder="1"/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43" fontId="1" fillId="0" borderId="1" xfId="1" applyFill="1" applyBorder="1" applyAlignment="1">
      <alignment vertical="center" wrapText="1"/>
    </xf>
    <xf numFmtId="15" fontId="0" fillId="0" borderId="1" xfId="0" applyNumberFormat="1" applyBorder="1" applyAlignment="1">
      <alignment vertical="center" wrapText="1"/>
    </xf>
    <xf numFmtId="1" fontId="0" fillId="0" borderId="0" xfId="0" applyNumberFormat="1" applyAlignment="1">
      <alignment vertical="center" wrapText="1"/>
    </xf>
    <xf numFmtId="43" fontId="1" fillId="0" borderId="1" xfId="1" applyFill="1" applyBorder="1" applyAlignment="1">
      <alignment vertical="center"/>
    </xf>
    <xf numFmtId="168" fontId="0" fillId="0" borderId="1" xfId="0" applyNumberFormat="1" applyBorder="1" applyAlignment="1">
      <alignment vertical="center"/>
    </xf>
    <xf numFmtId="43" fontId="11" fillId="0" borderId="1" xfId="1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3" fontId="11" fillId="0" borderId="1" xfId="1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2" fontId="0" fillId="5" borderId="1" xfId="0" applyNumberFormat="1" applyFill="1" applyBorder="1"/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9" fontId="0" fillId="7" borderId="1" xfId="6" applyNumberFormat="1" applyFont="1" applyFill="1" applyBorder="1" applyAlignment="1">
      <alignment horizontal="right" vertical="center"/>
    </xf>
    <xf numFmtId="169" fontId="0" fillId="0" borderId="1" xfId="6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169" fontId="0" fillId="7" borderId="4" xfId="6" applyNumberFormat="1" applyFont="1" applyFill="1" applyBorder="1" applyAlignment="1">
      <alignment horizontal="right" vertical="center"/>
    </xf>
    <xf numFmtId="0" fontId="0" fillId="0" borderId="5" xfId="0" applyBorder="1" applyAlignment="1">
      <alignment horizontal="left" vertical="center" wrapText="1"/>
    </xf>
    <xf numFmtId="169" fontId="0" fillId="10" borderId="1" xfId="6" applyNumberFormat="1" applyFont="1" applyFill="1" applyBorder="1" applyAlignment="1">
      <alignment horizontal="right" vertical="center"/>
    </xf>
    <xf numFmtId="10" fontId="0" fillId="0" borderId="0" xfId="0" applyNumberFormat="1" applyAlignment="1">
      <alignment horizontal="center" vertical="center"/>
    </xf>
    <xf numFmtId="0" fontId="0" fillId="0" borderId="5" xfId="0" applyBorder="1" applyAlignment="1">
      <alignment vertical="center" wrapText="1"/>
    </xf>
    <xf numFmtId="9" fontId="0" fillId="0" borderId="0" xfId="0" applyNumberFormat="1" applyAlignment="1">
      <alignment horizontal="center" vertical="center"/>
    </xf>
    <xf numFmtId="0" fontId="0" fillId="6" borderId="5" xfId="0" applyFill="1" applyBorder="1" applyAlignment="1">
      <alignment vertical="center" wrapText="1"/>
    </xf>
    <xf numFmtId="44" fontId="0" fillId="6" borderId="1" xfId="6" applyFont="1" applyFill="1" applyBorder="1" applyAlignment="1">
      <alignment horizontal="right" vertical="center"/>
    </xf>
    <xf numFmtId="0" fontId="0" fillId="3" borderId="1" xfId="0" applyFill="1" applyBorder="1" applyAlignment="1">
      <alignment vertical="center" wrapText="1"/>
    </xf>
    <xf numFmtId="169" fontId="0" fillId="3" borderId="1" xfId="6" applyNumberFormat="1" applyFont="1" applyFill="1" applyBorder="1" applyAlignment="1">
      <alignment horizontal="right" vertical="center"/>
    </xf>
    <xf numFmtId="169" fontId="8" fillId="0" borderId="3" xfId="6" applyNumberFormat="1" applyFont="1" applyBorder="1" applyAlignment="1">
      <alignment horizontal="right"/>
    </xf>
    <xf numFmtId="169" fontId="8" fillId="0" borderId="6" xfId="6" applyNumberFormat="1" applyFont="1" applyBorder="1" applyAlignment="1">
      <alignment horizontal="right"/>
    </xf>
    <xf numFmtId="9" fontId="0" fillId="0" borderId="1" xfId="7" applyNumberFormat="1" applyFont="1" applyFill="1" applyBorder="1" applyAlignment="1">
      <alignment horizontal="right" vertical="center"/>
    </xf>
    <xf numFmtId="165" fontId="13" fillId="0" borderId="0" xfId="0" applyNumberFormat="1" applyFont="1"/>
    <xf numFmtId="165" fontId="0" fillId="0" borderId="0" xfId="1" applyNumberFormat="1" applyFont="1" applyAlignment="1">
      <alignment vertical="center" wrapText="1"/>
    </xf>
    <xf numFmtId="169" fontId="0" fillId="0" borderId="1" xfId="0" applyNumberFormat="1" applyBorder="1" applyAlignment="1">
      <alignment vertical="center" wrapText="1"/>
    </xf>
    <xf numFmtId="43" fontId="0" fillId="0" borderId="2" xfId="1" applyFont="1" applyBorder="1"/>
    <xf numFmtId="165" fontId="0" fillId="0" borderId="1" xfId="1" applyNumberFormat="1" applyFont="1" applyBorder="1"/>
    <xf numFmtId="0" fontId="0" fillId="11" borderId="1" xfId="0" applyFill="1" applyBorder="1"/>
    <xf numFmtId="0" fontId="7" fillId="0" borderId="0" xfId="0" applyFont="1"/>
    <xf numFmtId="0" fontId="2" fillId="11" borderId="1" xfId="0" applyFont="1" applyFill="1" applyBorder="1"/>
    <xf numFmtId="43" fontId="0" fillId="5" borderId="0" xfId="1" applyFont="1" applyFill="1"/>
    <xf numFmtId="0" fontId="0" fillId="4" borderId="0" xfId="0" applyFill="1"/>
    <xf numFmtId="43" fontId="0" fillId="4" borderId="0" xfId="0" applyNumberFormat="1" applyFill="1"/>
    <xf numFmtId="43" fontId="1" fillId="0" borderId="1" xfId="1" applyFont="1" applyFill="1" applyBorder="1" applyAlignment="1">
      <alignment vertical="center" wrapText="1"/>
    </xf>
    <xf numFmtId="43" fontId="2" fillId="0" borderId="0" xfId="0" applyNumberFormat="1" applyFont="1"/>
    <xf numFmtId="43" fontId="0" fillId="0" borderId="0" xfId="1" applyFont="1" applyAlignment="1">
      <alignment vertical="center" wrapText="1"/>
    </xf>
    <xf numFmtId="0" fontId="2" fillId="7" borderId="5" xfId="0" applyFont="1" applyFill="1" applyBorder="1" applyAlignment="1">
      <alignment horizontal="centerContinuous"/>
    </xf>
    <xf numFmtId="0" fontId="0" fillId="7" borderId="7" xfId="0" applyFill="1" applyBorder="1" applyAlignment="1">
      <alignment horizontal="centerContinuous"/>
    </xf>
    <xf numFmtId="0" fontId="0" fillId="7" borderId="2" xfId="0" applyFill="1" applyBorder="1" applyAlignment="1">
      <alignment horizontal="centerContinuous"/>
    </xf>
    <xf numFmtId="0" fontId="6" fillId="2" borderId="3" xfId="8" applyFont="1" applyFill="1" applyBorder="1" applyAlignment="1">
      <alignment horizontal="center" vertical="center"/>
    </xf>
    <xf numFmtId="0" fontId="6" fillId="2" borderId="3" xfId="8" applyFont="1" applyFill="1" applyBorder="1" applyAlignment="1">
      <alignment horizontal="center" vertical="center" wrapText="1"/>
    </xf>
    <xf numFmtId="0" fontId="1" fillId="0" borderId="1" xfId="8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1" xfId="9" applyNumberFormat="1" applyFont="1" applyBorder="1" applyAlignment="1">
      <alignment horizontal="center" vertical="center" wrapText="1"/>
    </xf>
    <xf numFmtId="170" fontId="1" fillId="0" borderId="1" xfId="1" applyNumberFormat="1" applyFont="1" applyBorder="1" applyAlignment="1">
      <alignment horizontal="center" vertical="center"/>
    </xf>
    <xf numFmtId="10" fontId="1" fillId="0" borderId="1" xfId="8" applyNumberFormat="1" applyBorder="1" applyAlignment="1">
      <alignment horizontal="center" vertical="center"/>
    </xf>
    <xf numFmtId="165" fontId="1" fillId="0" borderId="1" xfId="9" applyNumberFormat="1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center"/>
    </xf>
    <xf numFmtId="0" fontId="2" fillId="0" borderId="1" xfId="8" applyFont="1" applyBorder="1" applyAlignment="1">
      <alignment vertical="center"/>
    </xf>
    <xf numFmtId="165" fontId="2" fillId="0" borderId="1" xfId="8" applyNumberFormat="1" applyFont="1" applyBorder="1" applyAlignment="1">
      <alignment vertical="center"/>
    </xf>
    <xf numFmtId="165" fontId="2" fillId="0" borderId="1" xfId="9" applyNumberFormat="1" applyFont="1" applyBorder="1" applyAlignment="1">
      <alignment horizontal="center" vertical="center"/>
    </xf>
    <xf numFmtId="165" fontId="1" fillId="0" borderId="1" xfId="9" applyNumberFormat="1" applyFont="1" applyBorder="1" applyAlignment="1">
      <alignment horizontal="center" vertical="center" wrapText="1"/>
    </xf>
    <xf numFmtId="165" fontId="0" fillId="0" borderId="1" xfId="0" applyNumberFormat="1" applyBorder="1"/>
    <xf numFmtId="165" fontId="2" fillId="0" borderId="1" xfId="1" applyNumberFormat="1" applyFont="1" applyBorder="1"/>
    <xf numFmtId="0" fontId="2" fillId="0" borderId="5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center"/>
    </xf>
    <xf numFmtId="0" fontId="14" fillId="0" borderId="5" xfId="8" applyFont="1" applyBorder="1" applyAlignment="1">
      <alignment horizontal="left" vertical="center"/>
    </xf>
    <xf numFmtId="0" fontId="14" fillId="0" borderId="7" xfId="8" applyFont="1" applyBorder="1" applyAlignment="1">
      <alignment horizontal="left" vertical="center"/>
    </xf>
    <xf numFmtId="0" fontId="14" fillId="0" borderId="2" xfId="8" applyFont="1" applyBorder="1" applyAlignment="1">
      <alignment horizontal="left" vertical="center"/>
    </xf>
    <xf numFmtId="0" fontId="14" fillId="0" borderId="5" xfId="8" applyFont="1" applyBorder="1" applyAlignment="1">
      <alignment horizontal="left" vertical="center" wrapText="1"/>
    </xf>
    <xf numFmtId="0" fontId="14" fillId="0" borderId="7" xfId="8" applyFont="1" applyBorder="1" applyAlignment="1">
      <alignment horizontal="left" vertical="center" wrapText="1"/>
    </xf>
    <xf numFmtId="0" fontId="14" fillId="0" borderId="2" xfId="8" applyFont="1" applyBorder="1" applyAlignment="1">
      <alignment horizontal="left" vertical="center" wrapText="1"/>
    </xf>
    <xf numFmtId="0" fontId="8" fillId="0" borderId="5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</cellXfs>
  <cellStyles count="10">
    <cellStyle name="=C:\WINNT35\SYSTEM32\COMMAND.COM" xfId="2"/>
    <cellStyle name="Comma" xfId="1" builtinId="3"/>
    <cellStyle name="Comma 2 2" xfId="5"/>
    <cellStyle name="Comma 2 4" xfId="7"/>
    <cellStyle name="Comma 3" xfId="9"/>
    <cellStyle name="Currency" xfId="6" builtinId="4"/>
    <cellStyle name="Normal" xfId="0" builtinId="0"/>
    <cellStyle name="Normal 2 2" xfId="8"/>
    <cellStyle name="Normal 2 3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30336832895888"/>
          <c:y val="0.14856481481481484"/>
          <c:w val="0.845387795275590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'Model(Capitilization Rate)'!$F$10:$AW$10</c:f>
              <c:numCache>
                <c:formatCode>_(* #,##0.00_);_(* \(#,##0.00\);_(* "-"??_);_(@_)</c:formatCode>
                <c:ptCount val="44"/>
                <c:pt idx="0">
                  <c:v>7.0783905578199997</c:v>
                </c:pt>
                <c:pt idx="1">
                  <c:v>7.2626562050200008</c:v>
                </c:pt>
                <c:pt idx="2">
                  <c:v>7.6638862850199994</c:v>
                </c:pt>
                <c:pt idx="3">
                  <c:v>8.1270153201700008</c:v>
                </c:pt>
                <c:pt idx="4">
                  <c:v>8.3389208144500007</c:v>
                </c:pt>
                <c:pt idx="5">
                  <c:v>8.8003354064499995</c:v>
                </c:pt>
                <c:pt idx="6">
                  <c:v>9.3329337968724975</c:v>
                </c:pt>
                <c:pt idx="7">
                  <c:v>9.5766251152944957</c:v>
                </c:pt>
                <c:pt idx="8">
                  <c:v>10.107251896094496</c:v>
                </c:pt>
                <c:pt idx="9">
                  <c:v>10.719740045080371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68-4C60-B948-872B683A7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7289416"/>
        <c:axId val="257286280"/>
      </c:barChart>
      <c:catAx>
        <c:axId val="2572894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286280"/>
        <c:crosses val="autoZero"/>
        <c:auto val="1"/>
        <c:lblAlgn val="ctr"/>
        <c:lblOffset val="100"/>
        <c:noMultiLvlLbl val="0"/>
      </c:catAx>
      <c:valAx>
        <c:axId val="257286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28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30336832895888"/>
          <c:y val="0.14856481481481484"/>
          <c:w val="0.845387795275590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'Model(60 Year projection)'!$F$10:$AW$10</c:f>
              <c:numCache>
                <c:formatCode>_(* #,##0.00_);_(* \(#,##0.00\);_(* "-"??_);_(@_)</c:formatCode>
                <c:ptCount val="44"/>
                <c:pt idx="0">
                  <c:v>7.0783905578199997</c:v>
                </c:pt>
                <c:pt idx="1">
                  <c:v>7.2626562050200008</c:v>
                </c:pt>
                <c:pt idx="2">
                  <c:v>7.6638862850199994</c:v>
                </c:pt>
                <c:pt idx="3">
                  <c:v>8.1270153201700008</c:v>
                </c:pt>
                <c:pt idx="4">
                  <c:v>8.3389208144500007</c:v>
                </c:pt>
                <c:pt idx="5">
                  <c:v>8.8003354064499995</c:v>
                </c:pt>
                <c:pt idx="6">
                  <c:v>9.3329337968724975</c:v>
                </c:pt>
                <c:pt idx="7">
                  <c:v>9.5766251152944957</c:v>
                </c:pt>
                <c:pt idx="8">
                  <c:v>10.107251896094496</c:v>
                </c:pt>
                <c:pt idx="9">
                  <c:v>10.719740045080371</c:v>
                </c:pt>
                <c:pt idx="10">
                  <c:v>10.99998506126567</c:v>
                </c:pt>
                <c:pt idx="11">
                  <c:v>11.610205859185672</c:v>
                </c:pt>
                <c:pt idx="12">
                  <c:v>12.314567230519428</c:v>
                </c:pt>
                <c:pt idx="13">
                  <c:v>12.636848999132521</c:v>
                </c:pt>
                <c:pt idx="14">
                  <c:v>13.33860291674052</c:v>
                </c:pt>
                <c:pt idx="15">
                  <c:v>14.148618493774341</c:v>
                </c:pt>
                <c:pt idx="16">
                  <c:v>14.519242527679399</c:v>
                </c:pt>
                <c:pt idx="17">
                  <c:v>15.326259532928599</c:v>
                </c:pt>
                <c:pt idx="18">
                  <c:v>16.25777744651749</c:v>
                </c:pt>
                <c:pt idx="19">
                  <c:v>16.683995085508311</c:v>
                </c:pt>
                <c:pt idx="20">
                  <c:v>17.612064641544887</c:v>
                </c:pt>
                <c:pt idx="21">
                  <c:v>18.683310242172109</c:v>
                </c:pt>
                <c:pt idx="22">
                  <c:v>19.173460527011549</c:v>
                </c:pt>
                <c:pt idx="23">
                  <c:v>20.240740516453616</c:v>
                </c:pt>
                <c:pt idx="24">
                  <c:v>21.472672957174929</c:v>
                </c:pt>
                <c:pt idx="25">
                  <c:v>22.036345784740284</c:v>
                </c:pt>
                <c:pt idx="26">
                  <c:v>23.263717772598657</c:v>
                </c:pt>
                <c:pt idx="27">
                  <c:v>24.680440079428163</c:v>
                </c:pt>
                <c:pt idx="28">
                  <c:v>25.328663831128328</c:v>
                </c:pt>
                <c:pt idx="29">
                  <c:v>26.74014161716546</c:v>
                </c:pt>
                <c:pt idx="30">
                  <c:v>28.369372270019387</c:v>
                </c:pt>
                <c:pt idx="31">
                  <c:v>29.114829584474574</c:v>
                </c:pt>
                <c:pt idx="32">
                  <c:v>30.738029038417274</c:v>
                </c:pt>
                <c:pt idx="33">
                  <c:v>32.611644289199297</c:v>
                </c:pt>
                <c:pt idx="34">
                  <c:v>33.468920200822751</c:v>
                </c:pt>
                <c:pt idx="35">
                  <c:v>35.335599572856857</c:v>
                </c:pt>
                <c:pt idx="36">
                  <c:v>37.490257111256184</c:v>
                </c:pt>
                <c:pt idx="37">
                  <c:v>38.476124409623161</c:v>
                </c:pt>
                <c:pt idx="38">
                  <c:v>40.622805687462389</c:v>
                </c:pt>
                <c:pt idx="39">
                  <c:v>43.100661856621613</c:v>
                </c:pt>
                <c:pt idx="40">
                  <c:v>44.234409249743635</c:v>
                </c:pt>
                <c:pt idx="41">
                  <c:v>46.703092719258741</c:v>
                </c:pt>
                <c:pt idx="42">
                  <c:v>49.552627313791845</c:v>
                </c:pt>
                <c:pt idx="43">
                  <c:v>50.856436815882184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68-4C60-B948-872B683A7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7286672"/>
        <c:axId val="257282752"/>
      </c:barChart>
      <c:catAx>
        <c:axId val="2572866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282752"/>
        <c:crosses val="autoZero"/>
        <c:auto val="1"/>
        <c:lblAlgn val="ctr"/>
        <c:lblOffset val="100"/>
        <c:noMultiLvlLbl val="0"/>
      </c:catAx>
      <c:valAx>
        <c:axId val="25728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286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409014</xdr:colOff>
      <xdr:row>34</xdr:row>
      <xdr:rowOff>6723</xdr:rowOff>
    </xdr:from>
    <xdr:to>
      <xdr:col>16</xdr:col>
      <xdr:colOff>117661</xdr:colOff>
      <xdr:row>48</xdr:row>
      <xdr:rowOff>82923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44980264-CCBB-0980-375C-D23320B57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409014</xdr:colOff>
      <xdr:row>32</xdr:row>
      <xdr:rowOff>6723</xdr:rowOff>
    </xdr:from>
    <xdr:to>
      <xdr:col>16</xdr:col>
      <xdr:colOff>117661</xdr:colOff>
      <xdr:row>46</xdr:row>
      <xdr:rowOff>82923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44980264-CCBB-0980-375C-D23320B57E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8"/>
  <sheetViews>
    <sheetView workbookViewId="0">
      <selection activeCell="H4" sqref="H4"/>
    </sheetView>
  </sheetViews>
  <sheetFormatPr defaultRowHeight="15"/>
  <cols>
    <col min="2" max="2" width="14.5703125" bestFit="1" customWidth="1"/>
    <col min="3" max="3" width="13.28515625" bestFit="1" customWidth="1"/>
    <col min="4" max="4" width="13.28515625" customWidth="1"/>
    <col min="5" max="5" width="12" customWidth="1"/>
    <col min="6" max="6" width="12.85546875" bestFit="1" customWidth="1"/>
    <col min="7" max="7" width="11.42578125" bestFit="1" customWidth="1"/>
    <col min="8" max="8" width="8.7109375" bestFit="1" customWidth="1"/>
    <col min="9" max="9" width="8.42578125" hidden="1" customWidth="1"/>
    <col min="10" max="10" width="20.5703125" bestFit="1" customWidth="1"/>
    <col min="11" max="11" width="14.7109375" bestFit="1" customWidth="1"/>
    <col min="12" max="12" width="18.140625" customWidth="1"/>
  </cols>
  <sheetData>
    <row r="2" spans="2:12">
      <c r="B2" s="82" t="s">
        <v>107</v>
      </c>
      <c r="C2" s="83"/>
      <c r="D2" s="83"/>
      <c r="E2" s="83"/>
      <c r="F2" s="83"/>
      <c r="G2" s="83"/>
      <c r="H2" s="83"/>
      <c r="I2" s="83"/>
      <c r="J2" s="83"/>
      <c r="K2" s="83"/>
      <c r="L2" s="84"/>
    </row>
    <row r="3" spans="2:12" ht="30">
      <c r="B3" s="85" t="s">
        <v>108</v>
      </c>
      <c r="C3" s="85" t="s">
        <v>109</v>
      </c>
      <c r="D3" s="86" t="s">
        <v>1</v>
      </c>
      <c r="E3" s="86" t="s">
        <v>122</v>
      </c>
      <c r="F3" s="86" t="s">
        <v>125</v>
      </c>
      <c r="G3" s="86" t="s">
        <v>126</v>
      </c>
      <c r="H3" s="85" t="s">
        <v>110</v>
      </c>
      <c r="I3" s="85" t="s">
        <v>111</v>
      </c>
      <c r="J3" s="85" t="s">
        <v>127</v>
      </c>
      <c r="K3" s="85" t="s">
        <v>112</v>
      </c>
      <c r="L3" s="85" t="s">
        <v>113</v>
      </c>
    </row>
    <row r="4" spans="2:12" ht="30">
      <c r="B4" s="87">
        <v>1</v>
      </c>
      <c r="C4" s="51" t="s">
        <v>117</v>
      </c>
      <c r="D4" s="51" t="s">
        <v>118</v>
      </c>
      <c r="E4" s="88">
        <f>5771+2604</f>
        <v>8375</v>
      </c>
      <c r="F4" s="89" t="s">
        <v>123</v>
      </c>
      <c r="G4" s="90">
        <v>24000</v>
      </c>
      <c r="H4" s="91">
        <v>0</v>
      </c>
      <c r="I4" s="91">
        <v>0</v>
      </c>
      <c r="J4" s="92">
        <f>G4*(1+I4)*(1-H4)</f>
        <v>24000</v>
      </c>
      <c r="K4" s="92">
        <f>J4*E4</f>
        <v>201000000</v>
      </c>
      <c r="L4" s="89"/>
    </row>
    <row r="5" spans="2:12" ht="30">
      <c r="B5" s="87">
        <v>2</v>
      </c>
      <c r="C5" s="51" t="s">
        <v>117</v>
      </c>
      <c r="D5" s="51" t="s">
        <v>119</v>
      </c>
      <c r="E5" s="88">
        <v>9619</v>
      </c>
      <c r="F5" s="89" t="s">
        <v>129</v>
      </c>
      <c r="G5" s="90">
        <v>24000</v>
      </c>
      <c r="H5" s="91">
        <v>0.05</v>
      </c>
      <c r="I5" s="91">
        <v>0</v>
      </c>
      <c r="J5" s="92">
        <f t="shared" ref="J5:J7" si="0">G5*(1+I5)*(1-H5)</f>
        <v>22800</v>
      </c>
      <c r="K5" s="92">
        <f t="shared" ref="K5:K7" si="1">J5*E5</f>
        <v>219313200</v>
      </c>
      <c r="L5" s="89" t="s">
        <v>128</v>
      </c>
    </row>
    <row r="6" spans="2:12" ht="30">
      <c r="B6" s="87">
        <v>3</v>
      </c>
      <c r="C6" s="51" t="s">
        <v>117</v>
      </c>
      <c r="D6" s="51" t="s">
        <v>120</v>
      </c>
      <c r="E6" s="88">
        <v>9593</v>
      </c>
      <c r="F6" s="89" t="s">
        <v>129</v>
      </c>
      <c r="G6" s="90">
        <v>24000</v>
      </c>
      <c r="H6" s="91">
        <v>0.1</v>
      </c>
      <c r="I6" s="91">
        <v>0</v>
      </c>
      <c r="J6" s="92">
        <f t="shared" si="0"/>
        <v>21600</v>
      </c>
      <c r="K6" s="92">
        <f t="shared" si="1"/>
        <v>207208800</v>
      </c>
      <c r="L6" s="89" t="s">
        <v>130</v>
      </c>
    </row>
    <row r="7" spans="2:12" ht="30">
      <c r="B7" s="87">
        <v>4</v>
      </c>
      <c r="C7" s="51" t="s">
        <v>117</v>
      </c>
      <c r="D7" s="51" t="s">
        <v>121</v>
      </c>
      <c r="E7" s="88">
        <f>2897+6634</f>
        <v>9531</v>
      </c>
      <c r="F7" s="89" t="s">
        <v>129</v>
      </c>
      <c r="G7" s="90">
        <v>24000</v>
      </c>
      <c r="H7" s="91">
        <v>0.15</v>
      </c>
      <c r="I7" s="91">
        <v>0</v>
      </c>
      <c r="J7" s="92">
        <f t="shared" si="0"/>
        <v>20400</v>
      </c>
      <c r="K7" s="92">
        <f t="shared" si="1"/>
        <v>194432400</v>
      </c>
      <c r="L7" s="89" t="s">
        <v>134</v>
      </c>
    </row>
    <row r="8" spans="2:12">
      <c r="B8" s="100" t="s">
        <v>0</v>
      </c>
      <c r="C8" s="101"/>
      <c r="D8" s="93"/>
      <c r="E8" s="95">
        <f>SUM(E4:E7)</f>
        <v>37118</v>
      </c>
      <c r="F8" s="94"/>
      <c r="G8" s="94"/>
      <c r="H8" s="94"/>
      <c r="I8" s="94"/>
      <c r="J8" s="94"/>
      <c r="K8" s="96">
        <f>SUM(K4:K7)</f>
        <v>821954400</v>
      </c>
      <c r="L8" s="97"/>
    </row>
    <row r="9" spans="2:12">
      <c r="B9" s="102" t="s">
        <v>114</v>
      </c>
      <c r="C9" s="103"/>
      <c r="D9" s="103"/>
      <c r="E9" s="103"/>
      <c r="F9" s="103"/>
      <c r="G9" s="103"/>
      <c r="H9" s="103"/>
      <c r="I9" s="103"/>
      <c r="J9" s="103"/>
      <c r="K9" s="103"/>
      <c r="L9" s="104"/>
    </row>
    <row r="10" spans="2:12">
      <c r="B10" s="105" t="s">
        <v>115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7"/>
    </row>
    <row r="11" spans="2:12">
      <c r="B11" s="102" t="s">
        <v>116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4"/>
    </row>
    <row r="12" spans="2:12">
      <c r="B12" s="102" t="s">
        <v>124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4"/>
    </row>
    <row r="14" spans="2:12">
      <c r="B14" s="1" t="s">
        <v>132</v>
      </c>
      <c r="J14" s="8" t="s">
        <v>112</v>
      </c>
      <c r="K14" s="98">
        <f>K8</f>
        <v>821954400</v>
      </c>
    </row>
    <row r="15" spans="2:12">
      <c r="B15" s="72" t="s">
        <v>133</v>
      </c>
      <c r="C15" s="72">
        <v>1050</v>
      </c>
      <c r="D15" s="72">
        <v>22500000</v>
      </c>
      <c r="E15" s="99">
        <f>D15/C15</f>
        <v>21428.571428571428</v>
      </c>
      <c r="J15" s="8" t="s">
        <v>131</v>
      </c>
      <c r="K15" s="98">
        <f>ROUND(K14,-5)</f>
        <v>822000000</v>
      </c>
    </row>
    <row r="16" spans="2:12">
      <c r="B16" s="72" t="s">
        <v>133</v>
      </c>
      <c r="C16" s="72">
        <v>1000</v>
      </c>
      <c r="D16" s="72">
        <v>21200000</v>
      </c>
      <c r="E16" s="99">
        <f>D16/C16</f>
        <v>21200</v>
      </c>
      <c r="F16" s="30">
        <v>0.15</v>
      </c>
      <c r="J16" s="8" t="s">
        <v>97</v>
      </c>
      <c r="K16" s="72">
        <f>K15*0.85</f>
        <v>698700000</v>
      </c>
    </row>
    <row r="17" spans="5:11">
      <c r="J17" s="8" t="s">
        <v>98</v>
      </c>
      <c r="K17" s="72">
        <f>K15*0.75</f>
        <v>616500000</v>
      </c>
    </row>
    <row r="18" spans="5:11">
      <c r="E18">
        <f>21000*0.15</f>
        <v>3150</v>
      </c>
      <c r="F18">
        <f>E18+21000</f>
        <v>24150</v>
      </c>
    </row>
  </sheetData>
  <mergeCells count="5">
    <mergeCell ref="B8:C8"/>
    <mergeCell ref="B9:L9"/>
    <mergeCell ref="B10:L10"/>
    <mergeCell ref="B11:L11"/>
    <mergeCell ref="B12:L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0"/>
  <sheetViews>
    <sheetView tabSelected="1" topLeftCell="C9" zoomScale="85" zoomScaleNormal="85" workbookViewId="0">
      <selection activeCell="H13" sqref="H13"/>
    </sheetView>
  </sheetViews>
  <sheetFormatPr defaultRowHeight="15"/>
  <cols>
    <col min="2" max="2" width="15.28515625" customWidth="1"/>
    <col min="3" max="3" width="28" bestFit="1" customWidth="1"/>
    <col min="4" max="4" width="39.7109375" customWidth="1"/>
    <col min="5" max="5" width="10.42578125" customWidth="1"/>
    <col min="6" max="6" width="14.42578125" customWidth="1"/>
    <col min="7" max="49" width="13.5703125" customWidth="1"/>
  </cols>
  <sheetData>
    <row r="1" spans="2:15">
      <c r="D1" t="s">
        <v>22</v>
      </c>
      <c r="F1">
        <f t="shared" ref="F1:O1" si="0">F5-E5</f>
        <v>365</v>
      </c>
      <c r="G1">
        <f t="shared" si="0"/>
        <v>365</v>
      </c>
      <c r="H1">
        <f t="shared" si="0"/>
        <v>366</v>
      </c>
      <c r="I1">
        <f t="shared" si="0"/>
        <v>365</v>
      </c>
      <c r="J1">
        <f t="shared" si="0"/>
        <v>365</v>
      </c>
      <c r="K1">
        <f t="shared" si="0"/>
        <v>365</v>
      </c>
      <c r="L1">
        <f t="shared" si="0"/>
        <v>366</v>
      </c>
      <c r="M1">
        <f t="shared" si="0"/>
        <v>365</v>
      </c>
      <c r="N1">
        <f t="shared" si="0"/>
        <v>365</v>
      </c>
      <c r="O1">
        <f t="shared" si="0"/>
        <v>365</v>
      </c>
    </row>
    <row r="2" spans="2:15">
      <c r="B2" t="s">
        <v>5</v>
      </c>
      <c r="C2" s="3">
        <v>58896</v>
      </c>
      <c r="D2" t="s">
        <v>3</v>
      </c>
      <c r="F2">
        <f>IF(F5&lt;=$C$2,(F5-C3),($C$2-E5))</f>
        <v>364</v>
      </c>
      <c r="G2">
        <f t="shared" ref="G2:O2" si="1">IF(G5&lt;=$C$2,(G5-F5),($C$2-F5))</f>
        <v>365</v>
      </c>
      <c r="H2">
        <f t="shared" si="1"/>
        <v>366</v>
      </c>
      <c r="I2">
        <f t="shared" si="1"/>
        <v>365</v>
      </c>
      <c r="J2">
        <f t="shared" si="1"/>
        <v>365</v>
      </c>
      <c r="K2">
        <f t="shared" si="1"/>
        <v>365</v>
      </c>
      <c r="L2">
        <f t="shared" si="1"/>
        <v>366</v>
      </c>
      <c r="M2">
        <f t="shared" si="1"/>
        <v>365</v>
      </c>
      <c r="N2">
        <f t="shared" si="1"/>
        <v>365</v>
      </c>
      <c r="O2">
        <f t="shared" si="1"/>
        <v>365</v>
      </c>
    </row>
    <row r="3" spans="2:15">
      <c r="B3" t="s">
        <v>7</v>
      </c>
      <c r="C3" s="3">
        <v>45748</v>
      </c>
      <c r="D3" t="s">
        <v>2</v>
      </c>
      <c r="E3">
        <v>21</v>
      </c>
      <c r="F3">
        <f>E3+1</f>
        <v>22</v>
      </c>
      <c r="G3">
        <f t="shared" ref="G3:O3" si="2">F3+1</f>
        <v>23</v>
      </c>
      <c r="H3">
        <f t="shared" si="2"/>
        <v>24</v>
      </c>
      <c r="I3">
        <f t="shared" si="2"/>
        <v>25</v>
      </c>
      <c r="J3">
        <f t="shared" si="2"/>
        <v>26</v>
      </c>
      <c r="K3">
        <f t="shared" si="2"/>
        <v>27</v>
      </c>
      <c r="L3">
        <f t="shared" si="2"/>
        <v>28</v>
      </c>
      <c r="M3">
        <f t="shared" si="2"/>
        <v>29</v>
      </c>
      <c r="N3">
        <f t="shared" si="2"/>
        <v>30</v>
      </c>
      <c r="O3">
        <f t="shared" si="2"/>
        <v>31</v>
      </c>
    </row>
    <row r="4" spans="2:15">
      <c r="I4" s="4"/>
      <c r="J4" s="4"/>
      <c r="K4" s="4"/>
      <c r="L4" s="4"/>
      <c r="M4" s="4"/>
      <c r="N4" s="4"/>
      <c r="O4" s="4"/>
    </row>
    <row r="5" spans="2:15">
      <c r="D5" s="5" t="s">
        <v>4</v>
      </c>
      <c r="E5" s="6">
        <v>45747</v>
      </c>
      <c r="F5" s="6">
        <f>EDATE(E5,12)</f>
        <v>46112</v>
      </c>
      <c r="G5" s="6">
        <f t="shared" ref="G5:O5" si="3">EDATE(F5,12)</f>
        <v>46477</v>
      </c>
      <c r="H5" s="6">
        <f t="shared" si="3"/>
        <v>46843</v>
      </c>
      <c r="I5" s="6">
        <f t="shared" si="3"/>
        <v>47208</v>
      </c>
      <c r="J5" s="6">
        <f t="shared" si="3"/>
        <v>47573</v>
      </c>
      <c r="K5" s="6">
        <f t="shared" si="3"/>
        <v>47938</v>
      </c>
      <c r="L5" s="6">
        <f t="shared" si="3"/>
        <v>48304</v>
      </c>
      <c r="M5" s="6">
        <f t="shared" si="3"/>
        <v>48669</v>
      </c>
      <c r="N5" s="6">
        <f t="shared" si="3"/>
        <v>49034</v>
      </c>
      <c r="O5" s="6">
        <f t="shared" si="3"/>
        <v>49399</v>
      </c>
    </row>
    <row r="6" spans="2:15">
      <c r="D6" s="7" t="s">
        <v>6</v>
      </c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2:15">
      <c r="D7" s="8" t="s">
        <v>24</v>
      </c>
      <c r="E7" s="8"/>
      <c r="F7" s="9">
        <f>'Lease. Rent'!D10/10^7</f>
        <v>6.8386985999999998</v>
      </c>
      <c r="G7" s="9">
        <f>'Lease. Rent'!E10/10^7</f>
        <v>7.0174161900000005</v>
      </c>
      <c r="H7" s="9">
        <f>'Lease. Rent'!F10/10^7</f>
        <v>7.4186462699999991</v>
      </c>
      <c r="I7" s="9">
        <f>'Lease. Rent'!G10/10^7</f>
        <v>7.8645033900000003</v>
      </c>
      <c r="J7" s="9">
        <f>'Lease. Rent'!H10/10^7</f>
        <v>8.0700286185000003</v>
      </c>
      <c r="K7" s="9">
        <f>'Lease. Rent'!I10/10^7</f>
        <v>8.5314432104999991</v>
      </c>
      <c r="L7" s="9">
        <f>'Lease. Rent'!J10/10^7</f>
        <v>9.0441788984999985</v>
      </c>
      <c r="M7" s="9">
        <f>'Lease. Rent'!K10/10^7</f>
        <v>9.2805329112749959</v>
      </c>
      <c r="N7" s="9">
        <f>'Lease. Rent'!L10/10^7</f>
        <v>9.8111596920749964</v>
      </c>
      <c r="O7" s="9">
        <f>'Lease. Rent'!M10/10^7</f>
        <v>10.400805733274996</v>
      </c>
    </row>
    <row r="8" spans="2:15">
      <c r="B8" s="2"/>
      <c r="D8" s="8" t="s">
        <v>29</v>
      </c>
      <c r="E8" s="8"/>
      <c r="F8" s="10">
        <f>+'Security Deposit'!E10/10^7</f>
        <v>0.22170388100000002</v>
      </c>
      <c r="G8" s="10">
        <f>+'Security Deposit'!F10/10^7</f>
        <v>0.22714311200000001</v>
      </c>
      <c r="H8" s="10">
        <f>+'Security Deposit'!G10/10^7</f>
        <v>0.22714311200000001</v>
      </c>
      <c r="I8" s="10">
        <f>+'Security Deposit'!H10/10^7</f>
        <v>0.24274811120000003</v>
      </c>
      <c r="J8" s="10">
        <f>+'Security Deposit'!I10/10^7</f>
        <v>0.24900322685000004</v>
      </c>
      <c r="K8" s="10">
        <f>+'Security Deposit'!J10/10^7</f>
        <v>0.24900322685000004</v>
      </c>
      <c r="L8" s="10">
        <f>+'Security Deposit'!K10/10^7</f>
        <v>0.26694897593</v>
      </c>
      <c r="M8" s="10">
        <f>+'Security Deposit'!L10/10^7</f>
        <v>0.2741423589275</v>
      </c>
      <c r="N8" s="10">
        <f>+'Security Deposit'!M10/10^7</f>
        <v>0.2741423589275</v>
      </c>
      <c r="O8" s="10">
        <f>+'Security Deposit'!N10/10^7</f>
        <v>0.29477997036949999</v>
      </c>
    </row>
    <row r="9" spans="2:15">
      <c r="B9" s="2"/>
      <c r="D9" s="8" t="s">
        <v>99</v>
      </c>
      <c r="E9" s="8"/>
      <c r="F9" s="10">
        <f>'Maintainence Deposit'!D11/10^7</f>
        <v>1.7988076820000001E-2</v>
      </c>
      <c r="G9" s="10">
        <f>'Maintainence Deposit'!E11/10^7</f>
        <v>1.8096903019999999E-2</v>
      </c>
      <c r="H9" s="10">
        <f>'Maintainence Deposit'!F11/10^7</f>
        <v>1.8096903019999999E-2</v>
      </c>
      <c r="I9" s="10">
        <f>'Maintainence Deposit'!G11/10^7</f>
        <v>1.9763818969999999E-2</v>
      </c>
      <c r="J9" s="10">
        <f>'Maintainence Deposit'!H11/10^7</f>
        <v>1.9888969099999997E-2</v>
      </c>
      <c r="K9" s="10">
        <f>'Maintainence Deposit'!I11/10^7</f>
        <v>1.9888969099999997E-2</v>
      </c>
      <c r="L9" s="10">
        <f>'Maintainence Deposit'!J11/10^7</f>
        <v>2.1805922442499997E-2</v>
      </c>
      <c r="M9" s="10">
        <f>'Maintainence Deposit'!K11/10^7</f>
        <v>2.1949845091999997E-2</v>
      </c>
      <c r="N9" s="10">
        <f>'Maintainence Deposit'!L11/10^7</f>
        <v>2.1949845091999997E-2</v>
      </c>
      <c r="O9" s="10">
        <f>'Maintainence Deposit'!M11/10^7</f>
        <v>2.4154341435874999E-2</v>
      </c>
    </row>
    <row r="10" spans="2:15">
      <c r="D10" s="13" t="s">
        <v>8</v>
      </c>
      <c r="E10" s="8"/>
      <c r="F10" s="11">
        <f>SUM(F7:F9)</f>
        <v>7.0783905578199997</v>
      </c>
      <c r="G10" s="11">
        <f>SUM(G7:G9)</f>
        <v>7.2626562050200008</v>
      </c>
      <c r="H10" s="11">
        <f>SUM(H7:H9)</f>
        <v>7.6638862850199994</v>
      </c>
      <c r="I10" s="11">
        <f>SUM(I7:I9)</f>
        <v>8.1270153201700008</v>
      </c>
      <c r="J10" s="11">
        <f>SUM(J7:J9)</f>
        <v>8.3389208144500007</v>
      </c>
      <c r="K10" s="11">
        <f>SUM(K7:K9)</f>
        <v>8.8003354064499995</v>
      </c>
      <c r="L10" s="11">
        <f>SUM(L7:L9)</f>
        <v>9.3329337968724975</v>
      </c>
      <c r="M10" s="11">
        <f>SUM(M7:M9)</f>
        <v>9.5766251152944957</v>
      </c>
      <c r="N10" s="11">
        <f>SUM(N7:N9)</f>
        <v>10.107251896094496</v>
      </c>
      <c r="O10" s="11">
        <f>SUM(O7:O9)</f>
        <v>10.719740045080371</v>
      </c>
    </row>
    <row r="11" spans="2:15">
      <c r="D11" s="14" t="s">
        <v>9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2:15">
      <c r="C12" s="30">
        <v>0.03</v>
      </c>
      <c r="D12" s="8" t="s">
        <v>42</v>
      </c>
      <c r="E12" s="8"/>
      <c r="F12" s="48">
        <f>211919/10^7</f>
        <v>2.11919E-2</v>
      </c>
      <c r="G12" s="9">
        <f>+F12*(1+$C$12)</f>
        <v>2.1827657E-2</v>
      </c>
      <c r="H12" s="9">
        <f t="shared" ref="H12:O12" si="4">+G12*(1+$C$12)</f>
        <v>2.2482486709999999E-2</v>
      </c>
      <c r="I12" s="9">
        <f t="shared" si="4"/>
        <v>2.31569613113E-2</v>
      </c>
      <c r="J12" s="9">
        <f t="shared" si="4"/>
        <v>2.3851670150639E-2</v>
      </c>
      <c r="K12" s="9">
        <f t="shared" si="4"/>
        <v>2.456722025515817E-2</v>
      </c>
      <c r="L12" s="9">
        <f t="shared" si="4"/>
        <v>2.5304236862812916E-2</v>
      </c>
      <c r="M12" s="9">
        <f t="shared" si="4"/>
        <v>2.6063363968697306E-2</v>
      </c>
      <c r="N12" s="9">
        <f t="shared" si="4"/>
        <v>2.6845264887758225E-2</v>
      </c>
      <c r="O12" s="9">
        <f t="shared" si="4"/>
        <v>2.7650622834390973E-2</v>
      </c>
    </row>
    <row r="13" spans="2:15" ht="60">
      <c r="D13" s="24" t="s">
        <v>95</v>
      </c>
      <c r="E13" s="8"/>
      <c r="F13" s="12"/>
      <c r="G13" s="12">
        <f>25*37118/10^7</f>
        <v>9.2795000000000002E-2</v>
      </c>
      <c r="H13" s="12"/>
      <c r="I13" s="12"/>
      <c r="J13" s="12"/>
      <c r="K13" s="12"/>
      <c r="L13" s="12">
        <f>G13*1.1</f>
        <v>0.10207450000000001</v>
      </c>
      <c r="M13" s="12"/>
      <c r="N13" s="12"/>
      <c r="O13" s="12"/>
    </row>
    <row r="14" spans="2:15">
      <c r="D14" s="8" t="s">
        <v>30</v>
      </c>
      <c r="E14" s="8"/>
      <c r="F14" s="12"/>
      <c r="G14" s="8"/>
      <c r="H14" s="12"/>
      <c r="I14" s="12"/>
      <c r="J14" s="12"/>
      <c r="K14" s="12"/>
      <c r="L14" s="12"/>
      <c r="M14" s="12"/>
      <c r="N14" s="12"/>
      <c r="O14" s="12"/>
    </row>
    <row r="15" spans="2:15">
      <c r="D15" s="8" t="s">
        <v>100</v>
      </c>
      <c r="E15" s="8"/>
      <c r="F15" s="12"/>
      <c r="G15" s="8"/>
      <c r="H15" s="12"/>
      <c r="I15" s="12"/>
      <c r="J15" s="12"/>
      <c r="K15" s="12"/>
      <c r="L15" s="12"/>
      <c r="M15" s="12"/>
      <c r="N15" s="12"/>
      <c r="O15" s="12"/>
    </row>
    <row r="16" spans="2:15">
      <c r="D16" s="13" t="s">
        <v>10</v>
      </c>
      <c r="E16" s="8"/>
      <c r="F16" s="11">
        <f>SUM(F12:F15)</f>
        <v>2.11919E-2</v>
      </c>
      <c r="G16" s="11">
        <f>SUM(G12:G15)</f>
        <v>0.114622657</v>
      </c>
      <c r="H16" s="11">
        <f>SUM(H12:H15)</f>
        <v>2.2482486709999999E-2</v>
      </c>
      <c r="I16" s="11">
        <f>SUM(I12:I15)</f>
        <v>2.31569613113E-2</v>
      </c>
      <c r="J16" s="11">
        <f>SUM(J12:J15)</f>
        <v>2.3851670150639E-2</v>
      </c>
      <c r="K16" s="11">
        <f>SUM(K12:K15)</f>
        <v>2.456722025515817E-2</v>
      </c>
      <c r="L16" s="11">
        <f>SUM(L12:L15)</f>
        <v>0.12737873686281292</v>
      </c>
      <c r="M16" s="11">
        <f>SUM(M12:M15)</f>
        <v>2.6063363968697306E-2</v>
      </c>
      <c r="N16" s="11">
        <f>SUM(N12:N15)</f>
        <v>2.6845264887758225E-2</v>
      </c>
      <c r="O16" s="11">
        <f>SUM(O12:O15)</f>
        <v>2.7650622834390973E-2</v>
      </c>
    </row>
    <row r="17" spans="2:15" ht="15" hidden="1" customHeight="1">
      <c r="B17" s="34">
        <v>37118</v>
      </c>
      <c r="C17" t="s">
        <v>43</v>
      </c>
      <c r="D17" s="14" t="s">
        <v>11</v>
      </c>
      <c r="E17" s="8"/>
      <c r="F17" s="11">
        <f>F10-F16</f>
        <v>7.0571986578199999</v>
      </c>
      <c r="G17" s="11">
        <f>G10-G16</f>
        <v>7.1480335480200008</v>
      </c>
      <c r="H17" s="11">
        <f>H10-H16</f>
        <v>7.6414037983099989</v>
      </c>
      <c r="I17" s="11">
        <f>I10-I16</f>
        <v>8.1038583588587016</v>
      </c>
      <c r="J17" s="11">
        <f>J10-J16</f>
        <v>8.3150691442993612</v>
      </c>
      <c r="K17" s="11">
        <f>K10-K16</f>
        <v>8.775768186194842</v>
      </c>
      <c r="L17" s="11">
        <f>L10-L16</f>
        <v>9.2055550600096847</v>
      </c>
      <c r="M17" s="11">
        <f>M10-M16</f>
        <v>9.5505617513257981</v>
      </c>
      <c r="N17" s="11">
        <f>N10-N16</f>
        <v>10.080406631206738</v>
      </c>
      <c r="O17" s="11">
        <f>O10-O16</f>
        <v>10.69208942224598</v>
      </c>
    </row>
    <row r="18" spans="2:15" ht="15" hidden="1" customHeight="1">
      <c r="B18" s="34"/>
      <c r="D18" s="8" t="s">
        <v>12</v>
      </c>
      <c r="E18" s="8"/>
      <c r="F18" s="10">
        <f>' Dep'!D11</f>
        <v>0.15929626978592307</v>
      </c>
      <c r="G18" s="10">
        <f>F18</f>
        <v>0.15929626978592307</v>
      </c>
      <c r="H18" s="10">
        <f t="shared" ref="H18:O18" si="5">G18</f>
        <v>0.15929626978592307</v>
      </c>
      <c r="I18" s="10">
        <f t="shared" si="5"/>
        <v>0.15929626978592307</v>
      </c>
      <c r="J18" s="10">
        <f t="shared" si="5"/>
        <v>0.15929626978592307</v>
      </c>
      <c r="K18" s="10">
        <f t="shared" si="5"/>
        <v>0.15929626978592307</v>
      </c>
      <c r="L18" s="10">
        <f t="shared" si="5"/>
        <v>0.15929626978592307</v>
      </c>
      <c r="M18" s="10">
        <f t="shared" si="5"/>
        <v>0.15929626978592307</v>
      </c>
      <c r="N18" s="10">
        <f t="shared" si="5"/>
        <v>0.15929626978592307</v>
      </c>
      <c r="O18" s="10">
        <f t="shared" si="5"/>
        <v>0.15929626978592307</v>
      </c>
    </row>
    <row r="19" spans="2:15" ht="15" hidden="1" customHeight="1">
      <c r="D19" s="13" t="s">
        <v>14</v>
      </c>
      <c r="E19" s="8"/>
      <c r="F19" s="15">
        <f>F17-F18</f>
        <v>6.8979023880340771</v>
      </c>
      <c r="G19" s="15">
        <f t="shared" ref="G19:O19" si="6">G17-G18</f>
        <v>6.988737278234078</v>
      </c>
      <c r="H19" s="15">
        <f t="shared" si="6"/>
        <v>7.4821075285240761</v>
      </c>
      <c r="I19" s="15">
        <f t="shared" si="6"/>
        <v>7.9445620890727788</v>
      </c>
      <c r="J19" s="15">
        <f t="shared" si="6"/>
        <v>8.1557728745134384</v>
      </c>
      <c r="K19" s="15">
        <f t="shared" si="6"/>
        <v>8.6164719164089192</v>
      </c>
      <c r="L19" s="15">
        <f t="shared" si="6"/>
        <v>9.0462587902237619</v>
      </c>
      <c r="M19" s="15">
        <f t="shared" si="6"/>
        <v>9.3912654815398753</v>
      </c>
      <c r="N19" s="15">
        <f t="shared" si="6"/>
        <v>9.9211103614208156</v>
      </c>
      <c r="O19" s="15">
        <f t="shared" si="6"/>
        <v>10.532793152460057</v>
      </c>
    </row>
    <row r="20" spans="2:15" ht="15" hidden="1" customHeight="1">
      <c r="D20" s="13" t="s">
        <v>13</v>
      </c>
      <c r="E20" s="8"/>
      <c r="F20" s="16">
        <v>0</v>
      </c>
      <c r="G20" s="8"/>
      <c r="H20" s="8"/>
      <c r="I20" s="8"/>
      <c r="J20" s="8"/>
      <c r="K20" s="8"/>
      <c r="L20" s="8"/>
      <c r="M20" s="8"/>
      <c r="N20" s="8"/>
      <c r="O20" s="8"/>
    </row>
    <row r="21" spans="2:15" ht="15" hidden="1" customHeight="1">
      <c r="C21" t="s">
        <v>94</v>
      </c>
      <c r="D21" s="14" t="s">
        <v>15</v>
      </c>
      <c r="E21" s="8"/>
      <c r="F21" s="11">
        <f t="shared" ref="F21:O21" si="7">F19*(1-$F$20)</f>
        <v>6.8979023880340771</v>
      </c>
      <c r="G21" s="11">
        <f t="shared" si="7"/>
        <v>6.988737278234078</v>
      </c>
      <c r="H21" s="11">
        <f t="shared" si="7"/>
        <v>7.4821075285240761</v>
      </c>
      <c r="I21" s="11">
        <f t="shared" si="7"/>
        <v>7.9445620890727788</v>
      </c>
      <c r="J21" s="11">
        <f t="shared" si="7"/>
        <v>8.1557728745134384</v>
      </c>
      <c r="K21" s="11">
        <f t="shared" si="7"/>
        <v>8.6164719164089192</v>
      </c>
      <c r="L21" s="11">
        <f t="shared" si="7"/>
        <v>9.0462587902237619</v>
      </c>
      <c r="M21" s="11">
        <f t="shared" si="7"/>
        <v>9.3912654815398753</v>
      </c>
      <c r="N21" s="11">
        <f t="shared" si="7"/>
        <v>9.9211103614208156</v>
      </c>
      <c r="O21" s="11">
        <f t="shared" si="7"/>
        <v>10.532793152460057</v>
      </c>
    </row>
    <row r="22" spans="2:15" ht="15" hidden="1" customHeight="1">
      <c r="C22" s="25"/>
      <c r="D22" s="8" t="s">
        <v>16</v>
      </c>
      <c r="E22" s="8"/>
      <c r="F22" s="12">
        <f>F18</f>
        <v>0.15929626978592307</v>
      </c>
      <c r="G22" s="12">
        <f t="shared" ref="G22:O22" si="8">G18</f>
        <v>0.15929626978592307</v>
      </c>
      <c r="H22" s="12">
        <f t="shared" si="8"/>
        <v>0.15929626978592307</v>
      </c>
      <c r="I22" s="12">
        <f t="shared" si="8"/>
        <v>0.15929626978592307</v>
      </c>
      <c r="J22" s="12">
        <f t="shared" si="8"/>
        <v>0.15929626978592307</v>
      </c>
      <c r="K22" s="12">
        <f t="shared" si="8"/>
        <v>0.15929626978592307</v>
      </c>
      <c r="L22" s="12">
        <f t="shared" si="8"/>
        <v>0.15929626978592307</v>
      </c>
      <c r="M22" s="12">
        <f t="shared" si="8"/>
        <v>0.15929626978592307</v>
      </c>
      <c r="N22" s="12">
        <f t="shared" si="8"/>
        <v>0.15929626978592307</v>
      </c>
      <c r="O22" s="12">
        <f t="shared" si="8"/>
        <v>0.15929626978592307</v>
      </c>
    </row>
    <row r="23" spans="2:15" ht="15" hidden="1" customHeight="1">
      <c r="D23" s="8" t="s">
        <v>17</v>
      </c>
      <c r="E23" s="8"/>
      <c r="F23" s="12"/>
      <c r="G23" s="12"/>
      <c r="H23" s="8"/>
      <c r="I23" s="8"/>
      <c r="J23" s="8"/>
      <c r="K23" s="8"/>
      <c r="L23" s="8"/>
      <c r="M23" s="8"/>
      <c r="N23" s="8"/>
      <c r="O23" s="8"/>
    </row>
    <row r="24" spans="2:15" ht="15" hidden="1" customHeight="1">
      <c r="D24" s="8" t="s">
        <v>18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2:15">
      <c r="C25" t="s">
        <v>93</v>
      </c>
      <c r="D25" s="14" t="s">
        <v>19</v>
      </c>
      <c r="E25" s="8"/>
      <c r="F25" s="11">
        <f>F21+F22-F23-F24</f>
        <v>7.0571986578199999</v>
      </c>
      <c r="G25" s="11">
        <f t="shared" ref="G25:O25" si="9">G21+G22-G23-G24</f>
        <v>7.1480335480200008</v>
      </c>
      <c r="H25" s="11">
        <f t="shared" si="9"/>
        <v>7.6414037983099989</v>
      </c>
      <c r="I25" s="11">
        <f t="shared" si="9"/>
        <v>8.1038583588587016</v>
      </c>
      <c r="J25" s="11">
        <f t="shared" si="9"/>
        <v>8.3150691442993612</v>
      </c>
      <c r="K25" s="11">
        <f t="shared" si="9"/>
        <v>8.775768186194842</v>
      </c>
      <c r="L25" s="11">
        <f t="shared" si="9"/>
        <v>9.2055550600096847</v>
      </c>
      <c r="M25" s="11">
        <f t="shared" si="9"/>
        <v>9.5505617513257981</v>
      </c>
      <c r="N25" s="11">
        <f t="shared" si="9"/>
        <v>10.080406631206738</v>
      </c>
      <c r="O25" s="11">
        <f t="shared" si="9"/>
        <v>10.69208942224598</v>
      </c>
    </row>
    <row r="26" spans="2:15">
      <c r="D26" s="14" t="s">
        <v>103</v>
      </c>
      <c r="E26" s="8"/>
      <c r="F26" s="11"/>
      <c r="G26" s="11"/>
      <c r="H26" s="11"/>
      <c r="I26" s="11"/>
      <c r="J26" s="11"/>
      <c r="K26" s="11"/>
      <c r="L26" s="11"/>
      <c r="M26" s="11"/>
      <c r="N26" s="11"/>
      <c r="O26" s="11">
        <f>+O25/0.095</f>
        <v>112.54830970785241</v>
      </c>
    </row>
    <row r="27" spans="2:15">
      <c r="D27" s="14" t="s">
        <v>104</v>
      </c>
      <c r="E27" s="8"/>
      <c r="F27" s="11">
        <f t="shared" ref="F27:N27" si="10">+F25+F26</f>
        <v>7.0571986578199999</v>
      </c>
      <c r="G27" s="11">
        <f t="shared" si="10"/>
        <v>7.1480335480200008</v>
      </c>
      <c r="H27" s="11">
        <f t="shared" si="10"/>
        <v>7.6414037983099989</v>
      </c>
      <c r="I27" s="11">
        <f t="shared" si="10"/>
        <v>8.1038583588587016</v>
      </c>
      <c r="J27" s="11">
        <f t="shared" si="10"/>
        <v>8.3150691442993612</v>
      </c>
      <c r="K27" s="11">
        <f t="shared" si="10"/>
        <v>8.775768186194842</v>
      </c>
      <c r="L27" s="11">
        <f t="shared" si="10"/>
        <v>9.2055550600096847</v>
      </c>
      <c r="M27" s="11">
        <f t="shared" si="10"/>
        <v>9.5505617513257981</v>
      </c>
      <c r="N27" s="11">
        <f t="shared" si="10"/>
        <v>10.080406631206738</v>
      </c>
      <c r="O27" s="11">
        <f>+O25+O26</f>
        <v>123.2403991300984</v>
      </c>
    </row>
    <row r="28" spans="2:15">
      <c r="C28" s="32">
        <v>0.13</v>
      </c>
      <c r="D28" s="8" t="s">
        <v>106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2:15">
      <c r="C29" s="4"/>
      <c r="D29" s="8" t="s">
        <v>23</v>
      </c>
      <c r="E29" s="8"/>
      <c r="F29" s="10">
        <f>F2/F1</f>
        <v>0.99726027397260275</v>
      </c>
      <c r="G29" s="12">
        <f>F29+1</f>
        <v>1.9972602739726026</v>
      </c>
      <c r="H29" s="12">
        <f t="shared" ref="H29:O29" si="11">G29+1</f>
        <v>2.9972602739726026</v>
      </c>
      <c r="I29" s="12">
        <f t="shared" si="11"/>
        <v>3.9972602739726026</v>
      </c>
      <c r="J29" s="12">
        <f t="shared" si="11"/>
        <v>4.9972602739726026</v>
      </c>
      <c r="K29" s="12">
        <f t="shared" si="11"/>
        <v>5.9972602739726026</v>
      </c>
      <c r="L29" s="12">
        <f t="shared" si="11"/>
        <v>6.9972602739726026</v>
      </c>
      <c r="M29" s="12">
        <f t="shared" si="11"/>
        <v>7.9972602739726026</v>
      </c>
      <c r="N29" s="12">
        <f t="shared" si="11"/>
        <v>8.9972602739726035</v>
      </c>
      <c r="O29" s="12">
        <f t="shared" si="11"/>
        <v>9.9972602739726035</v>
      </c>
    </row>
    <row r="30" spans="2:15">
      <c r="C30" t="s">
        <v>92</v>
      </c>
      <c r="D30" s="8" t="s">
        <v>21</v>
      </c>
      <c r="E30" s="8"/>
      <c r="F30" s="12">
        <f t="shared" ref="F30:O30" si="12">1/(1+$C$28)^F29</f>
        <v>0.88525212291637112</v>
      </c>
      <c r="G30" s="12">
        <f t="shared" si="12"/>
        <v>0.78340895833307178</v>
      </c>
      <c r="H30" s="12">
        <f t="shared" si="12"/>
        <v>0.69328226401156812</v>
      </c>
      <c r="I30" s="12">
        <f t="shared" si="12"/>
        <v>0.61352412744386564</v>
      </c>
      <c r="J30" s="12">
        <f t="shared" si="12"/>
        <v>0.54294170570253597</v>
      </c>
      <c r="K30" s="12">
        <f t="shared" si="12"/>
        <v>0.4804793855774655</v>
      </c>
      <c r="L30" s="12">
        <f t="shared" si="12"/>
        <v>0.42520299608625273</v>
      </c>
      <c r="M30" s="12">
        <f t="shared" si="12"/>
        <v>0.37628583724447151</v>
      </c>
      <c r="N30" s="12">
        <f t="shared" si="12"/>
        <v>0.33299631614554998</v>
      </c>
      <c r="O30" s="12">
        <f t="shared" si="12"/>
        <v>0.29468700543853982</v>
      </c>
    </row>
    <row r="31" spans="2:15">
      <c r="D31" s="8" t="s">
        <v>20</v>
      </c>
      <c r="E31" s="8"/>
      <c r="F31" s="12">
        <f>F27*F30</f>
        <v>6.2474000936777196</v>
      </c>
      <c r="G31" s="12">
        <f t="shared" ref="G31:O31" si="13">G27*G30</f>
        <v>5.5998335159841997</v>
      </c>
      <c r="H31" s="12">
        <f t="shared" si="13"/>
        <v>5.2976497255189523</v>
      </c>
      <c r="I31" s="12">
        <f t="shared" si="13"/>
        <v>4.9719126285474617</v>
      </c>
      <c r="J31" s="12">
        <f t="shared" si="13"/>
        <v>4.514597824240421</v>
      </c>
      <c r="K31" s="12">
        <f t="shared" si="13"/>
        <v>4.2165757060731668</v>
      </c>
      <c r="L31" s="12">
        <f t="shared" si="13"/>
        <v>3.9142295921530819</v>
      </c>
      <c r="M31" s="12">
        <f t="shared" si="13"/>
        <v>3.5937411247526541</v>
      </c>
      <c r="N31" s="12">
        <f t="shared" si="13"/>
        <v>3.3567382734410174</v>
      </c>
      <c r="O31" s="12">
        <f t="shared" si="13"/>
        <v>36.317344168699123</v>
      </c>
    </row>
    <row r="32" spans="2:15">
      <c r="D32" s="19" t="s">
        <v>25</v>
      </c>
      <c r="E32" s="13"/>
      <c r="F32" s="15">
        <f>SUM(F31:AW31)</f>
        <v>78.030022653087798</v>
      </c>
      <c r="G32" s="13" t="s">
        <v>105</v>
      </c>
      <c r="H32" s="8"/>
      <c r="I32" s="8"/>
      <c r="J32" s="8"/>
      <c r="K32" s="8"/>
      <c r="L32" s="8"/>
      <c r="M32" s="8"/>
      <c r="N32" s="8"/>
      <c r="O32" s="8"/>
    </row>
    <row r="33" spans="2:9">
      <c r="F33" s="17">
        <f>F32*10^7</f>
        <v>780300226.53087795</v>
      </c>
    </row>
    <row r="34" spans="2:9">
      <c r="E34" s="73" t="s">
        <v>96</v>
      </c>
      <c r="F34" s="72">
        <f>ROUND(F33,-5)</f>
        <v>780300000</v>
      </c>
      <c r="H34" s="2">
        <f>F34/'Rent Shown By Company'!D9</f>
        <v>25597.034509906836</v>
      </c>
    </row>
    <row r="35" spans="2:9">
      <c r="E35" s="73" t="s">
        <v>97</v>
      </c>
      <c r="F35" s="72">
        <f>F34*0.85</f>
        <v>663255000</v>
      </c>
      <c r="I35">
        <f>78-52</f>
        <v>26</v>
      </c>
    </row>
    <row r="36" spans="2:9">
      <c r="E36" s="73" t="s">
        <v>98</v>
      </c>
      <c r="F36" s="72">
        <f>F34*0.75</f>
        <v>585225000</v>
      </c>
    </row>
    <row r="38" spans="2:9">
      <c r="B38" t="s">
        <v>38</v>
      </c>
      <c r="D38" s="23" t="e">
        <f>XNPV(C28,F25:AW25,F5:AW5)</f>
        <v>#NUM!</v>
      </c>
      <c r="E38" s="23">
        <f>NPV(C28,E25:AW25,E5:AW5)</f>
        <v>79018.304967477306</v>
      </c>
    </row>
    <row r="39" spans="2:9">
      <c r="B39" t="s">
        <v>39</v>
      </c>
    </row>
    <row r="40" spans="2:9">
      <c r="B40" t="s">
        <v>40</v>
      </c>
      <c r="F40" s="1"/>
    </row>
    <row r="47" spans="2:9">
      <c r="C47">
        <v>75</v>
      </c>
      <c r="D47">
        <f>+C47/9%</f>
        <v>833.33333333333337</v>
      </c>
    </row>
    <row r="48" spans="2:9">
      <c r="C48">
        <v>834</v>
      </c>
      <c r="D48">
        <f>+C47/C48</f>
        <v>8.9928057553956831E-2</v>
      </c>
      <c r="F48">
        <f>1/(1.06)^61</f>
        <v>2.8598431778979437E-2</v>
      </c>
    </row>
    <row r="49" spans="3:6">
      <c r="C49">
        <f>+C47*(1+0.05)/(0.1425-0.05)</f>
        <v>851.35135135135147</v>
      </c>
      <c r="F49" s="2" t="e">
        <f>F48*#REF!</f>
        <v>#REF!</v>
      </c>
    </row>
    <row r="50" spans="3:6">
      <c r="F50" t="s">
        <v>27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48"/>
  <sheetViews>
    <sheetView zoomScale="85" zoomScaleNormal="85" workbookViewId="0">
      <selection activeCell="D9" sqref="A9:XFD9"/>
    </sheetView>
  </sheetViews>
  <sheetFormatPr defaultRowHeight="15"/>
  <cols>
    <col min="2" max="2" width="15.28515625" customWidth="1"/>
    <col min="3" max="3" width="28" bestFit="1" customWidth="1"/>
    <col min="4" max="4" width="39.7109375" customWidth="1"/>
    <col min="5" max="5" width="10.42578125" customWidth="1"/>
    <col min="6" max="6" width="14.42578125" customWidth="1"/>
    <col min="7" max="49" width="13.5703125" customWidth="1"/>
  </cols>
  <sheetData>
    <row r="1" spans="2:49">
      <c r="D1" t="s">
        <v>22</v>
      </c>
      <c r="F1">
        <f t="shared" ref="F1:AW1" si="0">F5-E5</f>
        <v>365</v>
      </c>
      <c r="G1">
        <f t="shared" si="0"/>
        <v>365</v>
      </c>
      <c r="H1">
        <f t="shared" si="0"/>
        <v>366</v>
      </c>
      <c r="I1">
        <f t="shared" si="0"/>
        <v>365</v>
      </c>
      <c r="J1">
        <f t="shared" si="0"/>
        <v>365</v>
      </c>
      <c r="K1">
        <f t="shared" si="0"/>
        <v>365</v>
      </c>
      <c r="L1">
        <f t="shared" si="0"/>
        <v>366</v>
      </c>
      <c r="M1">
        <f t="shared" si="0"/>
        <v>365</v>
      </c>
      <c r="N1">
        <f t="shared" si="0"/>
        <v>365</v>
      </c>
      <c r="O1">
        <f t="shared" si="0"/>
        <v>365</v>
      </c>
      <c r="P1">
        <f t="shared" si="0"/>
        <v>366</v>
      </c>
      <c r="Q1">
        <f t="shared" si="0"/>
        <v>365</v>
      </c>
      <c r="R1">
        <f t="shared" si="0"/>
        <v>365</v>
      </c>
      <c r="S1">
        <f t="shared" si="0"/>
        <v>365</v>
      </c>
      <c r="T1">
        <f t="shared" si="0"/>
        <v>366</v>
      </c>
      <c r="U1">
        <f t="shared" si="0"/>
        <v>365</v>
      </c>
      <c r="V1">
        <f t="shared" si="0"/>
        <v>365</v>
      </c>
      <c r="W1">
        <f t="shared" si="0"/>
        <v>365</v>
      </c>
      <c r="X1">
        <f t="shared" si="0"/>
        <v>366</v>
      </c>
      <c r="Y1">
        <f t="shared" si="0"/>
        <v>365</v>
      </c>
      <c r="Z1">
        <f t="shared" si="0"/>
        <v>365</v>
      </c>
      <c r="AA1">
        <f t="shared" si="0"/>
        <v>365</v>
      </c>
      <c r="AB1">
        <f t="shared" si="0"/>
        <v>366</v>
      </c>
      <c r="AC1">
        <f t="shared" si="0"/>
        <v>365</v>
      </c>
      <c r="AD1">
        <f t="shared" si="0"/>
        <v>365</v>
      </c>
      <c r="AE1">
        <f t="shared" si="0"/>
        <v>365</v>
      </c>
      <c r="AF1">
        <f t="shared" si="0"/>
        <v>366</v>
      </c>
      <c r="AG1">
        <f t="shared" si="0"/>
        <v>365</v>
      </c>
      <c r="AH1">
        <f t="shared" si="0"/>
        <v>365</v>
      </c>
      <c r="AI1">
        <f t="shared" si="0"/>
        <v>365</v>
      </c>
      <c r="AJ1">
        <f t="shared" si="0"/>
        <v>366</v>
      </c>
      <c r="AK1">
        <f t="shared" si="0"/>
        <v>365</v>
      </c>
      <c r="AL1">
        <f t="shared" si="0"/>
        <v>365</v>
      </c>
      <c r="AM1">
        <f t="shared" si="0"/>
        <v>365</v>
      </c>
      <c r="AN1">
        <f t="shared" si="0"/>
        <v>366</v>
      </c>
      <c r="AO1">
        <f t="shared" si="0"/>
        <v>365</v>
      </c>
      <c r="AP1">
        <f t="shared" si="0"/>
        <v>365</v>
      </c>
      <c r="AQ1">
        <f t="shared" si="0"/>
        <v>365</v>
      </c>
      <c r="AR1">
        <f t="shared" si="0"/>
        <v>366</v>
      </c>
      <c r="AS1">
        <f t="shared" si="0"/>
        <v>365</v>
      </c>
      <c r="AT1">
        <f t="shared" si="0"/>
        <v>365</v>
      </c>
      <c r="AU1">
        <f t="shared" si="0"/>
        <v>365</v>
      </c>
      <c r="AV1">
        <f t="shared" si="0"/>
        <v>366</v>
      </c>
      <c r="AW1">
        <f t="shared" si="0"/>
        <v>365</v>
      </c>
    </row>
    <row r="2" spans="2:49">
      <c r="B2" t="s">
        <v>5</v>
      </c>
      <c r="C2" s="3">
        <v>61818</v>
      </c>
      <c r="D2" t="s">
        <v>3</v>
      </c>
      <c r="F2">
        <f>IF(F5&lt;=$C$2,(F5-C3),($C$2-E5))</f>
        <v>364</v>
      </c>
      <c r="G2">
        <f t="shared" ref="G2:AW2" si="1">IF(G5&lt;=$C$2,(G5-F5),($C$2-F5))</f>
        <v>365</v>
      </c>
      <c r="H2">
        <f t="shared" si="1"/>
        <v>366</v>
      </c>
      <c r="I2">
        <f t="shared" si="1"/>
        <v>365</v>
      </c>
      <c r="J2">
        <f t="shared" si="1"/>
        <v>365</v>
      </c>
      <c r="K2">
        <f t="shared" si="1"/>
        <v>365</v>
      </c>
      <c r="L2">
        <f t="shared" si="1"/>
        <v>366</v>
      </c>
      <c r="M2">
        <f t="shared" si="1"/>
        <v>365</v>
      </c>
      <c r="N2">
        <f t="shared" si="1"/>
        <v>365</v>
      </c>
      <c r="O2">
        <f t="shared" si="1"/>
        <v>365</v>
      </c>
      <c r="P2">
        <f t="shared" si="1"/>
        <v>366</v>
      </c>
      <c r="Q2">
        <f t="shared" si="1"/>
        <v>365</v>
      </c>
      <c r="R2">
        <f t="shared" si="1"/>
        <v>365</v>
      </c>
      <c r="S2">
        <f t="shared" si="1"/>
        <v>365</v>
      </c>
      <c r="T2">
        <f t="shared" si="1"/>
        <v>366</v>
      </c>
      <c r="U2">
        <f t="shared" si="1"/>
        <v>365</v>
      </c>
      <c r="V2">
        <f t="shared" si="1"/>
        <v>365</v>
      </c>
      <c r="W2">
        <f t="shared" si="1"/>
        <v>365</v>
      </c>
      <c r="X2">
        <f t="shared" si="1"/>
        <v>366</v>
      </c>
      <c r="Y2">
        <f t="shared" si="1"/>
        <v>365</v>
      </c>
      <c r="Z2">
        <f t="shared" si="1"/>
        <v>365</v>
      </c>
      <c r="AA2">
        <f t="shared" si="1"/>
        <v>365</v>
      </c>
      <c r="AB2">
        <f t="shared" si="1"/>
        <v>366</v>
      </c>
      <c r="AC2">
        <f t="shared" si="1"/>
        <v>365</v>
      </c>
      <c r="AD2">
        <f t="shared" si="1"/>
        <v>365</v>
      </c>
      <c r="AE2">
        <f t="shared" si="1"/>
        <v>365</v>
      </c>
      <c r="AF2">
        <f t="shared" si="1"/>
        <v>366</v>
      </c>
      <c r="AG2">
        <f t="shared" si="1"/>
        <v>365</v>
      </c>
      <c r="AH2">
        <f t="shared" si="1"/>
        <v>365</v>
      </c>
      <c r="AI2">
        <f t="shared" si="1"/>
        <v>365</v>
      </c>
      <c r="AJ2">
        <f t="shared" si="1"/>
        <v>366</v>
      </c>
      <c r="AK2">
        <f t="shared" si="1"/>
        <v>365</v>
      </c>
      <c r="AL2">
        <f t="shared" si="1"/>
        <v>365</v>
      </c>
      <c r="AM2">
        <f t="shared" si="1"/>
        <v>365</v>
      </c>
      <c r="AN2">
        <f t="shared" si="1"/>
        <v>366</v>
      </c>
      <c r="AO2">
        <f t="shared" si="1"/>
        <v>365</v>
      </c>
      <c r="AP2">
        <f t="shared" si="1"/>
        <v>365</v>
      </c>
      <c r="AQ2">
        <f t="shared" si="1"/>
        <v>365</v>
      </c>
      <c r="AR2">
        <f t="shared" si="1"/>
        <v>366</v>
      </c>
      <c r="AS2">
        <f t="shared" si="1"/>
        <v>365</v>
      </c>
      <c r="AT2">
        <f t="shared" si="1"/>
        <v>365</v>
      </c>
      <c r="AU2">
        <f t="shared" si="1"/>
        <v>365</v>
      </c>
      <c r="AV2">
        <f t="shared" si="1"/>
        <v>366</v>
      </c>
      <c r="AW2">
        <f t="shared" si="1"/>
        <v>365</v>
      </c>
    </row>
    <row r="3" spans="2:49">
      <c r="B3" t="s">
        <v>7</v>
      </c>
      <c r="C3" s="3">
        <v>45748</v>
      </c>
      <c r="D3" t="s">
        <v>2</v>
      </c>
      <c r="E3">
        <v>21</v>
      </c>
      <c r="F3">
        <f>E3+1</f>
        <v>22</v>
      </c>
      <c r="G3">
        <f t="shared" ref="G3:AW3" si="2">F3+1</f>
        <v>23</v>
      </c>
      <c r="H3">
        <f t="shared" si="2"/>
        <v>24</v>
      </c>
      <c r="I3">
        <f t="shared" si="2"/>
        <v>25</v>
      </c>
      <c r="J3">
        <f t="shared" si="2"/>
        <v>26</v>
      </c>
      <c r="K3">
        <f t="shared" si="2"/>
        <v>27</v>
      </c>
      <c r="L3">
        <f t="shared" si="2"/>
        <v>28</v>
      </c>
      <c r="M3">
        <f t="shared" si="2"/>
        <v>29</v>
      </c>
      <c r="N3">
        <f t="shared" si="2"/>
        <v>30</v>
      </c>
      <c r="O3">
        <f t="shared" si="2"/>
        <v>31</v>
      </c>
      <c r="P3">
        <f t="shared" si="2"/>
        <v>32</v>
      </c>
      <c r="Q3">
        <f t="shared" si="2"/>
        <v>33</v>
      </c>
      <c r="R3">
        <f t="shared" si="2"/>
        <v>34</v>
      </c>
      <c r="S3">
        <f t="shared" si="2"/>
        <v>35</v>
      </c>
      <c r="T3">
        <f t="shared" si="2"/>
        <v>36</v>
      </c>
      <c r="U3">
        <f t="shared" si="2"/>
        <v>37</v>
      </c>
      <c r="V3">
        <f t="shared" si="2"/>
        <v>38</v>
      </c>
      <c r="W3">
        <f t="shared" si="2"/>
        <v>39</v>
      </c>
      <c r="X3">
        <f t="shared" si="2"/>
        <v>40</v>
      </c>
      <c r="Y3">
        <f t="shared" si="2"/>
        <v>41</v>
      </c>
      <c r="Z3">
        <f t="shared" si="2"/>
        <v>42</v>
      </c>
      <c r="AA3">
        <f t="shared" si="2"/>
        <v>43</v>
      </c>
      <c r="AB3">
        <f t="shared" si="2"/>
        <v>44</v>
      </c>
      <c r="AC3">
        <f t="shared" si="2"/>
        <v>45</v>
      </c>
      <c r="AD3">
        <f t="shared" si="2"/>
        <v>46</v>
      </c>
      <c r="AE3">
        <f t="shared" si="2"/>
        <v>47</v>
      </c>
      <c r="AF3">
        <f t="shared" si="2"/>
        <v>48</v>
      </c>
      <c r="AG3">
        <f t="shared" si="2"/>
        <v>49</v>
      </c>
      <c r="AH3">
        <f t="shared" si="2"/>
        <v>50</v>
      </c>
      <c r="AI3">
        <f t="shared" si="2"/>
        <v>51</v>
      </c>
      <c r="AJ3">
        <f t="shared" si="2"/>
        <v>52</v>
      </c>
      <c r="AK3">
        <f t="shared" si="2"/>
        <v>53</v>
      </c>
      <c r="AL3">
        <f t="shared" si="2"/>
        <v>54</v>
      </c>
      <c r="AM3">
        <f t="shared" si="2"/>
        <v>55</v>
      </c>
      <c r="AN3">
        <f t="shared" si="2"/>
        <v>56</v>
      </c>
      <c r="AO3">
        <f t="shared" si="2"/>
        <v>57</v>
      </c>
      <c r="AP3">
        <f t="shared" si="2"/>
        <v>58</v>
      </c>
      <c r="AQ3">
        <f t="shared" si="2"/>
        <v>59</v>
      </c>
      <c r="AR3">
        <f t="shared" si="2"/>
        <v>60</v>
      </c>
      <c r="AS3">
        <f t="shared" si="2"/>
        <v>61</v>
      </c>
      <c r="AT3">
        <f t="shared" si="2"/>
        <v>62</v>
      </c>
      <c r="AU3">
        <f t="shared" si="2"/>
        <v>63</v>
      </c>
      <c r="AV3">
        <f t="shared" si="2"/>
        <v>64</v>
      </c>
      <c r="AW3">
        <f t="shared" si="2"/>
        <v>65</v>
      </c>
    </row>
    <row r="4" spans="2:49"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2:49">
      <c r="D5" s="5" t="s">
        <v>4</v>
      </c>
      <c r="E5" s="6">
        <v>45747</v>
      </c>
      <c r="F5" s="6">
        <f>EDATE(E5,12)</f>
        <v>46112</v>
      </c>
      <c r="G5" s="6">
        <f t="shared" ref="G5:AW5" si="3">EDATE(F5,12)</f>
        <v>46477</v>
      </c>
      <c r="H5" s="6">
        <f t="shared" si="3"/>
        <v>46843</v>
      </c>
      <c r="I5" s="6">
        <f t="shared" si="3"/>
        <v>47208</v>
      </c>
      <c r="J5" s="6">
        <f t="shared" si="3"/>
        <v>47573</v>
      </c>
      <c r="K5" s="6">
        <f t="shared" si="3"/>
        <v>47938</v>
      </c>
      <c r="L5" s="6">
        <f t="shared" si="3"/>
        <v>48304</v>
      </c>
      <c r="M5" s="6">
        <f t="shared" si="3"/>
        <v>48669</v>
      </c>
      <c r="N5" s="6">
        <f t="shared" si="3"/>
        <v>49034</v>
      </c>
      <c r="O5" s="6">
        <f t="shared" si="3"/>
        <v>49399</v>
      </c>
      <c r="P5" s="6">
        <f t="shared" si="3"/>
        <v>49765</v>
      </c>
      <c r="Q5" s="6">
        <f t="shared" si="3"/>
        <v>50130</v>
      </c>
      <c r="R5" s="6">
        <f t="shared" si="3"/>
        <v>50495</v>
      </c>
      <c r="S5" s="6">
        <f t="shared" si="3"/>
        <v>50860</v>
      </c>
      <c r="T5" s="6">
        <f t="shared" si="3"/>
        <v>51226</v>
      </c>
      <c r="U5" s="6">
        <f t="shared" si="3"/>
        <v>51591</v>
      </c>
      <c r="V5" s="6">
        <f t="shared" si="3"/>
        <v>51956</v>
      </c>
      <c r="W5" s="6">
        <f t="shared" si="3"/>
        <v>52321</v>
      </c>
      <c r="X5" s="6">
        <f t="shared" si="3"/>
        <v>52687</v>
      </c>
      <c r="Y5" s="6">
        <f t="shared" si="3"/>
        <v>53052</v>
      </c>
      <c r="Z5" s="6">
        <f t="shared" si="3"/>
        <v>53417</v>
      </c>
      <c r="AA5" s="6">
        <f t="shared" si="3"/>
        <v>53782</v>
      </c>
      <c r="AB5" s="6">
        <f t="shared" si="3"/>
        <v>54148</v>
      </c>
      <c r="AC5" s="6">
        <f t="shared" si="3"/>
        <v>54513</v>
      </c>
      <c r="AD5" s="6">
        <f t="shared" si="3"/>
        <v>54878</v>
      </c>
      <c r="AE5" s="6">
        <f t="shared" si="3"/>
        <v>55243</v>
      </c>
      <c r="AF5" s="6">
        <f t="shared" si="3"/>
        <v>55609</v>
      </c>
      <c r="AG5" s="6">
        <f t="shared" si="3"/>
        <v>55974</v>
      </c>
      <c r="AH5" s="6">
        <f t="shared" si="3"/>
        <v>56339</v>
      </c>
      <c r="AI5" s="6">
        <f t="shared" si="3"/>
        <v>56704</v>
      </c>
      <c r="AJ5" s="6">
        <f t="shared" si="3"/>
        <v>57070</v>
      </c>
      <c r="AK5" s="6">
        <f t="shared" si="3"/>
        <v>57435</v>
      </c>
      <c r="AL5" s="6">
        <f t="shared" si="3"/>
        <v>57800</v>
      </c>
      <c r="AM5" s="6">
        <f t="shared" si="3"/>
        <v>58165</v>
      </c>
      <c r="AN5" s="6">
        <f t="shared" si="3"/>
        <v>58531</v>
      </c>
      <c r="AO5" s="6">
        <f t="shared" si="3"/>
        <v>58896</v>
      </c>
      <c r="AP5" s="6">
        <f t="shared" si="3"/>
        <v>59261</v>
      </c>
      <c r="AQ5" s="6">
        <f t="shared" si="3"/>
        <v>59626</v>
      </c>
      <c r="AR5" s="6">
        <f t="shared" si="3"/>
        <v>59992</v>
      </c>
      <c r="AS5" s="6">
        <f t="shared" si="3"/>
        <v>60357</v>
      </c>
      <c r="AT5" s="6">
        <f t="shared" si="3"/>
        <v>60722</v>
      </c>
      <c r="AU5" s="6">
        <f t="shared" si="3"/>
        <v>61087</v>
      </c>
      <c r="AV5" s="6">
        <f t="shared" si="3"/>
        <v>61453</v>
      </c>
      <c r="AW5" s="6">
        <f t="shared" si="3"/>
        <v>61818</v>
      </c>
    </row>
    <row r="6" spans="2:49">
      <c r="D6" s="7" t="s">
        <v>6</v>
      </c>
      <c r="E6" s="8"/>
      <c r="F6" s="9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</row>
    <row r="7" spans="2:49">
      <c r="B7">
        <v>180</v>
      </c>
      <c r="D7" s="8" t="s">
        <v>24</v>
      </c>
      <c r="E7" s="8"/>
      <c r="F7" s="9">
        <f>'Lease. Rent'!D10/10^7</f>
        <v>6.8386985999999998</v>
      </c>
      <c r="G7" s="9">
        <f>'Lease. Rent'!E10/10^7</f>
        <v>7.0174161900000005</v>
      </c>
      <c r="H7" s="9">
        <f>'Lease. Rent'!F10/10^7</f>
        <v>7.4186462699999991</v>
      </c>
      <c r="I7" s="9">
        <f>'Lease. Rent'!G10/10^7</f>
        <v>7.8645033900000003</v>
      </c>
      <c r="J7" s="9">
        <f>'Lease. Rent'!H10/10^7</f>
        <v>8.0700286185000003</v>
      </c>
      <c r="K7" s="9">
        <f>'Lease. Rent'!I10/10^7</f>
        <v>8.5314432104999991</v>
      </c>
      <c r="L7" s="9">
        <f>'Lease. Rent'!J10/10^7</f>
        <v>9.0441788984999985</v>
      </c>
      <c r="M7" s="9">
        <f>'Lease. Rent'!K10/10^7</f>
        <v>9.2805329112749959</v>
      </c>
      <c r="N7" s="9">
        <f>'Lease. Rent'!L10/10^7</f>
        <v>9.8111596920749964</v>
      </c>
      <c r="O7" s="9">
        <f>'Lease. Rent'!M10/10^7</f>
        <v>10.400805733274996</v>
      </c>
      <c r="P7" s="9">
        <f>'Lease. Rent'!N10/10^7</f>
        <v>10.672612847966246</v>
      </c>
      <c r="Q7" s="9">
        <f>'Lease. Rent'!O10/10^7</f>
        <v>11.282833645886248</v>
      </c>
      <c r="R7" s="9">
        <f>'Lease. Rent'!P10/10^7</f>
        <v>11.960926593266246</v>
      </c>
      <c r="S7" s="9">
        <f>'Lease. Rent'!Q10/10^7</f>
        <v>12.273504775161182</v>
      </c>
      <c r="T7" s="9">
        <f>'Lease. Rent'!R10/10^7</f>
        <v>12.975258692769181</v>
      </c>
      <c r="U7" s="9">
        <f>'Lease. Rent'!S10/10^7</f>
        <v>13.755065582256183</v>
      </c>
      <c r="V7" s="9">
        <f>'Lease. Rent'!T10/10^7</f>
        <v>14.11453049143536</v>
      </c>
      <c r="W7" s="9">
        <f>'Lease. Rent'!U10/10^7</f>
        <v>14.92154749668456</v>
      </c>
      <c r="X7" s="9">
        <f>'Lease. Rent'!V10/10^7</f>
        <v>15.818325419594609</v>
      </c>
      <c r="Y7" s="9">
        <f>'Lease. Rent'!W10/10^7</f>
        <v>16.231710065150665</v>
      </c>
      <c r="Z7" s="9">
        <f>'Lease. Rent'!X10/10^7</f>
        <v>17.159779621187241</v>
      </c>
      <c r="AA7" s="9">
        <f>'Lease. Rent'!Y10/10^7</f>
        <v>18.191074232533794</v>
      </c>
      <c r="AB7" s="9">
        <f>'Lease. Rent'!Z10/10^7</f>
        <v>18.666466574923259</v>
      </c>
      <c r="AC7" s="9">
        <f>'Lease. Rent'!AA10/10^7</f>
        <v>19.733746564365326</v>
      </c>
      <c r="AD7" s="9">
        <f>'Lease. Rent'!AB10/10^7</f>
        <v>20.919735367413868</v>
      </c>
      <c r="AE7" s="9">
        <f>'Lease. Rent'!AC10/10^7</f>
        <v>21.46643656116175</v>
      </c>
      <c r="AF7" s="9">
        <f>'Lease. Rent'!AD10/10^7</f>
        <v>22.693808549020122</v>
      </c>
      <c r="AG7" s="9">
        <f>'Lease. Rent'!AE10/10^7</f>
        <v>24.057695672525941</v>
      </c>
      <c r="AH7" s="9">
        <f>'Lease. Rent'!AF10/10^7</f>
        <v>24.68640204533601</v>
      </c>
      <c r="AI7" s="9">
        <f>'Lease. Rent'!AG10/10^7</f>
        <v>26.097879831373142</v>
      </c>
      <c r="AJ7" s="9">
        <f>'Lease. Rent'!AH10/10^7</f>
        <v>27.666350023404835</v>
      </c>
      <c r="AK7" s="9">
        <f>'Lease. Rent'!AI10/10^7</f>
        <v>28.389362352136409</v>
      </c>
      <c r="AL7" s="9">
        <f>'Lease. Rent'!AJ10/10^7</f>
        <v>30.012561806079109</v>
      </c>
      <c r="AM7" s="9">
        <f>'Lease. Rent'!AK10/10^7</f>
        <v>31.816302526915557</v>
      </c>
      <c r="AN7" s="9">
        <f>'Lease. Rent'!AL10/10^7</f>
        <v>32.647766704956865</v>
      </c>
      <c r="AO7" s="9">
        <f>'Lease. Rent'!AM10/10^7</f>
        <v>34.514446076990971</v>
      </c>
      <c r="AP7" s="9">
        <f>'Lease. Rent'!AN10/10^7</f>
        <v>36.588747905952886</v>
      </c>
      <c r="AQ7" s="9">
        <f>'Lease. Rent'!AO10/10^7</f>
        <v>37.544931710700389</v>
      </c>
      <c r="AR7" s="9">
        <f>'Lease. Rent'!AP10/10^7</f>
        <v>39.691612988539617</v>
      </c>
      <c r="AS7" s="9">
        <f>'Lease. Rent'!AQ10/10^7</f>
        <v>42.077060091845823</v>
      </c>
      <c r="AT7" s="9">
        <f>'Lease. Rent'!AR10/10^7</f>
        <v>43.176671467305447</v>
      </c>
      <c r="AU7" s="9">
        <f>'Lease. Rent'!AS10/10^7</f>
        <v>45.645354936820553</v>
      </c>
      <c r="AV7" s="9">
        <f>'Lease. Rent'!AT10/10^7</f>
        <v>48.388619105622688</v>
      </c>
      <c r="AW7" s="9">
        <f>'Lease. Rent'!AU10/10^7</f>
        <v>49.653172187401267</v>
      </c>
    </row>
    <row r="8" spans="2:49">
      <c r="B8" s="2">
        <f>(F8/215828*10^7)/12</f>
        <v>0.85602069317542995</v>
      </c>
      <c r="D8" s="8" t="s">
        <v>29</v>
      </c>
      <c r="E8" s="8"/>
      <c r="F8" s="10">
        <f>+'Security Deposit'!E10/10^7</f>
        <v>0.22170388100000002</v>
      </c>
      <c r="G8" s="10">
        <f>+'Security Deposit'!F10/10^7</f>
        <v>0.22714311200000001</v>
      </c>
      <c r="H8" s="10">
        <f>+'Security Deposit'!G10/10^7</f>
        <v>0.22714311200000001</v>
      </c>
      <c r="I8" s="10">
        <f>+'Security Deposit'!H10/10^7</f>
        <v>0.24274811120000003</v>
      </c>
      <c r="J8" s="10">
        <f>+'Security Deposit'!I10/10^7</f>
        <v>0.24900322685000004</v>
      </c>
      <c r="K8" s="10">
        <f>+'Security Deposit'!J10/10^7</f>
        <v>0.24900322685000004</v>
      </c>
      <c r="L8" s="10">
        <f>+'Security Deposit'!K10/10^7</f>
        <v>0.26694897593</v>
      </c>
      <c r="M8" s="10">
        <f>+'Security Deposit'!L10/10^7</f>
        <v>0.2741423589275</v>
      </c>
      <c r="N8" s="10">
        <f>+'Security Deposit'!M10/10^7</f>
        <v>0.2741423589275</v>
      </c>
      <c r="O8" s="10">
        <f>+'Security Deposit'!N10/10^7</f>
        <v>0.29477997036949999</v>
      </c>
      <c r="P8" s="10">
        <f>+'Security Deposit'!O10/10^7</f>
        <v>0.30305236081662495</v>
      </c>
      <c r="Q8" s="10">
        <f>+'Security Deposit'!P10/10^7</f>
        <v>0.30305236081662495</v>
      </c>
      <c r="R8" s="10">
        <f>+'Security Deposit'!Q10/10^7</f>
        <v>0.326785613974925</v>
      </c>
      <c r="S8" s="10">
        <f>+'Security Deposit'!R10/10^7</f>
        <v>0.33629886298911876</v>
      </c>
      <c r="T8" s="10">
        <f>+'Security Deposit'!S10/10^7</f>
        <v>0.33629886298911876</v>
      </c>
      <c r="U8" s="10">
        <f>+'Security Deposit'!T10/10^7</f>
        <v>0.36359210412116366</v>
      </c>
      <c r="V8" s="10">
        <f>+'Security Deposit'!U10/10^7</f>
        <v>0.37453234048748646</v>
      </c>
      <c r="W8" s="10">
        <f>+'Security Deposit'!V10/10^7</f>
        <v>0.37453234048748646</v>
      </c>
      <c r="X8" s="10">
        <f>+'Security Deposit'!W10/10^7</f>
        <v>0.40591956778933819</v>
      </c>
      <c r="Y8" s="10">
        <f>+'Security Deposit'!X10/10^7</f>
        <v>0.41850083961060947</v>
      </c>
      <c r="Z8" s="10">
        <f>+'Security Deposit'!Y10/10^7</f>
        <v>0.41850083961060947</v>
      </c>
      <c r="AA8" s="10">
        <f>+'Security Deposit'!Z10/10^7</f>
        <v>0.45459615100773887</v>
      </c>
      <c r="AB8" s="10">
        <f>+'Security Deposit'!AA10/10^7</f>
        <v>0.46906461360220081</v>
      </c>
      <c r="AC8" s="10">
        <f>+'Security Deposit'!AB10/10^7</f>
        <v>0.46906461360220081</v>
      </c>
      <c r="AD8" s="10">
        <f>+'Security Deposit'!AC10/10^7</f>
        <v>0.51057422170889977</v>
      </c>
      <c r="AE8" s="10">
        <f>+'Security Deposit'!AD10/10^7</f>
        <v>0.52721295369253085</v>
      </c>
      <c r="AF8" s="10">
        <f>+'Security Deposit'!AE10/10^7</f>
        <v>0.52721295369253085</v>
      </c>
      <c r="AG8" s="10">
        <f>+'Security Deposit'!AF10/10^7</f>
        <v>0.57494900301523455</v>
      </c>
      <c r="AH8" s="10">
        <f>+'Security Deposit'!AG10/10^7</f>
        <v>0.59408354479641046</v>
      </c>
      <c r="AI8" s="10">
        <f>+'Security Deposit'!AH10/10^7</f>
        <v>0.59408354479641046</v>
      </c>
      <c r="AJ8" s="10">
        <f>+'Security Deposit'!AI10/10^7</f>
        <v>0.64898000151751978</v>
      </c>
      <c r="AK8" s="10">
        <f>+'Security Deposit'!AJ10/10^7</f>
        <v>0.6709847245658721</v>
      </c>
      <c r="AL8" s="10">
        <f>+'Security Deposit'!AK10/10^7</f>
        <v>0.6709847245658721</v>
      </c>
      <c r="AM8" s="10">
        <f>+'Security Deposit'!AL10/10^7</f>
        <v>0.73411564979514776</v>
      </c>
      <c r="AN8" s="10">
        <f>+'Security Deposit'!AM10/10^7</f>
        <v>0.75942108130075281</v>
      </c>
      <c r="AO8" s="10">
        <f>+'Security Deposit'!AN10/10^7</f>
        <v>0.75942108130075281</v>
      </c>
      <c r="AP8" s="10">
        <f>+'Security Deposit'!AO10/10^7</f>
        <v>0.8320216453144198</v>
      </c>
      <c r="AQ8" s="10">
        <f>+'Security Deposit'!AP10/10^7</f>
        <v>0.86112289154586563</v>
      </c>
      <c r="AR8" s="10">
        <f>+'Security Deposit'!AQ10/10^7</f>
        <v>0.86112289154586563</v>
      </c>
      <c r="AS8" s="10">
        <f>+'Security Deposit'!AR10/10^7</f>
        <v>0.94461354016158283</v>
      </c>
      <c r="AT8" s="10">
        <f>+'Security Deposit'!AS10/10^7</f>
        <v>0.97807997332774554</v>
      </c>
      <c r="AU8" s="10">
        <f>+'Security Deposit'!AT10/10^7</f>
        <v>0.97807997332774554</v>
      </c>
      <c r="AV8" s="10">
        <f>+'Security Deposit'!AU10/10^7</f>
        <v>1.07409421923582</v>
      </c>
      <c r="AW8" s="10">
        <f>+'Security Deposit'!AV10/10^7</f>
        <v>1.1125806173769073</v>
      </c>
    </row>
    <row r="9" spans="2:49">
      <c r="B9" s="2"/>
      <c r="D9" s="8" t="s">
        <v>99</v>
      </c>
      <c r="E9" s="8"/>
      <c r="F9" s="10">
        <f>'Maintainence Deposit'!D11/10^7</f>
        <v>1.7988076820000001E-2</v>
      </c>
      <c r="G9" s="10">
        <f>'Maintainence Deposit'!E11/10^7</f>
        <v>1.8096903019999999E-2</v>
      </c>
      <c r="H9" s="10">
        <f>'Maintainence Deposit'!F11/10^7</f>
        <v>1.8096903019999999E-2</v>
      </c>
      <c r="I9" s="10">
        <f>'Maintainence Deposit'!G11/10^7</f>
        <v>1.9763818969999999E-2</v>
      </c>
      <c r="J9" s="10">
        <f>'Maintainence Deposit'!H11/10^7</f>
        <v>1.9888969099999997E-2</v>
      </c>
      <c r="K9" s="10">
        <f>'Maintainence Deposit'!I11/10^7</f>
        <v>1.9888969099999997E-2</v>
      </c>
      <c r="L9" s="10">
        <f>'Maintainence Deposit'!J11/10^7</f>
        <v>2.1805922442499997E-2</v>
      </c>
      <c r="M9" s="10">
        <f>'Maintainence Deposit'!K11/10^7</f>
        <v>2.1949845091999997E-2</v>
      </c>
      <c r="N9" s="10">
        <f>'Maintainence Deposit'!L11/10^7</f>
        <v>2.1949845091999997E-2</v>
      </c>
      <c r="O9" s="10">
        <f>'Maintainence Deposit'!M11/10^7</f>
        <v>2.4154341435874999E-2</v>
      </c>
      <c r="P9" s="10">
        <f>'Maintainence Deposit'!N11/10^7</f>
        <v>2.4319852482800001E-2</v>
      </c>
      <c r="Q9" s="10">
        <f>'Maintainence Deposit'!O11/10^7</f>
        <v>2.4319852482800001E-2</v>
      </c>
      <c r="R9" s="10">
        <f>'Maintainence Deposit'!P11/10^7</f>
        <v>2.6855023278256243E-2</v>
      </c>
      <c r="S9" s="10">
        <f>'Maintainence Deposit'!Q11/10^7</f>
        <v>2.704536098221999E-2</v>
      </c>
      <c r="T9" s="10">
        <f>'Maintainence Deposit'!R11/10^7</f>
        <v>2.704536098221999E-2</v>
      </c>
      <c r="U9" s="10">
        <f>'Maintainence Deposit'!S11/10^7</f>
        <v>2.9960807396994683E-2</v>
      </c>
      <c r="V9" s="10">
        <f>'Maintainence Deposit'!T11/10^7</f>
        <v>3.017969575655299E-2</v>
      </c>
      <c r="W9" s="10">
        <f>'Maintainence Deposit'!U11/10^7</f>
        <v>3.017969575655299E-2</v>
      </c>
      <c r="X9" s="10">
        <f>'Maintainence Deposit'!V11/10^7</f>
        <v>3.3532459133543885E-2</v>
      </c>
      <c r="Y9" s="10">
        <f>'Maintainence Deposit'!W11/10^7</f>
        <v>3.3784180747035944E-2</v>
      </c>
      <c r="Z9" s="10">
        <f>'Maintainence Deposit'!X11/10^7</f>
        <v>3.3784180747035944E-2</v>
      </c>
      <c r="AA9" s="10">
        <f>'Maintainence Deposit'!Y11/10^7</f>
        <v>3.7639858630575458E-2</v>
      </c>
      <c r="AB9" s="10">
        <f>'Maintainence Deposit'!Z11/10^7</f>
        <v>3.7929338486091327E-2</v>
      </c>
      <c r="AC9" s="10">
        <f>'Maintainence Deposit'!AA11/10^7</f>
        <v>3.7929338486091327E-2</v>
      </c>
      <c r="AD9" s="10">
        <f>'Maintainence Deposit'!AB11/10^7</f>
        <v>4.2363368052161773E-2</v>
      </c>
      <c r="AE9" s="10">
        <f>'Maintainence Deposit'!AC11/10^7</f>
        <v>4.2696269886005021E-2</v>
      </c>
      <c r="AF9" s="10">
        <f>'Maintainence Deposit'!AD11/10^7</f>
        <v>4.2696269886005021E-2</v>
      </c>
      <c r="AG9" s="10">
        <f>'Maintainence Deposit'!AE11/10^7</f>
        <v>4.779540388698604E-2</v>
      </c>
      <c r="AH9" s="10">
        <f>'Maintainence Deposit'!AF11/10^7</f>
        <v>4.8178240995905779E-2</v>
      </c>
      <c r="AI9" s="10">
        <f>'Maintainence Deposit'!AG11/10^7</f>
        <v>4.8178240995905779E-2</v>
      </c>
      <c r="AJ9" s="10">
        <f>'Maintainence Deposit'!AH11/10^7</f>
        <v>5.4042245097033932E-2</v>
      </c>
      <c r="AK9" s="10">
        <f>'Maintainence Deposit'!AI11/10^7</f>
        <v>5.448250777229164E-2</v>
      </c>
      <c r="AL9" s="10">
        <f>'Maintainence Deposit'!AJ11/10^7</f>
        <v>5.448250777229164E-2</v>
      </c>
      <c r="AM9" s="10">
        <f>'Maintainence Deposit'!AK11/10^7</f>
        <v>6.122611248858903E-2</v>
      </c>
      <c r="AN9" s="10">
        <f>'Maintainence Deposit'!AL11/10^7</f>
        <v>6.1732414565135375E-2</v>
      </c>
      <c r="AO9" s="10">
        <f>'Maintainence Deposit'!AM11/10^7</f>
        <v>6.1732414565135375E-2</v>
      </c>
      <c r="AP9" s="10">
        <f>'Maintainence Deposit'!AN11/10^7</f>
        <v>6.9487559988877359E-2</v>
      </c>
      <c r="AQ9" s="10">
        <f>'Maintainence Deposit'!AO11/10^7</f>
        <v>7.0069807376905671E-2</v>
      </c>
      <c r="AR9" s="10">
        <f>'Maintainence Deposit'!AP11/10^7</f>
        <v>7.0069807376905671E-2</v>
      </c>
      <c r="AS9" s="10">
        <f>'Maintainence Deposit'!AQ11/10^7</f>
        <v>7.8988224614208971E-2</v>
      </c>
      <c r="AT9" s="10">
        <f>'Maintainence Deposit'!AR11/10^7</f>
        <v>7.9657809110441527E-2</v>
      </c>
      <c r="AU9" s="10">
        <f>'Maintainence Deposit'!AS11/10^7</f>
        <v>7.9657809110441527E-2</v>
      </c>
      <c r="AV9" s="10">
        <f>'Maintainence Deposit'!AT11/10^7</f>
        <v>8.9913988933340322E-2</v>
      </c>
      <c r="AW9" s="10">
        <f>'Maintainence Deposit'!AU11/10^7</f>
        <v>9.0684011104007742E-2</v>
      </c>
    </row>
    <row r="10" spans="2:49">
      <c r="D10" s="13" t="s">
        <v>8</v>
      </c>
      <c r="E10" s="8"/>
      <c r="F10" s="11">
        <f>SUM(F7:F9)</f>
        <v>7.0783905578199997</v>
      </c>
      <c r="G10" s="11">
        <f>SUM(G7:G9)</f>
        <v>7.2626562050200008</v>
      </c>
      <c r="H10" s="11">
        <f>SUM(H7:H9)</f>
        <v>7.6638862850199994</v>
      </c>
      <c r="I10" s="11">
        <f>SUM(I7:I9)</f>
        <v>8.1270153201700008</v>
      </c>
      <c r="J10" s="11">
        <f>SUM(J7:J9)</f>
        <v>8.3389208144500007</v>
      </c>
      <c r="K10" s="11">
        <f>SUM(K7:K9)</f>
        <v>8.8003354064499995</v>
      </c>
      <c r="L10" s="11">
        <f>SUM(L7:L9)</f>
        <v>9.3329337968724975</v>
      </c>
      <c r="M10" s="11">
        <f>SUM(M7:M9)</f>
        <v>9.5766251152944957</v>
      </c>
      <c r="N10" s="11">
        <f>SUM(N7:N9)</f>
        <v>10.107251896094496</v>
      </c>
      <c r="O10" s="11">
        <f>SUM(O7:O9)</f>
        <v>10.719740045080371</v>
      </c>
      <c r="P10" s="11">
        <f>SUM(P7:P9)</f>
        <v>10.99998506126567</v>
      </c>
      <c r="Q10" s="11">
        <f>SUM(Q7:Q9)</f>
        <v>11.610205859185672</v>
      </c>
      <c r="R10" s="11">
        <f>SUM(R7:R9)</f>
        <v>12.314567230519428</v>
      </c>
      <c r="S10" s="11">
        <f>SUM(S7:S9)</f>
        <v>12.636848999132521</v>
      </c>
      <c r="T10" s="11">
        <f>SUM(T7:T9)</f>
        <v>13.33860291674052</v>
      </c>
      <c r="U10" s="11">
        <f>SUM(U7:U9)</f>
        <v>14.148618493774341</v>
      </c>
      <c r="V10" s="11">
        <f>SUM(V7:V9)</f>
        <v>14.519242527679399</v>
      </c>
      <c r="W10" s="11">
        <f>SUM(W7:W9)</f>
        <v>15.326259532928599</v>
      </c>
      <c r="X10" s="11">
        <f>SUM(X7:X9)</f>
        <v>16.25777744651749</v>
      </c>
      <c r="Y10" s="11">
        <f>SUM(Y7:Y9)</f>
        <v>16.683995085508311</v>
      </c>
      <c r="Z10" s="11">
        <f>SUM(Z7:Z9)</f>
        <v>17.612064641544887</v>
      </c>
      <c r="AA10" s="11">
        <f>SUM(AA7:AA9)</f>
        <v>18.683310242172109</v>
      </c>
      <c r="AB10" s="11">
        <f>SUM(AB7:AB9)</f>
        <v>19.173460527011549</v>
      </c>
      <c r="AC10" s="11">
        <f>SUM(AC7:AC9)</f>
        <v>20.240740516453616</v>
      </c>
      <c r="AD10" s="11">
        <f>SUM(AD7:AD9)</f>
        <v>21.472672957174929</v>
      </c>
      <c r="AE10" s="11">
        <f>SUM(AE7:AE9)</f>
        <v>22.036345784740284</v>
      </c>
      <c r="AF10" s="11">
        <f>SUM(AF7:AF9)</f>
        <v>23.263717772598657</v>
      </c>
      <c r="AG10" s="11">
        <f>SUM(AG7:AG9)</f>
        <v>24.680440079428163</v>
      </c>
      <c r="AH10" s="11">
        <f>SUM(AH7:AH9)</f>
        <v>25.328663831128328</v>
      </c>
      <c r="AI10" s="11">
        <f>SUM(AI7:AI9)</f>
        <v>26.74014161716546</v>
      </c>
      <c r="AJ10" s="11">
        <f>SUM(AJ7:AJ9)</f>
        <v>28.369372270019387</v>
      </c>
      <c r="AK10" s="11">
        <f>SUM(AK7:AK9)</f>
        <v>29.114829584474574</v>
      </c>
      <c r="AL10" s="11">
        <f>SUM(AL7:AL9)</f>
        <v>30.738029038417274</v>
      </c>
      <c r="AM10" s="11">
        <f>SUM(AM7:AM9)</f>
        <v>32.611644289199297</v>
      </c>
      <c r="AN10" s="11">
        <f>SUM(AN7:AN9)</f>
        <v>33.468920200822751</v>
      </c>
      <c r="AO10" s="11">
        <f>SUM(AO7:AO9)</f>
        <v>35.335599572856857</v>
      </c>
      <c r="AP10" s="11">
        <f>SUM(AP7:AP9)</f>
        <v>37.490257111256184</v>
      </c>
      <c r="AQ10" s="11">
        <f>SUM(AQ7:AQ9)</f>
        <v>38.476124409623161</v>
      </c>
      <c r="AR10" s="11">
        <f>SUM(AR7:AR9)</f>
        <v>40.622805687462389</v>
      </c>
      <c r="AS10" s="11">
        <f>SUM(AS7:AS9)</f>
        <v>43.100661856621613</v>
      </c>
      <c r="AT10" s="11">
        <f>SUM(AT7:AT9)</f>
        <v>44.234409249743635</v>
      </c>
      <c r="AU10" s="11">
        <f>SUM(AU7:AU9)</f>
        <v>46.703092719258741</v>
      </c>
      <c r="AV10" s="11">
        <f>SUM(AV7:AV9)</f>
        <v>49.552627313791845</v>
      </c>
      <c r="AW10" s="11">
        <f>SUM(AW7:AW9)</f>
        <v>50.856436815882184</v>
      </c>
    </row>
    <row r="11" spans="2:49">
      <c r="D11" s="14" t="s">
        <v>9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</row>
    <row r="12" spans="2:49">
      <c r="C12" s="30">
        <v>0.03</v>
      </c>
      <c r="D12" s="8" t="s">
        <v>42</v>
      </c>
      <c r="E12" s="8"/>
      <c r="F12" s="48">
        <f>211919/10^7</f>
        <v>2.11919E-2</v>
      </c>
      <c r="G12" s="9">
        <f>+F12*(1+$C$12)</f>
        <v>2.1827657E-2</v>
      </c>
      <c r="H12" s="9">
        <f t="shared" ref="H12:AW12" si="4">+G12*(1+$C$12)</f>
        <v>2.2482486709999999E-2</v>
      </c>
      <c r="I12" s="9">
        <f t="shared" si="4"/>
        <v>2.31569613113E-2</v>
      </c>
      <c r="J12" s="9">
        <f t="shared" si="4"/>
        <v>2.3851670150639E-2</v>
      </c>
      <c r="K12" s="9">
        <f t="shared" si="4"/>
        <v>2.456722025515817E-2</v>
      </c>
      <c r="L12" s="9">
        <f t="shared" si="4"/>
        <v>2.5304236862812916E-2</v>
      </c>
      <c r="M12" s="9">
        <f t="shared" si="4"/>
        <v>2.6063363968697306E-2</v>
      </c>
      <c r="N12" s="9">
        <f t="shared" si="4"/>
        <v>2.6845264887758225E-2</v>
      </c>
      <c r="O12" s="9">
        <f t="shared" si="4"/>
        <v>2.7650622834390973E-2</v>
      </c>
      <c r="P12" s="9">
        <f t="shared" si="4"/>
        <v>2.8480141519422703E-2</v>
      </c>
      <c r="Q12" s="9">
        <f t="shared" si="4"/>
        <v>2.9334545765005385E-2</v>
      </c>
      <c r="R12" s="9">
        <f t="shared" si="4"/>
        <v>3.0214582137955547E-2</v>
      </c>
      <c r="S12" s="9">
        <f t="shared" si="4"/>
        <v>3.1121019602094215E-2</v>
      </c>
      <c r="T12" s="9">
        <f t="shared" si="4"/>
        <v>3.205465019015704E-2</v>
      </c>
      <c r="U12" s="9">
        <f t="shared" si="4"/>
        <v>3.3016289695861754E-2</v>
      </c>
      <c r="V12" s="9">
        <f t="shared" si="4"/>
        <v>3.4006778386737609E-2</v>
      </c>
      <c r="W12" s="9">
        <f t="shared" si="4"/>
        <v>3.5026981738339735E-2</v>
      </c>
      <c r="X12" s="9">
        <f t="shared" si="4"/>
        <v>3.6077791190489927E-2</v>
      </c>
      <c r="Y12" s="9">
        <f t="shared" si="4"/>
        <v>3.7160124926204623E-2</v>
      </c>
      <c r="Z12" s="9">
        <f t="shared" si="4"/>
        <v>3.8274928673990766E-2</v>
      </c>
      <c r="AA12" s="9">
        <f t="shared" si="4"/>
        <v>3.9423176534210493E-2</v>
      </c>
      <c r="AB12" s="9">
        <f t="shared" si="4"/>
        <v>4.0605871830236812E-2</v>
      </c>
      <c r="AC12" s="9">
        <f t="shared" si="4"/>
        <v>4.1824047985143914E-2</v>
      </c>
      <c r="AD12" s="9">
        <f t="shared" si="4"/>
        <v>4.3078769424698231E-2</v>
      </c>
      <c r="AE12" s="9">
        <f t="shared" si="4"/>
        <v>4.4371132507439182E-2</v>
      </c>
      <c r="AF12" s="9">
        <f t="shared" si="4"/>
        <v>4.570226648266236E-2</v>
      </c>
      <c r="AG12" s="9">
        <f t="shared" si="4"/>
        <v>4.707333447714223E-2</v>
      </c>
      <c r="AH12" s="9">
        <f t="shared" si="4"/>
        <v>4.8485534511456499E-2</v>
      </c>
      <c r="AI12" s="9">
        <f t="shared" si="4"/>
        <v>4.9940100546800197E-2</v>
      </c>
      <c r="AJ12" s="9">
        <f t="shared" si="4"/>
        <v>5.1438303563204203E-2</v>
      </c>
      <c r="AK12" s="9">
        <f t="shared" si="4"/>
        <v>5.2981452670100328E-2</v>
      </c>
      <c r="AL12" s="9">
        <f t="shared" si="4"/>
        <v>5.4570896250203338E-2</v>
      </c>
      <c r="AM12" s="9">
        <f t="shared" si="4"/>
        <v>5.6208023137709437E-2</v>
      </c>
      <c r="AN12" s="9">
        <f t="shared" si="4"/>
        <v>5.7894263831840723E-2</v>
      </c>
      <c r="AO12" s="9">
        <f t="shared" si="4"/>
        <v>5.9631091746795949E-2</v>
      </c>
      <c r="AP12" s="9">
        <f t="shared" si="4"/>
        <v>6.1420024499199831E-2</v>
      </c>
      <c r="AQ12" s="9">
        <f t="shared" si="4"/>
        <v>6.3262625234175834E-2</v>
      </c>
      <c r="AR12" s="9">
        <f t="shared" si="4"/>
        <v>6.5160503991201116E-2</v>
      </c>
      <c r="AS12" s="9">
        <f t="shared" si="4"/>
        <v>6.7115319110937155E-2</v>
      </c>
      <c r="AT12" s="9">
        <f t="shared" si="4"/>
        <v>6.9128778684265271E-2</v>
      </c>
      <c r="AU12" s="9">
        <f t="shared" si="4"/>
        <v>7.1202642044793235E-2</v>
      </c>
      <c r="AV12" s="9">
        <f t="shared" si="4"/>
        <v>7.3338721306137028E-2</v>
      </c>
      <c r="AW12" s="9">
        <f t="shared" si="4"/>
        <v>7.5538882945321142E-2</v>
      </c>
    </row>
    <row r="13" spans="2:49" ht="60">
      <c r="D13" s="24" t="s">
        <v>95</v>
      </c>
      <c r="E13" s="8"/>
      <c r="F13" s="12"/>
      <c r="G13" s="12">
        <f>25*37118/10^7</f>
        <v>9.2795000000000002E-2</v>
      </c>
      <c r="H13" s="12"/>
      <c r="I13" s="12"/>
      <c r="J13" s="12"/>
      <c r="K13" s="12"/>
      <c r="L13" s="12">
        <f>G13*1.1</f>
        <v>0.10207450000000001</v>
      </c>
      <c r="M13" s="12"/>
      <c r="N13" s="12"/>
      <c r="O13" s="12"/>
      <c r="P13" s="12"/>
      <c r="Q13" s="12">
        <f>L13*1.1</f>
        <v>0.11228195000000002</v>
      </c>
      <c r="R13" s="12"/>
      <c r="S13" s="12"/>
      <c r="T13" s="12"/>
      <c r="U13" s="12"/>
      <c r="V13" s="12">
        <f>Q13*1.1</f>
        <v>0.12351014500000003</v>
      </c>
      <c r="W13" s="12"/>
      <c r="X13" s="12"/>
      <c r="Y13" s="12"/>
      <c r="Z13" s="12"/>
      <c r="AA13" s="12">
        <f>V13*1.1</f>
        <v>0.13586115950000005</v>
      </c>
      <c r="AB13" s="12"/>
      <c r="AC13" s="12"/>
      <c r="AD13" s="12"/>
      <c r="AE13" s="12"/>
      <c r="AF13" s="12">
        <f>AA13*1.1</f>
        <v>0.14944727545000006</v>
      </c>
      <c r="AG13" s="12"/>
      <c r="AH13" s="12"/>
      <c r="AI13" s="12"/>
      <c r="AJ13" s="12"/>
      <c r="AK13" s="12">
        <f>AF13*1.1</f>
        <v>0.16439200299500006</v>
      </c>
      <c r="AL13" s="12"/>
      <c r="AM13" s="12"/>
      <c r="AN13" s="12"/>
      <c r="AO13" s="12"/>
      <c r="AP13" s="12">
        <f>AK13*1.1</f>
        <v>0.18083120329450009</v>
      </c>
      <c r="AQ13" s="12"/>
      <c r="AR13" s="12"/>
      <c r="AS13" s="12"/>
      <c r="AT13" s="12"/>
      <c r="AU13" s="12">
        <f>AP13*1.1</f>
        <v>0.19891432362395012</v>
      </c>
      <c r="AV13" s="12"/>
      <c r="AW13" s="12"/>
    </row>
    <row r="14" spans="2:49">
      <c r="D14" s="8" t="s">
        <v>30</v>
      </c>
      <c r="E14" s="8"/>
      <c r="F14" s="12"/>
      <c r="G14" s="8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>
        <f>'Security Deposit'!AV9/10^7</f>
        <v>15.894008819670102</v>
      </c>
    </row>
    <row r="15" spans="2:49">
      <c r="D15" s="8" t="s">
        <v>100</v>
      </c>
      <c r="E15" s="8"/>
      <c r="F15" s="12"/>
      <c r="G15" s="8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>
        <f>'Maintainence Deposit'!AU10/10^7</f>
        <v>1.2954858729143963</v>
      </c>
    </row>
    <row r="16" spans="2:49">
      <c r="D16" s="13" t="s">
        <v>10</v>
      </c>
      <c r="E16" s="8"/>
      <c r="F16" s="11">
        <f>SUM(F12:F15)</f>
        <v>2.11919E-2</v>
      </c>
      <c r="G16" s="11">
        <f>SUM(G12:G15)</f>
        <v>0.114622657</v>
      </c>
      <c r="H16" s="11">
        <f>SUM(H12:H15)</f>
        <v>2.2482486709999999E-2</v>
      </c>
      <c r="I16" s="11">
        <f>SUM(I12:I15)</f>
        <v>2.31569613113E-2</v>
      </c>
      <c r="J16" s="11">
        <f>SUM(J12:J15)</f>
        <v>2.3851670150639E-2</v>
      </c>
      <c r="K16" s="11">
        <f>SUM(K12:K15)</f>
        <v>2.456722025515817E-2</v>
      </c>
      <c r="L16" s="11">
        <f>SUM(L12:L15)</f>
        <v>0.12737873686281292</v>
      </c>
      <c r="M16" s="11">
        <f>SUM(M12:M15)</f>
        <v>2.6063363968697306E-2</v>
      </c>
      <c r="N16" s="11">
        <f>SUM(N12:N15)</f>
        <v>2.6845264887758225E-2</v>
      </c>
      <c r="O16" s="11">
        <f>SUM(O12:O15)</f>
        <v>2.7650622834390973E-2</v>
      </c>
      <c r="P16" s="11">
        <f>SUM(P12:P15)</f>
        <v>2.8480141519422703E-2</v>
      </c>
      <c r="Q16" s="11">
        <f>SUM(Q12:Q15)</f>
        <v>0.1416164957650054</v>
      </c>
      <c r="R16" s="11">
        <f>SUM(R12:R15)</f>
        <v>3.0214582137955547E-2</v>
      </c>
      <c r="S16" s="11">
        <f>SUM(S12:S15)</f>
        <v>3.1121019602094215E-2</v>
      </c>
      <c r="T16" s="11">
        <f>SUM(T12:T15)</f>
        <v>3.205465019015704E-2</v>
      </c>
      <c r="U16" s="11">
        <f>SUM(U12:U15)</f>
        <v>3.3016289695861754E-2</v>
      </c>
      <c r="V16" s="11">
        <f>SUM(V12:V15)</f>
        <v>0.15751692338673765</v>
      </c>
      <c r="W16" s="11">
        <f>SUM(W12:W15)</f>
        <v>3.5026981738339735E-2</v>
      </c>
      <c r="X16" s="11">
        <f>SUM(X12:X15)</f>
        <v>3.6077791190489927E-2</v>
      </c>
      <c r="Y16" s="11">
        <f>SUM(Y12:Y15)</f>
        <v>3.7160124926204623E-2</v>
      </c>
      <c r="Z16" s="11">
        <f>SUM(Z12:Z15)</f>
        <v>3.8274928673990766E-2</v>
      </c>
      <c r="AA16" s="11">
        <f>SUM(AA12:AA15)</f>
        <v>0.17528433603421054</v>
      </c>
      <c r="AB16" s="11">
        <f>SUM(AB12:AB15)</f>
        <v>4.0605871830236812E-2</v>
      </c>
      <c r="AC16" s="11">
        <f>SUM(AC12:AC15)</f>
        <v>4.1824047985143914E-2</v>
      </c>
      <c r="AD16" s="11">
        <f>SUM(AD12:AD15)</f>
        <v>4.3078769424698231E-2</v>
      </c>
      <c r="AE16" s="11">
        <f>SUM(AE12:AE15)</f>
        <v>4.4371132507439182E-2</v>
      </c>
      <c r="AF16" s="11">
        <f>SUM(AF12:AF15)</f>
        <v>0.19514954193266243</v>
      </c>
      <c r="AG16" s="11">
        <f>SUM(AG12:AG15)</f>
        <v>4.707333447714223E-2</v>
      </c>
      <c r="AH16" s="11">
        <f>SUM(AH12:AH15)</f>
        <v>4.8485534511456499E-2</v>
      </c>
      <c r="AI16" s="11">
        <f>SUM(AI12:AI15)</f>
        <v>4.9940100546800197E-2</v>
      </c>
      <c r="AJ16" s="11">
        <f>SUM(AJ12:AJ15)</f>
        <v>5.1438303563204203E-2</v>
      </c>
      <c r="AK16" s="11">
        <f>SUM(AK12:AK15)</f>
        <v>0.21737345566510038</v>
      </c>
      <c r="AL16" s="11">
        <f>SUM(AL12:AL15)</f>
        <v>5.4570896250203338E-2</v>
      </c>
      <c r="AM16" s="11">
        <f>SUM(AM12:AM15)</f>
        <v>5.6208023137709437E-2</v>
      </c>
      <c r="AN16" s="11">
        <f>SUM(AN12:AN15)</f>
        <v>5.7894263831840723E-2</v>
      </c>
      <c r="AO16" s="11">
        <f>SUM(AO12:AO15)</f>
        <v>5.9631091746795949E-2</v>
      </c>
      <c r="AP16" s="11">
        <f>SUM(AP12:AP15)</f>
        <v>0.24225122779369992</v>
      </c>
      <c r="AQ16" s="11">
        <f>SUM(AQ12:AQ15)</f>
        <v>6.3262625234175834E-2</v>
      </c>
      <c r="AR16" s="11">
        <f>SUM(AR12:AR15)</f>
        <v>6.5160503991201116E-2</v>
      </c>
      <c r="AS16" s="11">
        <f>SUM(AS12:AS15)</f>
        <v>6.7115319110937155E-2</v>
      </c>
      <c r="AT16" s="11">
        <f>SUM(AT12:AT15)</f>
        <v>6.9128778684265271E-2</v>
      </c>
      <c r="AU16" s="11">
        <f>SUM(AU12:AU15)</f>
        <v>0.27011696566874333</v>
      </c>
      <c r="AV16" s="11">
        <f>SUM(AV12:AV15)</f>
        <v>7.3338721306137028E-2</v>
      </c>
      <c r="AW16" s="11">
        <f>SUM(AW12:AW15)</f>
        <v>17.26503357552982</v>
      </c>
    </row>
    <row r="17" spans="2:49">
      <c r="B17" s="34">
        <v>37118</v>
      </c>
      <c r="C17" t="s">
        <v>43</v>
      </c>
      <c r="D17" s="14" t="s">
        <v>11</v>
      </c>
      <c r="E17" s="8"/>
      <c r="F17" s="11">
        <f>F10-F16</f>
        <v>7.0571986578199999</v>
      </c>
      <c r="G17" s="11">
        <f>G10-G16</f>
        <v>7.1480335480200008</v>
      </c>
      <c r="H17" s="11">
        <f>H10-H16</f>
        <v>7.6414037983099989</v>
      </c>
      <c r="I17" s="11">
        <f>I10-I16</f>
        <v>8.1038583588587016</v>
      </c>
      <c r="J17" s="11">
        <f>J10-J16</f>
        <v>8.3150691442993612</v>
      </c>
      <c r="K17" s="11">
        <f>K10-K16</f>
        <v>8.775768186194842</v>
      </c>
      <c r="L17" s="11">
        <f>L10-L16</f>
        <v>9.2055550600096847</v>
      </c>
      <c r="M17" s="11">
        <f>M10-M16</f>
        <v>9.5505617513257981</v>
      </c>
      <c r="N17" s="11">
        <f>N10-N16</f>
        <v>10.080406631206738</v>
      </c>
      <c r="O17" s="11">
        <f>O10-O16</f>
        <v>10.69208942224598</v>
      </c>
      <c r="P17" s="11">
        <f>P10-P16</f>
        <v>10.971504919746248</v>
      </c>
      <c r="Q17" s="11">
        <f>Q10-Q16</f>
        <v>11.468589363420667</v>
      </c>
      <c r="R17" s="11">
        <f>R10-R16</f>
        <v>12.284352648381473</v>
      </c>
      <c r="S17" s="11">
        <f>S10-S16</f>
        <v>12.605727979530426</v>
      </c>
      <c r="T17" s="11">
        <f>T10-T16</f>
        <v>13.306548266550363</v>
      </c>
      <c r="U17" s="11">
        <f>U10-U16</f>
        <v>14.115602204078479</v>
      </c>
      <c r="V17" s="11">
        <f>V10-V16</f>
        <v>14.361725604292662</v>
      </c>
      <c r="W17" s="11">
        <f>W10-W16</f>
        <v>15.291232551190259</v>
      </c>
      <c r="X17" s="11">
        <f>X10-X16</f>
        <v>16.221699655327001</v>
      </c>
      <c r="Y17" s="11">
        <f>Y10-Y16</f>
        <v>16.646834960582105</v>
      </c>
      <c r="Z17" s="11">
        <f>Z10-Z16</f>
        <v>17.573789712870894</v>
      </c>
      <c r="AA17" s="11">
        <f>AA10-AA16</f>
        <v>18.508025906137899</v>
      </c>
      <c r="AB17" s="11">
        <f>AB10-AB16</f>
        <v>19.132854655181312</v>
      </c>
      <c r="AC17" s="11">
        <f>AC10-AC16</f>
        <v>20.198916468468472</v>
      </c>
      <c r="AD17" s="11">
        <f>AD10-AD16</f>
        <v>21.429594187750229</v>
      </c>
      <c r="AE17" s="11">
        <f>AE10-AE16</f>
        <v>21.991974652232845</v>
      </c>
      <c r="AF17" s="11">
        <f>AF10-AF16</f>
        <v>23.068568230665996</v>
      </c>
      <c r="AG17" s="11">
        <f>AG10-AG16</f>
        <v>24.633366744951019</v>
      </c>
      <c r="AH17" s="11">
        <f>AH10-AH16</f>
        <v>25.280178296616871</v>
      </c>
      <c r="AI17" s="11">
        <f>AI10-AI16</f>
        <v>26.690201516618661</v>
      </c>
      <c r="AJ17" s="11">
        <f>AJ10-AJ16</f>
        <v>28.317933966456181</v>
      </c>
      <c r="AK17" s="11">
        <f>AK10-AK16</f>
        <v>28.897456128809473</v>
      </c>
      <c r="AL17" s="11">
        <f>AL10-AL16</f>
        <v>30.683458142167069</v>
      </c>
      <c r="AM17" s="11">
        <f>AM10-AM16</f>
        <v>32.555436266061591</v>
      </c>
      <c r="AN17" s="11">
        <f>AN10-AN16</f>
        <v>33.41102593699091</v>
      </c>
      <c r="AO17" s="11">
        <f>AO10-AO16</f>
        <v>35.275968481110063</v>
      </c>
      <c r="AP17" s="11">
        <f>AP10-AP16</f>
        <v>37.248005883462483</v>
      </c>
      <c r="AQ17" s="11">
        <f>AQ10-AQ16</f>
        <v>38.412861784388987</v>
      </c>
      <c r="AR17" s="11">
        <f>AR10-AR16</f>
        <v>40.557645183471188</v>
      </c>
      <c r="AS17" s="11">
        <f>AS10-AS16</f>
        <v>43.033546537510674</v>
      </c>
      <c r="AT17" s="11">
        <f>AT10-AT16</f>
        <v>44.165280471059368</v>
      </c>
      <c r="AU17" s="11">
        <f>AU10-AU16</f>
        <v>46.43297575359</v>
      </c>
      <c r="AV17" s="11">
        <f>AV10-AV16</f>
        <v>49.479288592485709</v>
      </c>
      <c r="AW17" s="11">
        <f>AW10-AW16</f>
        <v>33.591403240352363</v>
      </c>
    </row>
    <row r="18" spans="2:49">
      <c r="B18" s="34"/>
      <c r="D18" s="8" t="s">
        <v>12</v>
      </c>
      <c r="E18" s="8"/>
      <c r="F18" s="10">
        <f>' Dep'!D11</f>
        <v>0.15929626978592307</v>
      </c>
      <c r="G18" s="10">
        <f>F18</f>
        <v>0.15929626978592307</v>
      </c>
      <c r="H18" s="10">
        <f t="shared" ref="H18:AW18" si="5">G18</f>
        <v>0.15929626978592307</v>
      </c>
      <c r="I18" s="10">
        <f t="shared" si="5"/>
        <v>0.15929626978592307</v>
      </c>
      <c r="J18" s="10">
        <f t="shared" si="5"/>
        <v>0.15929626978592307</v>
      </c>
      <c r="K18" s="10">
        <f t="shared" si="5"/>
        <v>0.15929626978592307</v>
      </c>
      <c r="L18" s="10">
        <f t="shared" si="5"/>
        <v>0.15929626978592307</v>
      </c>
      <c r="M18" s="10">
        <f t="shared" si="5"/>
        <v>0.15929626978592307</v>
      </c>
      <c r="N18" s="10">
        <f t="shared" si="5"/>
        <v>0.15929626978592307</v>
      </c>
      <c r="O18" s="10">
        <f t="shared" si="5"/>
        <v>0.15929626978592307</v>
      </c>
      <c r="P18" s="10">
        <f t="shared" si="5"/>
        <v>0.15929626978592307</v>
      </c>
      <c r="Q18" s="10">
        <f t="shared" si="5"/>
        <v>0.15929626978592307</v>
      </c>
      <c r="R18" s="10">
        <f t="shared" si="5"/>
        <v>0.15929626978592307</v>
      </c>
      <c r="S18" s="10">
        <f t="shared" si="5"/>
        <v>0.15929626978592307</v>
      </c>
      <c r="T18" s="10">
        <f t="shared" si="5"/>
        <v>0.15929626978592307</v>
      </c>
      <c r="U18" s="10">
        <f t="shared" si="5"/>
        <v>0.15929626978592307</v>
      </c>
      <c r="V18" s="10">
        <f t="shared" si="5"/>
        <v>0.15929626978592307</v>
      </c>
      <c r="W18" s="10">
        <f t="shared" si="5"/>
        <v>0.15929626978592307</v>
      </c>
      <c r="X18" s="10">
        <f t="shared" si="5"/>
        <v>0.15929626978592307</v>
      </c>
      <c r="Y18" s="10">
        <f t="shared" si="5"/>
        <v>0.15929626978592307</v>
      </c>
      <c r="Z18" s="10">
        <f t="shared" si="5"/>
        <v>0.15929626978592307</v>
      </c>
      <c r="AA18" s="10">
        <f t="shared" si="5"/>
        <v>0.15929626978592307</v>
      </c>
      <c r="AB18" s="10">
        <f t="shared" si="5"/>
        <v>0.15929626978592307</v>
      </c>
      <c r="AC18" s="10">
        <f t="shared" si="5"/>
        <v>0.15929626978592307</v>
      </c>
      <c r="AD18" s="10">
        <f t="shared" si="5"/>
        <v>0.15929626978592307</v>
      </c>
      <c r="AE18" s="10">
        <f t="shared" si="5"/>
        <v>0.15929626978592307</v>
      </c>
      <c r="AF18" s="10">
        <f t="shared" si="5"/>
        <v>0.15929626978592307</v>
      </c>
      <c r="AG18" s="10">
        <f t="shared" si="5"/>
        <v>0.15929626978592307</v>
      </c>
      <c r="AH18" s="10">
        <f t="shared" si="5"/>
        <v>0.15929626978592307</v>
      </c>
      <c r="AI18" s="10">
        <f t="shared" si="5"/>
        <v>0.15929626978592307</v>
      </c>
      <c r="AJ18" s="10">
        <f t="shared" si="5"/>
        <v>0.15929626978592307</v>
      </c>
      <c r="AK18" s="10">
        <f t="shared" si="5"/>
        <v>0.15929626978592307</v>
      </c>
      <c r="AL18" s="10">
        <f t="shared" si="5"/>
        <v>0.15929626978592307</v>
      </c>
      <c r="AM18" s="10">
        <f t="shared" si="5"/>
        <v>0.15929626978592307</v>
      </c>
      <c r="AN18" s="10">
        <f t="shared" si="5"/>
        <v>0.15929626978592307</v>
      </c>
      <c r="AO18" s="10">
        <f t="shared" si="5"/>
        <v>0.15929626978592307</v>
      </c>
      <c r="AP18" s="10">
        <f t="shared" si="5"/>
        <v>0.15929626978592307</v>
      </c>
      <c r="AQ18" s="10">
        <f t="shared" si="5"/>
        <v>0.15929626978592307</v>
      </c>
      <c r="AR18" s="10">
        <f t="shared" si="5"/>
        <v>0.15929626978592307</v>
      </c>
      <c r="AS18" s="10">
        <f t="shared" si="5"/>
        <v>0.15929626978592307</v>
      </c>
      <c r="AT18" s="10">
        <f t="shared" si="5"/>
        <v>0.15929626978592307</v>
      </c>
      <c r="AU18" s="10">
        <f t="shared" si="5"/>
        <v>0.15929626978592307</v>
      </c>
      <c r="AV18" s="10">
        <f t="shared" si="5"/>
        <v>0.15929626978592307</v>
      </c>
      <c r="AW18" s="10">
        <f t="shared" si="5"/>
        <v>0.15929626978592307</v>
      </c>
    </row>
    <row r="19" spans="2:49">
      <c r="D19" s="13" t="s">
        <v>14</v>
      </c>
      <c r="E19" s="8"/>
      <c r="F19" s="15">
        <f>F17-F18</f>
        <v>6.8979023880340771</v>
      </c>
      <c r="G19" s="15">
        <f t="shared" ref="G19:AW19" si="6">G17-G18</f>
        <v>6.988737278234078</v>
      </c>
      <c r="H19" s="15">
        <f t="shared" si="6"/>
        <v>7.4821075285240761</v>
      </c>
      <c r="I19" s="15">
        <f t="shared" si="6"/>
        <v>7.9445620890727788</v>
      </c>
      <c r="J19" s="15">
        <f t="shared" si="6"/>
        <v>8.1557728745134384</v>
      </c>
      <c r="K19" s="15">
        <f t="shared" si="6"/>
        <v>8.6164719164089192</v>
      </c>
      <c r="L19" s="15">
        <f t="shared" si="6"/>
        <v>9.0462587902237619</v>
      </c>
      <c r="M19" s="15">
        <f t="shared" si="6"/>
        <v>9.3912654815398753</v>
      </c>
      <c r="N19" s="15">
        <f t="shared" si="6"/>
        <v>9.9211103614208156</v>
      </c>
      <c r="O19" s="15">
        <f t="shared" si="6"/>
        <v>10.532793152460057</v>
      </c>
      <c r="P19" s="15">
        <f t="shared" si="6"/>
        <v>10.812208649960326</v>
      </c>
      <c r="Q19" s="15">
        <f t="shared" si="6"/>
        <v>11.309293093634745</v>
      </c>
      <c r="R19" s="15">
        <f t="shared" si="6"/>
        <v>12.12505637859555</v>
      </c>
      <c r="S19" s="15">
        <f t="shared" si="6"/>
        <v>12.446431709744504</v>
      </c>
      <c r="T19" s="15">
        <f t="shared" si="6"/>
        <v>13.147251996764441</v>
      </c>
      <c r="U19" s="15">
        <f t="shared" si="6"/>
        <v>13.956305934292557</v>
      </c>
      <c r="V19" s="21">
        <f t="shared" si="6"/>
        <v>14.202429334506739</v>
      </c>
      <c r="W19" s="15">
        <f t="shared" si="6"/>
        <v>15.131936281404336</v>
      </c>
      <c r="X19" s="15">
        <f t="shared" si="6"/>
        <v>16.062403385541078</v>
      </c>
      <c r="Y19" s="15">
        <f t="shared" si="6"/>
        <v>16.487538690796182</v>
      </c>
      <c r="Z19" s="15">
        <f t="shared" si="6"/>
        <v>17.414493443084972</v>
      </c>
      <c r="AA19" s="15">
        <f t="shared" si="6"/>
        <v>18.348729636351976</v>
      </c>
      <c r="AB19" s="15">
        <f t="shared" si="6"/>
        <v>18.973558385395389</v>
      </c>
      <c r="AC19" s="15">
        <f t="shared" si="6"/>
        <v>20.039620198682549</v>
      </c>
      <c r="AD19" s="15">
        <f t="shared" si="6"/>
        <v>21.270297917964307</v>
      </c>
      <c r="AE19" s="15">
        <f t="shared" si="6"/>
        <v>21.832678382446922</v>
      </c>
      <c r="AF19" s="15">
        <f t="shared" si="6"/>
        <v>22.909271960880073</v>
      </c>
      <c r="AG19" s="15">
        <f t="shared" si="6"/>
        <v>24.474070475165096</v>
      </c>
      <c r="AH19" s="15">
        <f t="shared" si="6"/>
        <v>25.120882026830948</v>
      </c>
      <c r="AI19" s="15">
        <f t="shared" si="6"/>
        <v>26.530905246832738</v>
      </c>
      <c r="AJ19" s="15">
        <f t="shared" si="6"/>
        <v>28.158637696670258</v>
      </c>
      <c r="AK19" s="15">
        <f t="shared" si="6"/>
        <v>28.738159859023551</v>
      </c>
      <c r="AL19" s="15">
        <f t="shared" si="6"/>
        <v>30.524161872381146</v>
      </c>
      <c r="AM19" s="15">
        <f t="shared" si="6"/>
        <v>32.396139996275664</v>
      </c>
      <c r="AN19" s="15">
        <f t="shared" si="6"/>
        <v>33.251729667204984</v>
      </c>
      <c r="AO19" s="15">
        <f t="shared" si="6"/>
        <v>35.116672211324136</v>
      </c>
      <c r="AP19" s="15">
        <f t="shared" si="6"/>
        <v>37.088709613676556</v>
      </c>
      <c r="AQ19" s="15">
        <f t="shared" si="6"/>
        <v>38.253565514603061</v>
      </c>
      <c r="AR19" s="15">
        <f t="shared" si="6"/>
        <v>40.398348913685261</v>
      </c>
      <c r="AS19" s="15">
        <f t="shared" si="6"/>
        <v>42.874250267724747</v>
      </c>
      <c r="AT19" s="15">
        <f t="shared" si="6"/>
        <v>44.005984201273442</v>
      </c>
      <c r="AU19" s="15">
        <f t="shared" si="6"/>
        <v>46.273679483804074</v>
      </c>
      <c r="AV19" s="15">
        <f t="shared" si="6"/>
        <v>49.319992322699783</v>
      </c>
      <c r="AW19" s="15">
        <f t="shared" si="6"/>
        <v>33.432106970566437</v>
      </c>
    </row>
    <row r="20" spans="2:49">
      <c r="D20" s="13" t="s">
        <v>13</v>
      </c>
      <c r="E20" s="8"/>
      <c r="F20" s="16">
        <f>25%*1.12*1.04</f>
        <v>0.29120000000000001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</row>
    <row r="21" spans="2:49">
      <c r="C21" t="s">
        <v>94</v>
      </c>
      <c r="D21" s="14" t="s">
        <v>15</v>
      </c>
      <c r="E21" s="8"/>
      <c r="F21" s="11">
        <f t="shared" ref="F21:AW21" si="7">F19*(1-$F$20)</f>
        <v>4.8892332126385538</v>
      </c>
      <c r="G21" s="11">
        <f t="shared" si="7"/>
        <v>4.9536169828123144</v>
      </c>
      <c r="H21" s="11">
        <f t="shared" si="7"/>
        <v>5.3033178162178647</v>
      </c>
      <c r="I21" s="11">
        <f t="shared" si="7"/>
        <v>5.6311056087347859</v>
      </c>
      <c r="J21" s="11">
        <f t="shared" si="7"/>
        <v>5.7808118134551254</v>
      </c>
      <c r="K21" s="11">
        <f t="shared" si="7"/>
        <v>6.1073552943506417</v>
      </c>
      <c r="L21" s="11">
        <f t="shared" si="7"/>
        <v>6.4119882305106026</v>
      </c>
      <c r="M21" s="11">
        <f t="shared" si="7"/>
        <v>6.6565289733154636</v>
      </c>
      <c r="N21" s="11">
        <f t="shared" si="7"/>
        <v>7.0320830241750736</v>
      </c>
      <c r="O21" s="11">
        <f t="shared" si="7"/>
        <v>7.465643786463688</v>
      </c>
      <c r="P21" s="11">
        <f t="shared" si="7"/>
        <v>7.6636934910918786</v>
      </c>
      <c r="Q21" s="11">
        <f t="shared" si="7"/>
        <v>8.0160269447683064</v>
      </c>
      <c r="R21" s="11">
        <f t="shared" si="7"/>
        <v>8.5942399611485261</v>
      </c>
      <c r="S21" s="11">
        <f t="shared" si="7"/>
        <v>8.8220307958669046</v>
      </c>
      <c r="T21" s="11">
        <f t="shared" si="7"/>
        <v>9.3187722153066357</v>
      </c>
      <c r="U21" s="11">
        <f t="shared" si="7"/>
        <v>9.8922296462265642</v>
      </c>
      <c r="V21" s="11">
        <f t="shared" si="7"/>
        <v>10.066681912298376</v>
      </c>
      <c r="W21" s="11">
        <f t="shared" si="7"/>
        <v>10.725516436259394</v>
      </c>
      <c r="X21" s="11">
        <f t="shared" si="7"/>
        <v>11.385031519671516</v>
      </c>
      <c r="Y21" s="11">
        <f t="shared" si="7"/>
        <v>11.686367424036334</v>
      </c>
      <c r="Z21" s="11">
        <f t="shared" si="7"/>
        <v>12.343392952458627</v>
      </c>
      <c r="AA21" s="11">
        <f t="shared" si="7"/>
        <v>13.005579566246281</v>
      </c>
      <c r="AB21" s="11">
        <f t="shared" si="7"/>
        <v>13.448458183568251</v>
      </c>
      <c r="AC21" s="11">
        <f t="shared" si="7"/>
        <v>14.20408279682619</v>
      </c>
      <c r="AD21" s="11">
        <f t="shared" si="7"/>
        <v>15.0763871642531</v>
      </c>
      <c r="AE21" s="11">
        <f t="shared" si="7"/>
        <v>15.475002437478377</v>
      </c>
      <c r="AF21" s="11">
        <f t="shared" si="7"/>
        <v>16.238091965871796</v>
      </c>
      <c r="AG21" s="11">
        <f t="shared" si="7"/>
        <v>17.347221152797019</v>
      </c>
      <c r="AH21" s="11">
        <f t="shared" si="7"/>
        <v>17.805681180617775</v>
      </c>
      <c r="AI21" s="11">
        <f t="shared" si="7"/>
        <v>18.805105638955045</v>
      </c>
      <c r="AJ21" s="11">
        <f t="shared" si="7"/>
        <v>19.958842399399877</v>
      </c>
      <c r="AK21" s="11">
        <f t="shared" si="7"/>
        <v>20.369607708075893</v>
      </c>
      <c r="AL21" s="11">
        <f t="shared" si="7"/>
        <v>21.635525935143757</v>
      </c>
      <c r="AM21" s="11">
        <f t="shared" si="7"/>
        <v>22.962384029360191</v>
      </c>
      <c r="AN21" s="11">
        <f t="shared" si="7"/>
        <v>23.568825988114892</v>
      </c>
      <c r="AO21" s="11">
        <f t="shared" si="7"/>
        <v>24.890697263386546</v>
      </c>
      <c r="AP21" s="11">
        <f t="shared" si="7"/>
        <v>26.288477374173944</v>
      </c>
      <c r="AQ21" s="11">
        <f t="shared" si="7"/>
        <v>27.114127236750647</v>
      </c>
      <c r="AR21" s="11">
        <f t="shared" si="7"/>
        <v>28.634349710020114</v>
      </c>
      <c r="AS21" s="11">
        <f t="shared" si="7"/>
        <v>30.389268589763301</v>
      </c>
      <c r="AT21" s="11">
        <f t="shared" si="7"/>
        <v>31.191441601862614</v>
      </c>
      <c r="AU21" s="11">
        <f t="shared" si="7"/>
        <v>32.79878401812033</v>
      </c>
      <c r="AV21" s="11">
        <f t="shared" si="7"/>
        <v>34.958010558329605</v>
      </c>
      <c r="AW21" s="11">
        <f t="shared" si="7"/>
        <v>23.69667742073749</v>
      </c>
    </row>
    <row r="22" spans="2:49">
      <c r="C22" s="25"/>
      <c r="D22" s="8" t="s">
        <v>16</v>
      </c>
      <c r="E22" s="8"/>
      <c r="F22" s="12">
        <f>F18</f>
        <v>0.15929626978592307</v>
      </c>
      <c r="G22" s="12">
        <f t="shared" ref="G22:AW22" si="8">G18</f>
        <v>0.15929626978592307</v>
      </c>
      <c r="H22" s="12">
        <f t="shared" si="8"/>
        <v>0.15929626978592307</v>
      </c>
      <c r="I22" s="12">
        <f t="shared" si="8"/>
        <v>0.15929626978592307</v>
      </c>
      <c r="J22" s="12">
        <f t="shared" si="8"/>
        <v>0.15929626978592307</v>
      </c>
      <c r="K22" s="12">
        <f t="shared" si="8"/>
        <v>0.15929626978592307</v>
      </c>
      <c r="L22" s="12">
        <f t="shared" si="8"/>
        <v>0.15929626978592307</v>
      </c>
      <c r="M22" s="12">
        <f t="shared" si="8"/>
        <v>0.15929626978592307</v>
      </c>
      <c r="N22" s="12">
        <f t="shared" si="8"/>
        <v>0.15929626978592307</v>
      </c>
      <c r="O22" s="12">
        <f t="shared" si="8"/>
        <v>0.15929626978592307</v>
      </c>
      <c r="P22" s="12">
        <f t="shared" si="8"/>
        <v>0.15929626978592307</v>
      </c>
      <c r="Q22" s="12">
        <f t="shared" si="8"/>
        <v>0.15929626978592307</v>
      </c>
      <c r="R22" s="12">
        <f t="shared" si="8"/>
        <v>0.15929626978592307</v>
      </c>
      <c r="S22" s="12">
        <f t="shared" si="8"/>
        <v>0.15929626978592307</v>
      </c>
      <c r="T22" s="12">
        <f t="shared" si="8"/>
        <v>0.15929626978592307</v>
      </c>
      <c r="U22" s="12">
        <f t="shared" si="8"/>
        <v>0.15929626978592307</v>
      </c>
      <c r="V22" s="12">
        <f t="shared" si="8"/>
        <v>0.15929626978592307</v>
      </c>
      <c r="W22" s="12">
        <f t="shared" si="8"/>
        <v>0.15929626978592307</v>
      </c>
      <c r="X22" s="12">
        <f t="shared" si="8"/>
        <v>0.15929626978592307</v>
      </c>
      <c r="Y22" s="12">
        <f t="shared" si="8"/>
        <v>0.15929626978592307</v>
      </c>
      <c r="Z22" s="12">
        <f t="shared" si="8"/>
        <v>0.15929626978592307</v>
      </c>
      <c r="AA22" s="12">
        <f t="shared" si="8"/>
        <v>0.15929626978592307</v>
      </c>
      <c r="AB22" s="12">
        <f t="shared" si="8"/>
        <v>0.15929626978592307</v>
      </c>
      <c r="AC22" s="12">
        <f t="shared" si="8"/>
        <v>0.15929626978592307</v>
      </c>
      <c r="AD22" s="12">
        <f t="shared" si="8"/>
        <v>0.15929626978592307</v>
      </c>
      <c r="AE22" s="12">
        <f t="shared" si="8"/>
        <v>0.15929626978592307</v>
      </c>
      <c r="AF22" s="12">
        <f t="shared" si="8"/>
        <v>0.15929626978592307</v>
      </c>
      <c r="AG22" s="12">
        <f t="shared" si="8"/>
        <v>0.15929626978592307</v>
      </c>
      <c r="AH22" s="12">
        <f t="shared" si="8"/>
        <v>0.15929626978592307</v>
      </c>
      <c r="AI22" s="12">
        <f t="shared" si="8"/>
        <v>0.15929626978592307</v>
      </c>
      <c r="AJ22" s="12">
        <f t="shared" si="8"/>
        <v>0.15929626978592307</v>
      </c>
      <c r="AK22" s="12">
        <f t="shared" si="8"/>
        <v>0.15929626978592307</v>
      </c>
      <c r="AL22" s="12">
        <f t="shared" si="8"/>
        <v>0.15929626978592307</v>
      </c>
      <c r="AM22" s="12">
        <f t="shared" si="8"/>
        <v>0.15929626978592307</v>
      </c>
      <c r="AN22" s="12">
        <f t="shared" si="8"/>
        <v>0.15929626978592307</v>
      </c>
      <c r="AO22" s="12">
        <f t="shared" si="8"/>
        <v>0.15929626978592307</v>
      </c>
      <c r="AP22" s="12">
        <f t="shared" si="8"/>
        <v>0.15929626978592307</v>
      </c>
      <c r="AQ22" s="12">
        <f t="shared" si="8"/>
        <v>0.15929626978592307</v>
      </c>
      <c r="AR22" s="12">
        <f t="shared" si="8"/>
        <v>0.15929626978592307</v>
      </c>
      <c r="AS22" s="12">
        <f t="shared" si="8"/>
        <v>0.15929626978592307</v>
      </c>
      <c r="AT22" s="12">
        <f t="shared" si="8"/>
        <v>0.15929626978592307</v>
      </c>
      <c r="AU22" s="12">
        <f t="shared" si="8"/>
        <v>0.15929626978592307</v>
      </c>
      <c r="AV22" s="12">
        <f t="shared" si="8"/>
        <v>0.15929626978592307</v>
      </c>
      <c r="AW22" s="12">
        <f t="shared" si="8"/>
        <v>0.15929626978592307</v>
      </c>
    </row>
    <row r="23" spans="2:49">
      <c r="D23" s="8" t="s">
        <v>17</v>
      </c>
      <c r="E23" s="8"/>
      <c r="F23" s="12"/>
      <c r="G23" s="12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</row>
    <row r="24" spans="2:49">
      <c r="D24" s="8" t="s">
        <v>18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</row>
    <row r="25" spans="2:49">
      <c r="C25" t="s">
        <v>93</v>
      </c>
      <c r="D25" s="14" t="s">
        <v>19</v>
      </c>
      <c r="E25" s="8"/>
      <c r="F25" s="11">
        <f>F21+F22-F23-F24</f>
        <v>5.0485294824244766</v>
      </c>
      <c r="G25" s="11">
        <f t="shared" ref="G25:AW25" si="9">G21+G22-G23-G24</f>
        <v>5.1129132525982373</v>
      </c>
      <c r="H25" s="11">
        <f t="shared" si="9"/>
        <v>5.4626140860037875</v>
      </c>
      <c r="I25" s="11">
        <f t="shared" si="9"/>
        <v>5.7904018785207088</v>
      </c>
      <c r="J25" s="11">
        <f t="shared" si="9"/>
        <v>5.9401080832410482</v>
      </c>
      <c r="K25" s="11">
        <f t="shared" si="9"/>
        <v>6.2666515641365645</v>
      </c>
      <c r="L25" s="11">
        <f t="shared" si="9"/>
        <v>6.5712845002965254</v>
      </c>
      <c r="M25" s="11">
        <f t="shared" si="9"/>
        <v>6.8158252431013864</v>
      </c>
      <c r="N25" s="11">
        <f t="shared" si="9"/>
        <v>7.1913792939609964</v>
      </c>
      <c r="O25" s="11">
        <f t="shared" si="9"/>
        <v>7.6249400562496108</v>
      </c>
      <c r="P25" s="11">
        <f t="shared" si="9"/>
        <v>7.8229897608778014</v>
      </c>
      <c r="Q25" s="11">
        <f t="shared" si="9"/>
        <v>8.1753232145542292</v>
      </c>
      <c r="R25" s="11">
        <f t="shared" si="9"/>
        <v>8.7535362309344489</v>
      </c>
      <c r="S25" s="11">
        <f t="shared" si="9"/>
        <v>8.9813270656528275</v>
      </c>
      <c r="T25" s="11">
        <f t="shared" si="9"/>
        <v>9.4780684850925585</v>
      </c>
      <c r="U25" s="11">
        <f t="shared" si="9"/>
        <v>10.051525916012487</v>
      </c>
      <c r="V25" s="11">
        <f t="shared" si="9"/>
        <v>10.225978182084299</v>
      </c>
      <c r="W25" s="11">
        <f t="shared" si="9"/>
        <v>10.884812706045317</v>
      </c>
      <c r="X25" s="11">
        <f t="shared" si="9"/>
        <v>11.544327789457439</v>
      </c>
      <c r="Y25" s="11">
        <f t="shared" si="9"/>
        <v>11.845663693822257</v>
      </c>
      <c r="Z25" s="11">
        <f t="shared" si="9"/>
        <v>12.50268922224455</v>
      </c>
      <c r="AA25" s="11">
        <f t="shared" si="9"/>
        <v>13.164875836032204</v>
      </c>
      <c r="AB25" s="11">
        <f t="shared" si="9"/>
        <v>13.607754453354174</v>
      </c>
      <c r="AC25" s="11">
        <f t="shared" si="9"/>
        <v>14.363379066612113</v>
      </c>
      <c r="AD25" s="11">
        <f t="shared" si="9"/>
        <v>15.235683434039023</v>
      </c>
      <c r="AE25" s="11">
        <f t="shared" si="9"/>
        <v>15.6342987072643</v>
      </c>
      <c r="AF25" s="11">
        <f t="shared" si="9"/>
        <v>16.397388235657719</v>
      </c>
      <c r="AG25" s="11">
        <f t="shared" si="9"/>
        <v>17.506517422582942</v>
      </c>
      <c r="AH25" s="11">
        <f t="shared" si="9"/>
        <v>17.964977450403698</v>
      </c>
      <c r="AI25" s="11">
        <f t="shared" si="9"/>
        <v>18.964401908740967</v>
      </c>
      <c r="AJ25" s="11">
        <f t="shared" si="9"/>
        <v>20.1181386691858</v>
      </c>
      <c r="AK25" s="11">
        <f t="shared" si="9"/>
        <v>20.528903977861816</v>
      </c>
      <c r="AL25" s="11">
        <f t="shared" si="9"/>
        <v>21.79482220492968</v>
      </c>
      <c r="AM25" s="11">
        <f t="shared" si="9"/>
        <v>23.121680299146114</v>
      </c>
      <c r="AN25" s="11">
        <f t="shared" si="9"/>
        <v>23.728122257900814</v>
      </c>
      <c r="AO25" s="11">
        <f t="shared" si="9"/>
        <v>25.049993533172469</v>
      </c>
      <c r="AP25" s="11">
        <f t="shared" si="9"/>
        <v>26.447773643959867</v>
      </c>
      <c r="AQ25" s="11">
        <f t="shared" si="9"/>
        <v>27.27342350653657</v>
      </c>
      <c r="AR25" s="11">
        <f t="shared" si="9"/>
        <v>28.793645979806037</v>
      </c>
      <c r="AS25" s="11">
        <f t="shared" si="9"/>
        <v>30.548564859549224</v>
      </c>
      <c r="AT25" s="11">
        <f t="shared" si="9"/>
        <v>31.350737871648537</v>
      </c>
      <c r="AU25" s="11">
        <f t="shared" si="9"/>
        <v>32.958080287906256</v>
      </c>
      <c r="AV25" s="11">
        <f t="shared" si="9"/>
        <v>35.117306828115531</v>
      </c>
      <c r="AW25" s="11">
        <f t="shared" si="9"/>
        <v>23.855973690523413</v>
      </c>
    </row>
    <row r="26" spans="2:49">
      <c r="C26" s="32">
        <v>0.12</v>
      </c>
      <c r="D26" s="8" t="s">
        <v>102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</row>
    <row r="27" spans="2:49">
      <c r="C27" s="4"/>
      <c r="D27" s="8" t="s">
        <v>23</v>
      </c>
      <c r="E27" s="8"/>
      <c r="F27" s="10">
        <f>F2/F1</f>
        <v>0.99726027397260275</v>
      </c>
      <c r="G27" s="12">
        <f>F27+1</f>
        <v>1.9972602739726026</v>
      </c>
      <c r="H27" s="12">
        <f t="shared" ref="H27:AW27" si="10">G27+1</f>
        <v>2.9972602739726026</v>
      </c>
      <c r="I27" s="12">
        <f t="shared" si="10"/>
        <v>3.9972602739726026</v>
      </c>
      <c r="J27" s="12">
        <f t="shared" si="10"/>
        <v>4.9972602739726026</v>
      </c>
      <c r="K27" s="12">
        <f t="shared" si="10"/>
        <v>5.9972602739726026</v>
      </c>
      <c r="L27" s="12">
        <f t="shared" si="10"/>
        <v>6.9972602739726026</v>
      </c>
      <c r="M27" s="12">
        <f t="shared" si="10"/>
        <v>7.9972602739726026</v>
      </c>
      <c r="N27" s="12">
        <f t="shared" si="10"/>
        <v>8.9972602739726035</v>
      </c>
      <c r="O27" s="12">
        <f t="shared" si="10"/>
        <v>9.9972602739726035</v>
      </c>
      <c r="P27" s="12">
        <f t="shared" si="10"/>
        <v>10.997260273972604</v>
      </c>
      <c r="Q27" s="12">
        <f t="shared" si="10"/>
        <v>11.997260273972604</v>
      </c>
      <c r="R27" s="12">
        <f t="shared" si="10"/>
        <v>12.997260273972604</v>
      </c>
      <c r="S27" s="12">
        <f t="shared" si="10"/>
        <v>13.997260273972604</v>
      </c>
      <c r="T27" s="12">
        <f t="shared" si="10"/>
        <v>14.997260273972604</v>
      </c>
      <c r="U27" s="12">
        <f t="shared" si="10"/>
        <v>15.997260273972604</v>
      </c>
      <c r="V27" s="12">
        <f t="shared" si="10"/>
        <v>16.997260273972604</v>
      </c>
      <c r="W27" s="12">
        <f t="shared" si="10"/>
        <v>17.997260273972604</v>
      </c>
      <c r="X27" s="12">
        <f t="shared" si="10"/>
        <v>18.997260273972604</v>
      </c>
      <c r="Y27" s="12">
        <f t="shared" si="10"/>
        <v>19.997260273972604</v>
      </c>
      <c r="Z27" s="12">
        <f t="shared" si="10"/>
        <v>20.997260273972604</v>
      </c>
      <c r="AA27" s="12">
        <f t="shared" si="10"/>
        <v>21.997260273972604</v>
      </c>
      <c r="AB27" s="12">
        <f t="shared" si="10"/>
        <v>22.997260273972604</v>
      </c>
      <c r="AC27" s="12">
        <f t="shared" si="10"/>
        <v>23.997260273972604</v>
      </c>
      <c r="AD27" s="12">
        <f t="shared" si="10"/>
        <v>24.997260273972604</v>
      </c>
      <c r="AE27" s="12">
        <f t="shared" si="10"/>
        <v>25.997260273972604</v>
      </c>
      <c r="AF27" s="12">
        <f t="shared" si="10"/>
        <v>26.997260273972604</v>
      </c>
      <c r="AG27" s="12">
        <f t="shared" si="10"/>
        <v>27.997260273972604</v>
      </c>
      <c r="AH27" s="12">
        <f t="shared" si="10"/>
        <v>28.997260273972604</v>
      </c>
      <c r="AI27" s="12">
        <f t="shared" si="10"/>
        <v>29.997260273972604</v>
      </c>
      <c r="AJ27" s="12">
        <f t="shared" si="10"/>
        <v>30.997260273972604</v>
      </c>
      <c r="AK27" s="12">
        <f t="shared" si="10"/>
        <v>31.997260273972604</v>
      </c>
      <c r="AL27" s="12">
        <f t="shared" si="10"/>
        <v>32.9972602739726</v>
      </c>
      <c r="AM27" s="12">
        <f t="shared" si="10"/>
        <v>33.9972602739726</v>
      </c>
      <c r="AN27" s="12">
        <f t="shared" si="10"/>
        <v>34.9972602739726</v>
      </c>
      <c r="AO27" s="12">
        <f t="shared" si="10"/>
        <v>35.9972602739726</v>
      </c>
      <c r="AP27" s="12">
        <f t="shared" si="10"/>
        <v>36.9972602739726</v>
      </c>
      <c r="AQ27" s="12">
        <f t="shared" si="10"/>
        <v>37.9972602739726</v>
      </c>
      <c r="AR27" s="12">
        <f t="shared" si="10"/>
        <v>38.9972602739726</v>
      </c>
      <c r="AS27" s="12">
        <f t="shared" si="10"/>
        <v>39.9972602739726</v>
      </c>
      <c r="AT27" s="12">
        <f t="shared" si="10"/>
        <v>40.9972602739726</v>
      </c>
      <c r="AU27" s="12">
        <f t="shared" si="10"/>
        <v>41.9972602739726</v>
      </c>
      <c r="AV27" s="12">
        <f t="shared" si="10"/>
        <v>42.9972602739726</v>
      </c>
      <c r="AW27" s="12">
        <f t="shared" si="10"/>
        <v>43.9972602739726</v>
      </c>
    </row>
    <row r="28" spans="2:49">
      <c r="C28" t="s">
        <v>92</v>
      </c>
      <c r="D28" s="8" t="s">
        <v>21</v>
      </c>
      <c r="E28" s="8"/>
      <c r="F28" s="12">
        <f>1/(1+$C$26)^F27</f>
        <v>0.8931344087104065</v>
      </c>
      <c r="G28" s="12">
        <f t="shared" ref="G28:AW28" si="11">1/(1+$C$26)^G27</f>
        <v>0.79744143634857712</v>
      </c>
      <c r="H28" s="12">
        <f t="shared" si="11"/>
        <v>0.71200128245408667</v>
      </c>
      <c r="I28" s="12">
        <f t="shared" si="11"/>
        <v>0.6357154307625773</v>
      </c>
      <c r="J28" s="12">
        <f t="shared" si="11"/>
        <v>0.56760306318087261</v>
      </c>
      <c r="K28" s="12">
        <f t="shared" si="11"/>
        <v>0.5067884492686362</v>
      </c>
      <c r="L28" s="12">
        <f t="shared" si="11"/>
        <v>0.45248968684699653</v>
      </c>
      <c r="M28" s="12">
        <f t="shared" si="11"/>
        <v>0.40400864897053257</v>
      </c>
      <c r="N28" s="12">
        <f t="shared" si="11"/>
        <v>0.36072200800940402</v>
      </c>
      <c r="O28" s="12">
        <f t="shared" si="11"/>
        <v>0.32207322143696787</v>
      </c>
      <c r="P28" s="12">
        <f t="shared" si="11"/>
        <v>0.28756537628300699</v>
      </c>
      <c r="Q28" s="12">
        <f t="shared" si="11"/>
        <v>0.25675480025268482</v>
      </c>
      <c r="R28" s="12">
        <f t="shared" si="11"/>
        <v>0.22924535736846849</v>
      </c>
      <c r="S28" s="12">
        <f t="shared" si="11"/>
        <v>0.20468335479327543</v>
      </c>
      <c r="T28" s="12">
        <f t="shared" si="11"/>
        <v>0.18275299535113879</v>
      </c>
      <c r="U28" s="12">
        <f t="shared" si="11"/>
        <v>0.16317231727780249</v>
      </c>
      <c r="V28" s="12">
        <f t="shared" si="11"/>
        <v>0.14568956899803789</v>
      </c>
      <c r="W28" s="12">
        <f t="shared" si="11"/>
        <v>0.13007997231967669</v>
      </c>
      <c r="X28" s="12">
        <f t="shared" si="11"/>
        <v>0.11614283242828276</v>
      </c>
      <c r="Y28" s="12">
        <f t="shared" si="11"/>
        <v>0.10369895752525246</v>
      </c>
      <c r="Z28" s="12">
        <f t="shared" si="11"/>
        <v>9.2588354933261119E-2</v>
      </c>
      <c r="AA28" s="12">
        <f t="shared" si="11"/>
        <v>8.2668174047554555E-2</v>
      </c>
      <c r="AB28" s="12">
        <f t="shared" si="11"/>
        <v>7.3810869685316569E-2</v>
      </c>
      <c r="AC28" s="12">
        <f t="shared" si="11"/>
        <v>6.5902562219032637E-2</v>
      </c>
      <c r="AD28" s="12">
        <f t="shared" si="11"/>
        <v>5.8841573409850551E-2</v>
      </c>
      <c r="AE28" s="12">
        <f t="shared" si="11"/>
        <v>5.2537119115937982E-2</v>
      </c>
      <c r="AF28" s="12">
        <f t="shared" si="11"/>
        <v>4.6908142067801764E-2</v>
      </c>
      <c r="AG28" s="12">
        <f t="shared" si="11"/>
        <v>4.1882269703394433E-2</v>
      </c>
      <c r="AH28" s="12">
        <f t="shared" si="11"/>
        <v>3.7394883663745028E-2</v>
      </c>
      <c r="AI28" s="12">
        <f t="shared" si="11"/>
        <v>3.3388288985486625E-2</v>
      </c>
      <c r="AJ28" s="12">
        <f t="shared" si="11"/>
        <v>2.9810972308470206E-2</v>
      </c>
      <c r="AK28" s="12">
        <f t="shared" si="11"/>
        <v>2.6616939561134107E-2</v>
      </c>
      <c r="AL28" s="12">
        <f t="shared" si="11"/>
        <v>2.3765124608155462E-2</v>
      </c>
      <c r="AM28" s="12">
        <f t="shared" si="11"/>
        <v>2.121886125728166E-2</v>
      </c>
      <c r="AN28" s="12">
        <f t="shared" si="11"/>
        <v>1.8945411836858626E-2</v>
      </c>
      <c r="AO28" s="12">
        <f t="shared" si="11"/>
        <v>1.6915546282909477E-2</v>
      </c>
      <c r="AP28" s="12">
        <f t="shared" si="11"/>
        <v>1.5103166324026321E-2</v>
      </c>
      <c r="AQ28" s="12">
        <f t="shared" si="11"/>
        <v>1.3484969932166356E-2</v>
      </c>
      <c r="AR28" s="12">
        <f t="shared" si="11"/>
        <v>1.204015172514853E-2</v>
      </c>
      <c r="AS28" s="12">
        <f t="shared" si="11"/>
        <v>1.0750135468882616E-2</v>
      </c>
      <c r="AT28" s="12">
        <f t="shared" si="11"/>
        <v>9.5983352400737625E-3</v>
      </c>
      <c r="AU28" s="12">
        <f t="shared" si="11"/>
        <v>8.5699421786372878E-3</v>
      </c>
      <c r="AV28" s="12">
        <f t="shared" si="11"/>
        <v>7.6517340880690073E-3</v>
      </c>
      <c r="AW28" s="12">
        <f t="shared" si="11"/>
        <v>6.8319054357758981E-3</v>
      </c>
    </row>
    <row r="29" spans="2:49">
      <c r="D29" s="8" t="s">
        <v>20</v>
      </c>
      <c r="E29" s="8"/>
      <c r="F29" s="12">
        <f>F25*F28</f>
        <v>4.5090153941422395</v>
      </c>
      <c r="G29" s="12">
        <f t="shared" ref="G29:AW29" si="12">G25*G28</f>
        <v>4.0772488880776132</v>
      </c>
      <c r="H29" s="12">
        <f t="shared" si="12"/>
        <v>3.889388234786455</v>
      </c>
      <c r="I29" s="12">
        <f t="shared" si="12"/>
        <v>3.6810478244922291</v>
      </c>
      <c r="J29" s="12">
        <f t="shared" si="12"/>
        <v>3.3716235436730808</v>
      </c>
      <c r="K29" s="12">
        <f t="shared" si="12"/>
        <v>3.1758666282956431</v>
      </c>
      <c r="L29" s="12">
        <f t="shared" si="12"/>
        <v>2.973438465721697</v>
      </c>
      <c r="M29" s="12">
        <f t="shared" si="12"/>
        <v>2.7536523480846427</v>
      </c>
      <c r="N29" s="12">
        <f t="shared" si="12"/>
        <v>2.5940887792748608</v>
      </c>
      <c r="O29" s="12">
        <f t="shared" si="12"/>
        <v>2.455789007180087</v>
      </c>
      <c r="P29" s="12">
        <f t="shared" si="12"/>
        <v>2.2496209942449359</v>
      </c>
      <c r="Q29" s="12">
        <f t="shared" si="12"/>
        <v>2.0990534789540085</v>
      </c>
      <c r="R29" s="12">
        <f t="shared" si="12"/>
        <v>2.0067075414984044</v>
      </c>
      <c r="S29" s="12">
        <f t="shared" si="12"/>
        <v>1.8383281542934651</v>
      </c>
      <c r="T29" s="12">
        <f t="shared" si="12"/>
        <v>1.7321454057938954</v>
      </c>
      <c r="U29" s="12">
        <f t="shared" si="12"/>
        <v>1.6401307758936439</v>
      </c>
      <c r="V29" s="12">
        <f t="shared" si="12"/>
        <v>1.4898183539312007</v>
      </c>
      <c r="W29" s="12">
        <f t="shared" si="12"/>
        <v>1.4158961355072399</v>
      </c>
      <c r="X29" s="12">
        <f t="shared" si="12"/>
        <v>1.3407909279481232</v>
      </c>
      <c r="Y29" s="12">
        <f t="shared" si="12"/>
        <v>1.2283829762440994</v>
      </c>
      <c r="Z29" s="12">
        <f t="shared" si="12"/>
        <v>1.1576034273294369</v>
      </c>
      <c r="AA29" s="12">
        <f t="shared" si="12"/>
        <v>1.0883162469275556</v>
      </c>
      <c r="AB29" s="12">
        <f t="shared" si="12"/>
        <v>1.0044001906663111</v>
      </c>
      <c r="AC29" s="12">
        <f t="shared" si="12"/>
        <v>0.94658348261295577</v>
      </c>
      <c r="AD29" s="12">
        <f t="shared" si="12"/>
        <v>0.89649158523325112</v>
      </c>
      <c r="AE29" s="12">
        <f t="shared" si="12"/>
        <v>0.82138101347769976</v>
      </c>
      <c r="AF29" s="12">
        <f t="shared" si="12"/>
        <v>0.76917101689913359</v>
      </c>
      <c r="AG29" s="12">
        <f t="shared" si="12"/>
        <v>0.73321268425979236</v>
      </c>
      <c r="AH29" s="12">
        <f t="shared" si="12"/>
        <v>0.67179824177964909</v>
      </c>
      <c r="AI29" s="12">
        <f t="shared" si="12"/>
        <v>0.63318893136595755</v>
      </c>
      <c r="AJ29" s="12">
        <f t="shared" si="12"/>
        <v>0.59974127476506156</v>
      </c>
      <c r="AK29" s="12">
        <f t="shared" si="12"/>
        <v>0.54641659643507356</v>
      </c>
      <c r="AL29" s="12">
        <f t="shared" si="12"/>
        <v>0.51795666551274744</v>
      </c>
      <c r="AM29" s="12">
        <f t="shared" si="12"/>
        <v>0.49061572630280409</v>
      </c>
      <c r="AN29" s="12">
        <f t="shared" si="12"/>
        <v>0.44953904829126273</v>
      </c>
      <c r="AO29" s="12">
        <f t="shared" si="12"/>
        <v>0.42373432499696201</v>
      </c>
      <c r="AP29" s="12">
        <f t="shared" si="12"/>
        <v>0.39944512424492556</v>
      </c>
      <c r="AQ29" s="12">
        <f t="shared" si="12"/>
        <v>0.36778129593288472</v>
      </c>
      <c r="AR29" s="12">
        <f t="shared" si="12"/>
        <v>0.3466798663170777</v>
      </c>
      <c r="AS29" s="12">
        <f t="shared" si="12"/>
        <v>0.32840121062010119</v>
      </c>
      <c r="AT29" s="12">
        <f t="shared" si="12"/>
        <v>0.30091489211575928</v>
      </c>
      <c r="AU29" s="12">
        <f t="shared" si="12"/>
        <v>0.28244884238624202</v>
      </c>
      <c r="AV29" s="12">
        <f t="shared" si="12"/>
        <v>0.26870829373787014</v>
      </c>
      <c r="AW29" s="12">
        <f t="shared" si="12"/>
        <v>0.16298175633201373</v>
      </c>
    </row>
    <row r="30" spans="2:49">
      <c r="D30" s="19" t="s">
        <v>25</v>
      </c>
      <c r="E30" s="13"/>
      <c r="F30" s="15">
        <f>SUM(F29:AW29)</f>
        <v>64.729545596580095</v>
      </c>
      <c r="G30" s="8"/>
      <c r="H30" s="8"/>
      <c r="I30" s="8"/>
      <c r="J30" s="8"/>
      <c r="K30" s="8"/>
      <c r="L30" s="8"/>
      <c r="M30" s="8"/>
      <c r="N30" s="8"/>
      <c r="O30" s="8"/>
      <c r="Q30" s="8"/>
      <c r="R30" s="8"/>
      <c r="S30" s="8"/>
      <c r="T30" s="8"/>
      <c r="U30" s="8"/>
      <c r="V30" s="8"/>
      <c r="W30" s="8"/>
      <c r="X30" s="8"/>
      <c r="Y30" s="8"/>
      <c r="Z30" s="13"/>
      <c r="AA30" s="8"/>
      <c r="AB30" s="8"/>
      <c r="AC30" s="8"/>
      <c r="AD30" s="8"/>
      <c r="AE30" s="8"/>
      <c r="AF30" s="8"/>
      <c r="AG30" s="8"/>
      <c r="AH30" s="8"/>
      <c r="AI30" s="8"/>
      <c r="AJ30" s="13"/>
      <c r="AK30" s="8"/>
      <c r="AL30" s="8"/>
      <c r="AM30" s="8"/>
      <c r="AN30" s="8"/>
      <c r="AO30" s="8"/>
      <c r="AP30" s="8"/>
      <c r="AQ30" s="8"/>
      <c r="AR30" s="22"/>
      <c r="AS30" s="18"/>
      <c r="AT30" s="18"/>
      <c r="AU30" s="18"/>
      <c r="AV30" s="18"/>
      <c r="AW30" s="18"/>
    </row>
    <row r="31" spans="2:49">
      <c r="F31" s="17">
        <f>F30*10^7</f>
        <v>647295455.965801</v>
      </c>
    </row>
    <row r="32" spans="2:49">
      <c r="E32" s="73" t="s">
        <v>96</v>
      </c>
      <c r="F32" s="72">
        <f>ROUND(F31,-5)</f>
        <v>647300000</v>
      </c>
      <c r="H32" s="2">
        <f>F32/'Rent Shown By Company'!D9</f>
        <v>21234.090014433801</v>
      </c>
      <c r="S32">
        <v>29.53</v>
      </c>
    </row>
    <row r="33" spans="2:20">
      <c r="E33" s="73" t="s">
        <v>97</v>
      </c>
      <c r="F33" s="72">
        <f>F32*0.85</f>
        <v>550205000</v>
      </c>
      <c r="S33">
        <v>543.65</v>
      </c>
    </row>
    <row r="34" spans="2:20">
      <c r="E34" s="73" t="s">
        <v>98</v>
      </c>
      <c r="F34" s="72">
        <f>F32*0.75</f>
        <v>485475000</v>
      </c>
      <c r="S34" s="2">
        <f>F30</f>
        <v>64.729545596580095</v>
      </c>
    </row>
    <row r="35" spans="2:20">
      <c r="S35">
        <f>S33-S34</f>
        <v>478.92045440341985</v>
      </c>
    </row>
    <row r="36" spans="2:20">
      <c r="B36" t="s">
        <v>38</v>
      </c>
      <c r="D36" s="23">
        <f>XNPV(C26,F25:AW25,F5:AW5)</f>
        <v>72.404961479820344</v>
      </c>
      <c r="E36" s="23">
        <f>NPV(C26,E25:AW25,E5:AW5)</f>
        <v>2818.9831087095936</v>
      </c>
    </row>
    <row r="37" spans="2:20">
      <c r="B37" t="s">
        <v>39</v>
      </c>
      <c r="T37" s="20"/>
    </row>
    <row r="38" spans="2:20">
      <c r="B38" t="s">
        <v>40</v>
      </c>
      <c r="F38" s="1"/>
    </row>
    <row r="45" spans="2:20">
      <c r="C45">
        <v>75</v>
      </c>
      <c r="D45">
        <f>+C45/9%</f>
        <v>833.33333333333337</v>
      </c>
    </row>
    <row r="46" spans="2:20">
      <c r="C46">
        <v>834</v>
      </c>
      <c r="D46">
        <f>+C45/C46</f>
        <v>8.9928057553956831E-2</v>
      </c>
      <c r="F46">
        <f>1/(1.06)^61</f>
        <v>2.8598431778979437E-2</v>
      </c>
    </row>
    <row r="47" spans="2:20">
      <c r="C47">
        <f>+C45*(1+0.05)/(0.1425-0.05)</f>
        <v>851.35135135135147</v>
      </c>
      <c r="F47" s="2" t="e">
        <f>F46*#REF!</f>
        <v>#REF!</v>
      </c>
    </row>
    <row r="48" spans="2:20">
      <c r="F48" t="s">
        <v>27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Y16"/>
  <sheetViews>
    <sheetView topLeftCell="B1" workbookViewId="0">
      <selection activeCell="B10" sqref="B10"/>
    </sheetView>
  </sheetViews>
  <sheetFormatPr defaultRowHeight="15"/>
  <cols>
    <col min="5" max="34" width="14.28515625" bestFit="1" customWidth="1"/>
    <col min="35" max="48" width="15.28515625" bestFit="1" customWidth="1"/>
    <col min="49" max="51" width="10.42578125" bestFit="1" customWidth="1"/>
  </cols>
  <sheetData>
    <row r="2" spans="2:51">
      <c r="C2" t="s">
        <v>44</v>
      </c>
      <c r="D2" s="31">
        <v>0</v>
      </c>
      <c r="E2" s="3">
        <f>+'Model(60 Year projection)'!F5</f>
        <v>46112</v>
      </c>
      <c r="F2" s="3">
        <f>+'Model(60 Year projection)'!G5</f>
        <v>46477</v>
      </c>
      <c r="G2" s="3">
        <f>+'Model(60 Year projection)'!H5</f>
        <v>46843</v>
      </c>
      <c r="H2" s="3">
        <f>+'Model(60 Year projection)'!I5</f>
        <v>47208</v>
      </c>
      <c r="I2" s="3">
        <f>+'Model(60 Year projection)'!J5</f>
        <v>47573</v>
      </c>
      <c r="J2" s="3">
        <f>+'Model(60 Year projection)'!K5</f>
        <v>47938</v>
      </c>
      <c r="K2" s="3">
        <f>+'Model(60 Year projection)'!L5</f>
        <v>48304</v>
      </c>
      <c r="L2" s="3">
        <f>+'Model(60 Year projection)'!M5</f>
        <v>48669</v>
      </c>
      <c r="M2" s="3">
        <f>+'Model(60 Year projection)'!N5</f>
        <v>49034</v>
      </c>
      <c r="N2" s="3">
        <f>+'Model(60 Year projection)'!O5</f>
        <v>49399</v>
      </c>
      <c r="O2" s="3">
        <f>+'Model(60 Year projection)'!P5</f>
        <v>49765</v>
      </c>
      <c r="P2" s="3">
        <f>+'Model(60 Year projection)'!Q5</f>
        <v>50130</v>
      </c>
      <c r="Q2" s="3">
        <f>+'Model(60 Year projection)'!R5</f>
        <v>50495</v>
      </c>
      <c r="R2" s="3">
        <f>+'Model(60 Year projection)'!S5</f>
        <v>50860</v>
      </c>
      <c r="S2" s="3">
        <f>+'Model(60 Year projection)'!T5</f>
        <v>51226</v>
      </c>
      <c r="T2" s="3">
        <f>+'Model(60 Year projection)'!U5</f>
        <v>51591</v>
      </c>
      <c r="U2" s="3">
        <f>+'Model(60 Year projection)'!V5</f>
        <v>51956</v>
      </c>
      <c r="V2" s="3">
        <f>+'Model(60 Year projection)'!W5</f>
        <v>52321</v>
      </c>
      <c r="W2" s="3">
        <f>+'Model(60 Year projection)'!X5</f>
        <v>52687</v>
      </c>
      <c r="X2" s="3">
        <f>+'Model(60 Year projection)'!Y5</f>
        <v>53052</v>
      </c>
      <c r="Y2" s="3">
        <f>+'Model(60 Year projection)'!Z5</f>
        <v>53417</v>
      </c>
      <c r="Z2" s="3">
        <f>+'Model(60 Year projection)'!AA5</f>
        <v>53782</v>
      </c>
      <c r="AA2" s="3">
        <f>+'Model(60 Year projection)'!AB5</f>
        <v>54148</v>
      </c>
      <c r="AB2" s="3">
        <f>+'Model(60 Year projection)'!AC5</f>
        <v>54513</v>
      </c>
      <c r="AC2" s="3">
        <f>+'Model(60 Year projection)'!AD5</f>
        <v>54878</v>
      </c>
      <c r="AD2" s="3">
        <f>+'Model(60 Year projection)'!AE5</f>
        <v>55243</v>
      </c>
      <c r="AE2" s="3">
        <f>+'Model(60 Year projection)'!AF5</f>
        <v>55609</v>
      </c>
      <c r="AF2" s="3">
        <f>+'Model(60 Year projection)'!AG5</f>
        <v>55974</v>
      </c>
      <c r="AG2" s="3">
        <f>+'Model(60 Year projection)'!AH5</f>
        <v>56339</v>
      </c>
      <c r="AH2" s="3">
        <f>+'Model(60 Year projection)'!AI5</f>
        <v>56704</v>
      </c>
      <c r="AI2" s="3">
        <f>+'Model(60 Year projection)'!AJ5</f>
        <v>57070</v>
      </c>
      <c r="AJ2" s="3">
        <f>+'Model(60 Year projection)'!AK5</f>
        <v>57435</v>
      </c>
      <c r="AK2" s="3">
        <f>+'Model(60 Year projection)'!AL5</f>
        <v>57800</v>
      </c>
      <c r="AL2" s="3">
        <f>+'Model(60 Year projection)'!AM5</f>
        <v>58165</v>
      </c>
      <c r="AM2" s="3">
        <f>+'Model(60 Year projection)'!AN5</f>
        <v>58531</v>
      </c>
      <c r="AN2" s="3">
        <f>+'Model(60 Year projection)'!AO5</f>
        <v>58896</v>
      </c>
      <c r="AO2" s="3">
        <f>+'Model(60 Year projection)'!AP5</f>
        <v>59261</v>
      </c>
      <c r="AP2" s="3">
        <f>+'Model(60 Year projection)'!AQ5</f>
        <v>59626</v>
      </c>
      <c r="AQ2" s="3">
        <f>+'Model(60 Year projection)'!AR5</f>
        <v>59992</v>
      </c>
      <c r="AR2" s="3">
        <f>+'Model(60 Year projection)'!AS5</f>
        <v>60357</v>
      </c>
      <c r="AS2" s="3">
        <f>+'Model(60 Year projection)'!AT5</f>
        <v>60722</v>
      </c>
      <c r="AT2" s="3">
        <f>+'Model(60 Year projection)'!AU5</f>
        <v>61087</v>
      </c>
      <c r="AU2" s="3">
        <f>+'Model(60 Year projection)'!AV5</f>
        <v>61453</v>
      </c>
      <c r="AV2" s="3">
        <f>+'Model(60 Year projection)'!AW5</f>
        <v>61818</v>
      </c>
      <c r="AW2" s="3"/>
      <c r="AX2" s="3"/>
      <c r="AY2" s="3"/>
    </row>
    <row r="3" spans="2:51">
      <c r="C3" t="s">
        <v>45</v>
      </c>
      <c r="D3" t="s">
        <v>46</v>
      </c>
    </row>
    <row r="4" spans="2:51">
      <c r="C4" t="s">
        <v>47</v>
      </c>
      <c r="E4" s="20">
        <v>9687384</v>
      </c>
      <c r="F4" s="20">
        <v>9687384</v>
      </c>
      <c r="G4" s="20">
        <v>9687384</v>
      </c>
      <c r="H4" s="20">
        <f>+G4*1.15</f>
        <v>11140491.6</v>
      </c>
      <c r="I4" s="20">
        <f>+H4</f>
        <v>11140491.6</v>
      </c>
      <c r="J4" s="20">
        <f>+I4</f>
        <v>11140491.6</v>
      </c>
      <c r="K4" s="20">
        <f>+J4*1.15</f>
        <v>12811565.339999998</v>
      </c>
      <c r="L4" s="20">
        <f>+K4</f>
        <v>12811565.339999998</v>
      </c>
      <c r="M4" s="20">
        <f>+L4</f>
        <v>12811565.339999998</v>
      </c>
      <c r="N4" s="20">
        <f>+M4*1.15</f>
        <v>14733300.140999997</v>
      </c>
      <c r="O4" s="20">
        <f>+N4</f>
        <v>14733300.140999997</v>
      </c>
      <c r="P4" s="20">
        <f>+O4</f>
        <v>14733300.140999997</v>
      </c>
      <c r="Q4" s="20">
        <f>+P4*1.15</f>
        <v>16943295.162149996</v>
      </c>
      <c r="R4" s="20">
        <f>+Q4</f>
        <v>16943295.162149996</v>
      </c>
      <c r="S4" s="20">
        <f>+R4</f>
        <v>16943295.162149996</v>
      </c>
      <c r="T4" s="20">
        <f>+S4*1.15</f>
        <v>19484789.436472494</v>
      </c>
      <c r="U4" s="20">
        <f>+T4</f>
        <v>19484789.436472494</v>
      </c>
      <c r="V4" s="20">
        <f>+U4</f>
        <v>19484789.436472494</v>
      </c>
      <c r="W4" s="20">
        <f>+V4*1.15</f>
        <v>22407507.851943366</v>
      </c>
      <c r="X4" s="20">
        <f>+W4</f>
        <v>22407507.851943366</v>
      </c>
      <c r="Y4" s="20">
        <f>+X4</f>
        <v>22407507.851943366</v>
      </c>
      <c r="Z4" s="20">
        <f>+Y4*1.15</f>
        <v>25768634.029734869</v>
      </c>
      <c r="AA4" s="20">
        <f>+Z4</f>
        <v>25768634.029734869</v>
      </c>
      <c r="AB4" s="20">
        <f>+AA4</f>
        <v>25768634.029734869</v>
      </c>
      <c r="AC4" s="20">
        <f>+AB4*1.15</f>
        <v>29633929.134195097</v>
      </c>
      <c r="AD4" s="20">
        <f>+AC4</f>
        <v>29633929.134195097</v>
      </c>
      <c r="AE4" s="20">
        <f>+AD4</f>
        <v>29633929.134195097</v>
      </c>
      <c r="AF4" s="20">
        <f>+AE4*1.15</f>
        <v>34079018.504324362</v>
      </c>
      <c r="AG4" s="20">
        <f>+AF4</f>
        <v>34079018.504324362</v>
      </c>
      <c r="AH4" s="20">
        <f>+AG4</f>
        <v>34079018.504324362</v>
      </c>
      <c r="AI4" s="20">
        <f>+AH4*1.15</f>
        <v>39190871.279973015</v>
      </c>
      <c r="AJ4" s="20">
        <f>+AI4</f>
        <v>39190871.279973015</v>
      </c>
      <c r="AK4" s="20">
        <f>+AJ4</f>
        <v>39190871.279973015</v>
      </c>
      <c r="AL4" s="20">
        <f>+AK4*1.15</f>
        <v>45069501.971968964</v>
      </c>
      <c r="AM4" s="20">
        <f>+AL4</f>
        <v>45069501.971968964</v>
      </c>
      <c r="AN4" s="20">
        <f>+AM4</f>
        <v>45069501.971968964</v>
      </c>
      <c r="AO4" s="20">
        <f>+AN4*1.15</f>
        <v>51829927.267764308</v>
      </c>
      <c r="AP4" s="20">
        <f>+AO4</f>
        <v>51829927.267764308</v>
      </c>
      <c r="AQ4" s="20">
        <f>+AP4</f>
        <v>51829927.267764308</v>
      </c>
      <c r="AR4" s="20">
        <f>+AQ4*1.15</f>
        <v>59604416.357928947</v>
      </c>
      <c r="AS4" s="20">
        <f>+AR4</f>
        <v>59604416.357928947</v>
      </c>
      <c r="AT4" s="20">
        <f>+AS4</f>
        <v>59604416.357928947</v>
      </c>
      <c r="AU4" s="20">
        <f>+AT4*1.15</f>
        <v>68545078.811618283</v>
      </c>
      <c r="AV4" s="20">
        <f>+AU4</f>
        <v>68545078.811618283</v>
      </c>
      <c r="AW4" s="20"/>
    </row>
    <row r="5" spans="2:51">
      <c r="C5" t="s">
        <v>49</v>
      </c>
      <c r="E5" s="76">
        <v>8013841</v>
      </c>
      <c r="F5" s="76">
        <v>8013841</v>
      </c>
      <c r="G5" s="76">
        <v>8013841</v>
      </c>
      <c r="H5" s="76">
        <v>8013841</v>
      </c>
      <c r="I5" s="76">
        <v>8013841</v>
      </c>
      <c r="J5" s="76">
        <v>8013841</v>
      </c>
      <c r="K5" s="76">
        <v>8013841</v>
      </c>
      <c r="L5" s="76">
        <v>8013841</v>
      </c>
      <c r="M5" s="76">
        <v>8013841</v>
      </c>
      <c r="N5" s="76">
        <v>8013841</v>
      </c>
      <c r="O5" s="76">
        <v>8013841</v>
      </c>
      <c r="P5" s="76">
        <v>8013841</v>
      </c>
      <c r="Q5" s="76">
        <v>8013841</v>
      </c>
      <c r="R5" s="76">
        <v>8013841</v>
      </c>
      <c r="S5" s="76">
        <v>8013841</v>
      </c>
      <c r="T5" s="76">
        <v>8013841</v>
      </c>
      <c r="U5" s="76">
        <v>8013841</v>
      </c>
      <c r="V5" s="76">
        <v>8013841</v>
      </c>
      <c r="W5" s="76">
        <v>8013841</v>
      </c>
      <c r="X5" s="76">
        <v>8013841</v>
      </c>
      <c r="Y5" s="76">
        <v>8013841</v>
      </c>
      <c r="Z5" s="76">
        <v>8013841</v>
      </c>
      <c r="AA5" s="76">
        <v>8013841</v>
      </c>
      <c r="AB5" s="76">
        <v>8013841</v>
      </c>
      <c r="AC5" s="76">
        <v>8013841</v>
      </c>
      <c r="AD5" s="76">
        <v>8013841</v>
      </c>
      <c r="AE5" s="76">
        <v>8013841</v>
      </c>
      <c r="AF5" s="76">
        <v>8013841</v>
      </c>
      <c r="AG5" s="76">
        <v>8013841</v>
      </c>
      <c r="AH5" s="76">
        <v>8013841</v>
      </c>
      <c r="AI5" s="76">
        <v>8013841</v>
      </c>
      <c r="AJ5" s="76">
        <v>8013841</v>
      </c>
      <c r="AK5" s="76">
        <v>8013841</v>
      </c>
      <c r="AL5" s="76">
        <v>8013841</v>
      </c>
      <c r="AM5" s="76">
        <v>8013841</v>
      </c>
      <c r="AN5" s="76">
        <v>8013841</v>
      </c>
      <c r="AO5" s="76">
        <v>8013841</v>
      </c>
      <c r="AP5" s="76">
        <v>8013841</v>
      </c>
      <c r="AQ5" s="76">
        <v>8013841</v>
      </c>
      <c r="AR5" s="76">
        <v>8013841</v>
      </c>
      <c r="AS5" s="76">
        <v>8013841</v>
      </c>
      <c r="AT5" s="76">
        <v>8013841</v>
      </c>
      <c r="AU5" s="76">
        <v>8013841</v>
      </c>
      <c r="AV5" s="76">
        <v>8013841</v>
      </c>
    </row>
    <row r="6" spans="2:51">
      <c r="C6" t="s">
        <v>50</v>
      </c>
      <c r="E6" s="76">
        <v>3616018</v>
      </c>
      <c r="F6" s="76">
        <v>3616018</v>
      </c>
      <c r="G6" s="76">
        <v>3616018</v>
      </c>
      <c r="H6" s="76">
        <v>3616018</v>
      </c>
      <c r="I6" s="76">
        <v>3616018</v>
      </c>
      <c r="J6" s="76">
        <v>3616018</v>
      </c>
      <c r="K6" s="76">
        <v>3616018</v>
      </c>
      <c r="L6" s="76">
        <v>3616018</v>
      </c>
      <c r="M6" s="76">
        <v>3616018</v>
      </c>
      <c r="N6" s="76">
        <v>3616018</v>
      </c>
      <c r="O6" s="76">
        <v>3616018</v>
      </c>
      <c r="P6" s="76">
        <v>3616018</v>
      </c>
      <c r="Q6" s="76">
        <v>3616018</v>
      </c>
      <c r="R6" s="76">
        <v>3616018</v>
      </c>
      <c r="S6" s="76">
        <v>3616018</v>
      </c>
      <c r="T6" s="76">
        <v>3616018</v>
      </c>
      <c r="U6" s="76">
        <v>3616018</v>
      </c>
      <c r="V6" s="76">
        <v>3616018</v>
      </c>
      <c r="W6" s="76">
        <v>3616018</v>
      </c>
      <c r="X6" s="76">
        <v>3616018</v>
      </c>
      <c r="Y6" s="76">
        <v>3616018</v>
      </c>
      <c r="Z6" s="76">
        <v>3616018</v>
      </c>
      <c r="AA6" s="76">
        <v>3616018</v>
      </c>
      <c r="AB6" s="76">
        <v>3616018</v>
      </c>
      <c r="AC6" s="76">
        <v>3616018</v>
      </c>
      <c r="AD6" s="76">
        <v>3616018</v>
      </c>
      <c r="AE6" s="76">
        <v>3616018</v>
      </c>
      <c r="AF6" s="76">
        <v>3616018</v>
      </c>
      <c r="AG6" s="76">
        <v>3616018</v>
      </c>
      <c r="AH6" s="76">
        <v>3616018</v>
      </c>
      <c r="AI6" s="76">
        <v>3616018</v>
      </c>
      <c r="AJ6" s="76">
        <v>3616018</v>
      </c>
      <c r="AK6" s="76">
        <v>3616018</v>
      </c>
      <c r="AL6" s="76">
        <v>3616018</v>
      </c>
      <c r="AM6" s="76">
        <v>3616018</v>
      </c>
      <c r="AN6" s="76">
        <v>3616018</v>
      </c>
      <c r="AO6" s="76">
        <v>3616018</v>
      </c>
      <c r="AP6" s="76">
        <v>3616018</v>
      </c>
      <c r="AQ6" s="76">
        <v>3616018</v>
      </c>
      <c r="AR6" s="76">
        <v>3616018</v>
      </c>
      <c r="AS6" s="76">
        <v>3616018</v>
      </c>
      <c r="AT6" s="76">
        <v>3616018</v>
      </c>
      <c r="AU6" s="76">
        <v>3616018</v>
      </c>
      <c r="AV6" s="76">
        <v>3616018</v>
      </c>
    </row>
    <row r="7" spans="2:51">
      <c r="C7" t="s">
        <v>51</v>
      </c>
      <c r="E7" s="20">
        <v>5180220</v>
      </c>
      <c r="F7" s="20">
        <f>E7*(1+0.15)</f>
        <v>5957253</v>
      </c>
      <c r="G7" s="20">
        <f>+F7</f>
        <v>5957253</v>
      </c>
      <c r="H7" s="20">
        <f t="shared" ref="H7" si="0">+G7</f>
        <v>5957253</v>
      </c>
      <c r="I7" s="20">
        <f>H7*(1+0.15)</f>
        <v>6850840.9499999993</v>
      </c>
      <c r="J7" s="20">
        <f>+I7</f>
        <v>6850840.9499999993</v>
      </c>
      <c r="K7" s="20">
        <f t="shared" ref="K7" si="1">+J7</f>
        <v>6850840.9499999993</v>
      </c>
      <c r="L7" s="20">
        <f>K7*(1+0.15)</f>
        <v>7878467.0924999984</v>
      </c>
      <c r="M7" s="20">
        <f>+L7</f>
        <v>7878467.0924999984</v>
      </c>
      <c r="N7" s="20">
        <f t="shared" ref="N7" si="2">+M7</f>
        <v>7878467.0924999984</v>
      </c>
      <c r="O7" s="20">
        <f>N7*(1+0.15)</f>
        <v>9060237.1563749965</v>
      </c>
      <c r="P7" s="20">
        <f>+O7</f>
        <v>9060237.1563749965</v>
      </c>
      <c r="Q7" s="20">
        <f t="shared" ref="Q7" si="3">+P7</f>
        <v>9060237.1563749965</v>
      </c>
      <c r="R7" s="20">
        <f>Q7*(1+0.15)</f>
        <v>10419272.729831245</v>
      </c>
      <c r="S7" s="20">
        <f>+R7</f>
        <v>10419272.729831245</v>
      </c>
      <c r="T7" s="20">
        <f t="shared" ref="T7" si="4">+S7</f>
        <v>10419272.729831245</v>
      </c>
      <c r="U7" s="20">
        <f>T7*(1+0.15)</f>
        <v>11982163.639305931</v>
      </c>
      <c r="V7" s="20">
        <f>+U7</f>
        <v>11982163.639305931</v>
      </c>
      <c r="W7" s="20">
        <f t="shared" ref="W7" si="5">+V7</f>
        <v>11982163.639305931</v>
      </c>
      <c r="X7" s="20">
        <f>W7*(1+0.15)</f>
        <v>13779488.18520182</v>
      </c>
      <c r="Y7" s="20">
        <f>+X7</f>
        <v>13779488.18520182</v>
      </c>
      <c r="Z7" s="20">
        <f t="shared" ref="Z7" si="6">+Y7</f>
        <v>13779488.18520182</v>
      </c>
      <c r="AA7" s="20">
        <f>Z7*(1+0.15)</f>
        <v>15846411.412982091</v>
      </c>
      <c r="AB7" s="20">
        <f>+AA7</f>
        <v>15846411.412982091</v>
      </c>
      <c r="AC7" s="20">
        <f t="shared" ref="AC7" si="7">+AB7</f>
        <v>15846411.412982091</v>
      </c>
      <c r="AD7" s="20">
        <f>AC7*(1+0.15)</f>
        <v>18223373.124929402</v>
      </c>
      <c r="AE7" s="20">
        <f>+AD7</f>
        <v>18223373.124929402</v>
      </c>
      <c r="AF7" s="20">
        <f t="shared" ref="AF7" si="8">+AE7</f>
        <v>18223373.124929402</v>
      </c>
      <c r="AG7" s="20">
        <f>AF7*(1+0.15)</f>
        <v>20956879.093668811</v>
      </c>
      <c r="AH7" s="20">
        <f>+AG7</f>
        <v>20956879.093668811</v>
      </c>
      <c r="AI7" s="20">
        <f t="shared" ref="AI7" si="9">+AH7</f>
        <v>20956879.093668811</v>
      </c>
      <c r="AJ7" s="20">
        <f>AI7*(1+0.15)</f>
        <v>24100410.957719132</v>
      </c>
      <c r="AK7" s="20">
        <f>+AJ7</f>
        <v>24100410.957719132</v>
      </c>
      <c r="AL7" s="20">
        <f t="shared" ref="AL7" si="10">+AK7</f>
        <v>24100410.957719132</v>
      </c>
      <c r="AM7" s="20">
        <f>AL7*(1+0.15)</f>
        <v>27715472.601376999</v>
      </c>
      <c r="AN7" s="20">
        <f>+AM7</f>
        <v>27715472.601376999</v>
      </c>
      <c r="AO7" s="20">
        <f t="shared" ref="AO7" si="11">+AN7</f>
        <v>27715472.601376999</v>
      </c>
      <c r="AP7" s="20">
        <f>AO7*(1+0.15)</f>
        <v>31872793.491583545</v>
      </c>
      <c r="AQ7" s="20">
        <f>+AP7</f>
        <v>31872793.491583545</v>
      </c>
      <c r="AR7" s="20">
        <f t="shared" ref="AR7" si="12">+AQ7</f>
        <v>31872793.491583545</v>
      </c>
      <c r="AS7" s="20">
        <f>AR7*(1+0.15)</f>
        <v>36653712.515321076</v>
      </c>
      <c r="AT7" s="20">
        <f>+AS7</f>
        <v>36653712.515321076</v>
      </c>
      <c r="AU7" s="20">
        <f t="shared" ref="AU7" si="13">+AT7</f>
        <v>36653712.515321076</v>
      </c>
      <c r="AV7" s="20">
        <f>AU7*(1+0.15)</f>
        <v>42151769.392619237</v>
      </c>
      <c r="AW7" s="20"/>
      <c r="AX7" s="20"/>
    </row>
    <row r="8" spans="2:51">
      <c r="C8" t="s">
        <v>101</v>
      </c>
      <c r="E8" s="79">
        <f>862420*6</f>
        <v>5174520</v>
      </c>
      <c r="F8" s="79">
        <f>862420*6</f>
        <v>5174520</v>
      </c>
      <c r="G8" s="79">
        <f>862420*6</f>
        <v>5174520</v>
      </c>
      <c r="H8" s="20">
        <f>+G8*1.15</f>
        <v>5950698</v>
      </c>
      <c r="I8" s="20">
        <f>+H8</f>
        <v>5950698</v>
      </c>
      <c r="J8" s="20">
        <f>+I8</f>
        <v>5950698</v>
      </c>
      <c r="K8" s="20">
        <f>+J8*1.15</f>
        <v>6843302.6999999993</v>
      </c>
      <c r="L8" s="20">
        <f>+K8</f>
        <v>6843302.6999999993</v>
      </c>
      <c r="M8" s="20">
        <f>+L8</f>
        <v>6843302.6999999993</v>
      </c>
      <c r="N8" s="20">
        <f>+M8*1.15</f>
        <v>7869798.1049999986</v>
      </c>
      <c r="O8" s="20">
        <f>+N8</f>
        <v>7869798.1049999986</v>
      </c>
      <c r="P8" s="20">
        <f>+O8</f>
        <v>7869798.1049999986</v>
      </c>
      <c r="Q8" s="20">
        <f>+P8*1.15</f>
        <v>9050267.8207499981</v>
      </c>
      <c r="R8" s="20">
        <f>+Q8</f>
        <v>9050267.8207499981</v>
      </c>
      <c r="S8" s="20">
        <f>+R8</f>
        <v>9050267.8207499981</v>
      </c>
      <c r="T8" s="20">
        <f>+S8*1.15</f>
        <v>10407807.993862497</v>
      </c>
      <c r="U8" s="20">
        <f>+T8</f>
        <v>10407807.993862497</v>
      </c>
      <c r="V8" s="20">
        <f>+U8</f>
        <v>10407807.993862497</v>
      </c>
      <c r="W8" s="20">
        <f>+V8*1.15</f>
        <v>11968979.192941871</v>
      </c>
      <c r="X8" s="20">
        <f>+W8</f>
        <v>11968979.192941871</v>
      </c>
      <c r="Y8" s="20">
        <f>+X8</f>
        <v>11968979.192941871</v>
      </c>
      <c r="Z8" s="20">
        <f>+Y8*1.15</f>
        <v>13764326.071883149</v>
      </c>
      <c r="AA8" s="20">
        <f>+Z8</f>
        <v>13764326.071883149</v>
      </c>
      <c r="AB8" s="20">
        <f>+AA8</f>
        <v>13764326.071883149</v>
      </c>
      <c r="AC8" s="20">
        <f>+AB8*1.15</f>
        <v>15828974.982665621</v>
      </c>
      <c r="AD8" s="20">
        <f>+AC8</f>
        <v>15828974.982665621</v>
      </c>
      <c r="AE8" s="20">
        <f>+AD8</f>
        <v>15828974.982665621</v>
      </c>
      <c r="AF8" s="20">
        <f>+AE8*1.15</f>
        <v>18203321.230065461</v>
      </c>
      <c r="AG8" s="20">
        <f>+AF8</f>
        <v>18203321.230065461</v>
      </c>
      <c r="AH8" s="20">
        <f>+AG8</f>
        <v>18203321.230065461</v>
      </c>
      <c r="AI8" s="20">
        <f>+AH8*1.15</f>
        <v>20933819.414575279</v>
      </c>
      <c r="AJ8" s="20">
        <f>+AI8</f>
        <v>20933819.414575279</v>
      </c>
      <c r="AK8" s="20">
        <f>+AJ8</f>
        <v>20933819.414575279</v>
      </c>
      <c r="AL8" s="20">
        <f>+AK8*1.15</f>
        <v>24073892.32676157</v>
      </c>
      <c r="AM8" s="20">
        <f>+AL8</f>
        <v>24073892.32676157</v>
      </c>
      <c r="AN8" s="20">
        <f>+AM8</f>
        <v>24073892.32676157</v>
      </c>
      <c r="AO8" s="20">
        <f>+AN8*1.15</f>
        <v>27684976.175775804</v>
      </c>
      <c r="AP8" s="20">
        <f>+AO8</f>
        <v>27684976.175775804</v>
      </c>
      <c r="AQ8" s="20">
        <f>+AP8</f>
        <v>27684976.175775804</v>
      </c>
      <c r="AR8" s="20">
        <f>+AQ8*1.15</f>
        <v>31837722.60214217</v>
      </c>
      <c r="AS8" s="20">
        <f>+AR8</f>
        <v>31837722.60214217</v>
      </c>
      <c r="AT8" s="20">
        <f>+AS8</f>
        <v>31837722.60214217</v>
      </c>
      <c r="AU8" s="20">
        <f>+AT8*1.15</f>
        <v>36613380.992463492</v>
      </c>
      <c r="AV8" s="20">
        <f>+AU8</f>
        <v>36613380.992463492</v>
      </c>
      <c r="AW8" s="20"/>
      <c r="AX8" s="20"/>
    </row>
    <row r="9" spans="2:51">
      <c r="C9" t="s">
        <v>0</v>
      </c>
      <c r="E9" s="2">
        <f>SUM(E4:E8)</f>
        <v>31671983</v>
      </c>
      <c r="F9" s="2">
        <f t="shared" ref="F9:AV9" si="14">SUM(F4:F8)</f>
        <v>32449016</v>
      </c>
      <c r="G9" s="2">
        <f t="shared" si="14"/>
        <v>32449016</v>
      </c>
      <c r="H9" s="2">
        <f t="shared" si="14"/>
        <v>34678301.600000001</v>
      </c>
      <c r="I9" s="2">
        <f t="shared" si="14"/>
        <v>35571889.549999997</v>
      </c>
      <c r="J9" s="2">
        <f t="shared" si="14"/>
        <v>35571889.549999997</v>
      </c>
      <c r="K9" s="2">
        <f t="shared" si="14"/>
        <v>38135567.989999995</v>
      </c>
      <c r="L9" s="2">
        <f t="shared" si="14"/>
        <v>39163194.132499993</v>
      </c>
      <c r="M9" s="2">
        <f t="shared" si="14"/>
        <v>39163194.132499993</v>
      </c>
      <c r="N9" s="2">
        <f t="shared" si="14"/>
        <v>42111424.338499993</v>
      </c>
      <c r="O9" s="2">
        <f t="shared" si="14"/>
        <v>43293194.40237499</v>
      </c>
      <c r="P9" s="2">
        <f t="shared" si="14"/>
        <v>43293194.40237499</v>
      </c>
      <c r="Q9" s="2">
        <f t="shared" si="14"/>
        <v>46683659.139274992</v>
      </c>
      <c r="R9" s="2">
        <f t="shared" si="14"/>
        <v>48042694.712731242</v>
      </c>
      <c r="S9" s="2">
        <f t="shared" si="14"/>
        <v>48042694.712731242</v>
      </c>
      <c r="T9" s="2">
        <f t="shared" si="14"/>
        <v>51941729.160166234</v>
      </c>
      <c r="U9" s="2">
        <f t="shared" si="14"/>
        <v>53504620.06964092</v>
      </c>
      <c r="V9" s="2">
        <f t="shared" si="14"/>
        <v>53504620.06964092</v>
      </c>
      <c r="W9" s="2">
        <f t="shared" si="14"/>
        <v>57988509.684191167</v>
      </c>
      <c r="X9" s="2">
        <f t="shared" si="14"/>
        <v>59785834.230087057</v>
      </c>
      <c r="Y9" s="2">
        <f t="shared" si="14"/>
        <v>59785834.230087057</v>
      </c>
      <c r="Z9" s="2">
        <f t="shared" si="14"/>
        <v>64942307.286819838</v>
      </c>
      <c r="AA9" s="2">
        <f t="shared" si="14"/>
        <v>67009230.514600106</v>
      </c>
      <c r="AB9" s="2">
        <f t="shared" si="14"/>
        <v>67009230.514600106</v>
      </c>
      <c r="AC9" s="2">
        <f t="shared" si="14"/>
        <v>72939174.529842809</v>
      </c>
      <c r="AD9" s="2">
        <f t="shared" si="14"/>
        <v>75316136.241790116</v>
      </c>
      <c r="AE9" s="2">
        <f t="shared" si="14"/>
        <v>75316136.241790116</v>
      </c>
      <c r="AF9" s="2">
        <f t="shared" si="14"/>
        <v>82135571.859319225</v>
      </c>
      <c r="AG9" s="2">
        <f t="shared" si="14"/>
        <v>84869077.82805863</v>
      </c>
      <c r="AH9" s="2">
        <f t="shared" si="14"/>
        <v>84869077.82805863</v>
      </c>
      <c r="AI9" s="2">
        <f t="shared" si="14"/>
        <v>92711428.788217098</v>
      </c>
      <c r="AJ9" s="2">
        <f t="shared" si="14"/>
        <v>95854960.652267426</v>
      </c>
      <c r="AK9" s="2">
        <f t="shared" si="14"/>
        <v>95854960.652267426</v>
      </c>
      <c r="AL9" s="2">
        <f t="shared" si="14"/>
        <v>104873664.25644967</v>
      </c>
      <c r="AM9" s="2">
        <f t="shared" si="14"/>
        <v>108488725.90010753</v>
      </c>
      <c r="AN9" s="2">
        <f t="shared" si="14"/>
        <v>108488725.90010753</v>
      </c>
      <c r="AO9" s="2">
        <f t="shared" si="14"/>
        <v>118860235.04491711</v>
      </c>
      <c r="AP9" s="2">
        <f t="shared" si="14"/>
        <v>123017555.93512365</v>
      </c>
      <c r="AQ9" s="2">
        <f t="shared" si="14"/>
        <v>123017555.93512365</v>
      </c>
      <c r="AR9" s="2">
        <f t="shared" si="14"/>
        <v>134944791.45165467</v>
      </c>
      <c r="AS9" s="2">
        <f t="shared" si="14"/>
        <v>139725710.47539219</v>
      </c>
      <c r="AT9" s="2">
        <f t="shared" si="14"/>
        <v>139725710.47539219</v>
      </c>
      <c r="AU9" s="2">
        <f t="shared" si="14"/>
        <v>153442031.31940284</v>
      </c>
      <c r="AV9" s="2">
        <f t="shared" si="14"/>
        <v>158940088.19670102</v>
      </c>
    </row>
    <row r="10" spans="2:51">
      <c r="B10" s="30">
        <v>7.0000000000000007E-2</v>
      </c>
      <c r="C10" t="s">
        <v>48</v>
      </c>
      <c r="E10" s="33">
        <f>+E9*$B$10</f>
        <v>2217038.81</v>
      </c>
      <c r="F10" s="33">
        <f t="shared" ref="F10:AV10" si="15">+F9*$B$10</f>
        <v>2271431.12</v>
      </c>
      <c r="G10" s="33">
        <f t="shared" si="15"/>
        <v>2271431.12</v>
      </c>
      <c r="H10" s="33">
        <f t="shared" si="15"/>
        <v>2427481.1120000002</v>
      </c>
      <c r="I10" s="33">
        <f t="shared" si="15"/>
        <v>2490032.2685000002</v>
      </c>
      <c r="J10" s="33">
        <f t="shared" si="15"/>
        <v>2490032.2685000002</v>
      </c>
      <c r="K10" s="33">
        <f t="shared" si="15"/>
        <v>2669489.7593</v>
      </c>
      <c r="L10" s="33">
        <f t="shared" si="15"/>
        <v>2741423.5892749997</v>
      </c>
      <c r="M10" s="33">
        <f t="shared" si="15"/>
        <v>2741423.5892749997</v>
      </c>
      <c r="N10" s="33">
        <f t="shared" si="15"/>
        <v>2947799.7036949997</v>
      </c>
      <c r="O10" s="33">
        <f t="shared" si="15"/>
        <v>3030523.6081662495</v>
      </c>
      <c r="P10" s="33">
        <f t="shared" si="15"/>
        <v>3030523.6081662495</v>
      </c>
      <c r="Q10" s="33">
        <f t="shared" si="15"/>
        <v>3267856.1397492499</v>
      </c>
      <c r="R10" s="33">
        <f t="shared" si="15"/>
        <v>3362988.6298911874</v>
      </c>
      <c r="S10" s="33">
        <f t="shared" si="15"/>
        <v>3362988.6298911874</v>
      </c>
      <c r="T10" s="33">
        <f t="shared" si="15"/>
        <v>3635921.0412116367</v>
      </c>
      <c r="U10" s="33">
        <f t="shared" si="15"/>
        <v>3745323.4048748645</v>
      </c>
      <c r="V10" s="33">
        <f t="shared" si="15"/>
        <v>3745323.4048748645</v>
      </c>
      <c r="W10" s="33">
        <f t="shared" si="15"/>
        <v>4059195.677893382</v>
      </c>
      <c r="X10" s="33">
        <f t="shared" si="15"/>
        <v>4185008.3961060946</v>
      </c>
      <c r="Y10" s="33">
        <f t="shared" si="15"/>
        <v>4185008.3961060946</v>
      </c>
      <c r="Z10" s="33">
        <f t="shared" si="15"/>
        <v>4545961.510077389</v>
      </c>
      <c r="AA10" s="33">
        <f t="shared" si="15"/>
        <v>4690646.136022008</v>
      </c>
      <c r="AB10" s="33">
        <f t="shared" si="15"/>
        <v>4690646.136022008</v>
      </c>
      <c r="AC10" s="33">
        <f t="shared" si="15"/>
        <v>5105742.2170889974</v>
      </c>
      <c r="AD10" s="33">
        <f t="shared" si="15"/>
        <v>5272129.5369253084</v>
      </c>
      <c r="AE10" s="33">
        <f t="shared" si="15"/>
        <v>5272129.5369253084</v>
      </c>
      <c r="AF10" s="33">
        <f t="shared" si="15"/>
        <v>5749490.030152346</v>
      </c>
      <c r="AG10" s="33">
        <f t="shared" si="15"/>
        <v>5940835.4479641048</v>
      </c>
      <c r="AH10" s="33">
        <f t="shared" si="15"/>
        <v>5940835.4479641048</v>
      </c>
      <c r="AI10" s="33">
        <f t="shared" si="15"/>
        <v>6489800.0151751973</v>
      </c>
      <c r="AJ10" s="33">
        <f t="shared" si="15"/>
        <v>6709847.2456587208</v>
      </c>
      <c r="AK10" s="33">
        <f t="shared" si="15"/>
        <v>6709847.2456587208</v>
      </c>
      <c r="AL10" s="33">
        <f t="shared" si="15"/>
        <v>7341156.4979514778</v>
      </c>
      <c r="AM10" s="33">
        <f t="shared" si="15"/>
        <v>7594210.813007528</v>
      </c>
      <c r="AN10" s="33">
        <f t="shared" si="15"/>
        <v>7594210.813007528</v>
      </c>
      <c r="AO10" s="33">
        <f t="shared" si="15"/>
        <v>8320216.4531441983</v>
      </c>
      <c r="AP10" s="33">
        <f t="shared" si="15"/>
        <v>8611228.9154586568</v>
      </c>
      <c r="AQ10" s="33">
        <f t="shared" si="15"/>
        <v>8611228.9154586568</v>
      </c>
      <c r="AR10" s="33">
        <f t="shared" si="15"/>
        <v>9446135.4016158283</v>
      </c>
      <c r="AS10" s="33">
        <f t="shared" si="15"/>
        <v>9780799.733277455</v>
      </c>
      <c r="AT10" s="33">
        <f t="shared" si="15"/>
        <v>9780799.733277455</v>
      </c>
      <c r="AU10" s="33">
        <f t="shared" si="15"/>
        <v>10740942.1923582</v>
      </c>
      <c r="AV10" s="33">
        <f t="shared" si="15"/>
        <v>11125806.173769072</v>
      </c>
    </row>
    <row r="11" spans="2:51">
      <c r="N11" s="2">
        <f>N9/10^7</f>
        <v>4.2111424338499992</v>
      </c>
      <c r="AV11" s="2">
        <f>AV10/10^7</f>
        <v>1.1125806173769073</v>
      </c>
    </row>
    <row r="12" spans="2:51">
      <c r="C12" t="s">
        <v>47</v>
      </c>
    </row>
    <row r="13" spans="2:51">
      <c r="C13" t="s">
        <v>49</v>
      </c>
    </row>
    <row r="14" spans="2:51">
      <c r="C14" t="s">
        <v>50</v>
      </c>
    </row>
    <row r="15" spans="2:51">
      <c r="C15" t="s">
        <v>51</v>
      </c>
    </row>
    <row r="16" spans="2:51">
      <c r="C16" t="s">
        <v>26</v>
      </c>
      <c r="E16" s="44">
        <f>862420*6</f>
        <v>5174520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W17"/>
  <sheetViews>
    <sheetView workbookViewId="0">
      <selection activeCell="G6" sqref="G6"/>
    </sheetView>
  </sheetViews>
  <sheetFormatPr defaultRowHeight="15"/>
  <cols>
    <col min="2" max="2" width="10" bestFit="1" customWidth="1"/>
    <col min="3" max="3" width="7.85546875" bestFit="1" customWidth="1"/>
    <col min="4" max="33" width="14.28515625" bestFit="1" customWidth="1"/>
    <col min="34" max="47" width="15.28515625" bestFit="1" customWidth="1"/>
  </cols>
  <sheetData>
    <row r="3" spans="1:49">
      <c r="B3" t="s">
        <v>44</v>
      </c>
      <c r="C3" s="31">
        <v>0</v>
      </c>
      <c r="D3" s="3">
        <f>+'Model(60 Year projection)'!F5</f>
        <v>46112</v>
      </c>
      <c r="E3" s="3">
        <f>+'Model(60 Year projection)'!G5</f>
        <v>46477</v>
      </c>
      <c r="F3" s="3">
        <f>+'Model(60 Year projection)'!H5</f>
        <v>46843</v>
      </c>
      <c r="G3" s="3">
        <f>+'Model(60 Year projection)'!I5</f>
        <v>47208</v>
      </c>
      <c r="H3" s="3">
        <f>+'Model(60 Year projection)'!J5</f>
        <v>47573</v>
      </c>
      <c r="I3" s="3">
        <f>+'Model(60 Year projection)'!K5</f>
        <v>47938</v>
      </c>
      <c r="J3" s="3">
        <f>+'Model(60 Year projection)'!L5</f>
        <v>48304</v>
      </c>
      <c r="K3" s="3">
        <f>+'Model(60 Year projection)'!M5</f>
        <v>48669</v>
      </c>
      <c r="L3" s="3">
        <f>+'Model(60 Year projection)'!N5</f>
        <v>49034</v>
      </c>
      <c r="M3" s="3">
        <f>+'Model(60 Year projection)'!O5</f>
        <v>49399</v>
      </c>
      <c r="N3" s="3">
        <f>+'Model(60 Year projection)'!P5</f>
        <v>49765</v>
      </c>
      <c r="O3" s="3">
        <f>+'Model(60 Year projection)'!Q5</f>
        <v>50130</v>
      </c>
      <c r="P3" s="3">
        <f>+'Model(60 Year projection)'!R5</f>
        <v>50495</v>
      </c>
      <c r="Q3" s="3">
        <f>+'Model(60 Year projection)'!S5</f>
        <v>50860</v>
      </c>
      <c r="R3" s="3">
        <f>+'Model(60 Year projection)'!T5</f>
        <v>51226</v>
      </c>
      <c r="S3" s="3">
        <f>+'Model(60 Year projection)'!U5</f>
        <v>51591</v>
      </c>
      <c r="T3" s="3">
        <f>+'Model(60 Year projection)'!V5</f>
        <v>51956</v>
      </c>
      <c r="U3" s="3">
        <f>+'Model(60 Year projection)'!W5</f>
        <v>52321</v>
      </c>
      <c r="V3" s="3">
        <f>+'Model(60 Year projection)'!X5</f>
        <v>52687</v>
      </c>
      <c r="W3" s="3">
        <f>+'Model(60 Year projection)'!Y5</f>
        <v>53052</v>
      </c>
      <c r="X3" s="3">
        <f>+'Model(60 Year projection)'!Z5</f>
        <v>53417</v>
      </c>
      <c r="Y3" s="3">
        <f>+'Model(60 Year projection)'!AA5</f>
        <v>53782</v>
      </c>
      <c r="Z3" s="3">
        <f>+'Model(60 Year projection)'!AB5</f>
        <v>54148</v>
      </c>
      <c r="AA3" s="3">
        <f>+'Model(60 Year projection)'!AC5</f>
        <v>54513</v>
      </c>
      <c r="AB3" s="3">
        <f>+'Model(60 Year projection)'!AD5</f>
        <v>54878</v>
      </c>
      <c r="AC3" s="3">
        <f>+'Model(60 Year projection)'!AE5</f>
        <v>55243</v>
      </c>
      <c r="AD3" s="3">
        <f>+'Model(60 Year projection)'!AF5</f>
        <v>55609</v>
      </c>
      <c r="AE3" s="3">
        <f>+'Model(60 Year projection)'!AG5</f>
        <v>55974</v>
      </c>
      <c r="AF3" s="3">
        <f>+'Model(60 Year projection)'!AH5</f>
        <v>56339</v>
      </c>
      <c r="AG3" s="3">
        <f>+'Model(60 Year projection)'!AI5</f>
        <v>56704</v>
      </c>
      <c r="AH3" s="3">
        <f>+'Model(60 Year projection)'!AJ5</f>
        <v>57070</v>
      </c>
      <c r="AI3" s="3">
        <f>+'Model(60 Year projection)'!AK5</f>
        <v>57435</v>
      </c>
      <c r="AJ3" s="3">
        <f>+'Model(60 Year projection)'!AL5</f>
        <v>57800</v>
      </c>
      <c r="AK3" s="3">
        <f>+'Model(60 Year projection)'!AM5</f>
        <v>58165</v>
      </c>
      <c r="AL3" s="3">
        <f>+'Model(60 Year projection)'!AN5</f>
        <v>58531</v>
      </c>
      <c r="AM3" s="3">
        <f>+'Model(60 Year projection)'!AO5</f>
        <v>58896</v>
      </c>
      <c r="AN3" s="3">
        <f>+'Model(60 Year projection)'!AP5</f>
        <v>59261</v>
      </c>
      <c r="AO3" s="3">
        <f>+'Model(60 Year projection)'!AQ5</f>
        <v>59626</v>
      </c>
      <c r="AP3" s="3">
        <f>+'Model(60 Year projection)'!AR5</f>
        <v>59992</v>
      </c>
      <c r="AQ3" s="3">
        <f>+'Model(60 Year projection)'!AS5</f>
        <v>60357</v>
      </c>
      <c r="AR3" s="3">
        <f>+'Model(60 Year projection)'!AT5</f>
        <v>60722</v>
      </c>
      <c r="AS3" s="3">
        <f>+'Model(60 Year projection)'!AU5</f>
        <v>61087</v>
      </c>
      <c r="AT3" s="3">
        <f>+'Model(60 Year projection)'!AV5</f>
        <v>61453</v>
      </c>
      <c r="AU3" s="3">
        <f>+'Model(60 Year projection)'!AW5</f>
        <v>61818</v>
      </c>
    </row>
    <row r="4" spans="1:49">
      <c r="B4" t="s">
        <v>45</v>
      </c>
      <c r="C4" t="s">
        <v>46</v>
      </c>
    </row>
    <row r="5" spans="1:49">
      <c r="B5" t="s">
        <v>47</v>
      </c>
      <c r="D5" s="20">
        <v>1468127</v>
      </c>
      <c r="E5" s="20">
        <v>1468127</v>
      </c>
      <c r="F5" s="20">
        <v>1468127</v>
      </c>
      <c r="G5" s="20">
        <f>+F5*1.15</f>
        <v>1688346.0499999998</v>
      </c>
      <c r="H5" s="20">
        <f>+G5</f>
        <v>1688346.0499999998</v>
      </c>
      <c r="I5" s="20">
        <f>+H5</f>
        <v>1688346.0499999998</v>
      </c>
      <c r="J5" s="20">
        <f>+I5*1.15</f>
        <v>1941597.9574999996</v>
      </c>
      <c r="K5" s="20">
        <f>+J5</f>
        <v>1941597.9574999996</v>
      </c>
      <c r="L5" s="20">
        <f>+K5</f>
        <v>1941597.9574999996</v>
      </c>
      <c r="M5" s="20">
        <f>+L5*1.15</f>
        <v>2232837.6511249994</v>
      </c>
      <c r="N5" s="20">
        <f>+M5</f>
        <v>2232837.6511249994</v>
      </c>
      <c r="O5" s="20">
        <f>+N5</f>
        <v>2232837.6511249994</v>
      </c>
      <c r="P5" s="20">
        <f>+O5*1.15</f>
        <v>2567763.298793749</v>
      </c>
      <c r="Q5" s="20">
        <f>+P5</f>
        <v>2567763.298793749</v>
      </c>
      <c r="R5" s="20">
        <f>+Q5</f>
        <v>2567763.298793749</v>
      </c>
      <c r="S5" s="20">
        <f>+R5*1.15</f>
        <v>2952927.7936128112</v>
      </c>
      <c r="T5" s="20">
        <f>+S5</f>
        <v>2952927.7936128112</v>
      </c>
      <c r="U5" s="20">
        <f>+T5</f>
        <v>2952927.7936128112</v>
      </c>
      <c r="V5" s="20">
        <f>+U5*1.15</f>
        <v>3395866.9626547326</v>
      </c>
      <c r="W5" s="20">
        <f>+V5</f>
        <v>3395866.9626547326</v>
      </c>
      <c r="X5" s="20">
        <f>+W5</f>
        <v>3395866.9626547326</v>
      </c>
      <c r="Y5" s="20">
        <f>+X5*1.15</f>
        <v>3905247.0070529422</v>
      </c>
      <c r="Z5" s="20">
        <f>+Y5</f>
        <v>3905247.0070529422</v>
      </c>
      <c r="AA5" s="20">
        <f>+Z5</f>
        <v>3905247.0070529422</v>
      </c>
      <c r="AB5" s="20">
        <f>+AA5*1.15</f>
        <v>4491034.0581108835</v>
      </c>
      <c r="AC5" s="20">
        <f>+AB5</f>
        <v>4491034.0581108835</v>
      </c>
      <c r="AD5" s="20">
        <f>+AC5</f>
        <v>4491034.0581108835</v>
      </c>
      <c r="AE5" s="20">
        <f>+AD5*1.15</f>
        <v>5164689.1668275157</v>
      </c>
      <c r="AF5" s="20">
        <f>+AE5</f>
        <v>5164689.1668275157</v>
      </c>
      <c r="AG5" s="20">
        <f>+AF5</f>
        <v>5164689.1668275157</v>
      </c>
      <c r="AH5" s="20">
        <f>+AG5*1.15</f>
        <v>5939392.5418516425</v>
      </c>
      <c r="AI5" s="20">
        <f>+AH5</f>
        <v>5939392.5418516425</v>
      </c>
      <c r="AJ5" s="20">
        <f>+AI5</f>
        <v>5939392.5418516425</v>
      </c>
      <c r="AK5" s="20">
        <f>+AJ5*1.15</f>
        <v>6830301.4231293881</v>
      </c>
      <c r="AL5" s="20">
        <f>+AK5</f>
        <v>6830301.4231293881</v>
      </c>
      <c r="AM5" s="20">
        <f>+AL5</f>
        <v>6830301.4231293881</v>
      </c>
      <c r="AN5" s="20">
        <f>+AM5*1.15</f>
        <v>7854846.6365987957</v>
      </c>
      <c r="AO5" s="20">
        <f>+AN5</f>
        <v>7854846.6365987957</v>
      </c>
      <c r="AP5" s="20">
        <f>+AO5</f>
        <v>7854846.6365987957</v>
      </c>
      <c r="AQ5" s="20">
        <f>+AP5*1.15</f>
        <v>9033073.6320886146</v>
      </c>
      <c r="AR5" s="20">
        <f>+AQ5</f>
        <v>9033073.6320886146</v>
      </c>
      <c r="AS5" s="20">
        <f>+AR5</f>
        <v>9033073.6320886146</v>
      </c>
      <c r="AT5" s="20">
        <f>+AS5*1.15</f>
        <v>10388034.676901907</v>
      </c>
      <c r="AU5" s="20">
        <f>+AT5</f>
        <v>10388034.676901907</v>
      </c>
    </row>
    <row r="6" spans="1:49">
      <c r="B6" t="s">
        <v>49</v>
      </c>
      <c r="D6" s="20">
        <f>640927.26</f>
        <v>640927.26</v>
      </c>
      <c r="E6" s="20">
        <f t="shared" ref="E6:AU6" si="0">640927.26</f>
        <v>640927.26</v>
      </c>
      <c r="F6" s="20">
        <f t="shared" si="0"/>
        <v>640927.26</v>
      </c>
      <c r="G6" s="20">
        <f t="shared" si="0"/>
        <v>640927.26</v>
      </c>
      <c r="H6" s="20">
        <f t="shared" si="0"/>
        <v>640927.26</v>
      </c>
      <c r="I6" s="20">
        <f t="shared" si="0"/>
        <v>640927.26</v>
      </c>
      <c r="J6" s="20">
        <f t="shared" si="0"/>
        <v>640927.26</v>
      </c>
      <c r="K6" s="20">
        <f t="shared" si="0"/>
        <v>640927.26</v>
      </c>
      <c r="L6" s="20">
        <f t="shared" si="0"/>
        <v>640927.26</v>
      </c>
      <c r="M6" s="20">
        <f t="shared" si="0"/>
        <v>640927.26</v>
      </c>
      <c r="N6" s="20">
        <f t="shared" si="0"/>
        <v>640927.26</v>
      </c>
      <c r="O6" s="20">
        <f t="shared" si="0"/>
        <v>640927.26</v>
      </c>
      <c r="P6" s="20">
        <f t="shared" si="0"/>
        <v>640927.26</v>
      </c>
      <c r="Q6" s="20">
        <f t="shared" si="0"/>
        <v>640927.26</v>
      </c>
      <c r="R6" s="20">
        <f t="shared" si="0"/>
        <v>640927.26</v>
      </c>
      <c r="S6" s="20">
        <f t="shared" si="0"/>
        <v>640927.26</v>
      </c>
      <c r="T6" s="20">
        <f t="shared" si="0"/>
        <v>640927.26</v>
      </c>
      <c r="U6" s="20">
        <f t="shared" si="0"/>
        <v>640927.26</v>
      </c>
      <c r="V6" s="20">
        <f t="shared" si="0"/>
        <v>640927.26</v>
      </c>
      <c r="W6" s="20">
        <f t="shared" si="0"/>
        <v>640927.26</v>
      </c>
      <c r="X6" s="20">
        <f t="shared" si="0"/>
        <v>640927.26</v>
      </c>
      <c r="Y6" s="20">
        <f t="shared" si="0"/>
        <v>640927.26</v>
      </c>
      <c r="Z6" s="20">
        <f t="shared" si="0"/>
        <v>640927.26</v>
      </c>
      <c r="AA6" s="20">
        <f t="shared" si="0"/>
        <v>640927.26</v>
      </c>
      <c r="AB6" s="20">
        <f t="shared" si="0"/>
        <v>640927.26</v>
      </c>
      <c r="AC6" s="20">
        <f t="shared" si="0"/>
        <v>640927.26</v>
      </c>
      <c r="AD6" s="20">
        <f t="shared" si="0"/>
        <v>640927.26</v>
      </c>
      <c r="AE6" s="20">
        <f t="shared" si="0"/>
        <v>640927.26</v>
      </c>
      <c r="AF6" s="20">
        <f t="shared" si="0"/>
        <v>640927.26</v>
      </c>
      <c r="AG6" s="20">
        <f t="shared" si="0"/>
        <v>640927.26</v>
      </c>
      <c r="AH6" s="20">
        <f t="shared" si="0"/>
        <v>640927.26</v>
      </c>
      <c r="AI6" s="20">
        <f t="shared" si="0"/>
        <v>640927.26</v>
      </c>
      <c r="AJ6" s="20">
        <f t="shared" si="0"/>
        <v>640927.26</v>
      </c>
      <c r="AK6" s="20">
        <f t="shared" si="0"/>
        <v>640927.26</v>
      </c>
      <c r="AL6" s="20">
        <f t="shared" si="0"/>
        <v>640927.26</v>
      </c>
      <c r="AM6" s="20">
        <f t="shared" si="0"/>
        <v>640927.26</v>
      </c>
      <c r="AN6" s="20">
        <f t="shared" si="0"/>
        <v>640927.26</v>
      </c>
      <c r="AO6" s="20">
        <f t="shared" si="0"/>
        <v>640927.26</v>
      </c>
      <c r="AP6" s="20">
        <f t="shared" si="0"/>
        <v>640927.26</v>
      </c>
      <c r="AQ6" s="20">
        <f t="shared" si="0"/>
        <v>640927.26</v>
      </c>
      <c r="AR6" s="20">
        <f t="shared" si="0"/>
        <v>640927.26</v>
      </c>
      <c r="AS6" s="20">
        <f t="shared" si="0"/>
        <v>640927.26</v>
      </c>
      <c r="AT6" s="20">
        <f t="shared" si="0"/>
        <v>640927.26</v>
      </c>
      <c r="AU6" s="20">
        <f t="shared" si="0"/>
        <v>640927.26</v>
      </c>
      <c r="AV6" s="20"/>
    </row>
    <row r="7" spans="1:49">
      <c r="B7" t="s">
        <v>50</v>
      </c>
      <c r="D7" s="20">
        <v>237615</v>
      </c>
      <c r="E7" s="20">
        <v>237615</v>
      </c>
      <c r="F7" s="20">
        <v>237615</v>
      </c>
      <c r="G7" s="20">
        <v>237615</v>
      </c>
      <c r="H7" s="20">
        <v>237615</v>
      </c>
      <c r="I7" s="20">
        <v>237615</v>
      </c>
      <c r="J7" s="20">
        <v>237615</v>
      </c>
      <c r="K7" s="20">
        <v>237615</v>
      </c>
      <c r="L7" s="20">
        <v>237615</v>
      </c>
      <c r="M7" s="20">
        <v>237615</v>
      </c>
      <c r="N7" s="20">
        <v>237615</v>
      </c>
      <c r="O7" s="20">
        <v>237615</v>
      </c>
      <c r="P7" s="20">
        <v>237615</v>
      </c>
      <c r="Q7" s="20">
        <v>237615</v>
      </c>
      <c r="R7" s="20">
        <v>237615</v>
      </c>
      <c r="S7" s="20">
        <v>237615</v>
      </c>
      <c r="T7" s="20">
        <v>237615</v>
      </c>
      <c r="U7" s="20">
        <v>237615</v>
      </c>
      <c r="V7" s="20">
        <v>237615</v>
      </c>
      <c r="W7" s="20">
        <v>237615</v>
      </c>
      <c r="X7" s="20">
        <v>237615</v>
      </c>
      <c r="Y7" s="20">
        <v>237615</v>
      </c>
      <c r="Z7" s="20">
        <v>237615</v>
      </c>
      <c r="AA7" s="20">
        <v>237615</v>
      </c>
      <c r="AB7" s="20">
        <v>237615</v>
      </c>
      <c r="AC7" s="20">
        <v>237615</v>
      </c>
      <c r="AD7" s="20">
        <v>237615</v>
      </c>
      <c r="AE7" s="20">
        <v>237615</v>
      </c>
      <c r="AF7" s="20">
        <v>237615</v>
      </c>
      <c r="AG7" s="20">
        <v>237615</v>
      </c>
      <c r="AH7" s="20">
        <v>237615</v>
      </c>
      <c r="AI7" s="20">
        <v>237615</v>
      </c>
      <c r="AJ7" s="20">
        <v>237615</v>
      </c>
      <c r="AK7" s="20">
        <v>237615</v>
      </c>
      <c r="AL7" s="20">
        <v>237615</v>
      </c>
      <c r="AM7" s="20">
        <v>237615</v>
      </c>
      <c r="AN7" s="20">
        <v>237615</v>
      </c>
      <c r="AO7" s="20">
        <v>237615</v>
      </c>
      <c r="AP7" s="20">
        <v>237615</v>
      </c>
      <c r="AQ7" s="20">
        <v>237615</v>
      </c>
      <c r="AR7" s="20">
        <v>237615</v>
      </c>
      <c r="AS7" s="20">
        <v>237615</v>
      </c>
      <c r="AT7" s="20">
        <v>237615</v>
      </c>
      <c r="AU7" s="20">
        <v>237615</v>
      </c>
      <c r="AV7" s="20"/>
    </row>
    <row r="8" spans="1:49">
      <c r="B8" t="s">
        <v>51</v>
      </c>
      <c r="D8" s="20">
        <v>103644</v>
      </c>
      <c r="E8" s="20">
        <f>+D8*1.15</f>
        <v>119190.59999999999</v>
      </c>
      <c r="F8" s="20">
        <f>+E8</f>
        <v>119190.59999999999</v>
      </c>
      <c r="G8" s="20">
        <f>+F8</f>
        <v>119190.59999999999</v>
      </c>
      <c r="H8" s="20">
        <f>+G8*1.15</f>
        <v>137069.18999999997</v>
      </c>
      <c r="I8" s="20">
        <f>+H8</f>
        <v>137069.18999999997</v>
      </c>
      <c r="J8" s="20">
        <f>+I8</f>
        <v>137069.18999999997</v>
      </c>
      <c r="K8" s="20">
        <f>+J8*1.15</f>
        <v>157629.56849999996</v>
      </c>
      <c r="L8" s="20">
        <f>+K8</f>
        <v>157629.56849999996</v>
      </c>
      <c r="M8" s="20">
        <f>+L8</f>
        <v>157629.56849999996</v>
      </c>
      <c r="N8" s="20">
        <f>+M8*1.15</f>
        <v>181274.00377499993</v>
      </c>
      <c r="O8" s="20">
        <f>+N8</f>
        <v>181274.00377499993</v>
      </c>
      <c r="P8" s="20">
        <f>+O8</f>
        <v>181274.00377499993</v>
      </c>
      <c r="Q8" s="20">
        <f>+P8*1.15</f>
        <v>208465.10434124991</v>
      </c>
      <c r="R8" s="20">
        <f>+Q8</f>
        <v>208465.10434124991</v>
      </c>
      <c r="S8" s="20">
        <f>+R8</f>
        <v>208465.10434124991</v>
      </c>
      <c r="T8" s="20">
        <f>+S8*1.15</f>
        <v>239734.86999243739</v>
      </c>
      <c r="U8" s="20">
        <f>+T8</f>
        <v>239734.86999243739</v>
      </c>
      <c r="V8" s="20">
        <f>+U8</f>
        <v>239734.86999243739</v>
      </c>
      <c r="W8" s="20">
        <f>+V8*1.15</f>
        <v>275695.10049130296</v>
      </c>
      <c r="X8" s="20">
        <f>+W8</f>
        <v>275695.10049130296</v>
      </c>
      <c r="Y8" s="20">
        <f>+X8</f>
        <v>275695.10049130296</v>
      </c>
      <c r="Z8" s="20">
        <f>+Y8*1.15</f>
        <v>317049.36556499836</v>
      </c>
      <c r="AA8" s="20">
        <f>+Z8</f>
        <v>317049.36556499836</v>
      </c>
      <c r="AB8" s="20">
        <f>+AA8</f>
        <v>317049.36556499836</v>
      </c>
      <c r="AC8" s="20">
        <f>+AB8*1.15</f>
        <v>364606.77039974806</v>
      </c>
      <c r="AD8" s="20">
        <f>+AC8</f>
        <v>364606.77039974806</v>
      </c>
      <c r="AE8" s="20">
        <f>+AD8</f>
        <v>364606.77039974806</v>
      </c>
      <c r="AF8" s="20">
        <f>+AE8*1.15</f>
        <v>419297.78595971025</v>
      </c>
      <c r="AG8" s="20">
        <f>+AF8</f>
        <v>419297.78595971025</v>
      </c>
      <c r="AH8" s="20">
        <f>+AG8</f>
        <v>419297.78595971025</v>
      </c>
      <c r="AI8" s="20">
        <f>+AH8*1.15</f>
        <v>482192.45385366672</v>
      </c>
      <c r="AJ8" s="20">
        <f>+AI8</f>
        <v>482192.45385366672</v>
      </c>
      <c r="AK8" s="20">
        <f>+AJ8</f>
        <v>482192.45385366672</v>
      </c>
      <c r="AL8" s="20">
        <f>+AK8*1.15</f>
        <v>554521.32193171664</v>
      </c>
      <c r="AM8" s="20">
        <f>+AL8</f>
        <v>554521.32193171664</v>
      </c>
      <c r="AN8" s="20">
        <f>+AM8</f>
        <v>554521.32193171664</v>
      </c>
      <c r="AO8" s="20">
        <f>+AN8*1.15</f>
        <v>637699.52022147411</v>
      </c>
      <c r="AP8" s="20">
        <f>+AO8</f>
        <v>637699.52022147411</v>
      </c>
      <c r="AQ8" s="20">
        <f>+AP8</f>
        <v>637699.52022147411</v>
      </c>
      <c r="AR8" s="20">
        <f>+AQ8*1.15</f>
        <v>733354.44825469516</v>
      </c>
      <c r="AS8" s="20">
        <f>+AR8</f>
        <v>733354.44825469516</v>
      </c>
      <c r="AT8" s="20">
        <f>+AS8</f>
        <v>733354.44825469516</v>
      </c>
      <c r="AU8" s="20">
        <f>+AT8*1.15</f>
        <v>843357.61549289932</v>
      </c>
      <c r="AV8" s="20"/>
      <c r="AW8" s="20"/>
    </row>
    <row r="9" spans="1:49">
      <c r="B9" t="s">
        <v>26</v>
      </c>
      <c r="D9" s="20">
        <v>119412</v>
      </c>
      <c r="E9" s="20">
        <v>119412</v>
      </c>
      <c r="F9" s="20">
        <v>119412</v>
      </c>
      <c r="G9" s="20">
        <f>+F9*1.15</f>
        <v>137323.79999999999</v>
      </c>
      <c r="H9" s="20">
        <f>+G9</f>
        <v>137323.79999999999</v>
      </c>
      <c r="I9" s="20">
        <f>+H9</f>
        <v>137323.79999999999</v>
      </c>
      <c r="J9" s="20">
        <f>+I9*1.15</f>
        <v>157922.36999999997</v>
      </c>
      <c r="K9" s="20">
        <f>+J9</f>
        <v>157922.36999999997</v>
      </c>
      <c r="L9" s="20">
        <f>+K9</f>
        <v>157922.36999999997</v>
      </c>
      <c r="M9" s="20">
        <f>+L9*1.15</f>
        <v>181610.72549999994</v>
      </c>
      <c r="N9" s="20">
        <f>+M9</f>
        <v>181610.72549999994</v>
      </c>
      <c r="O9" s="20">
        <f>+N9</f>
        <v>181610.72549999994</v>
      </c>
      <c r="P9" s="20">
        <f>+O9*1.15</f>
        <v>208852.33432499992</v>
      </c>
      <c r="Q9" s="20">
        <f>+P9</f>
        <v>208852.33432499992</v>
      </c>
      <c r="R9" s="20">
        <f>+Q9</f>
        <v>208852.33432499992</v>
      </c>
      <c r="S9" s="20">
        <f>+R9*1.15</f>
        <v>240180.18447374989</v>
      </c>
      <c r="T9" s="20">
        <f>+S9</f>
        <v>240180.18447374989</v>
      </c>
      <c r="U9" s="20">
        <f>+T9</f>
        <v>240180.18447374989</v>
      </c>
      <c r="V9" s="20">
        <f>+U9*1.15</f>
        <v>276207.21214481234</v>
      </c>
      <c r="W9" s="20">
        <f>+V9</f>
        <v>276207.21214481234</v>
      </c>
      <c r="X9" s="20">
        <f>+W9</f>
        <v>276207.21214481234</v>
      </c>
      <c r="Y9" s="20">
        <f>+X9*1.15</f>
        <v>317638.29396653414</v>
      </c>
      <c r="Z9" s="20">
        <f>+Y9</f>
        <v>317638.29396653414</v>
      </c>
      <c r="AA9" s="20">
        <f>+Z9</f>
        <v>317638.29396653414</v>
      </c>
      <c r="AB9" s="20">
        <f>+AA9*1.15</f>
        <v>365284.03806151421</v>
      </c>
      <c r="AC9" s="20">
        <f>+AB9</f>
        <v>365284.03806151421</v>
      </c>
      <c r="AD9" s="20">
        <f>+AC9</f>
        <v>365284.03806151421</v>
      </c>
      <c r="AE9" s="20">
        <f>+AD9*1.15</f>
        <v>420076.6437707413</v>
      </c>
      <c r="AF9" s="20">
        <f>+AE9</f>
        <v>420076.6437707413</v>
      </c>
      <c r="AG9" s="20">
        <f>+AF9</f>
        <v>420076.6437707413</v>
      </c>
      <c r="AH9" s="20">
        <f>+AG9*1.15</f>
        <v>483088.14033635246</v>
      </c>
      <c r="AI9" s="20">
        <f>+AH9</f>
        <v>483088.14033635246</v>
      </c>
      <c r="AJ9" s="20">
        <f>+AI9</f>
        <v>483088.14033635246</v>
      </c>
      <c r="AK9" s="20">
        <f>+AJ9*1.15</f>
        <v>555551.36138680531</v>
      </c>
      <c r="AL9" s="20">
        <f>+AK9</f>
        <v>555551.36138680531</v>
      </c>
      <c r="AM9" s="20">
        <f>+AL9</f>
        <v>555551.36138680531</v>
      </c>
      <c r="AN9" s="20">
        <f>+AM9*1.15</f>
        <v>638884.06559482601</v>
      </c>
      <c r="AO9" s="20">
        <f>+AN9</f>
        <v>638884.06559482601</v>
      </c>
      <c r="AP9" s="20">
        <f>+AO9</f>
        <v>638884.06559482601</v>
      </c>
      <c r="AQ9" s="20">
        <f>+AP9*1.15</f>
        <v>734716.6754340498</v>
      </c>
      <c r="AR9" s="20">
        <f>+AQ9</f>
        <v>734716.6754340498</v>
      </c>
      <c r="AS9" s="20">
        <f>+AR9</f>
        <v>734716.6754340498</v>
      </c>
      <c r="AT9" s="20">
        <f>+AS9*1.15</f>
        <v>844924.17674915725</v>
      </c>
      <c r="AU9" s="20">
        <f>+AT9</f>
        <v>844924.17674915725</v>
      </c>
      <c r="AV9" s="20"/>
      <c r="AW9" s="20"/>
    </row>
    <row r="10" spans="1:49">
      <c r="A10" s="30">
        <v>7.0000000000000007E-2</v>
      </c>
      <c r="B10" t="s">
        <v>0</v>
      </c>
      <c r="D10" s="2">
        <f>SUM(D5:D9)</f>
        <v>2569725.2599999998</v>
      </c>
      <c r="E10" s="2">
        <f t="shared" ref="E10:AU10" si="1">SUM(E5:E9)</f>
        <v>2585271.86</v>
      </c>
      <c r="F10" s="2">
        <f t="shared" si="1"/>
        <v>2585271.86</v>
      </c>
      <c r="G10" s="2">
        <f t="shared" si="1"/>
        <v>2823402.7099999995</v>
      </c>
      <c r="H10" s="2">
        <f t="shared" si="1"/>
        <v>2841281.2999999993</v>
      </c>
      <c r="I10" s="2">
        <f t="shared" si="1"/>
        <v>2841281.2999999993</v>
      </c>
      <c r="J10" s="2">
        <f t="shared" si="1"/>
        <v>3115131.7774999994</v>
      </c>
      <c r="K10" s="2">
        <f t="shared" si="1"/>
        <v>3135692.1559999995</v>
      </c>
      <c r="L10" s="2">
        <f t="shared" si="1"/>
        <v>3135692.1559999995</v>
      </c>
      <c r="M10" s="2">
        <f t="shared" si="1"/>
        <v>3450620.2051249994</v>
      </c>
      <c r="N10" s="2">
        <f t="shared" si="1"/>
        <v>3474264.6403999999</v>
      </c>
      <c r="O10" s="2">
        <f t="shared" si="1"/>
        <v>3474264.6403999999</v>
      </c>
      <c r="P10" s="2">
        <f t="shared" si="1"/>
        <v>3836431.8968937485</v>
      </c>
      <c r="Q10" s="2">
        <f t="shared" si="1"/>
        <v>3863622.9974599984</v>
      </c>
      <c r="R10" s="2">
        <f t="shared" si="1"/>
        <v>3863622.9974599984</v>
      </c>
      <c r="S10" s="2">
        <f t="shared" si="1"/>
        <v>4280115.3424278116</v>
      </c>
      <c r="T10" s="2">
        <f t="shared" si="1"/>
        <v>4311385.1080789985</v>
      </c>
      <c r="U10" s="2">
        <f t="shared" si="1"/>
        <v>4311385.1080789985</v>
      </c>
      <c r="V10" s="2">
        <f t="shared" si="1"/>
        <v>4790351.3047919832</v>
      </c>
      <c r="W10" s="2">
        <f t="shared" si="1"/>
        <v>4826311.5352908485</v>
      </c>
      <c r="X10" s="2">
        <f t="shared" si="1"/>
        <v>4826311.5352908485</v>
      </c>
      <c r="Y10" s="2">
        <f t="shared" si="1"/>
        <v>5377122.6615107795</v>
      </c>
      <c r="Z10" s="2">
        <f t="shared" si="1"/>
        <v>5418476.9265844747</v>
      </c>
      <c r="AA10" s="2">
        <f t="shared" si="1"/>
        <v>5418476.9265844747</v>
      </c>
      <c r="AB10" s="2">
        <f t="shared" si="1"/>
        <v>6051909.721737396</v>
      </c>
      <c r="AC10" s="2">
        <f t="shared" si="1"/>
        <v>6099467.1265721461</v>
      </c>
      <c r="AD10" s="2">
        <f t="shared" si="1"/>
        <v>6099467.1265721461</v>
      </c>
      <c r="AE10" s="2">
        <f t="shared" si="1"/>
        <v>6827914.8409980051</v>
      </c>
      <c r="AF10" s="2">
        <f t="shared" si="1"/>
        <v>6882605.8565579671</v>
      </c>
      <c r="AG10" s="2">
        <f t="shared" si="1"/>
        <v>6882605.8565579671</v>
      </c>
      <c r="AH10" s="2">
        <f t="shared" si="1"/>
        <v>7720320.7281477051</v>
      </c>
      <c r="AI10" s="2">
        <f t="shared" si="1"/>
        <v>7783215.3960416615</v>
      </c>
      <c r="AJ10" s="2">
        <f t="shared" si="1"/>
        <v>7783215.3960416615</v>
      </c>
      <c r="AK10" s="2">
        <f t="shared" si="1"/>
        <v>8746587.4983698595</v>
      </c>
      <c r="AL10" s="2">
        <f t="shared" si="1"/>
        <v>8818916.3664479107</v>
      </c>
      <c r="AM10" s="2">
        <f t="shared" si="1"/>
        <v>8818916.3664479107</v>
      </c>
      <c r="AN10" s="2">
        <f t="shared" si="1"/>
        <v>9926794.2841253374</v>
      </c>
      <c r="AO10" s="2">
        <f t="shared" si="1"/>
        <v>10009972.482415095</v>
      </c>
      <c r="AP10" s="2">
        <f t="shared" si="1"/>
        <v>10009972.482415095</v>
      </c>
      <c r="AQ10" s="2">
        <f t="shared" si="1"/>
        <v>11284032.087744137</v>
      </c>
      <c r="AR10" s="2">
        <f t="shared" si="1"/>
        <v>11379687.015777359</v>
      </c>
      <c r="AS10" s="2">
        <f t="shared" si="1"/>
        <v>11379687.015777359</v>
      </c>
      <c r="AT10" s="2">
        <f t="shared" si="1"/>
        <v>12844855.561905758</v>
      </c>
      <c r="AU10" s="2">
        <f t="shared" si="1"/>
        <v>12954858.729143962</v>
      </c>
    </row>
    <row r="11" spans="1:49">
      <c r="B11" t="s">
        <v>48</v>
      </c>
      <c r="D11" s="33">
        <f>+D10*$A$10</f>
        <v>179880.76819999999</v>
      </c>
      <c r="E11" s="33">
        <f t="shared" ref="E11:AU11" si="2">+E10*$A$10</f>
        <v>180969.03020000001</v>
      </c>
      <c r="F11" s="33">
        <f t="shared" si="2"/>
        <v>180969.03020000001</v>
      </c>
      <c r="G11" s="33">
        <f t="shared" si="2"/>
        <v>197638.18969999999</v>
      </c>
      <c r="H11" s="33">
        <f t="shared" si="2"/>
        <v>198889.69099999996</v>
      </c>
      <c r="I11" s="33">
        <f t="shared" si="2"/>
        <v>198889.69099999996</v>
      </c>
      <c r="J11" s="33">
        <f t="shared" si="2"/>
        <v>218059.22442499996</v>
      </c>
      <c r="K11" s="33">
        <f t="shared" si="2"/>
        <v>219498.45091999997</v>
      </c>
      <c r="L11" s="33">
        <f t="shared" si="2"/>
        <v>219498.45091999997</v>
      </c>
      <c r="M11" s="33">
        <f t="shared" si="2"/>
        <v>241543.41435874999</v>
      </c>
      <c r="N11" s="33">
        <f t="shared" si="2"/>
        <v>243198.52482800002</v>
      </c>
      <c r="O11" s="33">
        <f t="shared" si="2"/>
        <v>243198.52482800002</v>
      </c>
      <c r="P11" s="33">
        <f t="shared" si="2"/>
        <v>268550.23278256244</v>
      </c>
      <c r="Q11" s="33">
        <f t="shared" si="2"/>
        <v>270453.60982219991</v>
      </c>
      <c r="R11" s="33">
        <f t="shared" si="2"/>
        <v>270453.60982219991</v>
      </c>
      <c r="S11" s="33">
        <f t="shared" si="2"/>
        <v>299608.07396994682</v>
      </c>
      <c r="T11" s="33">
        <f t="shared" si="2"/>
        <v>301796.95756552991</v>
      </c>
      <c r="U11" s="33">
        <f t="shared" si="2"/>
        <v>301796.95756552991</v>
      </c>
      <c r="V11" s="33">
        <f t="shared" si="2"/>
        <v>335324.59133543883</v>
      </c>
      <c r="W11" s="33">
        <f t="shared" si="2"/>
        <v>337841.80747035943</v>
      </c>
      <c r="X11" s="33">
        <f t="shared" si="2"/>
        <v>337841.80747035943</v>
      </c>
      <c r="Y11" s="33">
        <f t="shared" si="2"/>
        <v>376398.58630575461</v>
      </c>
      <c r="Z11" s="33">
        <f t="shared" si="2"/>
        <v>379293.38486091327</v>
      </c>
      <c r="AA11" s="33">
        <f t="shared" si="2"/>
        <v>379293.38486091327</v>
      </c>
      <c r="AB11" s="33">
        <f t="shared" si="2"/>
        <v>423633.68052161776</v>
      </c>
      <c r="AC11" s="33">
        <f t="shared" si="2"/>
        <v>426962.69886005024</v>
      </c>
      <c r="AD11" s="33">
        <f t="shared" si="2"/>
        <v>426962.69886005024</v>
      </c>
      <c r="AE11" s="33">
        <f t="shared" si="2"/>
        <v>477954.03886986041</v>
      </c>
      <c r="AF11" s="33">
        <f t="shared" si="2"/>
        <v>481782.40995905775</v>
      </c>
      <c r="AG11" s="33">
        <f t="shared" si="2"/>
        <v>481782.40995905775</v>
      </c>
      <c r="AH11" s="33">
        <f t="shared" si="2"/>
        <v>540422.45097033936</v>
      </c>
      <c r="AI11" s="33">
        <f t="shared" si="2"/>
        <v>544825.07772291638</v>
      </c>
      <c r="AJ11" s="33">
        <f t="shared" si="2"/>
        <v>544825.07772291638</v>
      </c>
      <c r="AK11" s="33">
        <f t="shared" si="2"/>
        <v>612261.12488589028</v>
      </c>
      <c r="AL11" s="33">
        <f t="shared" si="2"/>
        <v>617324.14565135376</v>
      </c>
      <c r="AM11" s="33">
        <f t="shared" si="2"/>
        <v>617324.14565135376</v>
      </c>
      <c r="AN11" s="33">
        <f t="shared" si="2"/>
        <v>694875.59988877364</v>
      </c>
      <c r="AO11" s="33">
        <f t="shared" si="2"/>
        <v>700698.0737690567</v>
      </c>
      <c r="AP11" s="33">
        <f t="shared" si="2"/>
        <v>700698.0737690567</v>
      </c>
      <c r="AQ11" s="33">
        <f t="shared" si="2"/>
        <v>789882.24614208972</v>
      </c>
      <c r="AR11" s="33">
        <f t="shared" si="2"/>
        <v>796578.09110441525</v>
      </c>
      <c r="AS11" s="33">
        <f t="shared" si="2"/>
        <v>796578.09110441525</v>
      </c>
      <c r="AT11" s="33">
        <f t="shared" si="2"/>
        <v>899139.8893334032</v>
      </c>
      <c r="AU11" s="33">
        <f t="shared" si="2"/>
        <v>906840.11104007741</v>
      </c>
    </row>
    <row r="12" spans="1:49">
      <c r="M12" s="2">
        <f>M10/10^7</f>
        <v>0.34506202051249996</v>
      </c>
    </row>
    <row r="13" spans="1:49">
      <c r="B13" t="s">
        <v>47</v>
      </c>
      <c r="D13" s="20">
        <v>1468127</v>
      </c>
    </row>
    <row r="14" spans="1:49">
      <c r="B14" t="s">
        <v>49</v>
      </c>
      <c r="D14" s="20">
        <f>640927.26</f>
        <v>640927.26</v>
      </c>
      <c r="E14" s="2"/>
    </row>
    <row r="15" spans="1:49">
      <c r="B15" t="s">
        <v>50</v>
      </c>
      <c r="D15" s="20">
        <v>237615</v>
      </c>
    </row>
    <row r="16" spans="1:49">
      <c r="B16" t="s">
        <v>51</v>
      </c>
      <c r="D16" s="20">
        <v>103644</v>
      </c>
    </row>
    <row r="17" spans="2:9">
      <c r="B17" t="s">
        <v>26</v>
      </c>
      <c r="D17" s="44">
        <f>'Cost of Construction'!E9*18</f>
        <v>119412</v>
      </c>
      <c r="I17" s="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9"/>
  <sheetViews>
    <sheetView topLeftCell="A10" workbookViewId="0">
      <selection activeCell="G10" sqref="G10"/>
    </sheetView>
  </sheetViews>
  <sheetFormatPr defaultRowHeight="15"/>
  <cols>
    <col min="2" max="2" width="6.140625" bestFit="1" customWidth="1"/>
    <col min="3" max="3" width="27.5703125" customWidth="1"/>
    <col min="4" max="4" width="32.7109375" customWidth="1"/>
    <col min="5" max="5" width="30.42578125" customWidth="1"/>
    <col min="6" max="6" width="14.28515625" bestFit="1" customWidth="1"/>
    <col min="7" max="7" width="15.28515625" customWidth="1"/>
  </cols>
  <sheetData>
    <row r="2" spans="2:9">
      <c r="B2" s="35" t="s">
        <v>52</v>
      </c>
      <c r="C2" s="35" t="s">
        <v>1</v>
      </c>
      <c r="D2" s="35" t="s">
        <v>53</v>
      </c>
      <c r="E2" s="35" t="s">
        <v>65</v>
      </c>
      <c r="F2" s="35" t="s">
        <v>64</v>
      </c>
      <c r="G2" s="35" t="s">
        <v>0</v>
      </c>
    </row>
    <row r="3" spans="2:9">
      <c r="B3" s="35"/>
      <c r="C3" s="35" t="s">
        <v>91</v>
      </c>
      <c r="D3" s="35"/>
      <c r="E3" s="35"/>
      <c r="F3" s="35"/>
      <c r="G3" s="35"/>
    </row>
    <row r="4" spans="2:9">
      <c r="B4" s="38">
        <v>1</v>
      </c>
      <c r="C4" s="38" t="s">
        <v>56</v>
      </c>
      <c r="D4" s="38" t="s">
        <v>57</v>
      </c>
      <c r="E4" s="38">
        <v>5771</v>
      </c>
      <c r="F4" s="70">
        <f>$D$26</f>
        <v>3099.5017499999999</v>
      </c>
      <c r="G4" s="39">
        <f t="shared" ref="G4:G9" si="0">E4*F4</f>
        <v>17887224.59925</v>
      </c>
    </row>
    <row r="5" spans="2:9">
      <c r="B5" s="38">
        <v>2</v>
      </c>
      <c r="C5" s="38" t="s">
        <v>56</v>
      </c>
      <c r="D5" s="38" t="s">
        <v>57</v>
      </c>
      <c r="E5" s="38">
        <v>2604</v>
      </c>
      <c r="F5" s="70">
        <f t="shared" ref="F5:F9" si="1">$D$26</f>
        <v>3099.5017499999999</v>
      </c>
      <c r="G5" s="39">
        <f t="shared" si="0"/>
        <v>8071102.557</v>
      </c>
    </row>
    <row r="6" spans="2:9" ht="30">
      <c r="B6" s="38">
        <v>3</v>
      </c>
      <c r="C6" s="38" t="s">
        <v>58</v>
      </c>
      <c r="D6" s="38" t="s">
        <v>59</v>
      </c>
      <c r="E6" s="38">
        <v>9619</v>
      </c>
      <c r="F6" s="70">
        <f t="shared" si="1"/>
        <v>3099.5017499999999</v>
      </c>
      <c r="G6" s="39">
        <f t="shared" si="0"/>
        <v>29814107.333249997</v>
      </c>
    </row>
    <row r="7" spans="2:9">
      <c r="B7" s="38">
        <v>4</v>
      </c>
      <c r="C7" s="38" t="s">
        <v>61</v>
      </c>
      <c r="D7" s="38" t="s">
        <v>62</v>
      </c>
      <c r="E7" s="38">
        <v>9593</v>
      </c>
      <c r="F7" s="70">
        <f t="shared" si="1"/>
        <v>3099.5017499999999</v>
      </c>
      <c r="G7" s="39">
        <f t="shared" si="0"/>
        <v>29733520.287749998</v>
      </c>
      <c r="H7">
        <f>18*E7</f>
        <v>172674</v>
      </c>
      <c r="I7">
        <f>+H7*6</f>
        <v>1036044</v>
      </c>
    </row>
    <row r="8" spans="2:9" ht="30">
      <c r="B8" s="38">
        <v>5</v>
      </c>
      <c r="C8" s="38" t="s">
        <v>63</v>
      </c>
      <c r="D8" s="38" t="s">
        <v>59</v>
      </c>
      <c r="E8" s="38">
        <v>2897</v>
      </c>
      <c r="F8" s="70">
        <f t="shared" si="1"/>
        <v>3099.5017499999999</v>
      </c>
      <c r="G8" s="39">
        <f t="shared" si="0"/>
        <v>8979256.5697499998</v>
      </c>
    </row>
    <row r="9" spans="2:9">
      <c r="B9" s="38">
        <v>6</v>
      </c>
      <c r="C9" s="38" t="s">
        <v>63</v>
      </c>
      <c r="D9" s="38" t="s">
        <v>26</v>
      </c>
      <c r="E9" s="38">
        <v>6634</v>
      </c>
      <c r="F9" s="70">
        <f t="shared" si="1"/>
        <v>3099.5017499999999</v>
      </c>
      <c r="G9" s="39">
        <f t="shared" si="0"/>
        <v>20562094.609499998</v>
      </c>
    </row>
    <row r="10" spans="2:9">
      <c r="B10" s="38"/>
      <c r="C10" s="38"/>
      <c r="D10" s="45" t="s">
        <v>0</v>
      </c>
      <c r="E10" s="45">
        <f>SUM(E4:E9)</f>
        <v>37118</v>
      </c>
      <c r="F10" s="38"/>
      <c r="G10" s="46">
        <f>SUM(G4:G9)</f>
        <v>115047305.95649999</v>
      </c>
    </row>
    <row r="11" spans="2:9">
      <c r="B11" s="37"/>
      <c r="C11" s="37"/>
      <c r="D11" s="37"/>
      <c r="E11" s="37"/>
      <c r="F11" s="37"/>
      <c r="G11" s="47">
        <f>G10/10^5</f>
        <v>1150.4730595649999</v>
      </c>
    </row>
    <row r="15" spans="2:9">
      <c r="C15" t="s">
        <v>66</v>
      </c>
      <c r="D15" s="68">
        <f>E10</f>
        <v>37118</v>
      </c>
      <c r="E15" t="s">
        <v>67</v>
      </c>
    </row>
    <row r="16" spans="2:9" ht="45">
      <c r="B16" s="49" t="s">
        <v>68</v>
      </c>
      <c r="C16" s="49" t="s">
        <v>69</v>
      </c>
      <c r="D16" s="50" t="s">
        <v>70</v>
      </c>
      <c r="E16" s="50" t="s">
        <v>71</v>
      </c>
    </row>
    <row r="17" spans="2:6">
      <c r="B17" s="51" t="s">
        <v>72</v>
      </c>
      <c r="C17" s="18" t="s">
        <v>73</v>
      </c>
      <c r="D17" s="52">
        <v>1200</v>
      </c>
      <c r="E17" s="53">
        <f>D17*$D$15</f>
        <v>44541600</v>
      </c>
    </row>
    <row r="18" spans="2:6" ht="60">
      <c r="B18" s="51" t="s">
        <v>74</v>
      </c>
      <c r="C18" s="38" t="s">
        <v>75</v>
      </c>
      <c r="D18" s="52">
        <v>80</v>
      </c>
      <c r="E18" s="53">
        <f t="shared" ref="E18:E25" si="2">D18*$D$15</f>
        <v>2969440</v>
      </c>
    </row>
    <row r="19" spans="2:6" ht="45">
      <c r="B19" s="51" t="s">
        <v>76</v>
      </c>
      <c r="C19" s="54" t="s">
        <v>77</v>
      </c>
      <c r="D19" s="52">
        <v>400</v>
      </c>
      <c r="E19" s="53">
        <f t="shared" si="2"/>
        <v>14847200</v>
      </c>
    </row>
    <row r="20" spans="2:6" ht="30">
      <c r="B20" s="51" t="s">
        <v>78</v>
      </c>
      <c r="C20" s="54" t="s">
        <v>79</v>
      </c>
      <c r="D20" s="52">
        <v>250</v>
      </c>
      <c r="E20" s="53">
        <f t="shared" si="2"/>
        <v>9279500</v>
      </c>
    </row>
    <row r="21" spans="2:6">
      <c r="B21" s="51" t="s">
        <v>80</v>
      </c>
      <c r="C21" s="18" t="s">
        <v>81</v>
      </c>
      <c r="D21" s="55">
        <v>250</v>
      </c>
      <c r="E21" s="53">
        <f t="shared" si="2"/>
        <v>9279500</v>
      </c>
    </row>
    <row r="22" spans="2:6" ht="45">
      <c r="B22" s="51" t="s">
        <v>82</v>
      </c>
      <c r="C22" s="56" t="s">
        <v>83</v>
      </c>
      <c r="D22" s="57">
        <f>SUM(D17:D21)*F22</f>
        <v>32.699999999999996</v>
      </c>
      <c r="E22" s="53">
        <f t="shared" si="2"/>
        <v>1213758.5999999999</v>
      </c>
      <c r="F22" s="58">
        <v>1.4999999999999999E-2</v>
      </c>
    </row>
    <row r="23" spans="2:6" ht="60">
      <c r="B23" s="51" t="s">
        <v>84</v>
      </c>
      <c r="C23" s="59" t="s">
        <v>85</v>
      </c>
      <c r="D23" s="57">
        <f>(D17+D18+D19+D20+D21+D22)*F23</f>
        <v>110.63499999999999</v>
      </c>
      <c r="E23" s="53">
        <f t="shared" si="2"/>
        <v>4106549.9299999997</v>
      </c>
      <c r="F23" s="60">
        <v>0.05</v>
      </c>
    </row>
    <row r="24" spans="2:6" ht="45">
      <c r="B24" s="51"/>
      <c r="C24" s="61" t="s">
        <v>86</v>
      </c>
      <c r="D24" s="62">
        <f>SUM(D17:D23)*F24</f>
        <v>116.16675000000001</v>
      </c>
      <c r="E24" s="53">
        <f t="shared" si="2"/>
        <v>4311877.4265000001</v>
      </c>
      <c r="F24" s="60">
        <v>0.05</v>
      </c>
    </row>
    <row r="25" spans="2:6" ht="30">
      <c r="B25" s="51" t="s">
        <v>87</v>
      </c>
      <c r="C25" s="63" t="s">
        <v>88</v>
      </c>
      <c r="D25" s="64">
        <f>33000*F25</f>
        <v>660</v>
      </c>
      <c r="E25" s="53">
        <f t="shared" si="2"/>
        <v>24497880</v>
      </c>
      <c r="F25" s="30">
        <v>0.02</v>
      </c>
    </row>
    <row r="26" spans="2:6" ht="15.75">
      <c r="B26" s="108" t="s">
        <v>89</v>
      </c>
      <c r="C26" s="109"/>
      <c r="D26" s="65">
        <f>SUM(D17:D25)</f>
        <v>3099.5017499999999</v>
      </c>
      <c r="E26" s="66">
        <f>SUM(E17:E25)</f>
        <v>115047305.95649999</v>
      </c>
      <c r="F26" s="67">
        <v>0.15</v>
      </c>
    </row>
    <row r="29" spans="2:6">
      <c r="C29" t="s">
        <v>90</v>
      </c>
    </row>
  </sheetData>
  <mergeCells count="1">
    <mergeCell ref="B26:C2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W17"/>
  <sheetViews>
    <sheetView workbookViewId="0">
      <selection activeCell="F7" sqref="F7"/>
    </sheetView>
  </sheetViews>
  <sheetFormatPr defaultRowHeight="15"/>
  <cols>
    <col min="2" max="2" width="10" bestFit="1" customWidth="1"/>
    <col min="3" max="3" width="7.85546875" bestFit="1" customWidth="1"/>
    <col min="4" max="12" width="14.28515625" bestFit="1" customWidth="1"/>
    <col min="13" max="47" width="15.28515625" bestFit="1" customWidth="1"/>
  </cols>
  <sheetData>
    <row r="3" spans="1:49">
      <c r="B3" t="s">
        <v>44</v>
      </c>
      <c r="C3" s="31">
        <v>0</v>
      </c>
      <c r="D3" s="3">
        <f>'Model(60 Year projection)'!F5</f>
        <v>46112</v>
      </c>
      <c r="E3" s="3">
        <f>'Model(60 Year projection)'!G5</f>
        <v>46477</v>
      </c>
      <c r="F3" s="3">
        <f>'Model(60 Year projection)'!H5</f>
        <v>46843</v>
      </c>
      <c r="G3" s="3">
        <f>'Model(60 Year projection)'!I5</f>
        <v>47208</v>
      </c>
      <c r="H3" s="3">
        <f>'Model(60 Year projection)'!J5</f>
        <v>47573</v>
      </c>
      <c r="I3" s="3">
        <f>'Model(60 Year projection)'!K5</f>
        <v>47938</v>
      </c>
      <c r="J3" s="3">
        <f>'Model(60 Year projection)'!L5</f>
        <v>48304</v>
      </c>
      <c r="K3" s="3">
        <f>'Model(60 Year projection)'!M5</f>
        <v>48669</v>
      </c>
      <c r="L3" s="3">
        <f>'Model(60 Year projection)'!N5</f>
        <v>49034</v>
      </c>
      <c r="M3" s="3">
        <f>'Model(60 Year projection)'!O5</f>
        <v>49399</v>
      </c>
      <c r="N3" s="3">
        <f>'Model(60 Year projection)'!P5</f>
        <v>49765</v>
      </c>
      <c r="O3" s="3">
        <f>'Model(60 Year projection)'!Q5</f>
        <v>50130</v>
      </c>
      <c r="P3" s="3">
        <f>'Model(60 Year projection)'!R5</f>
        <v>50495</v>
      </c>
      <c r="Q3" s="3">
        <f>'Model(60 Year projection)'!S5</f>
        <v>50860</v>
      </c>
      <c r="R3" s="3">
        <f>'Model(60 Year projection)'!T5</f>
        <v>51226</v>
      </c>
      <c r="S3" s="3">
        <f>'Model(60 Year projection)'!U5</f>
        <v>51591</v>
      </c>
      <c r="T3" s="3">
        <f>'Model(60 Year projection)'!V5</f>
        <v>51956</v>
      </c>
      <c r="U3" s="3">
        <f>'Model(60 Year projection)'!W5</f>
        <v>52321</v>
      </c>
      <c r="V3" s="3">
        <f>'Model(60 Year projection)'!X5</f>
        <v>52687</v>
      </c>
      <c r="W3" s="3">
        <f>'Model(60 Year projection)'!Y5</f>
        <v>53052</v>
      </c>
      <c r="X3" s="3">
        <f>'Model(60 Year projection)'!Z5</f>
        <v>53417</v>
      </c>
      <c r="Y3" s="3">
        <f>'Model(60 Year projection)'!AA5</f>
        <v>53782</v>
      </c>
      <c r="Z3" s="3">
        <f>'Model(60 Year projection)'!AB5</f>
        <v>54148</v>
      </c>
      <c r="AA3" s="3">
        <f>'Model(60 Year projection)'!AC5</f>
        <v>54513</v>
      </c>
      <c r="AB3" s="3">
        <f>'Model(60 Year projection)'!AD5</f>
        <v>54878</v>
      </c>
      <c r="AC3" s="3">
        <f>'Model(60 Year projection)'!AE5</f>
        <v>55243</v>
      </c>
      <c r="AD3" s="3">
        <f>'Model(60 Year projection)'!AF5</f>
        <v>55609</v>
      </c>
      <c r="AE3" s="3">
        <f>'Model(60 Year projection)'!AG5</f>
        <v>55974</v>
      </c>
      <c r="AF3" s="3">
        <f>'Model(60 Year projection)'!AH5</f>
        <v>56339</v>
      </c>
      <c r="AG3" s="3">
        <f>'Model(60 Year projection)'!AI5</f>
        <v>56704</v>
      </c>
      <c r="AH3" s="3">
        <f>'Model(60 Year projection)'!AJ5</f>
        <v>57070</v>
      </c>
      <c r="AI3" s="3">
        <f>'Model(60 Year projection)'!AK5</f>
        <v>57435</v>
      </c>
      <c r="AJ3" s="3">
        <f>'Model(60 Year projection)'!AL5</f>
        <v>57800</v>
      </c>
      <c r="AK3" s="3">
        <f>'Model(60 Year projection)'!AM5</f>
        <v>58165</v>
      </c>
      <c r="AL3" s="3">
        <f>'Model(60 Year projection)'!AN5</f>
        <v>58531</v>
      </c>
      <c r="AM3" s="3">
        <f>'Model(60 Year projection)'!AO5</f>
        <v>58896</v>
      </c>
      <c r="AN3" s="3">
        <f>'Model(60 Year projection)'!AP5</f>
        <v>59261</v>
      </c>
      <c r="AO3" s="3">
        <f>'Model(60 Year projection)'!AQ5</f>
        <v>59626</v>
      </c>
      <c r="AP3" s="3">
        <f>'Model(60 Year projection)'!AR5</f>
        <v>59992</v>
      </c>
      <c r="AQ3" s="3">
        <f>'Model(60 Year projection)'!AS5</f>
        <v>60357</v>
      </c>
      <c r="AR3" s="3">
        <f>'Model(60 Year projection)'!AT5</f>
        <v>60722</v>
      </c>
      <c r="AS3" s="3">
        <f>'Model(60 Year projection)'!AU5</f>
        <v>61087</v>
      </c>
      <c r="AT3" s="3">
        <f>'Model(60 Year projection)'!AV5</f>
        <v>61453</v>
      </c>
      <c r="AU3" s="3">
        <f>'Model(60 Year projection)'!AW5</f>
        <v>61818</v>
      </c>
    </row>
    <row r="4" spans="1:49">
      <c r="B4" t="s">
        <v>45</v>
      </c>
      <c r="C4" t="s">
        <v>46</v>
      </c>
    </row>
    <row r="5" spans="1:49">
      <c r="B5" t="s">
        <v>47</v>
      </c>
      <c r="D5" s="20">
        <f>D12</f>
        <v>19374768</v>
      </c>
      <c r="E5" s="20">
        <f>+D5</f>
        <v>19374768</v>
      </c>
      <c r="F5" s="20">
        <f>+E5</f>
        <v>19374768</v>
      </c>
      <c r="G5" s="20">
        <f>+F5*1.15</f>
        <v>22280983.199999999</v>
      </c>
      <c r="H5" s="20">
        <f>+G5</f>
        <v>22280983.199999999</v>
      </c>
      <c r="I5" s="20">
        <f>+H5</f>
        <v>22280983.199999999</v>
      </c>
      <c r="J5" s="20">
        <f>+I5*1.15</f>
        <v>25623130.679999996</v>
      </c>
      <c r="K5" s="20">
        <f>+J5</f>
        <v>25623130.679999996</v>
      </c>
      <c r="L5" s="20">
        <f>+K5</f>
        <v>25623130.679999996</v>
      </c>
      <c r="M5" s="20">
        <f>+L5*1.15</f>
        <v>29466600.281999994</v>
      </c>
      <c r="N5" s="20">
        <f>+M5</f>
        <v>29466600.281999994</v>
      </c>
      <c r="O5" s="20">
        <f>+N5</f>
        <v>29466600.281999994</v>
      </c>
      <c r="P5" s="20">
        <f>+O5*1.15</f>
        <v>33886590.324299991</v>
      </c>
      <c r="Q5" s="20">
        <f>+P5</f>
        <v>33886590.324299991</v>
      </c>
      <c r="R5" s="20">
        <f>+Q5</f>
        <v>33886590.324299991</v>
      </c>
      <c r="S5" s="20">
        <f>+R5*1.15</f>
        <v>38969578.872944988</v>
      </c>
      <c r="T5" s="20">
        <f>+S5</f>
        <v>38969578.872944988</v>
      </c>
      <c r="U5" s="20">
        <f>+T5</f>
        <v>38969578.872944988</v>
      </c>
      <c r="V5" s="20">
        <f>+U5*1.15</f>
        <v>44815015.703886732</v>
      </c>
      <c r="W5" s="20">
        <f>+V5</f>
        <v>44815015.703886732</v>
      </c>
      <c r="X5" s="20">
        <f>+W5</f>
        <v>44815015.703886732</v>
      </c>
      <c r="Y5" s="20">
        <f>+X5*1.15</f>
        <v>51537268.059469737</v>
      </c>
      <c r="Z5" s="20">
        <f>+Y5</f>
        <v>51537268.059469737</v>
      </c>
      <c r="AA5" s="20">
        <f>+Z5</f>
        <v>51537268.059469737</v>
      </c>
      <c r="AB5" s="20">
        <f>+AA5*1.15</f>
        <v>59267858.268390194</v>
      </c>
      <c r="AC5" s="20">
        <f>+AB5</f>
        <v>59267858.268390194</v>
      </c>
      <c r="AD5" s="20">
        <f>+AC5</f>
        <v>59267858.268390194</v>
      </c>
      <c r="AE5" s="20">
        <f>+AD5*1.15</f>
        <v>68158037.008648723</v>
      </c>
      <c r="AF5" s="20">
        <f>+AE5</f>
        <v>68158037.008648723</v>
      </c>
      <c r="AG5" s="20">
        <f>+AF5</f>
        <v>68158037.008648723</v>
      </c>
      <c r="AH5" s="20">
        <f>+AG5*1.15</f>
        <v>78381742.55994603</v>
      </c>
      <c r="AI5" s="20">
        <f>+AH5</f>
        <v>78381742.55994603</v>
      </c>
      <c r="AJ5" s="20">
        <f>+AI5</f>
        <v>78381742.55994603</v>
      </c>
      <c r="AK5" s="20">
        <f>+AJ5*1.15</f>
        <v>90139003.943937927</v>
      </c>
      <c r="AL5" s="20">
        <f>+AK5</f>
        <v>90139003.943937927</v>
      </c>
      <c r="AM5" s="20">
        <f>+AL5</f>
        <v>90139003.943937927</v>
      </c>
      <c r="AN5" s="20">
        <f>+AM5*1.15</f>
        <v>103659854.53552862</v>
      </c>
      <c r="AO5" s="20">
        <f>+AN5</f>
        <v>103659854.53552862</v>
      </c>
      <c r="AP5" s="20">
        <f>+AO5</f>
        <v>103659854.53552862</v>
      </c>
      <c r="AQ5" s="20">
        <f>+AP5*1.15</f>
        <v>119208832.71585789</v>
      </c>
      <c r="AR5" s="20">
        <f>+AQ5</f>
        <v>119208832.71585789</v>
      </c>
      <c r="AS5" s="20">
        <f>+AR5</f>
        <v>119208832.71585789</v>
      </c>
      <c r="AT5" s="20">
        <f>+AS5*1.15</f>
        <v>137090157.62323657</v>
      </c>
      <c r="AU5" s="20">
        <f>+AT5</f>
        <v>137090157.62323657</v>
      </c>
    </row>
    <row r="6" spans="1:49">
      <c r="B6" t="s">
        <v>49</v>
      </c>
      <c r="D6" s="20">
        <f>1535986*12</f>
        <v>18431832</v>
      </c>
      <c r="E6" s="20">
        <f>1535986*12</f>
        <v>18431832</v>
      </c>
      <c r="F6" s="20">
        <f>+E6*1.15</f>
        <v>21196606.799999997</v>
      </c>
      <c r="G6" s="20">
        <f>+F6</f>
        <v>21196606.799999997</v>
      </c>
      <c r="H6" s="20">
        <f>+G6</f>
        <v>21196606.799999997</v>
      </c>
      <c r="I6" s="20">
        <f>+H6*1.15</f>
        <v>24376097.819999993</v>
      </c>
      <c r="J6" s="20">
        <f>+I6</f>
        <v>24376097.819999993</v>
      </c>
      <c r="K6" s="20">
        <f>+J6</f>
        <v>24376097.819999993</v>
      </c>
      <c r="L6" s="20">
        <f>+K6*1.15</f>
        <v>28032512.49299999</v>
      </c>
      <c r="M6" s="20">
        <f>+L6</f>
        <v>28032512.49299999</v>
      </c>
      <c r="N6" s="20">
        <f>+M6</f>
        <v>28032512.49299999</v>
      </c>
      <c r="O6" s="20">
        <f>+N6*1.15</f>
        <v>32237389.366949987</v>
      </c>
      <c r="P6" s="20">
        <f>+O6</f>
        <v>32237389.366949987</v>
      </c>
      <c r="Q6" s="20">
        <f>+P6</f>
        <v>32237389.366949987</v>
      </c>
      <c r="R6" s="20">
        <f>+Q6*1.15</f>
        <v>37072997.771992482</v>
      </c>
      <c r="S6" s="20">
        <f>+R6</f>
        <v>37072997.771992482</v>
      </c>
      <c r="T6" s="20">
        <f>+S6</f>
        <v>37072997.771992482</v>
      </c>
      <c r="U6" s="20">
        <f>+T6*1.15</f>
        <v>42633947.437791355</v>
      </c>
      <c r="V6" s="20">
        <f>+U6</f>
        <v>42633947.437791355</v>
      </c>
      <c r="W6" s="20">
        <f>+V6</f>
        <v>42633947.437791355</v>
      </c>
      <c r="X6" s="20">
        <f>+W6*1.15</f>
        <v>49029039.553460054</v>
      </c>
      <c r="Y6" s="20">
        <f>+X6</f>
        <v>49029039.553460054</v>
      </c>
      <c r="Z6" s="20">
        <f>+Y6</f>
        <v>49029039.553460054</v>
      </c>
      <c r="AA6" s="20">
        <f>+Z6*1.15</f>
        <v>56383395.486479059</v>
      </c>
      <c r="AB6" s="20">
        <f>+AA6</f>
        <v>56383395.486479059</v>
      </c>
      <c r="AC6" s="20">
        <f>+AB6</f>
        <v>56383395.486479059</v>
      </c>
      <c r="AD6" s="20">
        <f>+AC6*1.15</f>
        <v>64840904.809450909</v>
      </c>
      <c r="AE6" s="20">
        <f>+AD6</f>
        <v>64840904.809450909</v>
      </c>
      <c r="AF6" s="20">
        <f>+AE6</f>
        <v>64840904.809450909</v>
      </c>
      <c r="AG6" s="20">
        <f>+AF6*1.15</f>
        <v>74567040.530868545</v>
      </c>
      <c r="AH6" s="20">
        <f>+AG6</f>
        <v>74567040.530868545</v>
      </c>
      <c r="AI6" s="20">
        <f>+AH6</f>
        <v>74567040.530868545</v>
      </c>
      <c r="AJ6" s="20">
        <f>+AI6*1.15</f>
        <v>85752096.610498816</v>
      </c>
      <c r="AK6" s="20">
        <f>+AJ6</f>
        <v>85752096.610498816</v>
      </c>
      <c r="AL6" s="20">
        <f>+AK6</f>
        <v>85752096.610498816</v>
      </c>
      <c r="AM6" s="20">
        <f>+AL6*1.15</f>
        <v>98614911.102073625</v>
      </c>
      <c r="AN6" s="20">
        <f>+AM6</f>
        <v>98614911.102073625</v>
      </c>
      <c r="AO6" s="20">
        <f>+AN6</f>
        <v>98614911.102073625</v>
      </c>
      <c r="AP6" s="20">
        <f>+AO6*1.15</f>
        <v>113407147.76738466</v>
      </c>
      <c r="AQ6" s="20">
        <f>+AP6</f>
        <v>113407147.76738466</v>
      </c>
      <c r="AR6" s="20">
        <f>+AQ6</f>
        <v>113407147.76738466</v>
      </c>
      <c r="AS6" s="20">
        <f>+AR6*1.15</f>
        <v>130418219.93249235</v>
      </c>
      <c r="AT6" s="20">
        <f>+AS6</f>
        <v>130418219.93249235</v>
      </c>
      <c r="AU6" s="20">
        <f>+AT6</f>
        <v>130418219.93249235</v>
      </c>
      <c r="AV6" s="20"/>
    </row>
    <row r="7" spans="1:49">
      <c r="B7" t="s">
        <v>50</v>
      </c>
      <c r="D7" s="76">
        <v>8316840</v>
      </c>
      <c r="E7" s="76">
        <v>8316840</v>
      </c>
      <c r="F7" s="20">
        <f>+E7*1.15</f>
        <v>9564366</v>
      </c>
      <c r="G7" s="20">
        <f>+F7</f>
        <v>9564366</v>
      </c>
      <c r="H7" s="20">
        <f>+G7</f>
        <v>9564366</v>
      </c>
      <c r="I7" s="20">
        <f>+H7*1.15</f>
        <v>10999020.899999999</v>
      </c>
      <c r="J7" s="20">
        <f>+I7</f>
        <v>10999020.899999999</v>
      </c>
      <c r="K7" s="20">
        <f>+J7</f>
        <v>10999020.899999999</v>
      </c>
      <c r="L7" s="20">
        <f>+K7*1.15</f>
        <v>12648874.034999996</v>
      </c>
      <c r="M7" s="20">
        <f>+L7</f>
        <v>12648874.034999996</v>
      </c>
      <c r="N7" s="20">
        <f>+M7</f>
        <v>12648874.034999996</v>
      </c>
      <c r="O7" s="20">
        <f>+N7*1.15</f>
        <v>14546205.140249996</v>
      </c>
      <c r="P7" s="20">
        <f>+O7</f>
        <v>14546205.140249996</v>
      </c>
      <c r="Q7" s="20">
        <f>+P7</f>
        <v>14546205.140249996</v>
      </c>
      <c r="R7" s="20">
        <f>+Q7*1.15</f>
        <v>16728135.911287494</v>
      </c>
      <c r="S7" s="20">
        <f>+R7</f>
        <v>16728135.911287494</v>
      </c>
      <c r="T7" s="20">
        <f>+S7</f>
        <v>16728135.911287494</v>
      </c>
      <c r="U7" s="20">
        <f>+T7*1.15</f>
        <v>19237356.297980618</v>
      </c>
      <c r="V7" s="20">
        <f>+U7</f>
        <v>19237356.297980618</v>
      </c>
      <c r="W7" s="20">
        <f>+V7</f>
        <v>19237356.297980618</v>
      </c>
      <c r="X7" s="20">
        <f>+W7*1.15</f>
        <v>22122959.742677707</v>
      </c>
      <c r="Y7" s="20">
        <f>+X7</f>
        <v>22122959.742677707</v>
      </c>
      <c r="Z7" s="20">
        <f>+Y7</f>
        <v>22122959.742677707</v>
      </c>
      <c r="AA7" s="20">
        <f>+Z7*1.15</f>
        <v>25441403.70407936</v>
      </c>
      <c r="AB7" s="20">
        <f>+AA7</f>
        <v>25441403.70407936</v>
      </c>
      <c r="AC7" s="20">
        <f>+AB7</f>
        <v>25441403.70407936</v>
      </c>
      <c r="AD7" s="20">
        <f>+AC7*1.15</f>
        <v>29257614.259691261</v>
      </c>
      <c r="AE7" s="20">
        <f>+AD7</f>
        <v>29257614.259691261</v>
      </c>
      <c r="AF7" s="20">
        <f>+AE7</f>
        <v>29257614.259691261</v>
      </c>
      <c r="AG7" s="20">
        <f>+AF7*1.15</f>
        <v>33646256.398644947</v>
      </c>
      <c r="AH7" s="20">
        <f>+AG7</f>
        <v>33646256.398644947</v>
      </c>
      <c r="AI7" s="20">
        <f>+AH7</f>
        <v>33646256.398644947</v>
      </c>
      <c r="AJ7" s="20">
        <f>+AI7*1.15</f>
        <v>38693194.858441688</v>
      </c>
      <c r="AK7" s="20">
        <f>+AJ7</f>
        <v>38693194.858441688</v>
      </c>
      <c r="AL7" s="20">
        <f>+AK7</f>
        <v>38693194.858441688</v>
      </c>
      <c r="AM7" s="20">
        <f>+AL7*1.15</f>
        <v>44497174.087207936</v>
      </c>
      <c r="AN7" s="20">
        <f>+AM7</f>
        <v>44497174.087207936</v>
      </c>
      <c r="AO7" s="20">
        <f>+AN7</f>
        <v>44497174.087207936</v>
      </c>
      <c r="AP7" s="20">
        <f>+AO7*1.15</f>
        <v>51171750.200289123</v>
      </c>
      <c r="AQ7" s="20">
        <f>+AP7</f>
        <v>51171750.200289123</v>
      </c>
      <c r="AR7" s="20">
        <f>+AQ7</f>
        <v>51171750.200289123</v>
      </c>
      <c r="AS7" s="20">
        <f>+AR7*1.15</f>
        <v>58847512.730332486</v>
      </c>
      <c r="AT7" s="20">
        <f>+AS7</f>
        <v>58847512.730332486</v>
      </c>
      <c r="AU7" s="20">
        <f>+AT7</f>
        <v>58847512.730332486</v>
      </c>
      <c r="AV7" s="20"/>
    </row>
    <row r="8" spans="1:49">
      <c r="B8" t="s">
        <v>51</v>
      </c>
      <c r="D8" s="20">
        <v>11914506</v>
      </c>
      <c r="E8" s="20">
        <f>+D8*1.15</f>
        <v>13701681.899999999</v>
      </c>
      <c r="F8" s="20">
        <f>+E8</f>
        <v>13701681.899999999</v>
      </c>
      <c r="G8" s="20">
        <f>+F8</f>
        <v>13701681.899999999</v>
      </c>
      <c r="H8" s="20">
        <f>+G8*1.15</f>
        <v>15756934.184999997</v>
      </c>
      <c r="I8" s="20">
        <f>+H8</f>
        <v>15756934.184999997</v>
      </c>
      <c r="J8" s="20">
        <f>+I8</f>
        <v>15756934.184999997</v>
      </c>
      <c r="K8" s="20">
        <f>+J8*1.15</f>
        <v>18120474.312749993</v>
      </c>
      <c r="L8" s="20">
        <f>+K8</f>
        <v>18120474.312749993</v>
      </c>
      <c r="M8" s="20">
        <f>+L8</f>
        <v>18120474.312749993</v>
      </c>
      <c r="N8" s="20">
        <f>+M8*1.15</f>
        <v>20838545.45966249</v>
      </c>
      <c r="O8" s="20">
        <f>+N8</f>
        <v>20838545.45966249</v>
      </c>
      <c r="P8" s="20">
        <f>+O8</f>
        <v>20838545.45966249</v>
      </c>
      <c r="Q8" s="20">
        <f>+P8*1.15</f>
        <v>23964327.278611861</v>
      </c>
      <c r="R8" s="20">
        <f>+Q8</f>
        <v>23964327.278611861</v>
      </c>
      <c r="S8" s="20">
        <f>+R8</f>
        <v>23964327.278611861</v>
      </c>
      <c r="T8" s="20">
        <f>+S8*1.15</f>
        <v>27558976.37040364</v>
      </c>
      <c r="U8" s="20">
        <f>+T8</f>
        <v>27558976.37040364</v>
      </c>
      <c r="V8" s="20">
        <f>+U8</f>
        <v>27558976.37040364</v>
      </c>
      <c r="W8" s="20">
        <f>+V8*1.15</f>
        <v>31692822.825964183</v>
      </c>
      <c r="X8" s="20">
        <f>+W8</f>
        <v>31692822.825964183</v>
      </c>
      <c r="Y8" s="20">
        <f>+X8</f>
        <v>31692822.825964183</v>
      </c>
      <c r="Z8" s="20">
        <f>+Y8*1.15</f>
        <v>36446746.249858804</v>
      </c>
      <c r="AA8" s="20">
        <f>+Z8</f>
        <v>36446746.249858804</v>
      </c>
      <c r="AB8" s="20">
        <f>+AA8</f>
        <v>36446746.249858804</v>
      </c>
      <c r="AC8" s="20">
        <f>+AB8*1.15</f>
        <v>41913758.187337622</v>
      </c>
      <c r="AD8" s="20">
        <f>+AC8</f>
        <v>41913758.187337622</v>
      </c>
      <c r="AE8" s="20">
        <f>+AD8</f>
        <v>41913758.187337622</v>
      </c>
      <c r="AF8" s="20">
        <f>+AE8*1.15</f>
        <v>48200821.915438265</v>
      </c>
      <c r="AG8" s="20">
        <f>+AF8</f>
        <v>48200821.915438265</v>
      </c>
      <c r="AH8" s="20">
        <f>+AG8</f>
        <v>48200821.915438265</v>
      </c>
      <c r="AI8" s="20">
        <f>+AH8*1.15</f>
        <v>55430945.202753998</v>
      </c>
      <c r="AJ8" s="20">
        <f>+AI8</f>
        <v>55430945.202753998</v>
      </c>
      <c r="AK8" s="20">
        <f>+AJ8</f>
        <v>55430945.202753998</v>
      </c>
      <c r="AL8" s="20">
        <f>+AK8*1.15</f>
        <v>63745586.98316709</v>
      </c>
      <c r="AM8" s="20">
        <f>+AL8</f>
        <v>63745586.98316709</v>
      </c>
      <c r="AN8" s="20">
        <f>+AM8</f>
        <v>63745586.98316709</v>
      </c>
      <c r="AO8" s="20">
        <f>+AN8*1.15</f>
        <v>73307425.030642152</v>
      </c>
      <c r="AP8" s="20">
        <f>+AO8</f>
        <v>73307425.030642152</v>
      </c>
      <c r="AQ8" s="20">
        <f>+AP8</f>
        <v>73307425.030642152</v>
      </c>
      <c r="AR8" s="20">
        <f>+AQ8*1.15</f>
        <v>84303538.785238475</v>
      </c>
      <c r="AS8" s="20">
        <f>+AR8</f>
        <v>84303538.785238475</v>
      </c>
      <c r="AT8" s="20">
        <f>+AS8</f>
        <v>84303538.785238475</v>
      </c>
      <c r="AU8" s="20">
        <f>+AT8*1.15</f>
        <v>96949069.603024244</v>
      </c>
      <c r="AV8" s="20"/>
      <c r="AW8" s="20"/>
    </row>
    <row r="9" spans="1:49">
      <c r="B9" t="s">
        <v>26</v>
      </c>
      <c r="D9" s="20">
        <f>D16</f>
        <v>10349040</v>
      </c>
      <c r="E9" s="20">
        <f>+D9</f>
        <v>10349040</v>
      </c>
      <c r="F9" s="20">
        <f>+E9</f>
        <v>10349040</v>
      </c>
      <c r="G9" s="20">
        <f>+F9*1.15</f>
        <v>11901396</v>
      </c>
      <c r="H9" s="20">
        <f>+G9</f>
        <v>11901396</v>
      </c>
      <c r="I9" s="20">
        <f>+H9</f>
        <v>11901396</v>
      </c>
      <c r="J9" s="20">
        <f>+I9*1.15</f>
        <v>13686605.399999999</v>
      </c>
      <c r="K9" s="20">
        <f>+J9</f>
        <v>13686605.399999999</v>
      </c>
      <c r="L9" s="20">
        <f>+K9</f>
        <v>13686605.399999999</v>
      </c>
      <c r="M9" s="20">
        <f>+L9*1.15</f>
        <v>15739596.209999997</v>
      </c>
      <c r="N9" s="20">
        <f>+M9</f>
        <v>15739596.209999997</v>
      </c>
      <c r="O9" s="20">
        <f>+N9</f>
        <v>15739596.209999997</v>
      </c>
      <c r="P9" s="20">
        <f>+O9*1.15</f>
        <v>18100535.641499996</v>
      </c>
      <c r="Q9" s="20">
        <f>+P9</f>
        <v>18100535.641499996</v>
      </c>
      <c r="R9" s="20">
        <f>+Q9</f>
        <v>18100535.641499996</v>
      </c>
      <c r="S9" s="20">
        <f>+R9*1.15</f>
        <v>20815615.987724993</v>
      </c>
      <c r="T9" s="20">
        <f>+S9</f>
        <v>20815615.987724993</v>
      </c>
      <c r="U9" s="20">
        <f>+T9</f>
        <v>20815615.987724993</v>
      </c>
      <c r="V9" s="20">
        <f>+U9*1.15</f>
        <v>23937958.385883741</v>
      </c>
      <c r="W9" s="20">
        <f>+V9</f>
        <v>23937958.385883741</v>
      </c>
      <c r="X9" s="20">
        <f>+W9</f>
        <v>23937958.385883741</v>
      </c>
      <c r="Y9" s="20">
        <f>+X9*1.15</f>
        <v>27528652.143766299</v>
      </c>
      <c r="Z9" s="20">
        <f>+Y9</f>
        <v>27528652.143766299</v>
      </c>
      <c r="AA9" s="20">
        <f>+Z9</f>
        <v>27528652.143766299</v>
      </c>
      <c r="AB9" s="20">
        <f>+AA9*1.15</f>
        <v>31657949.965331241</v>
      </c>
      <c r="AC9" s="20">
        <f>+AB9</f>
        <v>31657949.965331241</v>
      </c>
      <c r="AD9" s="20">
        <f>+AC9</f>
        <v>31657949.965331241</v>
      </c>
      <c r="AE9" s="20">
        <f>+AD9*1.15</f>
        <v>36406642.460130922</v>
      </c>
      <c r="AF9" s="20">
        <f>+AE9</f>
        <v>36406642.460130922</v>
      </c>
      <c r="AG9" s="20">
        <f>+AF9</f>
        <v>36406642.460130922</v>
      </c>
      <c r="AH9" s="20">
        <f>+AG9*1.15</f>
        <v>41867638.829150558</v>
      </c>
      <c r="AI9" s="20">
        <f>+AH9</f>
        <v>41867638.829150558</v>
      </c>
      <c r="AJ9" s="20">
        <f>+AI9</f>
        <v>41867638.829150558</v>
      </c>
      <c r="AK9" s="20">
        <f>+AJ9*1.15</f>
        <v>48147784.65352314</v>
      </c>
      <c r="AL9" s="20">
        <f>+AK9</f>
        <v>48147784.65352314</v>
      </c>
      <c r="AM9" s="20">
        <f>+AL9</f>
        <v>48147784.65352314</v>
      </c>
      <c r="AN9" s="20">
        <f>+AM9*1.15</f>
        <v>55369952.351551607</v>
      </c>
      <c r="AO9" s="20">
        <f>+AN9</f>
        <v>55369952.351551607</v>
      </c>
      <c r="AP9" s="20">
        <f>+AO9</f>
        <v>55369952.351551607</v>
      </c>
      <c r="AQ9" s="20">
        <f>+AP9*1.15</f>
        <v>63675445.20428434</v>
      </c>
      <c r="AR9" s="20">
        <f>+AQ9</f>
        <v>63675445.20428434</v>
      </c>
      <c r="AS9" s="20">
        <f>+AR9</f>
        <v>63675445.20428434</v>
      </c>
      <c r="AT9" s="20">
        <f>+AS9*1.15</f>
        <v>73226761.984926984</v>
      </c>
      <c r="AU9" s="20">
        <f>+AT9</f>
        <v>73226761.984926984</v>
      </c>
      <c r="AV9" s="20"/>
      <c r="AW9" s="20"/>
    </row>
    <row r="10" spans="1:49">
      <c r="A10" s="30"/>
      <c r="B10" s="77" t="s">
        <v>0</v>
      </c>
      <c r="C10" s="77"/>
      <c r="D10" s="78">
        <f>SUM(D5:D9)</f>
        <v>68386986</v>
      </c>
      <c r="E10" s="78">
        <f t="shared" ref="E10:AU10" si="0">SUM(E5:E9)</f>
        <v>70174161.900000006</v>
      </c>
      <c r="F10" s="78">
        <f t="shared" si="0"/>
        <v>74186462.699999988</v>
      </c>
      <c r="G10" s="78">
        <f t="shared" si="0"/>
        <v>78645033.900000006</v>
      </c>
      <c r="H10" s="78">
        <f t="shared" si="0"/>
        <v>80700286.185000002</v>
      </c>
      <c r="I10" s="78">
        <f t="shared" si="0"/>
        <v>85314432.104999989</v>
      </c>
      <c r="J10" s="78">
        <f t="shared" si="0"/>
        <v>90441788.984999985</v>
      </c>
      <c r="K10" s="78">
        <f t="shared" si="0"/>
        <v>92805329.112749964</v>
      </c>
      <c r="L10" s="78">
        <f t="shared" si="0"/>
        <v>98111596.920749962</v>
      </c>
      <c r="M10" s="78">
        <f t="shared" si="0"/>
        <v>104008057.33274996</v>
      </c>
      <c r="N10" s="78">
        <f t="shared" si="0"/>
        <v>106726128.47966246</v>
      </c>
      <c r="O10" s="78">
        <f t="shared" si="0"/>
        <v>112828336.45886247</v>
      </c>
      <c r="P10" s="78">
        <f t="shared" si="0"/>
        <v>119609265.93266246</v>
      </c>
      <c r="Q10" s="78">
        <f t="shared" si="0"/>
        <v>122735047.75161183</v>
      </c>
      <c r="R10" s="78">
        <f t="shared" si="0"/>
        <v>129752586.92769182</v>
      </c>
      <c r="S10" s="78">
        <f t="shared" si="0"/>
        <v>137550655.82256183</v>
      </c>
      <c r="T10" s="78">
        <f t="shared" si="0"/>
        <v>141145304.91435361</v>
      </c>
      <c r="U10" s="78">
        <f t="shared" si="0"/>
        <v>149215474.9668456</v>
      </c>
      <c r="V10" s="78">
        <f t="shared" si="0"/>
        <v>158183254.1959461</v>
      </c>
      <c r="W10" s="78">
        <f t="shared" si="0"/>
        <v>162317100.65150666</v>
      </c>
      <c r="X10" s="78">
        <f t="shared" si="0"/>
        <v>171597796.2118724</v>
      </c>
      <c r="Y10" s="78">
        <f t="shared" si="0"/>
        <v>181910742.32533795</v>
      </c>
      <c r="Z10" s="78">
        <f t="shared" si="0"/>
        <v>186664665.74923259</v>
      </c>
      <c r="AA10" s="78">
        <f t="shared" si="0"/>
        <v>197337465.64365327</v>
      </c>
      <c r="AB10" s="78">
        <f t="shared" si="0"/>
        <v>209197353.67413867</v>
      </c>
      <c r="AC10" s="78">
        <f t="shared" si="0"/>
        <v>214664365.61161751</v>
      </c>
      <c r="AD10" s="78">
        <f t="shared" si="0"/>
        <v>226938085.49020123</v>
      </c>
      <c r="AE10" s="78">
        <f t="shared" si="0"/>
        <v>240576956.72525942</v>
      </c>
      <c r="AF10" s="78">
        <f t="shared" si="0"/>
        <v>246864020.45336008</v>
      </c>
      <c r="AG10" s="78">
        <f t="shared" si="0"/>
        <v>260978798.31373143</v>
      </c>
      <c r="AH10" s="78">
        <f t="shared" si="0"/>
        <v>276663500.23404837</v>
      </c>
      <c r="AI10" s="78">
        <f t="shared" si="0"/>
        <v>283893623.52136409</v>
      </c>
      <c r="AJ10" s="78">
        <f t="shared" si="0"/>
        <v>300125618.06079108</v>
      </c>
      <c r="AK10" s="78">
        <f t="shared" si="0"/>
        <v>318163025.26915556</v>
      </c>
      <c r="AL10" s="78">
        <f t="shared" si="0"/>
        <v>326477667.04956865</v>
      </c>
      <c r="AM10" s="78">
        <f t="shared" si="0"/>
        <v>345144460.76990974</v>
      </c>
      <c r="AN10" s="78">
        <f t="shared" si="0"/>
        <v>365887479.05952889</v>
      </c>
      <c r="AO10" s="78">
        <f t="shared" si="0"/>
        <v>375449317.10700393</v>
      </c>
      <c r="AP10" s="78">
        <f t="shared" si="0"/>
        <v>396916129.88539618</v>
      </c>
      <c r="AQ10" s="78">
        <f t="shared" si="0"/>
        <v>420770600.91845822</v>
      </c>
      <c r="AR10" s="78">
        <f t="shared" si="0"/>
        <v>431766714.67305446</v>
      </c>
      <c r="AS10" s="78">
        <f t="shared" si="0"/>
        <v>456453549.36820555</v>
      </c>
      <c r="AT10" s="78">
        <f t="shared" si="0"/>
        <v>483886191.05622691</v>
      </c>
      <c r="AU10" s="78">
        <f t="shared" si="0"/>
        <v>496531721.87401265</v>
      </c>
    </row>
    <row r="12" spans="1:49">
      <c r="B12" t="s">
        <v>47</v>
      </c>
      <c r="D12" s="2">
        <f>(373713+1240851)*12</f>
        <v>19374768</v>
      </c>
    </row>
    <row r="13" spans="1:49">
      <c r="B13" t="s">
        <v>49</v>
      </c>
      <c r="D13" s="20">
        <f>1535986*12</f>
        <v>18431832</v>
      </c>
      <c r="E13" s="2"/>
    </row>
    <row r="14" spans="1:49">
      <c r="B14" t="s">
        <v>50</v>
      </c>
      <c r="D14" s="2">
        <f>693070*12</f>
        <v>8316840</v>
      </c>
    </row>
    <row r="15" spans="1:49">
      <c r="B15" t="s">
        <v>51</v>
      </c>
      <c r="D15" s="20">
        <f>992875.5*12</f>
        <v>11914506</v>
      </c>
    </row>
    <row r="16" spans="1:49">
      <c r="B16" t="s">
        <v>26</v>
      </c>
      <c r="D16" s="20">
        <f>862420*12</f>
        <v>10349040</v>
      </c>
    </row>
    <row r="17" spans="4:4">
      <c r="D17" s="80">
        <f>SUM(D12:D16)</f>
        <v>68386986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sqref="A1:G8"/>
    </sheetView>
  </sheetViews>
  <sheetFormatPr defaultColWidth="8.5703125" defaultRowHeight="15"/>
  <cols>
    <col min="1" max="1" width="5" style="37" customWidth="1"/>
    <col min="2" max="2" width="6" style="37" customWidth="1"/>
    <col min="3" max="3" width="12.5703125" style="37" customWidth="1"/>
    <col min="4" max="4" width="16.140625" style="37" bestFit="1" customWidth="1"/>
    <col min="5" max="5" width="12.5703125" style="37" customWidth="1"/>
    <col min="6" max="6" width="13.28515625" style="37" customWidth="1"/>
    <col min="7" max="8" width="12.5703125" style="37" customWidth="1"/>
    <col min="9" max="9" width="9.7109375" style="37" customWidth="1"/>
    <col min="10" max="10" width="11.5703125" style="37" customWidth="1"/>
    <col min="11" max="11" width="9" style="37" bestFit="1" customWidth="1"/>
    <col min="12" max="16384" width="8.5703125" style="37"/>
  </cols>
  <sheetData>
    <row r="1" spans="1:11" ht="30">
      <c r="A1" s="35" t="s">
        <v>52</v>
      </c>
      <c r="B1" s="35" t="s">
        <v>1</v>
      </c>
      <c r="C1" s="35" t="s">
        <v>53</v>
      </c>
      <c r="D1" s="35" t="s">
        <v>41</v>
      </c>
      <c r="E1" s="35" t="s">
        <v>54</v>
      </c>
      <c r="F1" s="35" t="s">
        <v>0</v>
      </c>
      <c r="G1" s="35" t="s">
        <v>28</v>
      </c>
      <c r="H1" s="35" t="s">
        <v>55</v>
      </c>
      <c r="I1" s="36"/>
    </row>
    <row r="2" spans="1:11">
      <c r="A2" s="38">
        <v>1</v>
      </c>
      <c r="B2" s="38" t="s">
        <v>56</v>
      </c>
      <c r="C2" s="38" t="s">
        <v>57</v>
      </c>
      <c r="D2" s="38">
        <v>5771</v>
      </c>
      <c r="E2" s="38">
        <v>266.15600000000001</v>
      </c>
      <c r="F2" s="39">
        <f t="shared" ref="F2:F7" si="0">D2*E2</f>
        <v>1535986.2760000001</v>
      </c>
      <c r="G2" s="40">
        <v>44479</v>
      </c>
      <c r="H2" s="40">
        <v>47765</v>
      </c>
      <c r="I2" s="38"/>
      <c r="J2" s="41"/>
    </row>
    <row r="3" spans="1:11">
      <c r="A3" s="38">
        <v>2</v>
      </c>
      <c r="B3" s="38" t="s">
        <v>56</v>
      </c>
      <c r="C3" s="38" t="s">
        <v>57</v>
      </c>
      <c r="D3" s="38">
        <v>2604</v>
      </c>
      <c r="E3" s="38">
        <v>231.44</v>
      </c>
      <c r="F3" s="39">
        <f t="shared" si="0"/>
        <v>602669.76</v>
      </c>
      <c r="G3" s="40">
        <v>45170</v>
      </c>
      <c r="H3" s="40">
        <v>48457</v>
      </c>
      <c r="I3" s="38"/>
      <c r="J3" s="41"/>
    </row>
    <row r="4" spans="1:11" ht="75">
      <c r="A4" s="38">
        <v>3</v>
      </c>
      <c r="B4" s="38" t="s">
        <v>58</v>
      </c>
      <c r="C4" s="38" t="s">
        <v>59</v>
      </c>
      <c r="D4" s="38">
        <v>9619</v>
      </c>
      <c r="E4" s="42">
        <v>129</v>
      </c>
      <c r="F4" s="39">
        <f t="shared" si="0"/>
        <v>1240851</v>
      </c>
      <c r="G4" s="40">
        <v>45672</v>
      </c>
      <c r="H4" s="40">
        <v>47497</v>
      </c>
      <c r="I4" s="38" t="s">
        <v>60</v>
      </c>
      <c r="J4" s="41"/>
    </row>
    <row r="5" spans="1:11" ht="60">
      <c r="A5" s="38">
        <v>4</v>
      </c>
      <c r="B5" s="38" t="s">
        <v>61</v>
      </c>
      <c r="C5" s="38" t="s">
        <v>62</v>
      </c>
      <c r="D5" s="38">
        <v>9593</v>
      </c>
      <c r="E5" s="42">
        <v>90</v>
      </c>
      <c r="F5" s="39">
        <f t="shared" si="0"/>
        <v>863370</v>
      </c>
      <c r="G5" s="40">
        <v>44980</v>
      </c>
      <c r="H5" s="40">
        <v>48266</v>
      </c>
      <c r="I5" s="38"/>
      <c r="J5" s="41"/>
    </row>
    <row r="6" spans="1:11" ht="75">
      <c r="A6" s="38">
        <v>5</v>
      </c>
      <c r="B6" s="38" t="s">
        <v>63</v>
      </c>
      <c r="C6" s="38" t="s">
        <v>59</v>
      </c>
      <c r="D6" s="38">
        <v>2897</v>
      </c>
      <c r="E6" s="42">
        <v>129</v>
      </c>
      <c r="F6" s="39">
        <f t="shared" si="0"/>
        <v>373713</v>
      </c>
      <c r="G6" s="40">
        <v>45672</v>
      </c>
      <c r="H6" s="40">
        <v>47497</v>
      </c>
      <c r="I6" s="38" t="s">
        <v>60</v>
      </c>
      <c r="J6" s="41">
        <f>+F6+F4</f>
        <v>1614564</v>
      </c>
      <c r="K6" s="37">
        <f>+J6*12</f>
        <v>19374768</v>
      </c>
    </row>
    <row r="7" spans="1:11">
      <c r="A7" s="38">
        <v>6</v>
      </c>
      <c r="B7" s="38" t="s">
        <v>63</v>
      </c>
      <c r="C7" s="38" t="s">
        <v>26</v>
      </c>
      <c r="D7" s="38">
        <v>6634</v>
      </c>
      <c r="E7" s="43">
        <v>130</v>
      </c>
      <c r="F7" s="44">
        <f t="shared" si="0"/>
        <v>862420</v>
      </c>
      <c r="G7" s="40"/>
      <c r="H7" s="40"/>
      <c r="I7" s="38"/>
    </row>
    <row r="8" spans="1:11">
      <c r="A8" s="38"/>
      <c r="B8" s="38"/>
      <c r="C8" s="45" t="s">
        <v>0</v>
      </c>
      <c r="D8" s="45">
        <f>SUM(D2:D7)</f>
        <v>37118</v>
      </c>
      <c r="E8" s="38"/>
      <c r="F8" s="46">
        <f>SUM(F2:F7)</f>
        <v>5479010.0360000003</v>
      </c>
      <c r="G8" s="38"/>
      <c r="H8" s="38"/>
      <c r="I8" s="38"/>
    </row>
    <row r="9" spans="1:11">
      <c r="D9" s="37">
        <f>D8-D7</f>
        <v>30484</v>
      </c>
      <c r="F9" s="69">
        <f>F8*12</f>
        <v>65748120.432000004</v>
      </c>
    </row>
    <row r="10" spans="1:11">
      <c r="D10" s="37">
        <f>D8-D9</f>
        <v>6634</v>
      </c>
      <c r="F10" s="47">
        <f>F9/10^7</f>
        <v>6.5748120432000006</v>
      </c>
      <c r="G10" s="37">
        <f>834/75</f>
        <v>11.12</v>
      </c>
    </row>
    <row r="11" spans="1:11">
      <c r="H11" s="37">
        <f>75/834</f>
        <v>8.9928057553956831E-2</v>
      </c>
    </row>
    <row r="12" spans="1:11">
      <c r="F12" s="37">
        <f>D9*0.05</f>
        <v>1524.2</v>
      </c>
    </row>
    <row r="13" spans="1:11">
      <c r="D13" s="81"/>
    </row>
    <row r="14" spans="1:11">
      <c r="D14" s="81">
        <f>D8*20000</f>
        <v>742360000</v>
      </c>
    </row>
    <row r="15" spans="1:11">
      <c r="D15" s="47">
        <f>D14/10^7</f>
        <v>74.236000000000004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2"/>
  <sheetViews>
    <sheetView workbookViewId="0">
      <selection activeCell="D6" sqref="D6"/>
    </sheetView>
  </sheetViews>
  <sheetFormatPr defaultRowHeight="15"/>
  <cols>
    <col min="3" max="3" width="13.28515625" bestFit="1" customWidth="1"/>
    <col min="4" max="4" width="15.7109375" bestFit="1" customWidth="1"/>
    <col min="5" max="5" width="14.5703125" bestFit="1" customWidth="1"/>
    <col min="6" max="6" width="11.5703125" customWidth="1"/>
  </cols>
  <sheetData>
    <row r="3" spans="3:5">
      <c r="C3" s="75" t="s">
        <v>12</v>
      </c>
      <c r="E3" s="74"/>
    </row>
    <row r="4" spans="3:5">
      <c r="C4" s="8" t="s">
        <v>31</v>
      </c>
      <c r="D4" s="9"/>
      <c r="E4" s="20"/>
    </row>
    <row r="5" spans="3:5">
      <c r="C5" s="8" t="s">
        <v>34</v>
      </c>
      <c r="D5" s="9"/>
    </row>
    <row r="6" spans="3:5">
      <c r="C6" s="8" t="s">
        <v>35</v>
      </c>
      <c r="D6" s="9">
        <f>'Cost of Construction'!G10/10^7</f>
        <v>11.504730595649999</v>
      </c>
      <c r="E6" s="26" t="s">
        <v>37</v>
      </c>
    </row>
    <row r="7" spans="3:5">
      <c r="C7" s="8" t="s">
        <v>32</v>
      </c>
      <c r="D7" s="8">
        <v>65</v>
      </c>
      <c r="E7" s="71">
        <f>D6*D8</f>
        <v>1.1504730595649999</v>
      </c>
    </row>
    <row r="8" spans="3:5">
      <c r="C8" s="8" t="s">
        <v>36</v>
      </c>
      <c r="D8" s="27">
        <v>0.1</v>
      </c>
    </row>
    <row r="9" spans="3:5">
      <c r="C9" s="8" t="s">
        <v>33</v>
      </c>
      <c r="D9" s="28">
        <f>(1-D8)/D7</f>
        <v>1.3846153846153847E-2</v>
      </c>
    </row>
    <row r="10" spans="3:5">
      <c r="C10" s="8"/>
      <c r="D10" s="29">
        <f>D6*90%</f>
        <v>10.354257536084999</v>
      </c>
    </row>
    <row r="11" spans="3:5">
      <c r="C11" s="8"/>
      <c r="D11" s="9">
        <f>D10/D7</f>
        <v>0.15929626978592307</v>
      </c>
    </row>
    <row r="12" spans="3:5">
      <c r="C12" s="8"/>
      <c r="D12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Market Approach</vt:lpstr>
      <vt:lpstr>Model(Capitilization Rate)</vt:lpstr>
      <vt:lpstr>Model(60 Year projection)</vt:lpstr>
      <vt:lpstr>Security Deposit</vt:lpstr>
      <vt:lpstr>Maintainence Deposit</vt:lpstr>
      <vt:lpstr>Cost of Construction</vt:lpstr>
      <vt:lpstr>Lease. Rent</vt:lpstr>
      <vt:lpstr>Rent Shown By Company</vt:lpstr>
      <vt:lpstr> Dep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Eldeco</dc:creator>
  <cp:lastModifiedBy>Nischay Gautam</cp:lastModifiedBy>
  <dcterms:created xsi:type="dcterms:W3CDTF">2023-06-19T10:56:31Z</dcterms:created>
  <dcterms:modified xsi:type="dcterms:W3CDTF">2025-04-23T11:53:55Z</dcterms:modified>
</cp:coreProperties>
</file>