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6" windowHeight="7656" tabRatio="959" firstSheet="3" activeTab="3"/>
  </bookViews>
  <sheets>
    <sheet name="WFL Format-4" sheetId="50" state="hidden" r:id="rId1"/>
    <sheet name="Querydoubt" sheetId="69" state="hidden" r:id="rId2"/>
    <sheet name="GTL Format-4 (9)" sheetId="62" state="hidden" r:id="rId3"/>
    <sheet name="For uploading" sheetId="71" r:id="rId4"/>
    <sheet name="UID application COMBINE Mc list" sheetId="68" state="hidden" r:id="rId5"/>
    <sheet name="Format 4" sheetId="75" state="hidden" r:id="rId6"/>
    <sheet name="WFL JIT-Points" sheetId="56" state="hidden" r:id="rId7"/>
    <sheet name="WFL Preparation for JIT appli." sheetId="58" state="hidden" r:id="rId8"/>
    <sheet name="WFL Project-team" sheetId="59" state="hidden" r:id="rId9"/>
    <sheet name="WFL MOK" sheetId="60" state="hidden" r:id="rId10"/>
    <sheet name="WFL Format-4(9)-Vipul" sheetId="55" state="hidden" r:id="rId11"/>
    <sheet name="WFL Abhimanu-3-june-20" sheetId="61" state="hidden" r:id="rId12"/>
    <sheet name="Registration-Suppliers" sheetId="57" state="hidden" r:id="rId13"/>
    <sheet name="WFL Imported-MC-BE-Rate-value" sheetId="52" state="hidden" r:id="rId14"/>
    <sheet name="WFL Domestic-MC" sheetId="51" state="hidden" r:id="rId15"/>
    <sheet name="WFL Format-4 (2)" sheetId="53" state="hidden" r:id="rId16"/>
    <sheet name="MOM-26-11-2019" sheetId="54" state="hidden" r:id="rId17"/>
    <sheet name="Suppliers" sheetId="49" state="hidden" r:id="rId18"/>
    <sheet name="WFL P&amp;M-RR2" sheetId="48" state="hidden" r:id="rId19"/>
  </sheets>
  <definedNames>
    <definedName name="_xlnm._FilterDatabase" localSheetId="2" hidden="1">'GTL Format-4 (9)'!$C$4:$AU$26</definedName>
    <definedName name="_xlnm._FilterDatabase" localSheetId="15" hidden="1">'WFL Format-4 (2)'!$C$4:$AV$42</definedName>
    <definedName name="_xlnm._FilterDatabase" localSheetId="13" hidden="1">'WFL Imported-MC-BE-Rate-value'!$A$4:$AL$4</definedName>
    <definedName name="_xlnm.Print_Area" localSheetId="5">'Format 4'!$C$4:$Y$103</definedName>
  </definedNames>
  <calcPr calcId="162913"/>
</workbook>
</file>

<file path=xl/calcChain.xml><?xml version="1.0" encoding="utf-8"?>
<calcChain xmlns="http://schemas.openxmlformats.org/spreadsheetml/2006/main">
  <c r="M82" i="71" l="1"/>
  <c r="AL82" i="71"/>
  <c r="AN82" i="71"/>
  <c r="BB82" i="71"/>
  <c r="BC82" i="71"/>
  <c r="AK103" i="75"/>
  <c r="AZ103" i="75" s="1"/>
  <c r="AK100" i="75"/>
  <c r="AK97" i="75"/>
  <c r="AI97" i="75"/>
  <c r="F97" i="75"/>
  <c r="F80" i="75"/>
  <c r="E80" i="75"/>
  <c r="F78" i="75"/>
  <c r="E78" i="75"/>
  <c r="F76" i="75"/>
  <c r="E76" i="75"/>
  <c r="AK73" i="75"/>
  <c r="AI73" i="75"/>
  <c r="F73" i="75"/>
  <c r="E73" i="75"/>
  <c r="AV71" i="75"/>
  <c r="AK68" i="75"/>
  <c r="AI68" i="75"/>
  <c r="F68" i="75"/>
  <c r="E68" i="75"/>
  <c r="AK62" i="75"/>
  <c r="AK61" i="75" s="1"/>
  <c r="AI61" i="75"/>
  <c r="F61" i="75"/>
  <c r="F59" i="75"/>
  <c r="AI56" i="75"/>
  <c r="AK56" i="75"/>
  <c r="F56" i="75"/>
  <c r="E56" i="75"/>
  <c r="AI54" i="75"/>
  <c r="AI53" i="75"/>
  <c r="AK51" i="75"/>
  <c r="F51" i="75"/>
  <c r="F49" i="75"/>
  <c r="F46" i="75"/>
  <c r="AI43" i="75"/>
  <c r="AI41" i="75"/>
  <c r="AK34" i="75"/>
  <c r="F34" i="75"/>
  <c r="E34" i="75"/>
  <c r="AY32" i="75"/>
  <c r="AJ32" i="75"/>
  <c r="F32" i="75"/>
  <c r="E32" i="75"/>
  <c r="F25" i="75"/>
  <c r="E25" i="75"/>
  <c r="AL23" i="75"/>
  <c r="AM23" i="75" s="1"/>
  <c r="AJ23" i="75"/>
  <c r="F23" i="75"/>
  <c r="E23" i="75"/>
  <c r="D23" i="75"/>
  <c r="AJ21" i="75"/>
  <c r="AY20" i="75"/>
  <c r="AJ20" i="75"/>
  <c r="F20" i="75"/>
  <c r="E20" i="75"/>
  <c r="D20" i="75"/>
  <c r="G20" i="75" s="1"/>
  <c r="F18" i="75"/>
  <c r="E18" i="75"/>
  <c r="D18" i="75"/>
  <c r="AY16" i="75"/>
  <c r="AM16" i="75"/>
  <c r="AJ16" i="75"/>
  <c r="AY15" i="75"/>
  <c r="AM15" i="75"/>
  <c r="AJ15" i="75"/>
  <c r="AY14" i="75"/>
  <c r="AM14" i="75"/>
  <c r="AJ14" i="75"/>
  <c r="AY13" i="75"/>
  <c r="AM13" i="75"/>
  <c r="AJ13" i="75"/>
  <c r="AY12" i="75"/>
  <c r="AX12" i="75"/>
  <c r="AM12" i="75"/>
  <c r="AJ12" i="75"/>
  <c r="AK11" i="75"/>
  <c r="F11" i="75"/>
  <c r="E11" i="75"/>
  <c r="D11" i="75"/>
  <c r="G11" i="75" s="1"/>
  <c r="AY9" i="75"/>
  <c r="AK9" i="75"/>
  <c r="AY8" i="75"/>
  <c r="AJ8" i="75"/>
  <c r="AY7" i="75"/>
  <c r="AV7" i="75"/>
  <c r="AJ7" i="75"/>
  <c r="AJ6" i="75"/>
  <c r="F6" i="75"/>
  <c r="E6" i="75"/>
  <c r="D6" i="75"/>
  <c r="AI5" i="75"/>
  <c r="AS104" i="75" l="1"/>
  <c r="AT104" i="75" s="1"/>
  <c r="AI34" i="75"/>
  <c r="AJ11" i="75"/>
  <c r="AI51" i="75"/>
  <c r="AY103" i="75"/>
  <c r="BA103" i="75" s="1"/>
  <c r="BB103" i="75" s="1"/>
  <c r="BC103" i="75" s="1"/>
  <c r="AV98" i="75"/>
  <c r="AK108" i="75"/>
  <c r="AJ9" i="75"/>
  <c r="M107" i="71"/>
  <c r="AN134" i="71" l="1"/>
  <c r="AN137" i="71"/>
  <c r="AL137" i="71"/>
  <c r="AL134" i="71"/>
  <c r="AL4" i="71"/>
  <c r="AN57" i="71"/>
  <c r="AN71" i="71" s="1"/>
  <c r="AN38" i="71" l="1"/>
  <c r="BB109" i="75" l="1"/>
  <c r="BB107" i="75"/>
  <c r="AL66" i="71"/>
  <c r="AL64" i="71"/>
  <c r="BB110" i="75" l="1"/>
  <c r="AL176" i="71"/>
  <c r="M160" i="71"/>
  <c r="M165" i="71" s="1"/>
  <c r="AN157" i="71"/>
  <c r="M139" i="71"/>
  <c r="M157" i="71" s="1"/>
  <c r="M134" i="71"/>
  <c r="AN95" i="71"/>
  <c r="AN102" i="71" s="1"/>
  <c r="AN84" i="71"/>
  <c r="AN93" i="71" s="1"/>
  <c r="AN78" i="71"/>
  <c r="AL78" i="71"/>
  <c r="M78" i="71"/>
  <c r="M57" i="71" l="1"/>
  <c r="M71" i="71" s="1"/>
  <c r="M84" i="71"/>
  <c r="M93" i="71"/>
  <c r="M72" i="71"/>
  <c r="AL57" i="71"/>
  <c r="AL71" i="71" s="1"/>
  <c r="AN55" i="71"/>
  <c r="AN47" i="71"/>
  <c r="AL47" i="71"/>
  <c r="O34" i="71"/>
  <c r="O38" i="71" s="1"/>
  <c r="AN32" i="71"/>
  <c r="AN14" i="71"/>
  <c r="AN23" i="71" s="1"/>
  <c r="K14" i="71"/>
  <c r="O5" i="71"/>
  <c r="H5" i="71"/>
  <c r="H12" i="71" s="1"/>
  <c r="AN160" i="71" l="1"/>
  <c r="AN165" i="71" s="1"/>
  <c r="AL160" i="71"/>
  <c r="AL165" i="71" s="1"/>
  <c r="AL127" i="71"/>
  <c r="AL131" i="71" s="1"/>
  <c r="AL118" i="71"/>
  <c r="AL125" i="71" s="1"/>
  <c r="AN118" i="71"/>
  <c r="AN125" i="71" s="1"/>
  <c r="AL107" i="71"/>
  <c r="AL116" i="71" s="1"/>
  <c r="BA12" i="71" l="1"/>
  <c r="AN170" i="71"/>
  <c r="AN166" i="71"/>
  <c r="AN176" i="71" s="1"/>
  <c r="E5" i="71" l="1"/>
  <c r="G5" i="71"/>
  <c r="K5" i="71"/>
  <c r="AM5" i="71"/>
  <c r="AM6" i="71"/>
  <c r="M7" i="71"/>
  <c r="N7" i="71"/>
  <c r="N8" i="71" s="1"/>
  <c r="AM7" i="71"/>
  <c r="AY7" i="71"/>
  <c r="BB7" i="71"/>
  <c r="M8" i="71"/>
  <c r="AM8" i="71"/>
  <c r="BB8" i="71"/>
  <c r="M9" i="71"/>
  <c r="AN9" i="71"/>
  <c r="BB9" i="71"/>
  <c r="AL10" i="71"/>
  <c r="AN10" i="71"/>
  <c r="AM10" i="71" s="1"/>
  <c r="E14" i="71"/>
  <c r="I14" i="71" s="1"/>
  <c r="G14" i="71"/>
  <c r="H14" i="71"/>
  <c r="H23" i="71" s="1"/>
  <c r="AM14" i="71"/>
  <c r="O15" i="71"/>
  <c r="AM15" i="71"/>
  <c r="AP15" i="71"/>
  <c r="BA15" i="71"/>
  <c r="BB15" i="71"/>
  <c r="O16" i="71"/>
  <c r="AM16" i="71"/>
  <c r="AP16" i="71"/>
  <c r="BB16" i="71"/>
  <c r="O17" i="71"/>
  <c r="AM17" i="71"/>
  <c r="AP17" i="71"/>
  <c r="BB17" i="71"/>
  <c r="O18" i="71"/>
  <c r="AM18" i="71"/>
  <c r="AP18" i="71"/>
  <c r="BB18" i="71"/>
  <c r="M19" i="71"/>
  <c r="AM19" i="71"/>
  <c r="AP19" i="71"/>
  <c r="BB19" i="71"/>
  <c r="M20" i="71"/>
  <c r="O20" i="71" s="1"/>
  <c r="M21" i="71"/>
  <c r="O21" i="71" s="1"/>
  <c r="AM21" i="71"/>
  <c r="AP21" i="71"/>
  <c r="BB21" i="71"/>
  <c r="M22" i="71"/>
  <c r="O22" i="71" s="1"/>
  <c r="N22" i="71"/>
  <c r="E25" i="71"/>
  <c r="G25" i="71"/>
  <c r="H25" i="71"/>
  <c r="H27" i="71" s="1"/>
  <c r="M27" i="71"/>
  <c r="O27" i="71"/>
  <c r="AN27" i="71"/>
  <c r="E29" i="71"/>
  <c r="I29" i="71" s="1"/>
  <c r="G29" i="71"/>
  <c r="H29" i="71"/>
  <c r="O29" i="71"/>
  <c r="AM29" i="71"/>
  <c r="BB29" i="71"/>
  <c r="BB32" i="71" s="1"/>
  <c r="M30" i="71"/>
  <c r="O30" i="71" s="1"/>
  <c r="AM30" i="71"/>
  <c r="BC32" i="71"/>
  <c r="E34" i="71"/>
  <c r="G34" i="71"/>
  <c r="H34" i="71"/>
  <c r="AM34" i="71"/>
  <c r="AO34" i="71"/>
  <c r="AP34" i="71" s="1"/>
  <c r="M35" i="71"/>
  <c r="O35" i="71" s="1"/>
  <c r="AM35" i="71"/>
  <c r="AP35" i="71"/>
  <c r="M36" i="71"/>
  <c r="O36" i="71" s="1"/>
  <c r="BB36" i="71"/>
  <c r="BB38" i="71" s="1"/>
  <c r="BC38" i="71"/>
  <c r="F40" i="71"/>
  <c r="G40" i="71"/>
  <c r="H40" i="71"/>
  <c r="K40" i="71"/>
  <c r="M41" i="71"/>
  <c r="M42" i="71"/>
  <c r="M43" i="71"/>
  <c r="M44" i="71"/>
  <c r="M45" i="71"/>
  <c r="M46" i="71"/>
  <c r="BC47" i="71"/>
  <c r="F52" i="71"/>
  <c r="I52" i="71" s="1"/>
  <c r="G52" i="71"/>
  <c r="H52" i="71"/>
  <c r="H55" i="71" s="1"/>
  <c r="BA55" i="71" s="1"/>
  <c r="O52" i="71"/>
  <c r="O55" i="71" s="1"/>
  <c r="AM52" i="71"/>
  <c r="BB52" i="71"/>
  <c r="BB55" i="71" s="1"/>
  <c r="AM53" i="71"/>
  <c r="BC55" i="71"/>
  <c r="F57" i="71"/>
  <c r="I57" i="71" s="1"/>
  <c r="G57" i="71"/>
  <c r="H57" i="71"/>
  <c r="K57" i="71"/>
  <c r="BB71" i="71"/>
  <c r="F73" i="71"/>
  <c r="H73" i="71"/>
  <c r="H78" i="71" s="1"/>
  <c r="BA78" i="71" s="1"/>
  <c r="BB78" i="71"/>
  <c r="BC78" i="71"/>
  <c r="F80" i="71"/>
  <c r="I80" i="71" s="1"/>
  <c r="H80" i="71"/>
  <c r="H82" i="71" s="1"/>
  <c r="BA82" i="71" s="1"/>
  <c r="BD82" i="71" s="1"/>
  <c r="BE82" i="71" s="1"/>
  <c r="BF82" i="71" s="1"/>
  <c r="F84" i="71"/>
  <c r="H84" i="71"/>
  <c r="H93" i="71" s="1"/>
  <c r="BA93" i="71" s="1"/>
  <c r="K84" i="71"/>
  <c r="BB93" i="71"/>
  <c r="AL86" i="71"/>
  <c r="AL87" i="71"/>
  <c r="AL88" i="71"/>
  <c r="F95" i="71"/>
  <c r="G95" i="71"/>
  <c r="H95" i="71"/>
  <c r="H102" i="71" s="1"/>
  <c r="BA102" i="71" s="1"/>
  <c r="K95" i="71"/>
  <c r="M95" i="71"/>
  <c r="M102" i="71" s="1"/>
  <c r="BB102" i="71" s="1"/>
  <c r="AL97" i="71"/>
  <c r="AL95" i="71" s="1"/>
  <c r="AL102" i="71" s="1"/>
  <c r="F104" i="71"/>
  <c r="H104" i="71"/>
  <c r="H105" i="71" s="1"/>
  <c r="M105" i="71"/>
  <c r="AN105" i="71"/>
  <c r="F107" i="71"/>
  <c r="H107" i="71"/>
  <c r="H116" i="71" s="1"/>
  <c r="M116" i="71"/>
  <c r="AN108" i="71"/>
  <c r="AN107" i="71" s="1"/>
  <c r="AN116" i="71" s="1"/>
  <c r="F118" i="71"/>
  <c r="G118" i="71"/>
  <c r="H118" i="71"/>
  <c r="H125" i="71" s="1"/>
  <c r="BA125" i="71" s="1"/>
  <c r="K118" i="71"/>
  <c r="M118" i="71"/>
  <c r="M125" i="71" s="1"/>
  <c r="BB125" i="71" s="1"/>
  <c r="BD125" i="71" s="1"/>
  <c r="BE125" i="71" s="1"/>
  <c r="BC125" i="71"/>
  <c r="AY121" i="71"/>
  <c r="F127" i="71"/>
  <c r="G127" i="71"/>
  <c r="H127" i="71"/>
  <c r="H131" i="71" s="1"/>
  <c r="M127" i="71"/>
  <c r="M131" i="71" s="1"/>
  <c r="AN129" i="71"/>
  <c r="AN127" i="71" s="1"/>
  <c r="AN131" i="71" s="1"/>
  <c r="F133" i="71"/>
  <c r="G133" i="71"/>
  <c r="H133" i="71"/>
  <c r="H134" i="71" s="1"/>
  <c r="BA134" i="71" s="1"/>
  <c r="BB134" i="71"/>
  <c r="BD134" i="71" s="1"/>
  <c r="BE134" i="71" s="1"/>
  <c r="BF134" i="71" s="1"/>
  <c r="BC134" i="71"/>
  <c r="F136" i="71"/>
  <c r="G136" i="71"/>
  <c r="H136" i="71"/>
  <c r="H137" i="71" s="1"/>
  <c r="M137" i="71"/>
  <c r="F139" i="71"/>
  <c r="I139" i="71" s="1"/>
  <c r="G139" i="71"/>
  <c r="H139" i="71"/>
  <c r="BB157" i="71"/>
  <c r="AL155" i="71"/>
  <c r="F160" i="71"/>
  <c r="H160" i="71"/>
  <c r="H165" i="71" s="1"/>
  <c r="BA165" i="71" s="1"/>
  <c r="K160" i="71"/>
  <c r="BB165" i="71"/>
  <c r="BC165" i="71"/>
  <c r="M171" i="71"/>
  <c r="L180" i="71"/>
  <c r="O180" i="71"/>
  <c r="AE180" i="71"/>
  <c r="AV180" i="71"/>
  <c r="AW180" i="71"/>
  <c r="O178" i="71"/>
  <c r="AN178" i="71"/>
  <c r="BB178" i="71" s="1"/>
  <c r="O32" i="71" l="1"/>
  <c r="M47" i="71"/>
  <c r="AL157" i="71"/>
  <c r="BC157" i="71" s="1"/>
  <c r="AM9" i="71"/>
  <c r="AN12" i="71"/>
  <c r="AN180" i="71" s="1"/>
  <c r="AN185" i="71" s="1"/>
  <c r="AL84" i="71"/>
  <c r="AL93" i="71" s="1"/>
  <c r="M10" i="71"/>
  <c r="AL12" i="71"/>
  <c r="O19" i="71"/>
  <c r="O14" i="71" s="1"/>
  <c r="M14" i="71"/>
  <c r="M23" i="71" s="1"/>
  <c r="H38" i="71"/>
  <c r="BA38" i="71" s="1"/>
  <c r="BD38" i="71" s="1"/>
  <c r="BE38" i="71" s="1"/>
  <c r="BF38" i="71" s="1"/>
  <c r="H32" i="71"/>
  <c r="BA47" i="71"/>
  <c r="H47" i="71"/>
  <c r="BA157" i="71"/>
  <c r="BD157" i="71" s="1"/>
  <c r="BE157" i="71" s="1"/>
  <c r="H157" i="71"/>
  <c r="H71" i="71"/>
  <c r="BA71" i="71" s="1"/>
  <c r="BB10" i="71"/>
  <c r="O8" i="71"/>
  <c r="AV181" i="71"/>
  <c r="AW181" i="71" s="1"/>
  <c r="BC102" i="71"/>
  <c r="BD102" i="71" s="1"/>
  <c r="BE102" i="71" s="1"/>
  <c r="P95" i="71"/>
  <c r="BC93" i="71"/>
  <c r="BD93" i="71" s="1"/>
  <c r="BE93" i="71" s="1"/>
  <c r="BD78" i="71"/>
  <c r="BE78" i="71" s="1"/>
  <c r="M40" i="71"/>
  <c r="BB47" i="71" s="1"/>
  <c r="BD47" i="71" s="1"/>
  <c r="BE47" i="71" s="1"/>
  <c r="BC71" i="71"/>
  <c r="BC23" i="71"/>
  <c r="BF125" i="71"/>
  <c r="BB23" i="71"/>
  <c r="BD55" i="71"/>
  <c r="BE55" i="71" s="1"/>
  <c r="AY122" i="71"/>
  <c r="BA122" i="71" s="1"/>
  <c r="BB12" i="71"/>
  <c r="BD165" i="71"/>
  <c r="BE165" i="71" s="1"/>
  <c r="M5" i="71"/>
  <c r="BA23" i="71"/>
  <c r="O7" i="71"/>
  <c r="BC178" i="71"/>
  <c r="BD178" i="71" s="1"/>
  <c r="BE178" i="71" s="1"/>
  <c r="AY161" i="71"/>
  <c r="N9" i="71"/>
  <c r="N10" i="71" s="1"/>
  <c r="O10" i="71" l="1"/>
  <c r="BC12" i="71"/>
  <c r="H180" i="71"/>
  <c r="BB180" i="71"/>
  <c r="O9" i="71"/>
  <c r="O12" i="71" s="1"/>
  <c r="BD71" i="71"/>
  <c r="BE71" i="71" s="1"/>
  <c r="BF71" i="71" s="1"/>
  <c r="BF180" i="71" s="1"/>
  <c r="BA32" i="71"/>
  <c r="BD32" i="71" s="1"/>
  <c r="BE32" i="71" s="1"/>
  <c r="N14" i="71"/>
  <c r="O23" i="71"/>
  <c r="BD12" i="71"/>
  <c r="BE12" i="71" s="1"/>
  <c r="BC180" i="71"/>
  <c r="BF178" i="71"/>
  <c r="BG23" i="71"/>
  <c r="BA180" i="71"/>
  <c r="BD23" i="71"/>
  <c r="BE23" i="71" s="1"/>
  <c r="BD180" i="71" l="1"/>
  <c r="BE180" i="71"/>
  <c r="M40" i="68"/>
  <c r="BE186" i="71" l="1"/>
  <c r="BE184" i="71"/>
  <c r="K35" i="68"/>
  <c r="K32" i="68"/>
  <c r="K25" i="68"/>
  <c r="BE187" i="71" l="1"/>
  <c r="F82" i="62"/>
  <c r="I82" i="62" s="1"/>
  <c r="K17" i="62"/>
  <c r="F130" i="62"/>
  <c r="H127" i="62"/>
  <c r="H128" i="62" s="1"/>
  <c r="AW10" i="62"/>
  <c r="N10" i="62"/>
  <c r="N11" i="62"/>
  <c r="N12" i="62"/>
  <c r="N13" i="62"/>
  <c r="M12" i="62"/>
  <c r="M11" i="62"/>
  <c r="M10" i="62"/>
  <c r="O10" i="62"/>
  <c r="K8" i="62"/>
  <c r="AM10" i="62"/>
  <c r="AM9" i="62"/>
  <c r="AN159" i="62"/>
  <c r="AL159" i="62"/>
  <c r="O11" i="62"/>
  <c r="O12" i="62"/>
  <c r="AN79" i="62"/>
  <c r="AN80" i="62"/>
  <c r="AL80" i="62"/>
  <c r="M80" i="62"/>
  <c r="AN151" i="62"/>
  <c r="AN112" i="62"/>
  <c r="AL112" i="62"/>
  <c r="AL88" i="62"/>
  <c r="AL89" i="62"/>
  <c r="AL90" i="62"/>
  <c r="AL98" i="62"/>
  <c r="AL96" i="62"/>
  <c r="AN86" i="62"/>
  <c r="AN94" i="62"/>
  <c r="AN96" i="62"/>
  <c r="AN60" i="62"/>
  <c r="AN73" i="62"/>
  <c r="AN50" i="62"/>
  <c r="AL50" i="62"/>
  <c r="AN58" i="62"/>
  <c r="AL58" i="62"/>
  <c r="AL149" i="62"/>
  <c r="AL151" i="62"/>
  <c r="AL69" i="62"/>
  <c r="AL67" i="62"/>
  <c r="M44" i="62"/>
  <c r="M45" i="62"/>
  <c r="M46" i="62"/>
  <c r="M47" i="62"/>
  <c r="M48" i="62"/>
  <c r="M49" i="62"/>
  <c r="M154" i="62"/>
  <c r="M159" i="62"/>
  <c r="M133" i="62"/>
  <c r="M151" i="62"/>
  <c r="H130" i="62"/>
  <c r="H131" i="62" s="1"/>
  <c r="M131" i="62"/>
  <c r="M128" i="62"/>
  <c r="M105" i="62"/>
  <c r="M112" i="62"/>
  <c r="AN103" i="62"/>
  <c r="M103" i="62"/>
  <c r="H102" i="62"/>
  <c r="H103" i="62" s="1"/>
  <c r="D10" i="69"/>
  <c r="D11" i="69"/>
  <c r="F133" i="62"/>
  <c r="I133" i="62" s="1"/>
  <c r="G9" i="69"/>
  <c r="F9" i="69"/>
  <c r="E9" i="69"/>
  <c r="D9" i="69"/>
  <c r="F43" i="62"/>
  <c r="E4" i="69" s="1"/>
  <c r="M122" i="62"/>
  <c r="D8" i="69"/>
  <c r="D6" i="69"/>
  <c r="E5" i="69"/>
  <c r="D5" i="69"/>
  <c r="D4" i="69"/>
  <c r="O37" i="62"/>
  <c r="E3" i="69"/>
  <c r="G37" i="62"/>
  <c r="D3" i="69" s="1"/>
  <c r="E32" i="62"/>
  <c r="I32" i="62" s="1"/>
  <c r="K43" i="62"/>
  <c r="AN122" i="62"/>
  <c r="AN125" i="62"/>
  <c r="AL122" i="62"/>
  <c r="AL125" i="62"/>
  <c r="M125" i="62"/>
  <c r="AL154" i="62"/>
  <c r="K154" i="62"/>
  <c r="G122" i="62"/>
  <c r="G127" i="62"/>
  <c r="G130" i="62"/>
  <c r="G133" i="62"/>
  <c r="F154" i="62"/>
  <c r="F127" i="62"/>
  <c r="F122" i="62"/>
  <c r="AL114" i="62"/>
  <c r="AL120" i="62"/>
  <c r="AN114" i="62"/>
  <c r="AN120" i="62"/>
  <c r="M114" i="62"/>
  <c r="M120" i="62"/>
  <c r="K114" i="62"/>
  <c r="F114" i="62"/>
  <c r="F105" i="62"/>
  <c r="F102" i="62"/>
  <c r="M96" i="62"/>
  <c r="M100" i="62"/>
  <c r="K96" i="62"/>
  <c r="H96" i="62"/>
  <c r="H100" i="62" s="1"/>
  <c r="G96" i="62"/>
  <c r="F96" i="62"/>
  <c r="M86" i="62"/>
  <c r="M94" i="62"/>
  <c r="K86" i="62"/>
  <c r="H86" i="62"/>
  <c r="H94" i="62" s="1"/>
  <c r="F86" i="62"/>
  <c r="AL84" i="62"/>
  <c r="M84" i="62"/>
  <c r="AN84" i="62"/>
  <c r="H82" i="62"/>
  <c r="H84" i="62" s="1"/>
  <c r="H75" i="62"/>
  <c r="H80" i="62" s="1"/>
  <c r="F75" i="62"/>
  <c r="AL60" i="62"/>
  <c r="AL73" i="62"/>
  <c r="M60" i="62"/>
  <c r="M73" i="62"/>
  <c r="K60" i="62"/>
  <c r="F60" i="62"/>
  <c r="I60" i="62" s="1"/>
  <c r="AM11" i="62"/>
  <c r="AM8" i="62"/>
  <c r="AM56" i="62"/>
  <c r="AM55" i="62"/>
  <c r="O55" i="62"/>
  <c r="O58" i="62"/>
  <c r="G43" i="62"/>
  <c r="G55" i="62"/>
  <c r="F55" i="62"/>
  <c r="I55" i="62" s="1"/>
  <c r="AN41" i="62"/>
  <c r="AP38" i="62"/>
  <c r="AO37" i="62"/>
  <c r="AP37" i="62"/>
  <c r="AM37" i="62"/>
  <c r="AM38" i="62"/>
  <c r="M39" i="62"/>
  <c r="O39" i="62"/>
  <c r="M38" i="62"/>
  <c r="O38" i="62"/>
  <c r="E37" i="62"/>
  <c r="AN35" i="62"/>
  <c r="AM33" i="62"/>
  <c r="AM32" i="62"/>
  <c r="O32" i="62"/>
  <c r="M33" i="62"/>
  <c r="O33" i="62"/>
  <c r="AN30" i="62"/>
  <c r="O30" i="62"/>
  <c r="M30" i="62"/>
  <c r="H28" i="62"/>
  <c r="H30" i="62" s="1"/>
  <c r="G28" i="62"/>
  <c r="E28" i="62"/>
  <c r="AP24" i="62"/>
  <c r="AP22" i="62"/>
  <c r="AP21" i="62"/>
  <c r="AP20" i="62"/>
  <c r="AP19" i="62"/>
  <c r="AP18" i="62"/>
  <c r="AM24" i="62"/>
  <c r="AM21" i="62"/>
  <c r="AM22" i="62"/>
  <c r="AM20" i="62"/>
  <c r="AN17" i="62"/>
  <c r="AM17" i="62"/>
  <c r="AM19" i="62"/>
  <c r="AM18" i="62"/>
  <c r="N25" i="62"/>
  <c r="M25" i="62"/>
  <c r="M24" i="62"/>
  <c r="O24" i="62"/>
  <c r="M23" i="62"/>
  <c r="O23" i="62"/>
  <c r="M22" i="62"/>
  <c r="O18" i="62"/>
  <c r="O21" i="62"/>
  <c r="O20" i="62"/>
  <c r="O19" i="62"/>
  <c r="E17" i="62"/>
  <c r="I17" i="62" s="1"/>
  <c r="AN12" i="62"/>
  <c r="AM12" i="62"/>
  <c r="AN13" i="62"/>
  <c r="AM13" i="62"/>
  <c r="AL13" i="62"/>
  <c r="O8" i="62"/>
  <c r="H8" i="62"/>
  <c r="H15" i="62" s="1"/>
  <c r="G8" i="62"/>
  <c r="E8" i="62"/>
  <c r="H106" i="68"/>
  <c r="G106" i="68"/>
  <c r="H103" i="68"/>
  <c r="G103" i="68"/>
  <c r="H102" i="68"/>
  <c r="G102" i="68"/>
  <c r="H99" i="68"/>
  <c r="G99" i="68"/>
  <c r="H81" i="68"/>
  <c r="H117" i="68" s="1"/>
  <c r="G81" i="68"/>
  <c r="H78" i="68"/>
  <c r="G78" i="68"/>
  <c r="G117" i="68" s="1"/>
  <c r="A71" i="68"/>
  <c r="A72" i="68" s="1"/>
  <c r="A73" i="68" s="1"/>
  <c r="A74" i="68" s="1"/>
  <c r="A75" i="68" s="1"/>
  <c r="A77" i="68" s="1"/>
  <c r="A78" i="68" s="1"/>
  <c r="A79" i="68" s="1"/>
  <c r="A80" i="68" s="1"/>
  <c r="A81" i="68" s="1"/>
  <c r="A83" i="68" s="1"/>
  <c r="A85" i="68" s="1"/>
  <c r="A86" i="68" s="1"/>
  <c r="A87" i="68" s="1"/>
  <c r="A89" i="68" s="1"/>
  <c r="A90" i="68" s="1"/>
  <c r="A91" i="68" s="1"/>
  <c r="A92" i="68" s="1"/>
  <c r="A93" i="68" s="1"/>
  <c r="A94" i="68" s="1"/>
  <c r="A95" i="68" s="1"/>
  <c r="A96" i="68" s="1"/>
  <c r="A97" i="68" s="1"/>
  <c r="A99" i="68" s="1"/>
  <c r="A100" i="68" s="1"/>
  <c r="A101" i="68" s="1"/>
  <c r="A102" i="68" s="1"/>
  <c r="A103" i="68" s="1"/>
  <c r="A104" i="68" s="1"/>
  <c r="A105" i="68" s="1"/>
  <c r="A106" i="68" s="1"/>
  <c r="A107" i="68" s="1"/>
  <c r="A109" i="68" s="1"/>
  <c r="A110" i="68" s="1"/>
  <c r="A111" i="68" s="1"/>
  <c r="A112" i="68" s="1"/>
  <c r="A113" i="68" s="1"/>
  <c r="A114" i="68" s="1"/>
  <c r="B66" i="68"/>
  <c r="C66" i="68"/>
  <c r="D66" i="68"/>
  <c r="E66" i="68" s="1"/>
  <c r="F66" i="68" s="1"/>
  <c r="G66" i="68" s="1"/>
  <c r="H66" i="68" s="1"/>
  <c r="O66" i="68" s="1"/>
  <c r="AB42" i="68"/>
  <c r="AD42" i="68"/>
  <c r="H42" i="68"/>
  <c r="G42" i="68"/>
  <c r="D42" i="68"/>
  <c r="AB41" i="68"/>
  <c r="AD41" i="68"/>
  <c r="H41" i="68"/>
  <c r="H133" i="62"/>
  <c r="H151" i="62" s="1"/>
  <c r="G41" i="68"/>
  <c r="AG40" i="68"/>
  <c r="AG39" i="68"/>
  <c r="H38" i="68"/>
  <c r="G38" i="68"/>
  <c r="AB37" i="68"/>
  <c r="AD37" i="68"/>
  <c r="H37" i="68"/>
  <c r="G37" i="68"/>
  <c r="D37" i="68"/>
  <c r="G114" i="62"/>
  <c r="H36" i="68"/>
  <c r="H105" i="62"/>
  <c r="H112" i="62"/>
  <c r="G36" i="68"/>
  <c r="AG35" i="68"/>
  <c r="AG34" i="68"/>
  <c r="AD34" i="68"/>
  <c r="AG33" i="68"/>
  <c r="AD33" i="68"/>
  <c r="AG32" i="68"/>
  <c r="AD32" i="68"/>
  <c r="AG31" i="68"/>
  <c r="AD31" i="68"/>
  <c r="H30" i="68"/>
  <c r="G30" i="68"/>
  <c r="D30" i="68"/>
  <c r="G60" i="62" s="1"/>
  <c r="AD29" i="68"/>
  <c r="H29" i="68"/>
  <c r="H55" i="62" s="1"/>
  <c r="H58" i="62" s="1"/>
  <c r="G29" i="68"/>
  <c r="AB28" i="68"/>
  <c r="AD28" i="68"/>
  <c r="H28" i="68"/>
  <c r="AG28" i="68" s="1"/>
  <c r="G28" i="68"/>
  <c r="AB27" i="68"/>
  <c r="AD27" i="68"/>
  <c r="H27" i="68"/>
  <c r="G27" i="68"/>
  <c r="AB26" i="68"/>
  <c r="AD26" i="68" s="1"/>
  <c r="AD43" i="68" s="1"/>
  <c r="H26" i="68"/>
  <c r="G26" i="68"/>
  <c r="D26" i="68"/>
  <c r="G32" i="62"/>
  <c r="AG25" i="68"/>
  <c r="AB24" i="68"/>
  <c r="AD24" i="68"/>
  <c r="AF24" i="68"/>
  <c r="H24" i="68"/>
  <c r="H17" i="62"/>
  <c r="H26" i="62" s="1"/>
  <c r="G24" i="68"/>
  <c r="D24" i="68"/>
  <c r="G17" i="62"/>
  <c r="A24" i="68"/>
  <c r="A25" i="68"/>
  <c r="A26" i="68" s="1"/>
  <c r="A27" i="68" s="1"/>
  <c r="A28" i="68" s="1"/>
  <c r="A29" i="68" s="1"/>
  <c r="A30" i="68" s="1"/>
  <c r="A31" i="68" s="1"/>
  <c r="A32" i="68" s="1"/>
  <c r="A33" i="68" s="1"/>
  <c r="A34" i="68" s="1"/>
  <c r="A35" i="68" s="1"/>
  <c r="A36" i="68" s="1"/>
  <c r="A37" i="68" s="1"/>
  <c r="A38" i="68" s="1"/>
  <c r="A39" i="68" s="1"/>
  <c r="A40" i="68" s="1"/>
  <c r="A41" i="68" s="1"/>
  <c r="A42" i="68" s="1"/>
  <c r="AM23" i="68"/>
  <c r="AG23" i="68"/>
  <c r="AK23" i="68" s="1"/>
  <c r="AD23" i="68"/>
  <c r="B21" i="68"/>
  <c r="C21" i="68"/>
  <c r="D21" i="68" s="1"/>
  <c r="E21" i="68" s="1"/>
  <c r="F21" i="68" s="1"/>
  <c r="G21" i="68" s="1"/>
  <c r="H21" i="68" s="1"/>
  <c r="O21" i="68" s="1"/>
  <c r="P21" i="68" s="1"/>
  <c r="Q21" i="68" s="1"/>
  <c r="R21" i="68" s="1"/>
  <c r="S21" i="68" s="1"/>
  <c r="T21" i="68" s="1"/>
  <c r="U21" i="68" s="1"/>
  <c r="V21" i="68" s="1"/>
  <c r="W21" i="68" s="1"/>
  <c r="AL16" i="68"/>
  <c r="AM15" i="68"/>
  <c r="AM16" i="68"/>
  <c r="AE163" i="62"/>
  <c r="L163" i="62"/>
  <c r="O163" i="62"/>
  <c r="AV163" i="62"/>
  <c r="E6" i="62"/>
  <c r="F6" i="62"/>
  <c r="G6" i="62"/>
  <c r="H6" i="62"/>
  <c r="I6" i="62"/>
  <c r="J6" i="62"/>
  <c r="K6" i="62"/>
  <c r="L6" i="62"/>
  <c r="P6" i="62"/>
  <c r="Q6" i="62"/>
  <c r="R6" i="62"/>
  <c r="S6" i="62"/>
  <c r="T6" i="62"/>
  <c r="U6" i="62"/>
  <c r="V6" i="62"/>
  <c r="W6" i="62"/>
  <c r="Y6" i="62"/>
  <c r="Z6" i="62"/>
  <c r="AA6" i="62"/>
  <c r="AB6" i="62"/>
  <c r="AC6" i="62"/>
  <c r="AD6" i="62"/>
  <c r="AE6" i="62"/>
  <c r="AF6" i="62"/>
  <c r="AG6" i="62"/>
  <c r="AH6" i="62"/>
  <c r="AI6" i="62"/>
  <c r="AJ6" i="62"/>
  <c r="AK6" i="62"/>
  <c r="AL6" i="62"/>
  <c r="AM6" i="62"/>
  <c r="AN6" i="62"/>
  <c r="AO6" i="62"/>
  <c r="AP6" i="62"/>
  <c r="AQ6" i="62"/>
  <c r="AR6" i="62"/>
  <c r="AS6" i="62"/>
  <c r="AT6" i="62"/>
  <c r="AU6" i="62"/>
  <c r="AW163" i="62"/>
  <c r="G26" i="61"/>
  <c r="H25" i="61"/>
  <c r="J25" i="61"/>
  <c r="J24" i="61"/>
  <c r="J23" i="61"/>
  <c r="J22" i="61"/>
  <c r="J20" i="61"/>
  <c r="H18" i="61"/>
  <c r="G18" i="61"/>
  <c r="I17" i="61"/>
  <c r="J17" i="61"/>
  <c r="J15" i="61"/>
  <c r="J14" i="61"/>
  <c r="J13" i="61"/>
  <c r="J12" i="61"/>
  <c r="J10" i="61"/>
  <c r="J9" i="61"/>
  <c r="J8" i="61"/>
  <c r="I8" i="61"/>
  <c r="I18" i="61"/>
  <c r="J7" i="61"/>
  <c r="J6" i="61"/>
  <c r="J5" i="61"/>
  <c r="J4" i="61"/>
  <c r="G30" i="61"/>
  <c r="I26" i="61"/>
  <c r="J2" i="61"/>
  <c r="O87" i="52"/>
  <c r="J87" i="52"/>
  <c r="AB42" i="52"/>
  <c r="X30" i="52"/>
  <c r="AB41" i="52"/>
  <c r="A19" i="52"/>
  <c r="D25" i="55"/>
  <c r="A14" i="52"/>
  <c r="A15" i="52"/>
  <c r="A16" i="52"/>
  <c r="G37" i="55"/>
  <c r="AD37" i="55"/>
  <c r="C74" i="60"/>
  <c r="A46" i="60"/>
  <c r="A48" i="60"/>
  <c r="A50" i="60"/>
  <c r="A52" i="60"/>
  <c r="A53" i="60"/>
  <c r="A54" i="60"/>
  <c r="A55" i="60"/>
  <c r="A56" i="60"/>
  <c r="A57" i="60"/>
  <c r="A58" i="60"/>
  <c r="A59" i="60"/>
  <c r="A61" i="60"/>
  <c r="A62" i="60"/>
  <c r="A66" i="60"/>
  <c r="A67" i="60"/>
  <c r="A68" i="60"/>
  <c r="A69" i="60"/>
  <c r="A70" i="60"/>
  <c r="A71" i="60"/>
  <c r="A72" i="60"/>
  <c r="A73" i="60"/>
  <c r="AE75" i="55"/>
  <c r="AE74" i="55"/>
  <c r="AE73" i="55"/>
  <c r="AE77" i="55"/>
  <c r="AE72" i="55"/>
  <c r="AD76" i="55"/>
  <c r="AD77" i="55"/>
  <c r="AD67" i="55"/>
  <c r="Z67" i="55"/>
  <c r="B9" i="58"/>
  <c r="B10" i="58"/>
  <c r="X28" i="55"/>
  <c r="AB28" i="55"/>
  <c r="X41" i="55"/>
  <c r="X40" i="55"/>
  <c r="Z40" i="55"/>
  <c r="X38" i="55"/>
  <c r="AB38" i="55"/>
  <c r="V36" i="55"/>
  <c r="V35" i="55"/>
  <c r="X26" i="55"/>
  <c r="AB26" i="55"/>
  <c r="X25" i="55"/>
  <c r="Z25" i="55"/>
  <c r="X22" i="55"/>
  <c r="AB22" i="55"/>
  <c r="X13" i="55"/>
  <c r="AB13" i="55"/>
  <c r="X9" i="55"/>
  <c r="AB9" i="55"/>
  <c r="X6" i="55"/>
  <c r="T45" i="55"/>
  <c r="D52" i="55"/>
  <c r="H10" i="56"/>
  <c r="H4" i="56"/>
  <c r="B10" i="56"/>
  <c r="B11" i="56"/>
  <c r="B12" i="56"/>
  <c r="B13" i="56"/>
  <c r="B14" i="56"/>
  <c r="B15" i="56"/>
  <c r="B16" i="56"/>
  <c r="P37" i="55"/>
  <c r="P36" i="55"/>
  <c r="P35" i="55"/>
  <c r="P31" i="55"/>
  <c r="Y73" i="52"/>
  <c r="Y75" i="52"/>
  <c r="H54" i="55"/>
  <c r="Q54" i="55"/>
  <c r="H57" i="55"/>
  <c r="Q57" i="55"/>
  <c r="H55" i="55"/>
  <c r="Q55" i="55"/>
  <c r="H56" i="55"/>
  <c r="Q56" i="55"/>
  <c r="Y62" i="52"/>
  <c r="Y57" i="52"/>
  <c r="P20" i="55"/>
  <c r="Y48" i="52"/>
  <c r="Y10" i="52"/>
  <c r="E87" i="51"/>
  <c r="E86" i="51"/>
  <c r="E85" i="51"/>
  <c r="E84" i="51"/>
  <c r="E83" i="51"/>
  <c r="E82" i="51"/>
  <c r="E81" i="51"/>
  <c r="E80" i="51"/>
  <c r="E79" i="51"/>
  <c r="E78" i="51"/>
  <c r="E77" i="51"/>
  <c r="E76" i="51"/>
  <c r="E75" i="51"/>
  <c r="E74" i="51"/>
  <c r="E73" i="51"/>
  <c r="E72" i="51"/>
  <c r="E71" i="51"/>
  <c r="E70" i="51"/>
  <c r="E69" i="51"/>
  <c r="E68" i="51"/>
  <c r="E67" i="51"/>
  <c r="E66" i="51"/>
  <c r="E65" i="51"/>
  <c r="E64" i="51"/>
  <c r="E63" i="51"/>
  <c r="E62" i="51"/>
  <c r="E61" i="51"/>
  <c r="E60" i="51"/>
  <c r="E59" i="51"/>
  <c r="E58" i="51"/>
  <c r="E57" i="51"/>
  <c r="E56" i="51"/>
  <c r="E55" i="51"/>
  <c r="E54" i="51"/>
  <c r="E53" i="51"/>
  <c r="E52" i="51"/>
  <c r="E51" i="51"/>
  <c r="E50" i="51"/>
  <c r="E49" i="51"/>
  <c r="E48" i="51"/>
  <c r="E47" i="51"/>
  <c r="E46" i="51"/>
  <c r="E45" i="51"/>
  <c r="E44" i="51"/>
  <c r="E43" i="51"/>
  <c r="E42" i="51"/>
  <c r="E41" i="51"/>
  <c r="E40" i="51"/>
  <c r="E39" i="51"/>
  <c r="E38" i="51"/>
  <c r="E37" i="51"/>
  <c r="E36" i="51"/>
  <c r="E35" i="51"/>
  <c r="E34" i="51"/>
  <c r="E33" i="51"/>
  <c r="E32" i="51"/>
  <c r="E31" i="51"/>
  <c r="E30" i="51"/>
  <c r="E29" i="51"/>
  <c r="E170" i="51"/>
  <c r="E28" i="51"/>
  <c r="E27" i="51"/>
  <c r="X63" i="52"/>
  <c r="X50" i="52"/>
  <c r="G8" i="51"/>
  <c r="P29" i="55"/>
  <c r="X74" i="52"/>
  <c r="Y87" i="52"/>
  <c r="Y89" i="52"/>
  <c r="E160" i="51"/>
  <c r="E159" i="51"/>
  <c r="G32" i="55"/>
  <c r="P32" i="55"/>
  <c r="E166" i="51"/>
  <c r="G33" i="55"/>
  <c r="E167" i="51"/>
  <c r="G21" i="55"/>
  <c r="U21" i="55"/>
  <c r="V21" i="55"/>
  <c r="G36" i="55"/>
  <c r="U36" i="55"/>
  <c r="G35" i="55"/>
  <c r="U35" i="55"/>
  <c r="X35" i="55"/>
  <c r="G29" i="55"/>
  <c r="AD28" i="55"/>
  <c r="G27" i="55"/>
  <c r="U27" i="55"/>
  <c r="X27" i="55"/>
  <c r="AB27" i="55"/>
  <c r="Z27" i="55"/>
  <c r="AD27" i="55"/>
  <c r="Z21" i="55"/>
  <c r="AD21" i="55"/>
  <c r="Z35" i="55"/>
  <c r="AE13" i="52"/>
  <c r="AE11" i="52"/>
  <c r="G158" i="51"/>
  <c r="G30" i="55"/>
  <c r="AF44" i="53"/>
  <c r="D39" i="55"/>
  <c r="C39" i="55"/>
  <c r="D38" i="55"/>
  <c r="D37" i="55"/>
  <c r="D35" i="55"/>
  <c r="D36" i="55"/>
  <c r="D31" i="55"/>
  <c r="C31" i="55"/>
  <c r="D30" i="55"/>
  <c r="D28" i="55"/>
  <c r="C28" i="55"/>
  <c r="D24" i="55"/>
  <c r="D22" i="55"/>
  <c r="D21" i="55"/>
  <c r="D11" i="55"/>
  <c r="D9" i="55"/>
  <c r="A9" i="55"/>
  <c r="A11" i="55"/>
  <c r="A13" i="55"/>
  <c r="A21" i="55"/>
  <c r="A22" i="55"/>
  <c r="A23" i="55"/>
  <c r="A24" i="55"/>
  <c r="A25" i="55"/>
  <c r="A26" i="55"/>
  <c r="A27" i="55"/>
  <c r="A28" i="55"/>
  <c r="A30" i="55"/>
  <c r="A31" i="55"/>
  <c r="A35" i="55"/>
  <c r="A36" i="55"/>
  <c r="A37" i="55"/>
  <c r="A38" i="55"/>
  <c r="A39" i="55"/>
  <c r="A40" i="55"/>
  <c r="A41" i="55"/>
  <c r="A42" i="55"/>
  <c r="D6" i="55"/>
  <c r="C6" i="55"/>
  <c r="B4" i="55"/>
  <c r="F4" i="55"/>
  <c r="G4" i="55"/>
  <c r="H4" i="55"/>
  <c r="I4" i="55"/>
  <c r="J4" i="55"/>
  <c r="K4" i="55"/>
  <c r="L4" i="55"/>
  <c r="P30" i="55"/>
  <c r="AB55" i="52"/>
  <c r="AB9" i="52"/>
  <c r="AB8" i="52"/>
  <c r="AB59" i="52"/>
  <c r="AB58" i="52"/>
  <c r="AB57" i="52"/>
  <c r="AB61" i="52"/>
  <c r="G31" i="55"/>
  <c r="U31" i="55"/>
  <c r="AB7" i="52"/>
  <c r="AB6" i="52"/>
  <c r="AB5" i="52"/>
  <c r="AB54" i="52"/>
  <c r="G7" i="55"/>
  <c r="P8" i="55"/>
  <c r="G8" i="55"/>
  <c r="AA63" i="52"/>
  <c r="AA17" i="52"/>
  <c r="AB21" i="52"/>
  <c r="AB20" i="52"/>
  <c r="AB67" i="52"/>
  <c r="AB66" i="52"/>
  <c r="AB65" i="52"/>
  <c r="AB64" i="52"/>
  <c r="AB62" i="52"/>
  <c r="AB50" i="52"/>
  <c r="AB49" i="52"/>
  <c r="AB48" i="52"/>
  <c r="AB40" i="52"/>
  <c r="AB39" i="52"/>
  <c r="AB38" i="52"/>
  <c r="AB37" i="52"/>
  <c r="AB36" i="52"/>
  <c r="AB35" i="52"/>
  <c r="AB34" i="52"/>
  <c r="AB33" i="52"/>
  <c r="AB32" i="52"/>
  <c r="AB31" i="52"/>
  <c r="AB30" i="52"/>
  <c r="AB29" i="52"/>
  <c r="AB28" i="52"/>
  <c r="AB27" i="52"/>
  <c r="AB26" i="52"/>
  <c r="AB25" i="52"/>
  <c r="AB24" i="52"/>
  <c r="AB23" i="52"/>
  <c r="AB71" i="52"/>
  <c r="AB70" i="52"/>
  <c r="K76" i="52"/>
  <c r="L76" i="52"/>
  <c r="N76" i="52"/>
  <c r="P76" i="52"/>
  <c r="AB77" i="52"/>
  <c r="AB76" i="52"/>
  <c r="AB75" i="52"/>
  <c r="G11" i="55"/>
  <c r="AB74" i="52"/>
  <c r="AB73" i="52"/>
  <c r="AB16" i="52"/>
  <c r="AB15" i="52"/>
  <c r="AB14" i="52"/>
  <c r="AB13" i="52"/>
  <c r="AB12" i="52"/>
  <c r="AB11" i="52"/>
  <c r="AE10" i="52"/>
  <c r="AE12" i="52"/>
  <c r="AE17" i="52"/>
  <c r="AE18" i="52"/>
  <c r="G10" i="55"/>
  <c r="AB10" i="52"/>
  <c r="AB46" i="52"/>
  <c r="AB45" i="52"/>
  <c r="AB44" i="52"/>
  <c r="X110" i="52"/>
  <c r="X75" i="52"/>
  <c r="W75" i="52"/>
  <c r="W74" i="52"/>
  <c r="W61" i="52"/>
  <c r="W57" i="52"/>
  <c r="X49" i="52"/>
  <c r="W49" i="52"/>
  <c r="W21" i="52"/>
  <c r="W8" i="52"/>
  <c r="W6" i="52"/>
  <c r="W5" i="52"/>
  <c r="G163" i="51"/>
  <c r="G149" i="51"/>
  <c r="P38" i="55"/>
  <c r="T73" i="52"/>
  <c r="W73" i="52"/>
  <c r="T70" i="52"/>
  <c r="W70" i="52"/>
  <c r="T62" i="52"/>
  <c r="W62" i="52"/>
  <c r="T54" i="52"/>
  <c r="W54" i="52"/>
  <c r="T48" i="52"/>
  <c r="W48" i="52"/>
  <c r="T44" i="52"/>
  <c r="W44" i="52"/>
  <c r="T29" i="52"/>
  <c r="W29" i="52"/>
  <c r="T28" i="52"/>
  <c r="U27" i="52"/>
  <c r="T27" i="52"/>
  <c r="W27" i="52"/>
  <c r="T26" i="52"/>
  <c r="W26" i="52"/>
  <c r="T25" i="52"/>
  <c r="W25" i="52"/>
  <c r="T24" i="52"/>
  <c r="W24" i="52"/>
  <c r="U23" i="52"/>
  <c r="X23" i="52"/>
  <c r="T23" i="52"/>
  <c r="W23" i="52"/>
  <c r="U21" i="52"/>
  <c r="X21" i="52"/>
  <c r="U20" i="52"/>
  <c r="X20" i="52"/>
  <c r="T20" i="52"/>
  <c r="W20" i="52"/>
  <c r="T12" i="52"/>
  <c r="W12" i="52"/>
  <c r="T10" i="52"/>
  <c r="W10" i="52"/>
  <c r="U11" i="52"/>
  <c r="X11" i="52"/>
  <c r="T11" i="52"/>
  <c r="W11" i="52"/>
  <c r="G38" i="55"/>
  <c r="U38" i="55"/>
  <c r="Z38" i="55"/>
  <c r="AD38" i="55"/>
  <c r="V38" i="55"/>
  <c r="G34" i="55"/>
  <c r="P34" i="55"/>
  <c r="X27" i="52"/>
  <c r="AY38" i="53"/>
  <c r="AY36" i="53"/>
  <c r="AY33" i="53"/>
  <c r="AY32" i="53"/>
  <c r="AY31" i="53"/>
  <c r="AY29" i="53"/>
  <c r="AY28" i="53"/>
  <c r="AY27" i="53"/>
  <c r="AY24" i="53"/>
  <c r="AY20" i="53"/>
  <c r="AY16" i="53"/>
  <c r="AY11" i="53"/>
  <c r="P42" i="53"/>
  <c r="P41" i="53"/>
  <c r="P40" i="53"/>
  <c r="P39" i="53"/>
  <c r="P38" i="53"/>
  <c r="P36" i="53"/>
  <c r="P35" i="53"/>
  <c r="P34" i="53"/>
  <c r="P33" i="53"/>
  <c r="P32" i="53"/>
  <c r="P30" i="53"/>
  <c r="P23" i="53"/>
  <c r="P24" i="53"/>
  <c r="P15" i="53"/>
  <c r="P14" i="53"/>
  <c r="P13" i="53"/>
  <c r="P12" i="53"/>
  <c r="P11" i="53"/>
  <c r="P37" i="53"/>
  <c r="P31" i="53"/>
  <c r="P28" i="53"/>
  <c r="P26" i="53"/>
  <c r="P25" i="53"/>
  <c r="P22" i="53"/>
  <c r="P21" i="53"/>
  <c r="P20" i="53"/>
  <c r="P19" i="53"/>
  <c r="P18" i="53"/>
  <c r="P17" i="53"/>
  <c r="P16" i="53"/>
  <c r="P10" i="53"/>
  <c r="P9" i="53"/>
  <c r="P44" i="53"/>
  <c r="P8" i="53"/>
  <c r="M44" i="53"/>
  <c r="AO42" i="53"/>
  <c r="G21" i="51"/>
  <c r="H21" i="51"/>
  <c r="I42" i="53"/>
  <c r="H42" i="53"/>
  <c r="AX42" i="53"/>
  <c r="AO41" i="53"/>
  <c r="G105" i="51"/>
  <c r="I41" i="53"/>
  <c r="H41" i="53"/>
  <c r="AX41" i="53"/>
  <c r="AO40" i="53"/>
  <c r="I40" i="53"/>
  <c r="H40" i="53"/>
  <c r="AX40" i="53"/>
  <c r="AO39" i="53"/>
  <c r="AY39" i="53"/>
  <c r="I39" i="53"/>
  <c r="I38" i="53"/>
  <c r="AO37" i="53"/>
  <c r="AY37" i="53"/>
  <c r="I37" i="53"/>
  <c r="I36" i="53"/>
  <c r="AO35" i="53"/>
  <c r="I35" i="53"/>
  <c r="AO34" i="53"/>
  <c r="I33" i="53"/>
  <c r="G33" i="53"/>
  <c r="I32" i="53"/>
  <c r="I31" i="53"/>
  <c r="AO30" i="53"/>
  <c r="AY30" i="53"/>
  <c r="I30" i="53"/>
  <c r="H30" i="53"/>
  <c r="AX30" i="53"/>
  <c r="I28" i="53"/>
  <c r="H28" i="53"/>
  <c r="AX28" i="53"/>
  <c r="I27" i="53"/>
  <c r="AO26" i="53"/>
  <c r="I26" i="53"/>
  <c r="AO25" i="53"/>
  <c r="I25" i="53"/>
  <c r="H25" i="53"/>
  <c r="AW25" i="53"/>
  <c r="I24" i="53"/>
  <c r="AO23" i="53"/>
  <c r="G17" i="51"/>
  <c r="AM23" i="53"/>
  <c r="I23" i="53"/>
  <c r="AO22" i="53"/>
  <c r="AM22" i="53"/>
  <c r="AO21" i="53"/>
  <c r="AY21" i="53"/>
  <c r="AM21" i="53"/>
  <c r="AM20" i="53"/>
  <c r="AO19" i="53"/>
  <c r="U26" i="52"/>
  <c r="AM19" i="53"/>
  <c r="AO18" i="53"/>
  <c r="AM18" i="53"/>
  <c r="AO17" i="53"/>
  <c r="AM17" i="53"/>
  <c r="AM16" i="53"/>
  <c r="I16" i="53"/>
  <c r="H16" i="53"/>
  <c r="AW16" i="53"/>
  <c r="AO15" i="53"/>
  <c r="U70" i="52"/>
  <c r="X70" i="52"/>
  <c r="P12" i="55"/>
  <c r="I15" i="53"/>
  <c r="AO14" i="53"/>
  <c r="AY14" i="53"/>
  <c r="AM14" i="53"/>
  <c r="AO13" i="53"/>
  <c r="AY13" i="53"/>
  <c r="AM13" i="53"/>
  <c r="AO12" i="53"/>
  <c r="AM12" i="53"/>
  <c r="AM11" i="53"/>
  <c r="I11" i="53"/>
  <c r="D11" i="53"/>
  <c r="D15" i="53"/>
  <c r="D16" i="53"/>
  <c r="D23" i="53"/>
  <c r="D24" i="53"/>
  <c r="D25" i="53"/>
  <c r="D26" i="53"/>
  <c r="D27" i="53"/>
  <c r="D28" i="53"/>
  <c r="D30" i="53"/>
  <c r="D31" i="53"/>
  <c r="D32" i="53"/>
  <c r="D33" i="53"/>
  <c r="D35" i="53"/>
  <c r="D36" i="53"/>
  <c r="D37" i="53"/>
  <c r="D38" i="53"/>
  <c r="D39" i="53"/>
  <c r="D40" i="53"/>
  <c r="D41" i="53"/>
  <c r="D42" i="53"/>
  <c r="AO10" i="53"/>
  <c r="AY10" i="53"/>
  <c r="AO9" i="53"/>
  <c r="AY9" i="53"/>
  <c r="AM9" i="53"/>
  <c r="AO8" i="53"/>
  <c r="AM8" i="53"/>
  <c r="I8" i="53"/>
  <c r="E6" i="53"/>
  <c r="F6" i="53"/>
  <c r="G6" i="53"/>
  <c r="H6" i="53"/>
  <c r="J6" i="53"/>
  <c r="K6" i="53"/>
  <c r="L6" i="53"/>
  <c r="M6" i="53"/>
  <c r="Q6" i="53"/>
  <c r="R6" i="53"/>
  <c r="S6" i="53"/>
  <c r="T6" i="53"/>
  <c r="U6" i="53"/>
  <c r="V6" i="53"/>
  <c r="W6" i="53"/>
  <c r="X6" i="53"/>
  <c r="Z6" i="53"/>
  <c r="AA6" i="53"/>
  <c r="AB6" i="53"/>
  <c r="AC6" i="53"/>
  <c r="AD6" i="53"/>
  <c r="AE6" i="53"/>
  <c r="AF6" i="53"/>
  <c r="AG6" i="53"/>
  <c r="AH6" i="53"/>
  <c r="AI6" i="53"/>
  <c r="AJ6" i="53"/>
  <c r="AK6" i="53"/>
  <c r="AL6" i="53"/>
  <c r="AM6" i="53"/>
  <c r="AN6" i="53"/>
  <c r="AO6" i="53"/>
  <c r="AP6" i="53"/>
  <c r="AQ6" i="53"/>
  <c r="AR6" i="53"/>
  <c r="AS6" i="53"/>
  <c r="AT6" i="53"/>
  <c r="AU6" i="53"/>
  <c r="AV6" i="53"/>
  <c r="AN2" i="53"/>
  <c r="AN3" i="53"/>
  <c r="AN42" i="50"/>
  <c r="AN41" i="50"/>
  <c r="AN40" i="50"/>
  <c r="AN39" i="50"/>
  <c r="AN37" i="50"/>
  <c r="AN35" i="50"/>
  <c r="AN34" i="50"/>
  <c r="AN30" i="50"/>
  <c r="AN26" i="50"/>
  <c r="AN25" i="50"/>
  <c r="AN23" i="50"/>
  <c r="AL23" i="50"/>
  <c r="AN22" i="50"/>
  <c r="AN21" i="50"/>
  <c r="AL22" i="50"/>
  <c r="AL21" i="50"/>
  <c r="AL20" i="50"/>
  <c r="AN19" i="50"/>
  <c r="AN18" i="50"/>
  <c r="AN17" i="50"/>
  <c r="AN15" i="50"/>
  <c r="AN14" i="50"/>
  <c r="AL14" i="50"/>
  <c r="AN13" i="50"/>
  <c r="AN12" i="50"/>
  <c r="AN10" i="50"/>
  <c r="AN9" i="50"/>
  <c r="G5" i="51"/>
  <c r="V27" i="55"/>
  <c r="AY41" i="53"/>
  <c r="U62" i="52"/>
  <c r="X62" i="52"/>
  <c r="AY26" i="53"/>
  <c r="AY42" i="53"/>
  <c r="U48" i="52"/>
  <c r="AE54" i="52"/>
  <c r="AY25" i="53"/>
  <c r="AY19" i="53"/>
  <c r="G27" i="51"/>
  <c r="AY40" i="53"/>
  <c r="U28" i="52"/>
  <c r="U73" i="52"/>
  <c r="U44" i="52"/>
  <c r="X44" i="52"/>
  <c r="P21" i="55"/>
  <c r="AY23" i="53"/>
  <c r="AY34" i="53"/>
  <c r="U25" i="52"/>
  <c r="X25" i="52"/>
  <c r="AY17" i="53"/>
  <c r="U54" i="52"/>
  <c r="X54" i="52"/>
  <c r="P7" i="55"/>
  <c r="AY8" i="53"/>
  <c r="U24" i="52"/>
  <c r="AY18" i="53"/>
  <c r="G12" i="51"/>
  <c r="AY35" i="53"/>
  <c r="AL19" i="50"/>
  <c r="AL18" i="50"/>
  <c r="AL17" i="50"/>
  <c r="AL16" i="50"/>
  <c r="X28" i="52"/>
  <c r="X24" i="52"/>
  <c r="G42" i="55"/>
  <c r="U42" i="55"/>
  <c r="V42" i="55"/>
  <c r="P42" i="55"/>
  <c r="G41" i="55"/>
  <c r="AD41" i="55"/>
  <c r="X26" i="52"/>
  <c r="AE28" i="52"/>
  <c r="X48" i="52"/>
  <c r="AN8" i="50"/>
  <c r="AN44" i="50"/>
  <c r="U41" i="55"/>
  <c r="Z41" i="55"/>
  <c r="F170" i="51"/>
  <c r="D170" i="51"/>
  <c r="F90" i="52"/>
  <c r="F87" i="52"/>
  <c r="K75" i="52"/>
  <c r="L75" i="52"/>
  <c r="N75" i="52"/>
  <c r="P75" i="52"/>
  <c r="R75" i="52"/>
  <c r="K74" i="52"/>
  <c r="K73" i="52"/>
  <c r="X79" i="52"/>
  <c r="P11" i="55"/>
  <c r="L70" i="52"/>
  <c r="N70" i="52"/>
  <c r="P70" i="52"/>
  <c r="K62" i="52"/>
  <c r="L62" i="52"/>
  <c r="L61" i="52"/>
  <c r="N61" i="52"/>
  <c r="P61" i="52"/>
  <c r="R61" i="52"/>
  <c r="L57" i="52"/>
  <c r="N57" i="52"/>
  <c r="P57" i="52"/>
  <c r="R57" i="52"/>
  <c r="L54" i="52"/>
  <c r="N54" i="52"/>
  <c r="P54" i="52"/>
  <c r="R54" i="52"/>
  <c r="K49" i="52"/>
  <c r="L49" i="52"/>
  <c r="N49" i="52"/>
  <c r="P49" i="52"/>
  <c r="K48" i="52"/>
  <c r="K44" i="52"/>
  <c r="L29" i="52"/>
  <c r="N29" i="52"/>
  <c r="P29" i="52"/>
  <c r="R29" i="52"/>
  <c r="L28" i="52"/>
  <c r="N28" i="52"/>
  <c r="P28" i="52"/>
  <c r="R28" i="52"/>
  <c r="L27" i="52"/>
  <c r="N27" i="52"/>
  <c r="P27" i="52"/>
  <c r="R27" i="52"/>
  <c r="L26" i="52"/>
  <c r="N26" i="52"/>
  <c r="P26" i="52"/>
  <c r="L25" i="52"/>
  <c r="N25" i="52"/>
  <c r="P25" i="52"/>
  <c r="R25" i="52"/>
  <c r="L24" i="52"/>
  <c r="N24" i="52"/>
  <c r="P24" i="52"/>
  <c r="R24" i="52"/>
  <c r="L23" i="52"/>
  <c r="N23" i="52"/>
  <c r="P23" i="52"/>
  <c r="R23" i="52"/>
  <c r="L21" i="52"/>
  <c r="N21" i="52"/>
  <c r="P21" i="52"/>
  <c r="R21" i="52"/>
  <c r="L20" i="52"/>
  <c r="N20" i="52"/>
  <c r="P20" i="52"/>
  <c r="R20" i="52"/>
  <c r="L12" i="52"/>
  <c r="N12" i="52"/>
  <c r="P12" i="52"/>
  <c r="R12" i="52"/>
  <c r="L11" i="52"/>
  <c r="N11" i="52"/>
  <c r="P11" i="52"/>
  <c r="R11" i="52"/>
  <c r="L10" i="52"/>
  <c r="N10" i="52"/>
  <c r="P10" i="52"/>
  <c r="R10" i="52"/>
  <c r="K8" i="52"/>
  <c r="L8" i="52"/>
  <c r="N8" i="52"/>
  <c r="P8" i="52"/>
  <c r="L6" i="52"/>
  <c r="U6" i="52"/>
  <c r="X6" i="52"/>
  <c r="L5" i="52"/>
  <c r="U5" i="52"/>
  <c r="X5" i="52"/>
  <c r="L48" i="52"/>
  <c r="N48" i="52"/>
  <c r="P48" i="52"/>
  <c r="R48" i="52"/>
  <c r="X51" i="52"/>
  <c r="L74" i="52"/>
  <c r="N74" i="52"/>
  <c r="P74" i="52"/>
  <c r="R74" i="52"/>
  <c r="X9" i="52"/>
  <c r="P25" i="55"/>
  <c r="G25" i="55"/>
  <c r="G57" i="55"/>
  <c r="P57" i="55"/>
  <c r="N62" i="52"/>
  <c r="P62" i="52"/>
  <c r="R62" i="52"/>
  <c r="N5" i="52"/>
  <c r="P5" i="52"/>
  <c r="R5" i="52"/>
  <c r="F91" i="52"/>
  <c r="AE44" i="50"/>
  <c r="M44" i="50"/>
  <c r="I42" i="50"/>
  <c r="H42" i="50"/>
  <c r="AW42" i="50"/>
  <c r="I41" i="50"/>
  <c r="H41" i="50"/>
  <c r="AW41" i="50"/>
  <c r="I40" i="50"/>
  <c r="H40" i="50"/>
  <c r="AW40" i="50"/>
  <c r="I39" i="50"/>
  <c r="I38" i="50"/>
  <c r="I37" i="50"/>
  <c r="I36" i="50"/>
  <c r="I35" i="50"/>
  <c r="I33" i="50"/>
  <c r="G33" i="50"/>
  <c r="I32" i="50"/>
  <c r="I31" i="50"/>
  <c r="I30" i="50"/>
  <c r="H30" i="50"/>
  <c r="AW30" i="50"/>
  <c r="I28" i="50"/>
  <c r="H28" i="50"/>
  <c r="AW28" i="50"/>
  <c r="I27" i="50"/>
  <c r="I26" i="50"/>
  <c r="I25" i="50"/>
  <c r="H25" i="50"/>
  <c r="AV25" i="50"/>
  <c r="I24" i="50"/>
  <c r="I23" i="50"/>
  <c r="I16" i="50"/>
  <c r="H16" i="50"/>
  <c r="AV16" i="50"/>
  <c r="I15" i="50"/>
  <c r="AL13" i="50"/>
  <c r="AL12" i="50"/>
  <c r="AL11" i="50"/>
  <c r="I11" i="50"/>
  <c r="D11" i="50"/>
  <c r="D15" i="50"/>
  <c r="D16" i="50"/>
  <c r="D23" i="50"/>
  <c r="D24" i="50"/>
  <c r="D25" i="50"/>
  <c r="D26" i="50"/>
  <c r="D27" i="50"/>
  <c r="D28" i="50"/>
  <c r="D30" i="50"/>
  <c r="D31" i="50"/>
  <c r="D32" i="50"/>
  <c r="D33" i="50"/>
  <c r="D35" i="50"/>
  <c r="D36" i="50"/>
  <c r="D37" i="50"/>
  <c r="D38" i="50"/>
  <c r="D39" i="50"/>
  <c r="D40" i="50"/>
  <c r="D41" i="50"/>
  <c r="D42" i="50"/>
  <c r="AL9" i="50"/>
  <c r="AL8" i="50"/>
  <c r="I8" i="50"/>
  <c r="E6" i="50"/>
  <c r="F6" i="50"/>
  <c r="G6" i="50"/>
  <c r="H6" i="50"/>
  <c r="J6" i="50"/>
  <c r="K6" i="50"/>
  <c r="L6" i="50"/>
  <c r="M6" i="50"/>
  <c r="P6" i="50"/>
  <c r="Q6" i="50"/>
  <c r="R6" i="50"/>
  <c r="S6" i="50"/>
  <c r="T6" i="50"/>
  <c r="U6" i="50"/>
  <c r="V6" i="50"/>
  <c r="W6" i="50"/>
  <c r="Y6" i="50"/>
  <c r="Z6" i="50"/>
  <c r="AA6" i="50"/>
  <c r="AB6" i="50"/>
  <c r="AC6" i="50"/>
  <c r="AD6" i="50"/>
  <c r="AE6" i="50"/>
  <c r="AF6" i="50"/>
  <c r="AG6" i="50"/>
  <c r="AH6" i="50"/>
  <c r="AI6" i="50"/>
  <c r="AJ6" i="50"/>
  <c r="AK6" i="50"/>
  <c r="AL6" i="50"/>
  <c r="AM6" i="50"/>
  <c r="AN6" i="50"/>
  <c r="AO6" i="50"/>
  <c r="AP6" i="50"/>
  <c r="AQ6" i="50"/>
  <c r="AR6" i="50"/>
  <c r="AS6" i="50"/>
  <c r="AT6" i="50"/>
  <c r="AU6" i="50"/>
  <c r="AM2" i="50"/>
  <c r="AM3" i="50"/>
  <c r="U25" i="55"/>
  <c r="V24" i="55"/>
  <c r="E88" i="49"/>
  <c r="E87" i="49"/>
  <c r="E86" i="49"/>
  <c r="E85" i="49"/>
  <c r="E84" i="49"/>
  <c r="E83" i="49"/>
  <c r="E80" i="49"/>
  <c r="E79" i="49"/>
  <c r="E78" i="49"/>
  <c r="E81" i="49"/>
  <c r="E77" i="49"/>
  <c r="E76" i="49"/>
  <c r="E75" i="49"/>
  <c r="E70" i="49"/>
  <c r="E69" i="49"/>
  <c r="E68" i="49"/>
  <c r="E67" i="49"/>
  <c r="E66" i="49"/>
  <c r="E64" i="49"/>
  <c r="E63" i="49"/>
  <c r="E62" i="49"/>
  <c r="E61" i="49"/>
  <c r="E71" i="49"/>
  <c r="E60" i="49"/>
  <c r="D89" i="49"/>
  <c r="D91" i="49"/>
  <c r="D81" i="49"/>
  <c r="D71" i="49"/>
  <c r="A84" i="49"/>
  <c r="A85" i="49"/>
  <c r="A86" i="49"/>
  <c r="A87" i="49"/>
  <c r="A88" i="49"/>
  <c r="A76" i="49"/>
  <c r="A77" i="49"/>
  <c r="A78" i="49"/>
  <c r="A79" i="49"/>
  <c r="A80" i="49"/>
  <c r="A61" i="49"/>
  <c r="A62" i="49"/>
  <c r="A63" i="49"/>
  <c r="A64" i="49"/>
  <c r="A65" i="49"/>
  <c r="A66" i="49"/>
  <c r="A67" i="49"/>
  <c r="A68" i="49"/>
  <c r="A69" i="49"/>
  <c r="A70" i="49"/>
  <c r="R53" i="49"/>
  <c r="S50" i="49"/>
  <c r="P50" i="49"/>
  <c r="S49" i="49"/>
  <c r="P49" i="49"/>
  <c r="S48" i="49"/>
  <c r="P48" i="49"/>
  <c r="J47" i="49"/>
  <c r="P47" i="49"/>
  <c r="I47" i="49"/>
  <c r="S47" i="49"/>
  <c r="H47" i="49"/>
  <c r="J46" i="49"/>
  <c r="P46" i="49"/>
  <c r="I46" i="49"/>
  <c r="S46" i="49"/>
  <c r="J45" i="49"/>
  <c r="O45" i="49"/>
  <c r="I45" i="49"/>
  <c r="S45" i="49"/>
  <c r="I44" i="49"/>
  <c r="S44" i="49"/>
  <c r="J43" i="49"/>
  <c r="P43" i="49"/>
  <c r="I43" i="49"/>
  <c r="S43" i="49"/>
  <c r="J41" i="49"/>
  <c r="P41" i="49"/>
  <c r="I41" i="49"/>
  <c r="S41" i="49"/>
  <c r="H41" i="49"/>
  <c r="J39" i="49"/>
  <c r="P39" i="49"/>
  <c r="I39" i="49"/>
  <c r="J37" i="49"/>
  <c r="P37" i="49"/>
  <c r="I37" i="49"/>
  <c r="S37" i="49"/>
  <c r="H37" i="49"/>
  <c r="S36" i="49"/>
  <c r="P36" i="49"/>
  <c r="S35" i="49"/>
  <c r="P35" i="49"/>
  <c r="J34" i="49"/>
  <c r="I34" i="49"/>
  <c r="S34" i="49"/>
  <c r="J33" i="49"/>
  <c r="O33" i="49"/>
  <c r="I33" i="49"/>
  <c r="O32" i="49"/>
  <c r="I32" i="49"/>
  <c r="S32" i="49"/>
  <c r="J31" i="49"/>
  <c r="O31" i="49"/>
  <c r="I31" i="49"/>
  <c r="S31" i="49"/>
  <c r="J30" i="49"/>
  <c r="O30" i="49"/>
  <c r="I30" i="49"/>
  <c r="S30" i="49"/>
  <c r="S29" i="49"/>
  <c r="O29" i="49"/>
  <c r="J28" i="49"/>
  <c r="O28" i="49"/>
  <c r="I28" i="49"/>
  <c r="S28" i="49"/>
  <c r="J26" i="49"/>
  <c r="O26" i="49"/>
  <c r="I26" i="49"/>
  <c r="S26" i="49"/>
  <c r="A26" i="49"/>
  <c r="A28" i="49"/>
  <c r="A29" i="49"/>
  <c r="A30" i="49"/>
  <c r="A31" i="49"/>
  <c r="A32" i="49"/>
  <c r="A33" i="49"/>
  <c r="A34" i="49"/>
  <c r="A35" i="49"/>
  <c r="A36" i="49"/>
  <c r="A37" i="49"/>
  <c r="A39" i="49"/>
  <c r="A41" i="49"/>
  <c r="A43" i="49"/>
  <c r="A44" i="49"/>
  <c r="A45" i="49"/>
  <c r="A46" i="49"/>
  <c r="A47" i="49"/>
  <c r="A48" i="49"/>
  <c r="A49" i="49"/>
  <c r="A50" i="49"/>
  <c r="J23" i="49"/>
  <c r="O23" i="49"/>
  <c r="I23" i="49"/>
  <c r="S23" i="49"/>
  <c r="H23" i="49"/>
  <c r="G34" i="49"/>
  <c r="S33" i="49"/>
  <c r="P34" i="49"/>
  <c r="S39" i="49"/>
  <c r="H216" i="48"/>
  <c r="H208" i="48"/>
  <c r="L160" i="48"/>
  <c r="G160" i="48"/>
  <c r="L159" i="48"/>
  <c r="G159" i="48"/>
  <c r="L158" i="48"/>
  <c r="G158" i="48"/>
  <c r="L157" i="48"/>
  <c r="G157" i="48"/>
  <c r="L156" i="48"/>
  <c r="G156" i="48"/>
  <c r="H155" i="48"/>
  <c r="G155" i="48"/>
  <c r="L154" i="48"/>
  <c r="G154" i="48"/>
  <c r="L153" i="48"/>
  <c r="G153" i="48"/>
  <c r="L152" i="48"/>
  <c r="G152" i="48"/>
  <c r="L151" i="48"/>
  <c r="G151" i="48"/>
  <c r="L150" i="48"/>
  <c r="G150" i="48"/>
  <c r="L149" i="48"/>
  <c r="G149" i="48"/>
  <c r="L148" i="48"/>
  <c r="G148" i="48"/>
  <c r="L147" i="48"/>
  <c r="G147" i="48"/>
  <c r="L146" i="48"/>
  <c r="G146" i="48"/>
  <c r="L145" i="48"/>
  <c r="G145" i="48"/>
  <c r="L144" i="48"/>
  <c r="G144" i="48"/>
  <c r="L143" i="48"/>
  <c r="G143" i="48"/>
  <c r="L142" i="48"/>
  <c r="G142" i="48"/>
  <c r="L141" i="48"/>
  <c r="G141" i="48"/>
  <c r="L140" i="48"/>
  <c r="G140" i="48"/>
  <c r="I139" i="48"/>
  <c r="H139" i="48"/>
  <c r="L139" i="48"/>
  <c r="L138" i="48"/>
  <c r="G138" i="48"/>
  <c r="L137" i="48"/>
  <c r="G137" i="48"/>
  <c r="L136" i="48"/>
  <c r="G136" i="48"/>
  <c r="L135" i="48"/>
  <c r="G135" i="48"/>
  <c r="L134" i="48"/>
  <c r="L133" i="48"/>
  <c r="G133" i="48"/>
  <c r="L132" i="48"/>
  <c r="G132" i="48"/>
  <c r="L131" i="48"/>
  <c r="G131" i="48"/>
  <c r="L130" i="48"/>
  <c r="G130" i="48"/>
  <c r="L129" i="48"/>
  <c r="L128" i="48"/>
  <c r="G128" i="48"/>
  <c r="L127" i="48"/>
  <c r="G127" i="48"/>
  <c r="L126" i="48"/>
  <c r="G126" i="48"/>
  <c r="L125" i="48"/>
  <c r="L124" i="48"/>
  <c r="G124" i="48"/>
  <c r="L123" i="48"/>
  <c r="G123" i="48"/>
  <c r="L122" i="48"/>
  <c r="G122" i="48"/>
  <c r="L121" i="48"/>
  <c r="G121" i="48"/>
  <c r="L120" i="48"/>
  <c r="G120" i="48"/>
  <c r="L119" i="48"/>
  <c r="G119" i="48"/>
  <c r="L118" i="48"/>
  <c r="G118" i="48"/>
  <c r="H117" i="48"/>
  <c r="G117" i="48"/>
  <c r="L116" i="48"/>
  <c r="G116" i="48"/>
  <c r="L115" i="48"/>
  <c r="G115" i="48"/>
  <c r="L114" i="48"/>
  <c r="G114" i="48"/>
  <c r="L113" i="48"/>
  <c r="G113" i="48"/>
  <c r="L112" i="48"/>
  <c r="L111" i="48"/>
  <c r="L110" i="48"/>
  <c r="G110" i="48"/>
  <c r="L109" i="48"/>
  <c r="G109" i="48"/>
  <c r="L108" i="48"/>
  <c r="G108" i="48"/>
  <c r="L107" i="48"/>
  <c r="G107" i="48"/>
  <c r="I106" i="48"/>
  <c r="H106" i="48"/>
  <c r="L106" i="48"/>
  <c r="I105" i="48"/>
  <c r="H105" i="48"/>
  <c r="L105" i="48"/>
  <c r="D105" i="48"/>
  <c r="L104" i="48"/>
  <c r="G104" i="48"/>
  <c r="I103" i="48"/>
  <c r="H103" i="48"/>
  <c r="D103" i="48"/>
  <c r="I102" i="48"/>
  <c r="H102" i="48"/>
  <c r="L102" i="48"/>
  <c r="D102" i="48"/>
  <c r="H101" i="48"/>
  <c r="G101" i="48"/>
  <c r="I100" i="48"/>
  <c r="H100" i="48"/>
  <c r="D100" i="48"/>
  <c r="L99" i="48"/>
  <c r="L98" i="48"/>
  <c r="G98" i="48"/>
  <c r="L97" i="48"/>
  <c r="G97" i="48"/>
  <c r="L96" i="48"/>
  <c r="G96" i="48"/>
  <c r="L95" i="48"/>
  <c r="G95" i="48"/>
  <c r="H94" i="48"/>
  <c r="L94" i="48"/>
  <c r="L93" i="48"/>
  <c r="G93" i="48"/>
  <c r="L92" i="48"/>
  <c r="G92" i="48"/>
  <c r="H91" i="48"/>
  <c r="L91" i="48"/>
  <c r="H90" i="48"/>
  <c r="G90" i="48"/>
  <c r="L89" i="48"/>
  <c r="G89" i="48"/>
  <c r="L88" i="48"/>
  <c r="G88" i="48"/>
  <c r="L87" i="48"/>
  <c r="G87" i="48"/>
  <c r="L86" i="48"/>
  <c r="G86" i="48"/>
  <c r="L85" i="48"/>
  <c r="G85" i="48"/>
  <c r="H84" i="48"/>
  <c r="G84" i="48"/>
  <c r="L84" i="48"/>
  <c r="H83" i="48"/>
  <c r="L83" i="48"/>
  <c r="H82" i="48"/>
  <c r="G82" i="48"/>
  <c r="L82" i="48"/>
  <c r="L81" i="48"/>
  <c r="G81" i="48"/>
  <c r="D81" i="48"/>
  <c r="H80" i="48"/>
  <c r="L80" i="48"/>
  <c r="L79" i="48"/>
  <c r="G79" i="48"/>
  <c r="D79" i="48"/>
  <c r="L78" i="48"/>
  <c r="G78" i="48"/>
  <c r="H77" i="48"/>
  <c r="L77" i="48"/>
  <c r="L76" i="48"/>
  <c r="I75" i="48"/>
  <c r="I163" i="48"/>
  <c r="H75" i="48"/>
  <c r="D75" i="48"/>
  <c r="I74" i="48"/>
  <c r="H74" i="48"/>
  <c r="G74" i="48"/>
  <c r="D74" i="48"/>
  <c r="I73" i="48"/>
  <c r="H73" i="48"/>
  <c r="L73" i="48"/>
  <c r="L72" i="48"/>
  <c r="G72" i="48"/>
  <c r="L71" i="48"/>
  <c r="G71" i="48"/>
  <c r="L70" i="48"/>
  <c r="G70" i="48"/>
  <c r="L69" i="48"/>
  <c r="G69" i="48"/>
  <c r="L68" i="48"/>
  <c r="G68" i="48"/>
  <c r="L67" i="48"/>
  <c r="G67" i="48"/>
  <c r="A67" i="48"/>
  <c r="A68" i="48"/>
  <c r="A69" i="48"/>
  <c r="A70" i="48"/>
  <c r="A71" i="48"/>
  <c r="A73" i="48"/>
  <c r="A74" i="48"/>
  <c r="A75" i="48"/>
  <c r="A77" i="48"/>
  <c r="A78" i="48"/>
  <c r="A79" i="48"/>
  <c r="A80" i="48"/>
  <c r="A81" i="48"/>
  <c r="A82" i="48"/>
  <c r="A83" i="48"/>
  <c r="A84" i="48"/>
  <c r="A85" i="48"/>
  <c r="A86" i="48"/>
  <c r="A87" i="48"/>
  <c r="A88" i="48"/>
  <c r="A89" i="48"/>
  <c r="A90" i="48"/>
  <c r="A91" i="48"/>
  <c r="A92" i="48"/>
  <c r="A93" i="48"/>
  <c r="A94" i="48"/>
  <c r="A95" i="48"/>
  <c r="A96" i="48"/>
  <c r="A97" i="48"/>
  <c r="A98" i="48"/>
  <c r="A100" i="48"/>
  <c r="A101" i="48"/>
  <c r="A102" i="48"/>
  <c r="A103" i="48"/>
  <c r="A104" i="48"/>
  <c r="A105" i="48"/>
  <c r="A106" i="48"/>
  <c r="A107" i="48"/>
  <c r="A108" i="48"/>
  <c r="A109" i="48"/>
  <c r="A110" i="48"/>
  <c r="A113" i="48"/>
  <c r="A114" i="48"/>
  <c r="A115" i="48"/>
  <c r="A116" i="48"/>
  <c r="A117" i="48"/>
  <c r="A118" i="48"/>
  <c r="A119" i="48"/>
  <c r="A120" i="48"/>
  <c r="A121" i="48"/>
  <c r="A122" i="48"/>
  <c r="A123" i="48"/>
  <c r="A124" i="48"/>
  <c r="A126" i="48"/>
  <c r="A127" i="48"/>
  <c r="A128" i="48"/>
  <c r="A130" i="48"/>
  <c r="A131" i="48"/>
  <c r="A132" i="48"/>
  <c r="A133" i="48"/>
  <c r="A135" i="48"/>
  <c r="A136" i="48"/>
  <c r="A137" i="48"/>
  <c r="A138" i="48"/>
  <c r="A139" i="48"/>
  <c r="A140" i="48"/>
  <c r="A141" i="48"/>
  <c r="A142" i="48"/>
  <c r="A143" i="48"/>
  <c r="A144" i="48"/>
  <c r="A145" i="48"/>
  <c r="A146" i="48"/>
  <c r="A147" i="48"/>
  <c r="A148" i="48"/>
  <c r="A149" i="48"/>
  <c r="A150" i="48"/>
  <c r="A151" i="48"/>
  <c r="A152" i="48"/>
  <c r="A153" i="48"/>
  <c r="A154" i="48"/>
  <c r="A155" i="48"/>
  <c r="A156" i="48"/>
  <c r="A157" i="48"/>
  <c r="A158" i="48"/>
  <c r="A159" i="48"/>
  <c r="A160" i="48"/>
  <c r="L66" i="48"/>
  <c r="G66" i="48"/>
  <c r="B64" i="48"/>
  <c r="C64" i="48"/>
  <c r="D64" i="48"/>
  <c r="E64" i="48"/>
  <c r="F64" i="48"/>
  <c r="H64" i="48"/>
  <c r="I64" i="48"/>
  <c r="J64" i="48"/>
  <c r="W48" i="48"/>
  <c r="X45" i="48"/>
  <c r="U45" i="48"/>
  <c r="G45" i="48"/>
  <c r="X44" i="48"/>
  <c r="U44" i="48"/>
  <c r="G44" i="48"/>
  <c r="X43" i="48"/>
  <c r="U43" i="48"/>
  <c r="G43" i="48"/>
  <c r="I42" i="48"/>
  <c r="H42" i="48"/>
  <c r="X42" i="48"/>
  <c r="D42" i="48"/>
  <c r="I41" i="48"/>
  <c r="H41" i="48"/>
  <c r="G41" i="48"/>
  <c r="I40" i="48"/>
  <c r="H37" i="53"/>
  <c r="AW37" i="53"/>
  <c r="H40" i="48"/>
  <c r="X40" i="48"/>
  <c r="H39" i="48"/>
  <c r="G39" i="48"/>
  <c r="I38" i="48"/>
  <c r="H35" i="53"/>
  <c r="AX35" i="53"/>
  <c r="H38" i="48"/>
  <c r="I37" i="48"/>
  <c r="H37" i="48"/>
  <c r="G37" i="48"/>
  <c r="D37" i="48"/>
  <c r="I36" i="48"/>
  <c r="H32" i="50"/>
  <c r="AW32" i="50"/>
  <c r="H32" i="53"/>
  <c r="AX32" i="53"/>
  <c r="H36" i="48"/>
  <c r="X36" i="48"/>
  <c r="I35" i="48"/>
  <c r="U35" i="48"/>
  <c r="H35" i="48"/>
  <c r="X35" i="48"/>
  <c r="D35" i="48"/>
  <c r="X34" i="48"/>
  <c r="U34" i="48"/>
  <c r="G34" i="48"/>
  <c r="X33" i="48"/>
  <c r="U33" i="48"/>
  <c r="G33" i="48"/>
  <c r="I32" i="48"/>
  <c r="H27" i="50"/>
  <c r="AW27" i="50"/>
  <c r="H32" i="48"/>
  <c r="G32" i="48"/>
  <c r="I31" i="48"/>
  <c r="H26" i="53"/>
  <c r="AW26" i="53"/>
  <c r="H31" i="48"/>
  <c r="X31" i="48"/>
  <c r="T30" i="48"/>
  <c r="H30" i="48"/>
  <c r="X30" i="48"/>
  <c r="I29" i="48"/>
  <c r="H24" i="53"/>
  <c r="AW24" i="53"/>
  <c r="H29" i="48"/>
  <c r="X29" i="48"/>
  <c r="I28" i="48"/>
  <c r="H23" i="53"/>
  <c r="AW23" i="53"/>
  <c r="H28" i="48"/>
  <c r="X28" i="48"/>
  <c r="X27" i="48"/>
  <c r="T27" i="48"/>
  <c r="I26" i="48"/>
  <c r="H15" i="53"/>
  <c r="AW15" i="53"/>
  <c r="H26" i="48"/>
  <c r="X26" i="48"/>
  <c r="I25" i="48"/>
  <c r="H11" i="53"/>
  <c r="H25" i="48"/>
  <c r="X25" i="48"/>
  <c r="A25" i="48"/>
  <c r="A26" i="48"/>
  <c r="A27" i="48"/>
  <c r="A28" i="48"/>
  <c r="A29" i="48"/>
  <c r="A30" i="48"/>
  <c r="A31" i="48"/>
  <c r="A32" i="48"/>
  <c r="A33" i="48"/>
  <c r="A34" i="48"/>
  <c r="A35" i="48"/>
  <c r="A36" i="48"/>
  <c r="A37" i="48"/>
  <c r="A38" i="48"/>
  <c r="A39" i="48"/>
  <c r="A40" i="48"/>
  <c r="A41" i="48"/>
  <c r="A42" i="48"/>
  <c r="A43" i="48"/>
  <c r="A44" i="48"/>
  <c r="A45" i="48"/>
  <c r="I24" i="48"/>
  <c r="H8" i="50"/>
  <c r="AV8" i="50"/>
  <c r="H24" i="48"/>
  <c r="X24" i="48"/>
  <c r="D24" i="48"/>
  <c r="B22" i="48"/>
  <c r="C22" i="48"/>
  <c r="D22" i="48"/>
  <c r="E22" i="48"/>
  <c r="F22" i="48"/>
  <c r="H22" i="48"/>
  <c r="I22" i="48"/>
  <c r="J22" i="48"/>
  <c r="K22" i="48"/>
  <c r="L22" i="48"/>
  <c r="M22" i="48"/>
  <c r="N22" i="48"/>
  <c r="O22" i="48"/>
  <c r="P22" i="48"/>
  <c r="Q22" i="48"/>
  <c r="R22" i="48"/>
  <c r="X41" i="48"/>
  <c r="H31" i="50"/>
  <c r="AW31" i="50"/>
  <c r="G42" i="48"/>
  <c r="H39" i="50"/>
  <c r="AW39" i="50"/>
  <c r="H39" i="53"/>
  <c r="AX39" i="53"/>
  <c r="H8" i="53"/>
  <c r="U42" i="48"/>
  <c r="T24" i="48"/>
  <c r="H38" i="50"/>
  <c r="AW38" i="50"/>
  <c r="H38" i="53"/>
  <c r="AX38" i="53"/>
  <c r="G139" i="48"/>
  <c r="H24" i="50"/>
  <c r="AV24" i="50"/>
  <c r="H33" i="50"/>
  <c r="AW33" i="50"/>
  <c r="H33" i="53"/>
  <c r="AX33" i="53"/>
  <c r="G94" i="48"/>
  <c r="G105" i="48"/>
  <c r="T25" i="48"/>
  <c r="U37" i="48"/>
  <c r="T31" i="48"/>
  <c r="H26" i="50"/>
  <c r="AV26" i="50"/>
  <c r="T28" i="48"/>
  <c r="H23" i="50"/>
  <c r="AV23" i="50"/>
  <c r="U36" i="48"/>
  <c r="I39" i="48"/>
  <c r="U39" i="48"/>
  <c r="H35" i="50"/>
  <c r="AW35" i="50"/>
  <c r="G83" i="48"/>
  <c r="U41" i="48"/>
  <c r="G80" i="48"/>
  <c r="G103" i="48"/>
  <c r="L103" i="48"/>
  <c r="X38" i="48"/>
  <c r="G38" i="48"/>
  <c r="G73" i="48"/>
  <c r="L75" i="48"/>
  <c r="G91" i="48"/>
  <c r="G100" i="48"/>
  <c r="L100" i="48"/>
  <c r="L155" i="48"/>
  <c r="G31" i="48"/>
  <c r="G36" i="48"/>
  <c r="U38" i="48"/>
  <c r="AW8" i="53"/>
  <c r="AN100" i="62"/>
  <c r="AL15" i="62"/>
  <c r="M13" i="62"/>
  <c r="AV164" i="62"/>
  <c r="AW164" i="62"/>
  <c r="R26" i="52"/>
  <c r="V13" i="55"/>
  <c r="G56" i="55"/>
  <c r="P56" i="55"/>
  <c r="U30" i="55"/>
  <c r="X30" i="55"/>
  <c r="Z30" i="55"/>
  <c r="P33" i="55"/>
  <c r="AD31" i="55"/>
  <c r="C32" i="48"/>
  <c r="G35" i="48"/>
  <c r="L117" i="48"/>
  <c r="L73" i="52"/>
  <c r="N73" i="52"/>
  <c r="P73" i="52"/>
  <c r="R73" i="52"/>
  <c r="X77" i="52"/>
  <c r="AE26" i="52"/>
  <c r="AO44" i="53"/>
  <c r="AO46" i="53"/>
  <c r="U10" i="52"/>
  <c r="X10" i="52"/>
  <c r="G28" i="55"/>
  <c r="V30" i="55"/>
  <c r="AG36" i="68"/>
  <c r="J26" i="61"/>
  <c r="M43" i="62"/>
  <c r="T29" i="48"/>
  <c r="L74" i="48"/>
  <c r="H27" i="53"/>
  <c r="AX27" i="53"/>
  <c r="H48" i="48"/>
  <c r="H50" i="48"/>
  <c r="H165" i="48"/>
  <c r="H166" i="48"/>
  <c r="G77" i="48"/>
  <c r="X52" i="52"/>
  <c r="P23" i="55"/>
  <c r="G23" i="55"/>
  <c r="U23" i="55"/>
  <c r="Z23" i="55"/>
  <c r="AD23" i="55"/>
  <c r="X73" i="52"/>
  <c r="AY15" i="53"/>
  <c r="C14" i="52"/>
  <c r="G26" i="55"/>
  <c r="U26" i="55"/>
  <c r="Z26" i="55"/>
  <c r="AD26" i="55"/>
  <c r="H26" i="61"/>
  <c r="H30" i="61"/>
  <c r="AN15" i="62"/>
  <c r="L90" i="48"/>
  <c r="H36" i="53"/>
  <c r="AX36" i="53"/>
  <c r="H37" i="50"/>
  <c r="AV37" i="50"/>
  <c r="X37" i="48"/>
  <c r="H163" i="48"/>
  <c r="L101" i="48"/>
  <c r="E89" i="49"/>
  <c r="E91" i="49"/>
  <c r="I44" i="50"/>
  <c r="P90" i="52"/>
  <c r="N6" i="52"/>
  <c r="P6" i="52"/>
  <c r="G164" i="51"/>
  <c r="G88" i="51"/>
  <c r="P26" i="55"/>
  <c r="AD35" i="55"/>
  <c r="AG24" i="68"/>
  <c r="O25" i="62"/>
  <c r="O41" i="62"/>
  <c r="AL86" i="62"/>
  <c r="AL94" i="62"/>
  <c r="AL100" i="62"/>
  <c r="AN26" i="62"/>
  <c r="AW11" i="53"/>
  <c r="AW44" i="53"/>
  <c r="H203" i="48"/>
  <c r="H209" i="48"/>
  <c r="R49" i="52"/>
  <c r="V23" i="55"/>
  <c r="R70" i="52"/>
  <c r="V11" i="55"/>
  <c r="O53" i="49"/>
  <c r="V25" i="55"/>
  <c r="R8" i="52"/>
  <c r="T40" i="48"/>
  <c r="I53" i="49"/>
  <c r="X45" i="52"/>
  <c r="P6" i="55"/>
  <c r="L44" i="52"/>
  <c r="N44" i="52"/>
  <c r="P44" i="52"/>
  <c r="AE27" i="52"/>
  <c r="Z42" i="55"/>
  <c r="AD42" i="55"/>
  <c r="X42" i="55"/>
  <c r="AB42" i="55"/>
  <c r="G40" i="55"/>
  <c r="X102" i="52"/>
  <c r="H27" i="51"/>
  <c r="P40" i="55"/>
  <c r="AB93" i="52"/>
  <c r="G6" i="55"/>
  <c r="Z31" i="55"/>
  <c r="X31" i="55"/>
  <c r="W28" i="52"/>
  <c r="AE44" i="52"/>
  <c r="M17" i="62"/>
  <c r="M26" i="62"/>
  <c r="O22" i="62"/>
  <c r="G102" i="48"/>
  <c r="G106" i="48"/>
  <c r="H36" i="50"/>
  <c r="AW36" i="50"/>
  <c r="AW44" i="50"/>
  <c r="G75" i="48"/>
  <c r="G40" i="48"/>
  <c r="I48" i="48"/>
  <c r="U32" i="48"/>
  <c r="U48" i="48"/>
  <c r="T26" i="48"/>
  <c r="T48" i="48"/>
  <c r="T49" i="48"/>
  <c r="U49" i="48"/>
  <c r="H31" i="53"/>
  <c r="AX31" i="53"/>
  <c r="AX44" i="53"/>
  <c r="X32" i="48"/>
  <c r="J44" i="49"/>
  <c r="P44" i="49"/>
  <c r="P53" i="49"/>
  <c r="X23" i="55"/>
  <c r="AB23" i="55"/>
  <c r="V9" i="55"/>
  <c r="AE25" i="52"/>
  <c r="AD9" i="55"/>
  <c r="P10" i="55"/>
  <c r="H15" i="50"/>
  <c r="AV15" i="50"/>
  <c r="X39" i="48"/>
  <c r="H11" i="50"/>
  <c r="V31" i="55"/>
  <c r="V26" i="55"/>
  <c r="G170" i="51"/>
  <c r="P27" i="55"/>
  <c r="X100" i="52"/>
  <c r="U12" i="52"/>
  <c r="AY12" i="53"/>
  <c r="U29" i="52"/>
  <c r="AY22" i="53"/>
  <c r="H105" i="51"/>
  <c r="V41" i="55"/>
  <c r="P41" i="55"/>
  <c r="AE14" i="52"/>
  <c r="AE15" i="52"/>
  <c r="G22" i="55"/>
  <c r="V22" i="55"/>
  <c r="G24" i="55"/>
  <c r="U24" i="55"/>
  <c r="K87" i="52"/>
  <c r="I44" i="53"/>
  <c r="AB92" i="52"/>
  <c r="G20" i="55"/>
  <c r="Z36" i="55"/>
  <c r="H122" i="62"/>
  <c r="H125" i="62" s="1"/>
  <c r="AG38" i="68"/>
  <c r="G54" i="55"/>
  <c r="P54" i="55"/>
  <c r="AB37" i="55"/>
  <c r="X37" i="55"/>
  <c r="Z37" i="55"/>
  <c r="I30" i="61"/>
  <c r="AG37" i="68"/>
  <c r="H114" i="62"/>
  <c r="H120" i="62" s="1"/>
  <c r="X64" i="52"/>
  <c r="P24" i="55"/>
  <c r="AE29" i="52"/>
  <c r="P28" i="55"/>
  <c r="P70" i="55"/>
  <c r="D45" i="55"/>
  <c r="X21" i="55"/>
  <c r="AB21" i="55"/>
  <c r="X36" i="55"/>
  <c r="AB35" i="55"/>
  <c r="C17" i="52"/>
  <c r="C18" i="52"/>
  <c r="AG29" i="68"/>
  <c r="AK29" i="68" s="1"/>
  <c r="H60" i="62"/>
  <c r="H73" i="62" s="1"/>
  <c r="AG30" i="68"/>
  <c r="G43" i="68"/>
  <c r="H32" i="62"/>
  <c r="H35" i="62" s="1"/>
  <c r="AG26" i="68"/>
  <c r="AK26" i="68" s="1"/>
  <c r="G12" i="55"/>
  <c r="U11" i="55"/>
  <c r="J3" i="61"/>
  <c r="J18" i="61"/>
  <c r="J30" i="61"/>
  <c r="O35" i="62"/>
  <c r="H37" i="62"/>
  <c r="H41" i="62" s="1"/>
  <c r="AG27" i="68"/>
  <c r="O13" i="62"/>
  <c r="O15" i="62"/>
  <c r="M8" i="62"/>
  <c r="AN163" i="62"/>
  <c r="O17" i="62"/>
  <c r="O26" i="62"/>
  <c r="R6" i="52"/>
  <c r="V28" i="55"/>
  <c r="Z28" i="55"/>
  <c r="U28" i="55"/>
  <c r="G70" i="55"/>
  <c r="P87" i="52"/>
  <c r="P9" i="55"/>
  <c r="G9" i="55"/>
  <c r="U9" i="55"/>
  <c r="Z9" i="55"/>
  <c r="G39" i="55"/>
  <c r="P39" i="55"/>
  <c r="V39" i="55"/>
  <c r="AB94" i="52"/>
  <c r="P66" i="55"/>
  <c r="G66" i="55"/>
  <c r="Z11" i="55"/>
  <c r="X11" i="55"/>
  <c r="Z24" i="55"/>
  <c r="X24" i="55"/>
  <c r="AV11" i="50"/>
  <c r="AV44" i="50"/>
  <c r="AV45" i="50"/>
  <c r="AW45" i="50"/>
  <c r="H44" i="50"/>
  <c r="AB6" i="55"/>
  <c r="AB45" i="55"/>
  <c r="U6" i="55"/>
  <c r="G55" i="55"/>
  <c r="P55" i="55"/>
  <c r="U40" i="55"/>
  <c r="V40" i="55"/>
  <c r="R87" i="52"/>
  <c r="P91" i="52"/>
  <c r="H44" i="53"/>
  <c r="X12" i="52"/>
  <c r="U87" i="52"/>
  <c r="I50" i="48"/>
  <c r="I165" i="48"/>
  <c r="I166" i="48"/>
  <c r="I206" i="48"/>
  <c r="I51" i="48"/>
  <c r="R44" i="52"/>
  <c r="AD6" i="55"/>
  <c r="V6" i="55"/>
  <c r="O54" i="49"/>
  <c r="P54" i="49"/>
  <c r="I203" i="48"/>
  <c r="X29" i="52"/>
  <c r="AE48" i="52"/>
  <c r="D48" i="55"/>
  <c r="D53" i="55"/>
  <c r="U22" i="55"/>
  <c r="Z22" i="55"/>
  <c r="AD22" i="55"/>
  <c r="P22" i="55"/>
  <c r="P62" i="55"/>
  <c r="X62" i="55"/>
  <c r="X103" i="52"/>
  <c r="J53" i="49"/>
  <c r="G62" i="55"/>
  <c r="H170" i="51"/>
  <c r="Y90" i="52"/>
  <c r="X93" i="52"/>
  <c r="AW45" i="53"/>
  <c r="AX45" i="53"/>
  <c r="N17" i="62"/>
  <c r="U39" i="55"/>
  <c r="AD39" i="55"/>
  <c r="G52" i="55"/>
  <c r="I52" i="55"/>
  <c r="AB62" i="55"/>
  <c r="AB64" i="55"/>
  <c r="AB65" i="55"/>
  <c r="Z62" i="55"/>
  <c r="AD62" i="55"/>
  <c r="X94" i="52"/>
  <c r="X95" i="52"/>
  <c r="X96" i="52"/>
  <c r="X98" i="52"/>
  <c r="X104" i="52"/>
  <c r="X87" i="52"/>
  <c r="V45" i="55"/>
  <c r="G13" i="55"/>
  <c r="P13" i="55"/>
  <c r="P45" i="55"/>
  <c r="Z6" i="55"/>
  <c r="X39" i="55"/>
  <c r="X45" i="55"/>
  <c r="X64" i="55"/>
  <c r="X65" i="55"/>
  <c r="Z39" i="55"/>
  <c r="U13" i="55"/>
  <c r="G45" i="55"/>
  <c r="G60" i="55"/>
  <c r="G64" i="55"/>
  <c r="G68" i="55"/>
  <c r="G72" i="55"/>
  <c r="G51" i="55"/>
  <c r="I51" i="55"/>
  <c r="P60" i="55"/>
  <c r="P64" i="55"/>
  <c r="P68" i="55"/>
  <c r="P72" i="55"/>
  <c r="P47" i="55"/>
  <c r="Z13" i="55"/>
  <c r="U45" i="55"/>
  <c r="AD13" i="55"/>
  <c r="AD45" i="55"/>
  <c r="AD64" i="55"/>
  <c r="Z45" i="55"/>
  <c r="Z64" i="55"/>
  <c r="Z65" i="55"/>
  <c r="Z68" i="55"/>
  <c r="AD65" i="55"/>
  <c r="AD68" i="55"/>
  <c r="AE64" i="55"/>
  <c r="I36" i="68" l="1"/>
  <c r="I37" i="68"/>
  <c r="J38" i="68"/>
  <c r="I33" i="68"/>
  <c r="I34" i="68"/>
  <c r="I27" i="68"/>
  <c r="J33" i="68"/>
  <c r="I38" i="68"/>
  <c r="I41" i="68"/>
  <c r="J30" i="68"/>
  <c r="I26" i="68"/>
  <c r="I30" i="68"/>
  <c r="J27" i="68"/>
  <c r="J45" i="68"/>
  <c r="I23" i="68"/>
  <c r="J36" i="68"/>
  <c r="J28" i="68"/>
  <c r="J31" i="68"/>
  <c r="J37" i="68"/>
  <c r="I39" i="68"/>
  <c r="I42" i="68"/>
  <c r="I45" i="68"/>
  <c r="K45" i="68" s="1"/>
  <c r="M45" i="68" s="1"/>
  <c r="J29" i="68"/>
  <c r="J41" i="68"/>
  <c r="J34" i="68"/>
  <c r="I28" i="68"/>
  <c r="I31" i="68"/>
  <c r="J26" i="68"/>
  <c r="J42" i="68"/>
  <c r="H43" i="68"/>
  <c r="H46" i="68" s="1"/>
  <c r="AG42" i="68"/>
  <c r="H43" i="62"/>
  <c r="AG41" i="68"/>
  <c r="AG43" i="68" s="1"/>
  <c r="AD46" i="68" s="1"/>
  <c r="H154" i="62"/>
  <c r="H159" i="62" s="1"/>
  <c r="H163" i="62"/>
  <c r="K26" i="68" l="1"/>
  <c r="L26" i="68" s="1"/>
  <c r="K30" i="68"/>
  <c r="L30" i="68" s="1"/>
  <c r="K37" i="68"/>
  <c r="L37" i="68" s="1"/>
  <c r="K38" i="68"/>
  <c r="M38" i="68" s="1"/>
  <c r="K28" i="68"/>
  <c r="L28" i="68" s="1"/>
  <c r="K42" i="68"/>
  <c r="L42" i="68" s="1"/>
  <c r="K41" i="68"/>
  <c r="M41" i="68" s="1"/>
  <c r="K36" i="68"/>
  <c r="M36" i="68" s="1"/>
  <c r="J24" i="68"/>
  <c r="J23" i="68"/>
  <c r="K27" i="68"/>
  <c r="M27" i="68" s="1"/>
  <c r="K34" i="68"/>
  <c r="L34" i="68" s="1"/>
  <c r="K33" i="68"/>
  <c r="L33" i="68" s="1"/>
  <c r="J39" i="68"/>
  <c r="K39" i="68" s="1"/>
  <c r="K31" i="68"/>
  <c r="M31" i="68" s="1"/>
  <c r="I29" i="68"/>
  <c r="I24" i="68" l="1"/>
  <c r="K24" i="68" s="1"/>
  <c r="L24" i="68" s="1"/>
  <c r="K40" i="68"/>
  <c r="L40" i="68" s="1"/>
  <c r="L39" i="68"/>
  <c r="M43" i="68"/>
  <c r="M46" i="68" s="1"/>
  <c r="M47" i="68" s="1"/>
  <c r="J43" i="68"/>
  <c r="K23" i="68"/>
  <c r="L23" i="68" s="1"/>
  <c r="K29" i="68"/>
  <c r="I43" i="68" l="1"/>
  <c r="K43" i="68"/>
  <c r="K46" i="68" s="1"/>
  <c r="L29" i="68"/>
  <c r="L43" i="68" s="1"/>
  <c r="L46" i="68" s="1"/>
  <c r="L47" i="68" s="1"/>
  <c r="O46" i="68" l="1"/>
  <c r="K47" i="68"/>
</calcChain>
</file>

<file path=xl/comments1.xml><?xml version="1.0" encoding="utf-8"?>
<comments xmlns="http://schemas.openxmlformats.org/spreadsheetml/2006/main">
  <authors>
    <author>Author</author>
  </authors>
  <commentList>
    <comment ref="I32" authorId="0" shapeId="0">
      <text>
        <r>
          <rPr>
            <b/>
            <sz val="9"/>
            <color indexed="81"/>
            <rFont val="Tahoma"/>
            <family val="2"/>
          </rPr>
          <t>Author:</t>
        </r>
        <r>
          <rPr>
            <sz val="9"/>
            <color indexed="81"/>
            <rFont val="Tahoma"/>
            <family val="2"/>
          </rPr>
          <t xml:space="preserve">
Justification needed for 1+3 machine</t>
        </r>
      </text>
    </comment>
    <comment ref="AF32" authorId="0" shapeId="0">
      <text>
        <r>
          <rPr>
            <b/>
            <sz val="9"/>
            <color indexed="81"/>
            <rFont val="Tahoma"/>
            <family val="2"/>
          </rPr>
          <t>Author:</t>
        </r>
        <r>
          <rPr>
            <sz val="9"/>
            <color indexed="81"/>
            <rFont val="Tahoma"/>
            <family val="2"/>
          </rPr>
          <t xml:space="preserve">
To be rechecked by known person
</t>
        </r>
      </text>
    </comment>
    <comment ref="AN32" authorId="0" shapeId="0">
      <text>
        <r>
          <rPr>
            <b/>
            <sz val="9"/>
            <color indexed="81"/>
            <rFont val="Tahoma"/>
            <family val="2"/>
          </rPr>
          <t>Author:</t>
        </r>
        <r>
          <rPr>
            <sz val="9"/>
            <color indexed="81"/>
            <rFont val="Tahoma"/>
            <family val="2"/>
          </rPr>
          <t xml:space="preserve">
62000 CHF Paid in euro currency equivalent to Cchf total euro 55608 @ 89.55
</t>
        </r>
      </text>
    </comment>
    <comment ref="G37" authorId="0" shapeId="0">
      <text>
        <r>
          <rPr>
            <b/>
            <sz val="9"/>
            <color indexed="81"/>
            <rFont val="Tahoma"/>
            <family val="2"/>
          </rPr>
          <t>Author:</t>
        </r>
        <r>
          <rPr>
            <sz val="9"/>
            <color indexed="81"/>
            <rFont val="Tahoma"/>
            <family val="2"/>
          </rPr>
          <t xml:space="preserve">
Writren as 2 lot actual quantity is 4 set</t>
        </r>
      </text>
    </comment>
    <comment ref="W38" authorId="0" shapeId="0">
      <text>
        <r>
          <rPr>
            <b/>
            <sz val="9"/>
            <color indexed="81"/>
            <rFont val="Tahoma"/>
            <family val="2"/>
          </rPr>
          <t>Author:</t>
        </r>
        <r>
          <rPr>
            <sz val="9"/>
            <color indexed="81"/>
            <rFont val="Tahoma"/>
            <family val="2"/>
          </rPr>
          <t xml:space="preserve">
In invoice make is written as address, need to confim
</t>
        </r>
      </text>
    </comment>
    <comment ref="F43" authorId="0" shapeId="0">
      <text>
        <r>
          <rPr>
            <b/>
            <sz val="9"/>
            <color indexed="81"/>
            <rFont val="Tahoma"/>
            <family val="2"/>
          </rPr>
          <t>Author:</t>
        </r>
        <r>
          <rPr>
            <sz val="9"/>
            <color indexed="81"/>
            <rFont val="Tahoma"/>
            <family val="2"/>
          </rPr>
          <t xml:space="preserve">
In UID taken as imported but in actual indigenous</t>
        </r>
      </text>
    </comment>
    <comment ref="V44" authorId="0" shapeId="0">
      <text>
        <r>
          <rPr>
            <b/>
            <sz val="9"/>
            <color indexed="81"/>
            <rFont val="Tahoma"/>
            <family val="2"/>
          </rPr>
          <t>Author:</t>
        </r>
        <r>
          <rPr>
            <sz val="9"/>
            <color indexed="81"/>
            <rFont val="Tahoma"/>
            <family val="2"/>
          </rPr>
          <t xml:space="preserve">
not in invoice</t>
        </r>
      </text>
    </comment>
    <comment ref="T49" authorId="0" shapeId="0">
      <text>
        <r>
          <rPr>
            <b/>
            <sz val="9"/>
            <color indexed="81"/>
            <rFont val="Tahoma"/>
            <family val="2"/>
          </rPr>
          <t>Author:</t>
        </r>
        <r>
          <rPr>
            <sz val="9"/>
            <color indexed="81"/>
            <rFont val="Tahoma"/>
            <family val="2"/>
          </rPr>
          <t xml:space="preserve">
Serial no. not on invoice</t>
        </r>
      </text>
    </comment>
    <comment ref="Z68" authorId="0" shapeId="0">
      <text>
        <r>
          <rPr>
            <b/>
            <sz val="9"/>
            <color indexed="81"/>
            <rFont val="Tahoma"/>
            <family val="2"/>
          </rPr>
          <t>Author:</t>
        </r>
        <r>
          <rPr>
            <sz val="9"/>
            <color indexed="81"/>
            <rFont val="Tahoma"/>
            <family val="2"/>
          </rPr>
          <t xml:space="preserve">
Invoice not found</t>
        </r>
      </text>
    </comment>
    <comment ref="I82" authorId="0" shapeId="0">
      <text>
        <r>
          <rPr>
            <b/>
            <sz val="9"/>
            <color indexed="81"/>
            <rFont val="Tahoma"/>
            <family val="2"/>
          </rPr>
          <t>Author:</t>
        </r>
        <r>
          <rPr>
            <sz val="9"/>
            <color indexed="81"/>
            <rFont val="Tahoma"/>
            <family val="2"/>
          </rPr>
          <t xml:space="preserve">
lot combine diff diff 9 machines</t>
        </r>
      </text>
    </comment>
    <comment ref="M127" authorId="0" shapeId="0">
      <text>
        <r>
          <rPr>
            <b/>
            <sz val="9"/>
            <color indexed="81"/>
            <rFont val="Tahoma"/>
            <family val="2"/>
          </rPr>
          <t>Author:</t>
        </r>
        <r>
          <rPr>
            <sz val="9"/>
            <color indexed="81"/>
            <rFont val="Tahoma"/>
            <family val="2"/>
          </rPr>
          <t xml:space="preserve">
Invoice is for 25,56,000 but rop is Rs. 11,51,000. Whether we consider other accessories also
</t>
        </r>
      </text>
    </comment>
  </commentList>
</comments>
</file>

<file path=xl/comments2.xml><?xml version="1.0" encoding="utf-8"?>
<comments xmlns="http://schemas.openxmlformats.org/spreadsheetml/2006/main">
  <authors>
    <author>Author</author>
  </authors>
  <commentList>
    <comment ref="AB7" authorId="0" shapeId="0">
      <text>
        <r>
          <rPr>
            <b/>
            <sz val="9"/>
            <color indexed="81"/>
            <rFont val="Tahoma"/>
            <family val="2"/>
          </rPr>
          <t>Author:</t>
        </r>
        <r>
          <rPr>
            <sz val="9"/>
            <color indexed="81"/>
            <rFont val="Tahoma"/>
            <family val="2"/>
          </rPr>
          <t xml:space="preserve">
Coo-china, but if we select china than in  manufacturer/agent coloumn saurer party name is not in drop down option
 </t>
        </r>
      </text>
    </comment>
    <comment ref="I29" authorId="0" shapeId="0">
      <text>
        <r>
          <rPr>
            <b/>
            <sz val="9"/>
            <color indexed="81"/>
            <rFont val="Tahoma"/>
            <family val="2"/>
          </rPr>
          <t>Author:</t>
        </r>
        <r>
          <rPr>
            <sz val="9"/>
            <color indexed="81"/>
            <rFont val="Tahoma"/>
            <family val="2"/>
          </rPr>
          <t xml:space="preserve">
Justification needed for 1+3 machine</t>
        </r>
      </text>
    </comment>
    <comment ref="AF29" authorId="0" shapeId="0">
      <text>
        <r>
          <rPr>
            <b/>
            <sz val="9"/>
            <color indexed="81"/>
            <rFont val="Tahoma"/>
            <family val="2"/>
          </rPr>
          <t>Author:</t>
        </r>
        <r>
          <rPr>
            <sz val="9"/>
            <color indexed="81"/>
            <rFont val="Tahoma"/>
            <family val="2"/>
          </rPr>
          <t xml:space="preserve">
To be rechecked by known person
</t>
        </r>
      </text>
    </comment>
    <comment ref="AN29" authorId="0" shapeId="0">
      <text>
        <r>
          <rPr>
            <b/>
            <sz val="9"/>
            <color indexed="81"/>
            <rFont val="Tahoma"/>
            <family val="2"/>
          </rPr>
          <t>Author:</t>
        </r>
        <r>
          <rPr>
            <sz val="9"/>
            <color indexed="81"/>
            <rFont val="Tahoma"/>
            <family val="2"/>
          </rPr>
          <t xml:space="preserve">
62000 CHF Paid in euro currency equivalent to Cchf total euro 55608 @ 89.55
</t>
        </r>
      </text>
    </comment>
    <comment ref="G34" authorId="0" shapeId="0">
      <text>
        <r>
          <rPr>
            <b/>
            <sz val="9"/>
            <color indexed="81"/>
            <rFont val="Tahoma"/>
            <family val="2"/>
          </rPr>
          <t>Author:</t>
        </r>
        <r>
          <rPr>
            <sz val="9"/>
            <color indexed="81"/>
            <rFont val="Tahoma"/>
            <family val="2"/>
          </rPr>
          <t xml:space="preserve">
Writren as 2 lot actual quantity is 4 set</t>
        </r>
      </text>
    </comment>
    <comment ref="W35" authorId="0" shapeId="0">
      <text>
        <r>
          <rPr>
            <b/>
            <sz val="9"/>
            <color indexed="81"/>
            <rFont val="Tahoma"/>
            <family val="2"/>
          </rPr>
          <t>Author:</t>
        </r>
        <r>
          <rPr>
            <sz val="9"/>
            <color indexed="81"/>
            <rFont val="Tahoma"/>
            <family val="2"/>
          </rPr>
          <t xml:space="preserve">
In invoice make is written as address, need to confim
</t>
        </r>
      </text>
    </comment>
    <comment ref="F40" authorId="0" shapeId="0">
      <text>
        <r>
          <rPr>
            <b/>
            <sz val="9"/>
            <color indexed="81"/>
            <rFont val="Tahoma"/>
            <family val="2"/>
          </rPr>
          <t>Author:</t>
        </r>
        <r>
          <rPr>
            <sz val="9"/>
            <color indexed="81"/>
            <rFont val="Tahoma"/>
            <family val="2"/>
          </rPr>
          <t xml:space="preserve">
In UID taken as imported but in actual indigenous</t>
        </r>
      </text>
    </comment>
    <comment ref="V41" authorId="0" shapeId="0">
      <text>
        <r>
          <rPr>
            <b/>
            <sz val="9"/>
            <color indexed="81"/>
            <rFont val="Tahoma"/>
            <family val="2"/>
          </rPr>
          <t>Author:</t>
        </r>
        <r>
          <rPr>
            <sz val="9"/>
            <color indexed="81"/>
            <rFont val="Tahoma"/>
            <family val="2"/>
          </rPr>
          <t xml:space="preserve">
not in invoice</t>
        </r>
      </text>
    </comment>
    <comment ref="T46" authorId="0" shapeId="0">
      <text>
        <r>
          <rPr>
            <b/>
            <sz val="9"/>
            <color indexed="81"/>
            <rFont val="Tahoma"/>
            <family val="2"/>
          </rPr>
          <t>Author:</t>
        </r>
        <r>
          <rPr>
            <sz val="9"/>
            <color indexed="81"/>
            <rFont val="Tahoma"/>
            <family val="2"/>
          </rPr>
          <t xml:space="preserve">
Serial no. not on invoice</t>
        </r>
      </text>
    </comment>
    <comment ref="AL64" authorId="0" shapeId="0">
      <text>
        <r>
          <rPr>
            <b/>
            <sz val="9"/>
            <color indexed="81"/>
            <rFont val="Tahoma"/>
            <family val="2"/>
          </rPr>
          <t>Author:</t>
        </r>
        <r>
          <rPr>
            <sz val="9"/>
            <color indexed="81"/>
            <rFont val="Tahoma"/>
            <family val="2"/>
          </rPr>
          <t xml:space="preserve">
TDS 194 @.10% DEDUCTED RS 6960</t>
        </r>
      </text>
    </comment>
    <comment ref="Z65" authorId="0" shapeId="0">
      <text>
        <r>
          <rPr>
            <b/>
            <sz val="9"/>
            <color indexed="81"/>
            <rFont val="Tahoma"/>
            <family val="2"/>
          </rPr>
          <t>Author:</t>
        </r>
        <r>
          <rPr>
            <sz val="9"/>
            <color indexed="81"/>
            <rFont val="Tahoma"/>
            <family val="2"/>
          </rPr>
          <t xml:space="preserve">
Invoice not found</t>
        </r>
      </text>
    </comment>
    <comment ref="AL66" authorId="0" shapeId="0">
      <text>
        <r>
          <rPr>
            <b/>
            <sz val="9"/>
            <color indexed="81"/>
            <rFont val="Tahoma"/>
            <family val="2"/>
          </rPr>
          <t>Author:</t>
        </r>
        <r>
          <rPr>
            <sz val="9"/>
            <color indexed="81"/>
            <rFont val="Tahoma"/>
            <family val="2"/>
          </rPr>
          <t xml:space="preserve">
TDS 194 @.10% DEDUCTED RS 6960</t>
        </r>
      </text>
    </comment>
    <comment ref="AN68" authorId="0" shapeId="0">
      <text>
        <r>
          <rPr>
            <b/>
            <sz val="9"/>
            <color indexed="81"/>
            <rFont val="Tahoma"/>
            <family val="2"/>
          </rPr>
          <t>Author:</t>
        </r>
        <r>
          <rPr>
            <sz val="9"/>
            <color indexed="81"/>
            <rFont val="Tahoma"/>
            <family val="2"/>
          </rPr>
          <t xml:space="preserve">
TDS DEDUCTED
194Q .10% RS 6960</t>
        </r>
      </text>
    </comment>
    <comment ref="AN70" authorId="0" shapeId="0">
      <text>
        <r>
          <rPr>
            <b/>
            <sz val="9"/>
            <color indexed="81"/>
            <rFont val="Tahoma"/>
            <family val="2"/>
          </rPr>
          <t>Author:
TDS 194@ DEDUCTED</t>
        </r>
        <r>
          <rPr>
            <sz val="9"/>
            <color indexed="81"/>
            <rFont val="Tahoma"/>
            <family val="2"/>
          </rPr>
          <t xml:space="preserve">
INVOICE 199-    RS 6960
INVOICE 196-    RS 6960
17.05.222 PAY- RS 6960 </t>
        </r>
      </text>
    </comment>
    <comment ref="I80" authorId="0" shapeId="0">
      <text>
        <r>
          <rPr>
            <b/>
            <sz val="9"/>
            <color indexed="81"/>
            <rFont val="Tahoma"/>
            <family val="2"/>
          </rPr>
          <t>Author:</t>
        </r>
        <r>
          <rPr>
            <sz val="9"/>
            <color indexed="81"/>
            <rFont val="Tahoma"/>
            <family val="2"/>
          </rPr>
          <t xml:space="preserve">
lot combine diff diff 9 machines</t>
        </r>
      </text>
    </comment>
    <comment ref="AN91" authorId="0" shapeId="0">
      <text>
        <r>
          <rPr>
            <b/>
            <sz val="9"/>
            <color indexed="81"/>
            <rFont val="Tahoma"/>
            <family val="2"/>
          </rPr>
          <t>Author:
Partial Payment
RR 11 RS 14,08,869
RR 12 RS 08,96,428
RR 14 RS 2,50,959</t>
        </r>
      </text>
    </comment>
    <comment ref="AN92" authorId="0" shapeId="0">
      <text>
        <r>
          <rPr>
            <b/>
            <sz val="9"/>
            <color indexed="81"/>
            <rFont val="Tahoma"/>
            <family val="2"/>
          </rPr>
          <t>Author:
TDS DEDUCTED AGST INV- MAC/0001
RS 8700</t>
        </r>
      </text>
    </comment>
    <comment ref="AN100" authorId="0" shapeId="0">
      <text>
        <r>
          <rPr>
            <b/>
            <sz val="9"/>
            <color indexed="81"/>
            <rFont val="Tahoma"/>
            <family val="2"/>
          </rPr>
          <t>Author:
Partial Payment
RR 11 RS 14,08,869
RR 12 RS 08,96,428
RR 14 RS 2,50,959</t>
        </r>
      </text>
    </comment>
    <comment ref="AN101" authorId="0" shapeId="0">
      <text>
        <r>
          <rPr>
            <b/>
            <sz val="9"/>
            <color indexed="81"/>
            <rFont val="Tahoma"/>
            <family val="2"/>
          </rPr>
          <t xml:space="preserve">Author:
TDS DEDUCTED AGST MAC/0002  RS 24600
</t>
        </r>
      </text>
    </comment>
    <comment ref="AN109" authorId="0" shapeId="0">
      <text>
        <r>
          <rPr>
            <b/>
            <sz val="9"/>
            <color indexed="81"/>
            <rFont val="Tahoma"/>
            <family val="2"/>
          </rPr>
          <t>Author:
Partial Payment
RR 11 RS 14,08,869
RR 12 RS 08,96,428
RR 14 RS 2,50,959</t>
        </r>
      </text>
    </comment>
    <comment ref="AN119" authorId="0" shapeId="0">
      <text>
        <r>
          <rPr>
            <b/>
            <sz val="9"/>
            <color indexed="81"/>
            <rFont val="Tahoma"/>
            <family val="2"/>
          </rPr>
          <t>Author:</t>
        </r>
        <r>
          <rPr>
            <sz val="9"/>
            <color indexed="81"/>
            <rFont val="Tahoma"/>
            <family val="2"/>
          </rPr>
          <t xml:space="preserve">
Total payment 44 lac approx, balance added in last RR
Partial Payment
RR 15- Rs 20,09,260
RR 20- Rs 24,37,600
</t>
        </r>
        <r>
          <rPr>
            <b/>
            <sz val="9"/>
            <color indexed="81"/>
            <rFont val="Tahoma"/>
            <family val="2"/>
          </rPr>
          <t>Total-  Rs 44,46,260</t>
        </r>
      </text>
    </comment>
    <comment ref="AN124" authorId="0" shapeId="0">
      <text>
        <r>
          <rPr>
            <b/>
            <sz val="9"/>
            <color indexed="81"/>
            <rFont val="Tahoma"/>
            <family val="2"/>
          </rPr>
          <t>Author:</t>
        </r>
        <r>
          <rPr>
            <sz val="9"/>
            <color indexed="81"/>
            <rFont val="Tahoma"/>
            <family val="2"/>
          </rPr>
          <t xml:space="preserve">
Partial Payment
RR 15 RS 7,940
RR 21 RS 4,11,720
Other Than RR- Rs 18,983</t>
        </r>
      </text>
    </comment>
    <comment ref="M133" authorId="0" shapeId="0">
      <text>
        <r>
          <rPr>
            <b/>
            <sz val="9"/>
            <color indexed="81"/>
            <rFont val="Tahoma"/>
            <family val="2"/>
          </rPr>
          <t>Author:</t>
        </r>
        <r>
          <rPr>
            <sz val="9"/>
            <color indexed="81"/>
            <rFont val="Tahoma"/>
            <family val="2"/>
          </rPr>
          <t xml:space="preserve">
Invoice is for 25,56,000 but rop is Rs. 11,51,000. Whether we consider other accessories also
</t>
        </r>
      </text>
    </comment>
    <comment ref="AN161" authorId="0" shapeId="0">
      <text>
        <r>
          <rPr>
            <b/>
            <sz val="9"/>
            <color indexed="81"/>
            <rFont val="Tahoma"/>
            <family val="2"/>
          </rPr>
          <t>Author:</t>
        </r>
        <r>
          <rPr>
            <sz val="9"/>
            <color indexed="81"/>
            <rFont val="Tahoma"/>
            <family val="2"/>
          </rPr>
          <t xml:space="preserve">
Partial Payment
RR 15- Rs 20,09,260
RR 20- Rs 24,37,600
Total-  Rs 44,46,260</t>
        </r>
      </text>
    </comment>
    <comment ref="AN163" authorId="0" shapeId="0">
      <text>
        <r>
          <rPr>
            <b/>
            <sz val="9"/>
            <color indexed="81"/>
            <rFont val="Tahoma"/>
            <family val="2"/>
          </rPr>
          <t>Author:</t>
        </r>
        <r>
          <rPr>
            <sz val="9"/>
            <color indexed="81"/>
            <rFont val="Tahoma"/>
            <family val="2"/>
          </rPr>
          <t xml:space="preserve">
Partial Payment
RR 20 RS 9,26,060
Other Than RR- Rs 2,51,230</t>
        </r>
      </text>
    </comment>
    <comment ref="AN169" authorId="0" shapeId="0">
      <text>
        <r>
          <rPr>
            <b/>
            <sz val="9"/>
            <color indexed="81"/>
            <rFont val="Tahoma"/>
            <family val="2"/>
          </rPr>
          <t xml:space="preserve">Author:
</t>
        </r>
        <r>
          <rPr>
            <sz val="9"/>
            <color indexed="81"/>
            <rFont val="Tahoma"/>
            <family val="2"/>
          </rPr>
          <t>partial payment
RR 15 RS 7,940
RR 21 RS 4,11,720
Other Than RR- Rs 18,983</t>
        </r>
      </text>
    </comment>
    <comment ref="AN174" authorId="0" shapeId="0">
      <text>
        <r>
          <rPr>
            <b/>
            <sz val="9"/>
            <color indexed="81"/>
            <rFont val="Tahoma"/>
            <family val="2"/>
          </rPr>
          <t>Author:</t>
        </r>
        <r>
          <rPr>
            <sz val="9"/>
            <color indexed="81"/>
            <rFont val="Tahoma"/>
            <family val="2"/>
          </rPr>
          <t xml:space="preserve">
TDS AGST MAC/00026
RS 6840</t>
        </r>
      </text>
    </comment>
    <comment ref="AN175" authorId="0" shapeId="0">
      <text>
        <r>
          <rPr>
            <b/>
            <sz val="9"/>
            <color indexed="81"/>
            <rFont val="Tahoma"/>
            <family val="2"/>
          </rPr>
          <t>Author:</t>
        </r>
        <r>
          <rPr>
            <sz val="9"/>
            <color indexed="81"/>
            <rFont val="Tahoma"/>
            <family val="2"/>
          </rPr>
          <t xml:space="preserve">
TDS DEDUCTED AGST MAC/00035</t>
        </r>
      </text>
    </comment>
  </commentList>
</comments>
</file>

<file path=xl/comments3.xml><?xml version="1.0" encoding="utf-8"?>
<comments xmlns="http://schemas.openxmlformats.org/spreadsheetml/2006/main">
  <authors>
    <author>Author</author>
  </authors>
  <commentList>
    <comment ref="Y7" authorId="0" shapeId="0">
      <text>
        <r>
          <rPr>
            <b/>
            <sz val="9"/>
            <color indexed="81"/>
            <rFont val="Tahoma"/>
            <family val="2"/>
          </rPr>
          <t>Author:</t>
        </r>
        <r>
          <rPr>
            <sz val="9"/>
            <color indexed="81"/>
            <rFont val="Tahoma"/>
            <family val="2"/>
          </rPr>
          <t xml:space="preserve">
Coo-china, but if we select china than in  manufacturer/agent coloumn saurer party name is not in drop down option
 </t>
        </r>
      </text>
    </comment>
    <comment ref="G20" authorId="0" shapeId="0">
      <text>
        <r>
          <rPr>
            <b/>
            <sz val="9"/>
            <color indexed="81"/>
            <rFont val="Tahoma"/>
            <family val="2"/>
          </rPr>
          <t>Author:</t>
        </r>
        <r>
          <rPr>
            <sz val="9"/>
            <color indexed="81"/>
            <rFont val="Tahoma"/>
            <family val="2"/>
          </rPr>
          <t xml:space="preserve">
Justification needed for 1+3 machine</t>
        </r>
      </text>
    </comment>
    <comment ref="AC20" authorId="0" shapeId="0">
      <text>
        <r>
          <rPr>
            <b/>
            <sz val="9"/>
            <color indexed="81"/>
            <rFont val="Tahoma"/>
            <family val="2"/>
          </rPr>
          <t>Author:</t>
        </r>
        <r>
          <rPr>
            <sz val="9"/>
            <color indexed="81"/>
            <rFont val="Tahoma"/>
            <family val="2"/>
          </rPr>
          <t xml:space="preserve">
To be rechecked by known person
</t>
        </r>
      </text>
    </comment>
    <comment ref="AK20" authorId="0" shapeId="0">
      <text>
        <r>
          <rPr>
            <b/>
            <sz val="9"/>
            <color indexed="81"/>
            <rFont val="Tahoma"/>
            <family val="2"/>
          </rPr>
          <t>Author:</t>
        </r>
        <r>
          <rPr>
            <sz val="9"/>
            <color indexed="81"/>
            <rFont val="Tahoma"/>
            <family val="2"/>
          </rPr>
          <t xml:space="preserve">
62000 CHF Paid in euro currency equivalent to Cchf total euro 55608 @ 89.55
</t>
        </r>
      </text>
    </comment>
    <comment ref="E23" authorId="0" shapeId="0">
      <text>
        <r>
          <rPr>
            <b/>
            <sz val="9"/>
            <color indexed="81"/>
            <rFont val="Tahoma"/>
            <family val="2"/>
          </rPr>
          <t>Author:</t>
        </r>
        <r>
          <rPr>
            <sz val="9"/>
            <color indexed="81"/>
            <rFont val="Tahoma"/>
            <family val="2"/>
          </rPr>
          <t xml:space="preserve">
Writren as 2 lot actual quantity is 4 set</t>
        </r>
      </text>
    </comment>
    <comment ref="S26" authorId="0" shapeId="0">
      <text>
        <r>
          <rPr>
            <b/>
            <sz val="9"/>
            <color indexed="81"/>
            <rFont val="Tahoma"/>
            <family val="2"/>
          </rPr>
          <t>Author:</t>
        </r>
        <r>
          <rPr>
            <sz val="9"/>
            <color indexed="81"/>
            <rFont val="Tahoma"/>
            <family val="2"/>
          </rPr>
          <t xml:space="preserve">
not in invoice</t>
        </r>
      </text>
    </comment>
    <comment ref="W41" authorId="0" shapeId="0">
      <text>
        <r>
          <rPr>
            <b/>
            <sz val="9"/>
            <color indexed="81"/>
            <rFont val="Tahoma"/>
            <family val="2"/>
          </rPr>
          <t>Author:</t>
        </r>
        <r>
          <rPr>
            <sz val="9"/>
            <color indexed="81"/>
            <rFont val="Tahoma"/>
            <family val="2"/>
          </rPr>
          <t xml:space="preserve">
Invoice not found</t>
        </r>
      </text>
    </comment>
    <comment ref="AI41" authorId="0" shapeId="0">
      <text>
        <r>
          <rPr>
            <b/>
            <sz val="9"/>
            <color indexed="81"/>
            <rFont val="Tahoma"/>
            <family val="2"/>
          </rPr>
          <t>Author:</t>
        </r>
        <r>
          <rPr>
            <sz val="9"/>
            <color indexed="81"/>
            <rFont val="Tahoma"/>
            <family val="2"/>
          </rPr>
          <t xml:space="preserve">
TDS 194 @.10% DEDUCTED RS 6960</t>
        </r>
      </text>
    </comment>
    <comment ref="AI43" authorId="0" shapeId="0">
      <text>
        <r>
          <rPr>
            <b/>
            <sz val="9"/>
            <color indexed="81"/>
            <rFont val="Tahoma"/>
            <family val="2"/>
          </rPr>
          <t>Author:</t>
        </r>
        <r>
          <rPr>
            <sz val="9"/>
            <color indexed="81"/>
            <rFont val="Tahoma"/>
            <family val="2"/>
          </rPr>
          <t xml:space="preserve">
TDS 194 @.10% DEDUCTED RS 6960</t>
        </r>
      </text>
    </comment>
    <comment ref="AK45" authorId="0" shapeId="0">
      <text>
        <r>
          <rPr>
            <b/>
            <sz val="9"/>
            <color indexed="81"/>
            <rFont val="Tahoma"/>
            <family val="2"/>
          </rPr>
          <t>Author:</t>
        </r>
        <r>
          <rPr>
            <sz val="9"/>
            <color indexed="81"/>
            <rFont val="Tahoma"/>
            <family val="2"/>
          </rPr>
          <t xml:space="preserve">
TDS DEDUCTED
194Q .10% RS 6960</t>
        </r>
      </text>
    </comment>
    <comment ref="G49" authorId="0" shapeId="0">
      <text>
        <r>
          <rPr>
            <b/>
            <sz val="9"/>
            <color indexed="81"/>
            <rFont val="Tahoma"/>
            <family val="2"/>
          </rPr>
          <t>Author:</t>
        </r>
        <r>
          <rPr>
            <sz val="9"/>
            <color indexed="81"/>
            <rFont val="Tahoma"/>
            <family val="2"/>
          </rPr>
          <t xml:space="preserve">
lot combine diff diff 9 machines</t>
        </r>
      </text>
    </comment>
    <comment ref="AK63" authorId="0" shapeId="0">
      <text>
        <r>
          <rPr>
            <b/>
            <sz val="9"/>
            <color indexed="81"/>
            <rFont val="Tahoma"/>
            <family val="2"/>
          </rPr>
          <t>Author:
Partial Payment
RR 11 RS 14,08,869
RR 12 RS 08,96,428
RR 14 RS 2,50,959</t>
        </r>
      </text>
    </comment>
    <comment ref="AK69" authorId="0" shapeId="0">
      <text>
        <r>
          <rPr>
            <b/>
            <sz val="9"/>
            <color indexed="81"/>
            <rFont val="Tahoma"/>
            <family val="2"/>
          </rPr>
          <t>Author:</t>
        </r>
        <r>
          <rPr>
            <sz val="9"/>
            <color indexed="81"/>
            <rFont val="Tahoma"/>
            <family val="2"/>
          </rPr>
          <t xml:space="preserve">
Total payment 44 lac approx, balance added in last RR
Partial Payment
RR 15- Rs 20,09,260
RR 20- Rs 24,37,600
</t>
        </r>
        <r>
          <rPr>
            <b/>
            <sz val="9"/>
            <color indexed="81"/>
            <rFont val="Tahoma"/>
            <family val="2"/>
          </rPr>
          <t>Total-  Rs 44,46,260</t>
        </r>
      </text>
    </comment>
    <comment ref="J76" authorId="0" shapeId="0">
      <text>
        <r>
          <rPr>
            <b/>
            <sz val="9"/>
            <color indexed="81"/>
            <rFont val="Tahoma"/>
            <family val="2"/>
          </rPr>
          <t>Author:</t>
        </r>
        <r>
          <rPr>
            <sz val="9"/>
            <color indexed="81"/>
            <rFont val="Tahoma"/>
            <family val="2"/>
          </rPr>
          <t xml:space="preserve">
Invoice is for 25,56,000 but rop is Rs. 11,51,000. Whether we consider other accessories also
</t>
        </r>
      </text>
    </comment>
    <comment ref="AK98" authorId="0" shapeId="0">
      <text>
        <r>
          <rPr>
            <b/>
            <sz val="9"/>
            <color indexed="81"/>
            <rFont val="Tahoma"/>
            <family val="2"/>
          </rPr>
          <t>Author:</t>
        </r>
        <r>
          <rPr>
            <sz val="9"/>
            <color indexed="81"/>
            <rFont val="Tahoma"/>
            <family val="2"/>
          </rPr>
          <t xml:space="preserve">
Partial Payment
RR 15- Rs 20,09,260
RR 20- Rs 24,37,600
Total-  Rs 44,46,260</t>
        </r>
      </text>
    </comment>
  </commentList>
</comments>
</file>

<file path=xl/sharedStrings.xml><?xml version="1.0" encoding="utf-8"?>
<sst xmlns="http://schemas.openxmlformats.org/spreadsheetml/2006/main" count="6390" uniqueCount="1867">
  <si>
    <t>Currency Rate</t>
  </si>
  <si>
    <t>Imported</t>
  </si>
  <si>
    <t>Indigenous</t>
  </si>
  <si>
    <t>Fibre Plant</t>
  </si>
  <si>
    <t xml:space="preserve">Storage + Dryer + Conveying System + Nitrogent Blanketing + Structure </t>
  </si>
  <si>
    <t xml:space="preserve">Master Batch System </t>
  </si>
  <si>
    <t>Single Screw Extruder - Lab</t>
  </si>
  <si>
    <t>Single Srew Extruder - Production</t>
  </si>
  <si>
    <t>Single Position Spinning Machine - BCF</t>
  </si>
  <si>
    <t>Single Position Spinning Machine - POY</t>
  </si>
  <si>
    <t>Filter Test Machine</t>
  </si>
  <si>
    <t>Master Batch Lab</t>
  </si>
  <si>
    <t>Machine room lab/ Instruments.</t>
  </si>
  <si>
    <t>Burn Out Equipment</t>
  </si>
  <si>
    <t xml:space="preserve">Cabling Machine </t>
  </si>
  <si>
    <t>Color Dosing System</t>
  </si>
  <si>
    <t>Automatic Storage System Before Heat Set + Fork Lifts + Dock Levellers + Pallet Trucks</t>
  </si>
  <si>
    <t>Beaming Machine for Tufting</t>
  </si>
  <si>
    <t xml:space="preserve">Tufted W/W coating Line incl Mixing Plant 5m complete with packing and Shearing </t>
  </si>
  <si>
    <t>Coating Line Poly Olefin / TPR /PVC &amp;  PU Line incl  Die Cutting and packing - 2.4 m</t>
  </si>
  <si>
    <t>Rolls Storage Racks for Tufted Rolls + MHE - 62 Pos</t>
  </si>
  <si>
    <t>Racks for Pallet Storage + MHE</t>
  </si>
  <si>
    <t>LVT Production Machine</t>
  </si>
  <si>
    <t>LVT Cutting &amp; Packing Line</t>
  </si>
  <si>
    <t>RM Handling for LVT</t>
  </si>
  <si>
    <t>Mixing Hoppers</t>
  </si>
  <si>
    <t>Texturizing Machine</t>
  </si>
  <si>
    <t xml:space="preserve">Parellel Winding - Interlacing ( 48 Spindle) </t>
  </si>
  <si>
    <t xml:space="preserve">EOTs </t>
  </si>
  <si>
    <t>Tanks Latex Kitchen</t>
  </si>
  <si>
    <t>Raw Water Pumps incl Hydropneumatic System for Water Supply</t>
  </si>
  <si>
    <t>Soft Water Pumps incl Hydropneumatic System for Water Supply</t>
  </si>
  <si>
    <t>PUMPS, Piping &amp; Cooling Towers for Chillers</t>
  </si>
  <si>
    <t xml:space="preserve">Sewage and Effluent Pumping Equipment </t>
  </si>
  <si>
    <t>Pipeline &amp; Fittings for Raw and Soft water</t>
  </si>
  <si>
    <t xml:space="preserve">Drain  / Sewage Line / ETP Line </t>
  </si>
  <si>
    <t>AIR</t>
  </si>
  <si>
    <t>Chiller Insulation</t>
  </si>
  <si>
    <t xml:space="preserve">ELECTRICAL </t>
  </si>
  <si>
    <t>Substation / Cable Towers etc</t>
  </si>
  <si>
    <t>DB's &amp; MCC's /soft starter</t>
  </si>
  <si>
    <t>Container Loading Point</t>
  </si>
  <si>
    <t>IT Related Expenses</t>
  </si>
  <si>
    <t>Bobbins / Cheeses.</t>
  </si>
  <si>
    <t>Baskets/ Plastic Containers/ Misc. / Plastic Pallets</t>
  </si>
  <si>
    <t xml:space="preserve">Hand Pallets </t>
  </si>
  <si>
    <t xml:space="preserve">Misc Equipments for Nitrogen Plant </t>
  </si>
  <si>
    <t>Gas Trane &amp; Pipeline</t>
  </si>
  <si>
    <t xml:space="preserve">UV Treatment Line </t>
  </si>
  <si>
    <t>lab Equipment for LVT</t>
  </si>
  <si>
    <t>Dust Collection Units and Area Ventilation</t>
  </si>
  <si>
    <t>Racks for Storage</t>
  </si>
  <si>
    <t>EOTs / Monorails/ MHE</t>
  </si>
  <si>
    <t>Compressor / Dryer</t>
  </si>
  <si>
    <t>Chiller Pipeline</t>
  </si>
  <si>
    <t>POY MACHINE Setup incl dryer/ loading etc.</t>
  </si>
  <si>
    <t xml:space="preserve">Material Handling Equipment </t>
  </si>
  <si>
    <t>Road Cleaning Machine</t>
  </si>
  <si>
    <t>Fire Tenders &amp; fire Fighting Equipments</t>
  </si>
  <si>
    <t>Ambulance &amp; Vehicle for Petrolling</t>
  </si>
  <si>
    <t>Fire &amp; Safety Equipments &amp; its Storage ( Shoes, Helmat, Dresses)</t>
  </si>
  <si>
    <t>Hospital Accessories</t>
  </si>
  <si>
    <t>STP</t>
  </si>
  <si>
    <t>Misc Collection Pits + Rain Water Harvesting</t>
  </si>
  <si>
    <t>Printing Machine with Accessories</t>
  </si>
  <si>
    <t>Chiller for 6 Deg Water - 500 TR</t>
  </si>
  <si>
    <t>Misc MHE Trucks</t>
  </si>
  <si>
    <t>Material Handling Equipment with Racks</t>
  </si>
  <si>
    <t>DG Set ( 2 MW)</t>
  </si>
  <si>
    <t>Pipe racks &amp; Misc</t>
  </si>
  <si>
    <t>Accessories for PVC coating line stated above.</t>
  </si>
  <si>
    <t>Automatic packing machine</t>
  </si>
  <si>
    <t>PLC based Carpet Tufting Machine with servo control of pile height for the manufacture of specially treated carpets, treated for Antibacterial and/or Anti odour and/or Fire Retardant and/or Water repellent property(ies).</t>
  </si>
  <si>
    <t>PLC based Back Coating Lines</t>
  </si>
  <si>
    <t>PLC BASED Coagulated PU or PVC dip coating machine / PU or PVC coating line or coating dipping / knife machine with infrared dryer.</t>
  </si>
  <si>
    <t>Testing Equipments in Quality Control Lab accredited by National Accrediation Board for Lab (NABL) India and set up in the textile &amp; jute unit.</t>
  </si>
  <si>
    <t>Automatic Beam storage system</t>
  </si>
  <si>
    <t>Air compressor 15 H.P. and above with in-built invertors and air driers.</t>
  </si>
  <si>
    <t>Latex mixing and dispensing system for Coating Line.</t>
  </si>
  <si>
    <t>Water softening plant</t>
  </si>
  <si>
    <t>Reverse Osmosis, Nano Filteration, Multiple stage prefabricated steel evaporator excluding civil construction.</t>
  </si>
  <si>
    <t>PLC based Husk / oil / gas fired boiler (Steam / Thermic fluid) with automatic control on combustion efficiency, O2 Monitoring Equipments, and with Electrostatic precipitator and Micro dust collector</t>
  </si>
  <si>
    <t>PLC based Twister for filaments / Heavy / Industrial Sewing Thread having capability to process 1500 denier and having spindle speed of 7300 rpm.</t>
  </si>
  <si>
    <t>PLC controlled dye Kitchen management system</t>
  </si>
  <si>
    <t>PLC based Precision Package Winder with online tension control having capability to process 2000 dtex and having speed of 1200 mtrs per minute</t>
  </si>
  <si>
    <t>Fully automatic material handling system</t>
  </si>
  <si>
    <t>Draw / Air Texturising machine having minimum speed of 800 mtrs per minutes.</t>
  </si>
  <si>
    <t>Borewel</t>
  </si>
  <si>
    <t>RM Palletes  including  Cheese &amp; empty Carton</t>
  </si>
  <si>
    <t>Pallets for Master Batch</t>
  </si>
  <si>
    <t xml:space="preserve">Containment Pallers </t>
  </si>
  <si>
    <t>WELSPUN FLOORING LTD.</t>
  </si>
  <si>
    <t>Annexure No.</t>
  </si>
  <si>
    <t>Item No.</t>
  </si>
  <si>
    <t>PLC based Heat setting Machine integrated with the Space Dyeing Machine for the manufacture of High tenacity yarns and specially treated carpets, treated for Antibacterial and/or Anti odour and/or Fire Retardant and/or Water repellent property(ies).</t>
  </si>
  <si>
    <t>MC 3</t>
  </si>
  <si>
    <t>f-9</t>
  </si>
  <si>
    <t>Accessories / attachments / sample machines / spares received alongwith machinery or procured from other manufacturers of the machinery under the project up to a a value of 20% of the machinery cost eligible under ATUFS mentioned at Sr. No. 2 above.</t>
  </si>
  <si>
    <t>PLC based Back Coating Line</t>
  </si>
  <si>
    <t>f-4</t>
  </si>
  <si>
    <t>One Line</t>
  </si>
  <si>
    <t>MC 2</t>
  </si>
  <si>
    <t>PLC controlled High speed computerized warping / sectional warping machine * For Direct warping machines warping speed should be 1000 mpm and above, * For sectional warping machines warping speed should be 900 mpm and above.</t>
  </si>
  <si>
    <t>b-1</t>
  </si>
  <si>
    <t>Lot</t>
  </si>
  <si>
    <t>MC 1</t>
  </si>
  <si>
    <t>A-10</t>
  </si>
  <si>
    <t>Automatic packing machine.</t>
  </si>
  <si>
    <t>i-17</t>
  </si>
  <si>
    <t>4 sets</t>
  </si>
  <si>
    <t>b-16</t>
  </si>
  <si>
    <t>b-17</t>
  </si>
  <si>
    <t>1 Set</t>
  </si>
  <si>
    <t>Accessories / attachments / sample machines / spares received alongwith machinery or procured from other manufacturers of the machinery under the project up to a value of 20% of the machinery cost eligible under ATUFS mentioned at Sr. No. 6 above.</t>
  </si>
  <si>
    <t xml:space="preserve">PLC BASED PVC coating line. </t>
  </si>
  <si>
    <t>e-9</t>
  </si>
  <si>
    <t>Accessories / attachments / sample machines / spares received alongwith machinery or procured from other manufacturers of the machinery under the project up to a a value of 20% of the machinery cost eligible under ATUFS mentioned at Sr. No.15 above.</t>
  </si>
  <si>
    <t>Projected Basic / CIF cost in Rs.</t>
  </si>
  <si>
    <t>Commercial Invoice No. and Date</t>
  </si>
  <si>
    <t>Bill of Entry No. and Date</t>
  </si>
  <si>
    <t>Justification for Change of Machinery (in case Actual Machine varies from Projected machine)</t>
  </si>
  <si>
    <t>Name of Machinery Projected While obtaining UID.</t>
  </si>
  <si>
    <t>TR-6 Challans (for custom duty paid) No. &amp; date</t>
  </si>
  <si>
    <t>Bill of Lading No. &amp; Date</t>
  </si>
  <si>
    <t>TOTAL:</t>
  </si>
  <si>
    <t>L/c opening Bank, L/c No &amp; Date</t>
  </si>
  <si>
    <t>Debit Advice No &amp; Date</t>
  </si>
  <si>
    <t>Swift / Telegraphic transfer receipt</t>
  </si>
  <si>
    <t>Date of completion of installation of machine</t>
  </si>
  <si>
    <t>Machine Identification Code number which will be allotted by Office of the Textile Commissioner should be inscibed on each related machines.</t>
  </si>
  <si>
    <t>Make and year of manufacturing of machine should either be clearly indicated on machine or on a name plate attached to the machine.</t>
  </si>
  <si>
    <t>Under no circumstances, the machiney which has been used even once and/or even for testing purpose will be allowed under TUF scheme.</t>
  </si>
  <si>
    <t>To ensure that payment of all TUF related machines are made out of Term Loan from Notified Lending agency / Bank.</t>
  </si>
  <si>
    <t>BCF</t>
  </si>
  <si>
    <t>Heat Setting Machine- 2 NOS + Space Dyeing m/c - 1 no.</t>
  </si>
  <si>
    <t>Air Tangling Winding Machine 12 Spindle ( Air Twist) + Remanant Yarn Winding machine + Rewinding machines for Yarn - CMS</t>
  </si>
  <si>
    <t>BCF - Air Compressor  for 7.5 bar &amp; 13 BAR - 2+2=4 NOS. Tufting - 7.5 bar - 1 nos.</t>
  </si>
  <si>
    <t>BCF+TUFT</t>
  </si>
  <si>
    <t>Sample Texturizing Machine - 20% value considered</t>
  </si>
  <si>
    <t>Raw Water Pumps incl Hydropneumatic System for Water Supply + Soft Water Pumps incl Hydropneumatic System for Water Supply</t>
  </si>
  <si>
    <t>BCF+TUFTING</t>
  </si>
  <si>
    <t>Steam Pipeline and Accessories With Boiler / Dowtherm Piping + Steam Pipeline and Accessories With Boiler</t>
  </si>
  <si>
    <t>tufting machines different guage</t>
  </si>
  <si>
    <t>tufting</t>
  </si>
  <si>
    <t>sample tufting machine</t>
  </si>
  <si>
    <t>bcf+tuftung</t>
  </si>
  <si>
    <t xml:space="preserve">4 sets testing equipment </t>
  </si>
  <si>
    <t>etp?</t>
  </si>
  <si>
    <t>Description of Actual machinery Purchased &amp; Installed</t>
  </si>
  <si>
    <t>Actual Numbers / Qty installed</t>
  </si>
  <si>
    <t>Actual Basic / CIF cost as per Commercial Invoice</t>
  </si>
  <si>
    <t>Note: All the documents related to banking operation should be endorsed by the concerned bank from whom term loan is availed for making payments of related machinery.</t>
  </si>
  <si>
    <t>Month &amp; Year of manufacture</t>
  </si>
  <si>
    <t>Model Number of M/c</t>
  </si>
  <si>
    <t>Serial number of M/c</t>
  </si>
  <si>
    <t>Make of machinery</t>
  </si>
  <si>
    <t>MIC code number of M/c</t>
  </si>
  <si>
    <t>Amount in Rupees</t>
  </si>
  <si>
    <t>Country of Origin of M/c</t>
  </si>
  <si>
    <t>State/ Province code where M/c installed</t>
  </si>
  <si>
    <t>Manufacturer Code</t>
  </si>
  <si>
    <t>Authorised Agent Code</t>
  </si>
  <si>
    <t>Commercial Invoice Value (Currency &amp; Amount)</t>
  </si>
  <si>
    <t>Payment Date</t>
  </si>
  <si>
    <t>Source of payment- (Co, Bank, TL, Dt, A/c No. etc)</t>
  </si>
  <si>
    <t>Remarks (if any) (Advance/ Final payment)</t>
  </si>
  <si>
    <t>OEM - Original Equipment Manufacturer</t>
  </si>
  <si>
    <t>Authorised Agent from whom purchased (if any)</t>
  </si>
  <si>
    <t>Supplier (if not OEM or Authorised Agent)</t>
  </si>
  <si>
    <t>If Authorised Agent / Supplier - how much is commission?</t>
  </si>
  <si>
    <t>Original documents / proofs supporting all above informations will be verified by Joint Inspection Team (JIT).</t>
  </si>
  <si>
    <t>Date of commissioning of  machine</t>
  </si>
  <si>
    <t>Custom Duty paid on M/c Amt. in INR</t>
  </si>
  <si>
    <t>Exporting Country of M/c</t>
  </si>
  <si>
    <t>Additional informations to be furnished at the time of Application for JIT - a) Total Investment made in the project b) Number of persons employed in project, c) Bank statement and advices showing the payment details.</t>
  </si>
  <si>
    <t>For approval of the subsidy, the enlistment of Manufacturer or his Authorised Agent / Supplier is essential.</t>
  </si>
  <si>
    <t>WFL to provide relevant information for Public Financial Management System (PFMS) registration (at the time of application for JIT) for transfer of funds to WFL.</t>
  </si>
  <si>
    <t>Sample check of machinery shall be performed by OTXC and MOT during the currency of project on a regular basis (minimum 5 years duration). Depending on the work load, a third party Engineering Consultant(s) may also be engaged with the approval of MOT.</t>
  </si>
  <si>
    <t>Notes:</t>
  </si>
  <si>
    <t>Euro81, USD69</t>
  </si>
  <si>
    <t>ORM0001180201739,
09th Oct 2018,
Indusind bank opera House Branch</t>
  </si>
  <si>
    <t>France</t>
  </si>
  <si>
    <t>001BM59181700008,
19th june 2018,Yes bank ltd -Worli Branch</t>
  </si>
  <si>
    <t>1 (a)</t>
  </si>
  <si>
    <t>USA</t>
  </si>
  <si>
    <t>45980TT00156517,
12th Sept 2017,
Union Bank Of India -IFB Mumbai</t>
  </si>
  <si>
    <t>45980TT00064418,
12th Apr 2017,
Union Bank Of India -IFB Mumbai</t>
  </si>
  <si>
    <t>OLC0935180014890CLM002/003,
11th sep 2018,
Indusind bank - opear house barnch</t>
  </si>
  <si>
    <t>OLC0935180014890CLM001,
28th Aug 2018,
Indusind bank - opear house barnch</t>
  </si>
  <si>
    <t>2(a)</t>
  </si>
  <si>
    <t>2(b)</t>
  </si>
  <si>
    <t>b-7</t>
  </si>
  <si>
    <t>FORMAT-I (Continued)</t>
  </si>
  <si>
    <t>PART  - II</t>
  </si>
  <si>
    <t>Name of the Company</t>
  </si>
  <si>
    <t>:</t>
  </si>
  <si>
    <t xml:space="preserve">Project Cost </t>
  </si>
  <si>
    <t>Rs. 1132,81,58,000/-</t>
  </si>
  <si>
    <t>I.</t>
  </si>
  <si>
    <t>Main Plant &amp; Machinery/Equipment Proposed to be installed under the project:</t>
  </si>
  <si>
    <t>(Amount in Rs.)</t>
  </si>
  <si>
    <t>SR NO.</t>
  </si>
  <si>
    <t>DESCRIPTION OF THE MACHINERY/ EQUIPMENT</t>
  </si>
  <si>
    <t>NUMBER OF MACHINERY ITEMS</t>
  </si>
  <si>
    <t>WHETHER MACHINERY PURCHASED BEFORE OR AFTER SANCTION OF THE TERM LOAN</t>
  </si>
  <si>
    <t>TOTAL COST (MACHINE - WISE)</t>
  </si>
  <si>
    <t>BASIC PRICE (MACHINE-WISE) [IN RESPECT OF INDIGENOUS MACHINERY /  EQUIPMENT]</t>
  </si>
  <si>
    <t>Whether New or Second-Hand? If Second-Hand, indicate (I)  Vintage and residual life (in number of years) [Vintage Life -Date of Bill of Entry minus Date of manufacture (Please furnish both the reference dates here)]</t>
  </si>
  <si>
    <t>ANNEXURE NO. &amp; ITEM NO. AS PER THE GR ON REVISED RESTRUCTURED - TUFS</t>
  </si>
  <si>
    <t>SPECIFICATIONS / DESCRIPTION OF THE MACHINE / EQUIPMENT AS INDICATED IN THE GR ON AMENDED  - TUFS.</t>
  </si>
  <si>
    <t>ACTUAL SPECIFICATIONS/ DESCRIPTION OF THE MACHINE / EQUIPMENT VIS-À-VIS TUFS - RELATED SPECIFICATIONS / DESCRIPTION AS INDICATED IN COLUMN 12.</t>
  </si>
  <si>
    <r>
      <t xml:space="preserve">WHETHER IT IS ACQUIRED AS AN </t>
    </r>
    <r>
      <rPr>
        <b/>
        <i/>
        <sz val="9"/>
        <rFont val="Cambria"/>
        <family val="1"/>
      </rPr>
      <t xml:space="preserve">ADDITIONAL </t>
    </r>
    <r>
      <rPr>
        <b/>
        <sz val="9"/>
        <rFont val="Cambria"/>
        <family val="1"/>
      </rPr>
      <t xml:space="preserve">MACHINE </t>
    </r>
    <r>
      <rPr>
        <b/>
        <i/>
        <u/>
        <sz val="9"/>
        <rFont val="Cambria"/>
        <family val="1"/>
      </rPr>
      <t xml:space="preserve">OR </t>
    </r>
    <r>
      <rPr>
        <b/>
        <sz val="9"/>
        <rFont val="Cambria"/>
        <family val="1"/>
      </rPr>
      <t xml:space="preserve">AS A </t>
    </r>
    <r>
      <rPr>
        <b/>
        <i/>
        <sz val="9"/>
        <rFont val="Cambria"/>
        <family val="1"/>
      </rPr>
      <t>REPLACEMENT</t>
    </r>
    <r>
      <rPr>
        <b/>
        <sz val="9"/>
        <rFont val="Cambria"/>
        <family val="1"/>
      </rPr>
      <t xml:space="preserve"> FOR AN EXISTING MACHINE?</t>
    </r>
  </si>
  <si>
    <t>Whether it is acquired as a complete machine or it is part - upgradation / Part Replacement of an existing machine? (Tick whichever column is applicable).</t>
  </si>
  <si>
    <t>WHETHER ELIGIBLE FOR 10% / 15% CAPITAL SUBSIDY, IF YES, PLEASE INDICATE THE SEGMENT AND CONCERNED SR. N0. OF ANNEXURE NO. 1/2/3/4/5 /6/7/1-a/ 2-a</t>
  </si>
  <si>
    <t>Though the BASIC/ CIF value is more, the total eligible machine values under ATUF is restricted to Rs.200 crs to get 15% CIS of Rs.30 crs for Technical Textile segment - hence the machine eligible value is reduced while uploading in ituf system for uid application.</t>
  </si>
  <si>
    <t>(TICK WHICHEVER COLUMN IS APPLICABLE)</t>
  </si>
  <si>
    <t>Machine purchased before sanction of the term loan</t>
  </si>
  <si>
    <t>Machine purchased after sanction of the term loan</t>
  </si>
  <si>
    <t>CIF PRICE (MACHINE-WISE) [IN RESPECT OF IMPORTED * MACHINERY /  EQUIPMENT]</t>
  </si>
  <si>
    <t>Complete Machine</t>
  </si>
  <si>
    <t>Part up- gradation / part- replacement of an existing machine.</t>
  </si>
  <si>
    <t>(ii) Country of Import</t>
  </si>
  <si>
    <t>(iii) Country of Manufacture</t>
  </si>
  <si>
    <t>ATUF LIMIT</t>
  </si>
  <si>
    <t>√</t>
  </si>
  <si>
    <t>NEW</t>
  </si>
  <si>
    <t>e-16</t>
  </si>
  <si>
    <t>ADDITIONAL</t>
  </si>
  <si>
    <t>YES</t>
  </si>
  <si>
    <t>Accessories / attachments / sample machines / spares received alongwith machinery or procured from other manufacturers of the machinery under the project up to a a value of 20% of the machinery cost eligible under ATUFS mentioned at Sr. No. 2 above. (for tufting machines)</t>
  </si>
  <si>
    <t>Accessories / attachments / sample machines / spares received alongwith machinery or procured from other manufacturers of the machinery under the project up to a value of 20% of the machinery cost eligible under ATUFS mentioned at Sr. No. 6 above. (for coating line)</t>
  </si>
  <si>
    <t xml:space="preserve">e-9 </t>
  </si>
  <si>
    <t>2 sets</t>
  </si>
  <si>
    <t>Accessories / attachments / sample machines / spares received alongwith machinery or procured from other manufacturers of the machinery under the project up to a a value of 20% of the machinery cost eligible under ATUFS mentioned at Sr. No.15 above. (for texturising machines)</t>
  </si>
  <si>
    <t>PLC based printing machine exclusively for Technical Textile.</t>
  </si>
  <si>
    <t>e-14</t>
  </si>
  <si>
    <t>TOTAL (A) :</t>
  </si>
  <si>
    <t>II.</t>
  </si>
  <si>
    <t>Other Plant and Machinery and Miscellaneous Fixed Assets</t>
  </si>
  <si>
    <t>DESCRIPTION OF THE PLANT AND MACHINERY AND MISCELLANEOUS FIXED ASSETS</t>
  </si>
  <si>
    <t>NUMBER OF ITEMS</t>
  </si>
  <si>
    <t>WHETHER  PURCHASED BEFORE OR AFTER SANCTION OF THE TERM LOAN</t>
  </si>
  <si>
    <t>TOTAL COST (ITEM - WISE)</t>
  </si>
  <si>
    <t>BASIC PRICE (ITEM-WISE) [IN RESPECT OF INDIGENOUS ITEMS]</t>
  </si>
  <si>
    <t xml:space="preserve">WHETHER NEW OR SECOND-HAND? </t>
  </si>
  <si>
    <t>Purchased before sanction of the term loan</t>
  </si>
  <si>
    <t>Purchased after sanction of the term loan</t>
  </si>
  <si>
    <t>CIF PRICE (ITEM-WISE) [IN RESPECT OF IMPORTED * ITEMS]</t>
  </si>
  <si>
    <t>Weighing Bridge</t>
  </si>
  <si>
    <t>BCF Machines</t>
  </si>
  <si>
    <t>Trollies for Heat Set Yarn+Fork Lifts</t>
  </si>
  <si>
    <t>Rolls Storage Racks for Backing Fabric + MHE -  14 Pos</t>
  </si>
  <si>
    <t xml:space="preserve">Rolls Storage Racks for Secondary Backing &amp; Coated Roll + MHE -  21 + 28 Pos </t>
  </si>
  <si>
    <t xml:space="preserve">Racks for W/W roll Storage + MHE - 28 Pos </t>
  </si>
  <si>
    <t xml:space="preserve">Racks for W/W roll Storage + MHE - 42 Pos </t>
  </si>
  <si>
    <t>Chiller for 6 Deg Water - 250 TR</t>
  </si>
  <si>
    <t xml:space="preserve">Racks for Finish Goods </t>
  </si>
  <si>
    <t>Rigid LVT (SPC) Production Machine</t>
  </si>
  <si>
    <t>Misc. Fixed Assets -</t>
  </si>
  <si>
    <t>Water</t>
  </si>
  <si>
    <t>Set</t>
  </si>
  <si>
    <t>Raw Water Tanks</t>
  </si>
  <si>
    <t>Soft Water Tanks</t>
  </si>
  <si>
    <t>Air Receiver, Filters / Fiting + Cooling Tower</t>
  </si>
  <si>
    <t>Piping for compressed air</t>
  </si>
  <si>
    <t>Humidification System</t>
  </si>
  <si>
    <t>Indigenous items - Luwa + POY Quench</t>
  </si>
  <si>
    <t>Ducting and Insulation</t>
  </si>
  <si>
    <t>VCB/ Bus Couplers/ Go Switch / LT</t>
  </si>
  <si>
    <t>Transformer</t>
  </si>
  <si>
    <t>Cables HT</t>
  </si>
  <si>
    <t>Cables LT</t>
  </si>
  <si>
    <t>Lighting &amp; Accessories</t>
  </si>
  <si>
    <t>Electrical Contractor</t>
  </si>
  <si>
    <t>Other Materials (Cable tray, Jointing kit, electrical poles, high mast)</t>
  </si>
  <si>
    <t>Fire Hydrant System</t>
  </si>
  <si>
    <t>Misc. Expenditure ( Passenger lift etc)</t>
  </si>
  <si>
    <t>Furniture &amp; Fixture</t>
  </si>
  <si>
    <t>FG Pallets</t>
  </si>
  <si>
    <t xml:space="preserve">Monorails/ Jib Cranes </t>
  </si>
  <si>
    <t>Scissor Lifts etc</t>
  </si>
  <si>
    <t>TOTAL (B) :</t>
  </si>
  <si>
    <t>*</t>
  </si>
  <si>
    <t>Please note that in respect of imported second-hand shuttleless looms, the maximum eligible value shall be reckoned as benchmarked.</t>
  </si>
  <si>
    <t>Certified that :</t>
  </si>
  <si>
    <t>1)</t>
  </si>
  <si>
    <t>The information furnished above is in strict compliance with the guidelines / provisions issued under RR- TUFS,</t>
  </si>
  <si>
    <t>as amended from time to time and the project is eligible under RR - TUFS.</t>
  </si>
  <si>
    <t>2)</t>
  </si>
  <si>
    <t>In case of any variation in information in reporting format RR-2 vis-à-vis our appraisal report/ sanction note /</t>
  </si>
  <si>
    <t>sanction communication to the company/firm, the information furnished in reporting format RR-2 is correct and final.</t>
  </si>
  <si>
    <t>3)</t>
  </si>
  <si>
    <t>We have exercised due diligence in furnishing the above information and certify that it is correct.</t>
  </si>
  <si>
    <t>We are aware that eligiblity of the project/ term loan to interest / margin money subsidy under RR - TUFS shall be</t>
  </si>
  <si>
    <t xml:space="preserve">established by the Nodal Agency on the basis of the above information. We shall own responsibility for omissions / </t>
  </si>
  <si>
    <t>misrepresentations, if any, in the above information.</t>
  </si>
  <si>
    <t>Place :</t>
  </si>
  <si>
    <t>MUMBAI.</t>
  </si>
  <si>
    <t>( Signature )</t>
  </si>
  <si>
    <t>Date :</t>
  </si>
  <si>
    <t>( Name and designation of the authorised signatory )</t>
  </si>
  <si>
    <t>Notes :</t>
  </si>
  <si>
    <t>Please affix seal/ rubber stamp of the Bank / Institution on all pages of the reporting format</t>
  </si>
  <si>
    <t>alongwith signature of the authorised signatory.</t>
  </si>
  <si>
    <t>Fill in all the columns with specific details. DO NOT WRITE N.A. IN ANY COLUMN.</t>
  </si>
  <si>
    <t>total tuf eligibility =</t>
  </si>
  <si>
    <t>Land</t>
  </si>
  <si>
    <t>Civil</t>
  </si>
  <si>
    <t>POP,Contingency</t>
  </si>
  <si>
    <t>Margin for wc</t>
  </si>
  <si>
    <t>Tuf machines</t>
  </si>
  <si>
    <t>Other mc</t>
  </si>
  <si>
    <t>Total proj.Cost</t>
  </si>
  <si>
    <t>Projected Qty / Numbers/ Line/ Set/ Lot</t>
  </si>
  <si>
    <t>5A</t>
  </si>
  <si>
    <t>BASIC/ CIF value is more,  eligible values under ATUF is 200 crs hence value is reduced in UID appl</t>
  </si>
  <si>
    <t>NAME OF THE SUPPLIER/MAUFACT</t>
  </si>
  <si>
    <t>1) Power Heat Set - 1 set-Euro 598500,                                    2) Superba - 1 space dyeing  Euro 1615000                         3) Gilbos Euro 201500</t>
  </si>
  <si>
    <t>1) TUFTCO - 4 sets - $ 5910000 2) Card Manroe Corp. - 2 sets - $ 2300000/-</t>
  </si>
  <si>
    <t>Modra - Sample Tufting 1 set $ 77067.47 and Lab Shearing 1 set $ 19772.53 Total $ 96840/-</t>
  </si>
  <si>
    <t>REMARKS</t>
  </si>
  <si>
    <t>Campen 1 line euro 4350000/-</t>
  </si>
  <si>
    <t>Prashant West Point - indigenous - Beaming machine for tufting  - Rs.56,50,000/- To check whether this can be considered for Sr.no.3 above as assessories ?</t>
  </si>
  <si>
    <t>TUFTCO 1 set @ 12090000/-</t>
  </si>
  <si>
    <t>Schoen and Sandt GmbH 1 no. Euro 1055270/-</t>
  </si>
  <si>
    <t>Wachter 1 no. Euro 1470000/-</t>
  </si>
  <si>
    <t>Saurer - Cabling machine - 8 nos. Euro 1800202/-</t>
  </si>
  <si>
    <t>Yamuna - Local - Rs.3600000/-</t>
  </si>
  <si>
    <t>1) Gilbos - 2 sets - Euro 1723328/- 2) Alidhra - 4 nos - Rs.30516400/-</t>
  </si>
  <si>
    <t>10 Automha ASRS Euro 2000000/- 2) Jhungheinrich Fork lijft Reach truck 263.84 Lacs.</t>
  </si>
  <si>
    <t>1) Parker 8 dryers Rs.80 Lacs 2) Ingersoll-Rand 6 nos Rs.315 Lacs Local</t>
  </si>
  <si>
    <t>Alidhra 2 nos 34850150/-</t>
  </si>
  <si>
    <t>Alidhra 2 nos sample tex mc Rs.8699515/-</t>
  </si>
  <si>
    <t>Thermax Rs.76.50 Lacs</t>
  </si>
  <si>
    <t>Neel Kamal PO 85-527.</t>
  </si>
  <si>
    <t>Abigail latex compounding system - Rs.595 Lacs</t>
  </si>
  <si>
    <t>Unitop Evaporator Rs.115 Lacs</t>
  </si>
  <si>
    <t>Chima Boiler 1 nos Rs.150 Lacs PO 85-141.</t>
  </si>
  <si>
    <t>17A</t>
  </si>
  <si>
    <t>HS/ HSN Code number of mc</t>
  </si>
  <si>
    <t>Power Heat Set</t>
  </si>
  <si>
    <t>Superba</t>
  </si>
  <si>
    <t>Gilbos</t>
  </si>
  <si>
    <t>Name of the Suppliers</t>
  </si>
  <si>
    <t>Qty</t>
  </si>
  <si>
    <t>Fogn Curr</t>
  </si>
  <si>
    <t>PO value in Foreign Currency / INR</t>
  </si>
  <si>
    <t>Euro</t>
  </si>
  <si>
    <t>1 space dyeing</t>
  </si>
  <si>
    <t>1 yarn heat setting mc</t>
  </si>
  <si>
    <t>Tuftco</t>
  </si>
  <si>
    <t>Card Monroe</t>
  </si>
  <si>
    <t>USD</t>
  </si>
  <si>
    <t>Modra</t>
  </si>
  <si>
    <t>1 sample tufting, and 1 Lab Shearing</t>
  </si>
  <si>
    <t>77067.47 + 19772.53 = USD 96840/-</t>
  </si>
  <si>
    <t>Campen</t>
  </si>
  <si>
    <t>Prashant West Point</t>
  </si>
  <si>
    <t>beaming mc for tufting - can we consider this as accessories for tufting?</t>
  </si>
  <si>
    <t>INR</t>
  </si>
  <si>
    <t>Schoen and Sandt GmbH</t>
  </si>
  <si>
    <t>Wachter</t>
  </si>
  <si>
    <t>Cabling - Saurer</t>
  </si>
  <si>
    <t>Yamuna</t>
  </si>
  <si>
    <t>Alidhra</t>
  </si>
  <si>
    <t>Automha</t>
  </si>
  <si>
    <t>Jhungheinrich</t>
  </si>
  <si>
    <t>ASRS</t>
  </si>
  <si>
    <t>Fork lift?</t>
  </si>
  <si>
    <t>INR ?</t>
  </si>
  <si>
    <t>Parker</t>
  </si>
  <si>
    <t>Ingersoll- Rand</t>
  </si>
  <si>
    <t>8 Dryers</t>
  </si>
  <si>
    <t>2 sample text. Mc</t>
  </si>
  <si>
    <t>Zimmer ??</t>
  </si>
  <si>
    <t>Thermax</t>
  </si>
  <si>
    <t>WTP ?</t>
  </si>
  <si>
    <t>Chima</t>
  </si>
  <si>
    <t>Nilkamal</t>
  </si>
  <si>
    <t>???</t>
  </si>
  <si>
    <t>Abigail</t>
  </si>
  <si>
    <t>Unitop</t>
  </si>
  <si>
    <t xml:space="preserve"> Evaporator</t>
  </si>
  <si>
    <t>List if Suppliers for Technical Textile Segment - Chapter MC3</t>
  </si>
  <si>
    <t>List of Suppliers for other than TT segment - under TUF</t>
  </si>
  <si>
    <t>Local</t>
  </si>
  <si>
    <t>Approx Cr</t>
  </si>
  <si>
    <t xml:space="preserve">Total Crs = </t>
  </si>
  <si>
    <t>TOTAL</t>
  </si>
  <si>
    <t>WELSPUN FLOORING LTD  - TELANGANA PROJECT</t>
  </si>
  <si>
    <t>Registered</t>
  </si>
  <si>
    <t>Under Process of registration</t>
  </si>
  <si>
    <t xml:space="preserve">Aalidhra Textool Engineers pvt ltd is registered but Aalidhra Texspin Engineers </t>
  </si>
  <si>
    <t>Winding Machine</t>
  </si>
  <si>
    <t>Tuftco International INC, USA</t>
  </si>
  <si>
    <t>Campen Machinery A/S, Denmark</t>
  </si>
  <si>
    <t>Card Monroe Corporation, USA</t>
  </si>
  <si>
    <t>Superba SAS, France</t>
  </si>
  <si>
    <t>Power-Heat-Set GmbH, Germany</t>
  </si>
  <si>
    <t>ZIMMER (Printing machine) ??</t>
  </si>
  <si>
    <t>Gilbos NV, Belgium</t>
  </si>
  <si>
    <t>Schoen and Sandt GmbH, Germany</t>
  </si>
  <si>
    <t>Wachter Packautomatik GmbH &amp; Co. KG, Germany</t>
  </si>
  <si>
    <t>Modra Technology Pty Ltd., Australia</t>
  </si>
  <si>
    <t>Prashant West Point Machinery Pvt. Ltd., Ahmedabad</t>
  </si>
  <si>
    <t>Saurer Technologies GmbH &amp; Co. KG, Germany</t>
  </si>
  <si>
    <t>Automha SPA, Italy</t>
  </si>
  <si>
    <t>Aalidhra Textool Engineers Pvt.Ltd., DNH AND Aalidhra Texspin Engineers, DNH</t>
  </si>
  <si>
    <t>Ingersoll-Rand (India) Ltd., Ahmedabad</t>
  </si>
  <si>
    <t>Abigail Enterprises Pvt.Ltd., Boisar, India</t>
  </si>
  <si>
    <t>Cheema Boilers Ltd., Mohali, Punjab</t>
  </si>
  <si>
    <t>Yamuna Machine Works Ltd., Mumbai</t>
  </si>
  <si>
    <t>Parker Hannifin India Pvt.Ltd., Mumbai</t>
  </si>
  <si>
    <t>Thermax Limited (Chemical division), Pune</t>
  </si>
  <si>
    <t>Nilkamal BITO Storage Systems Pvt.Ltd., Bhiwandi</t>
  </si>
  <si>
    <t>Unitop Aquacare, Thane</t>
  </si>
  <si>
    <t>Jungheinrich Lift Truck India Pvt.Ltd., Mumbai</t>
  </si>
  <si>
    <t>Sellers Global is now Sellers Textile Engineers Ltd.</t>
  </si>
  <si>
    <t>Shearing Machine - documents submitted by supplier to TXC office</t>
  </si>
  <si>
    <t>Mathys ………</t>
  </si>
  <si>
    <t>Purchase Dt of M/c (final pay dt/Comm. Inv dt whichever later)</t>
  </si>
  <si>
    <t>TELANGANA PROJECT 1133 CRS.</t>
  </si>
  <si>
    <t>MACHINES INSTALLED - IMPORTED</t>
  </si>
  <si>
    <t>as per BE Rts</t>
  </si>
  <si>
    <t>Bank details</t>
  </si>
  <si>
    <t>Supplier</t>
  </si>
  <si>
    <t>Vendor Name</t>
  </si>
  <si>
    <t>INVOICE NO</t>
  </si>
  <si>
    <t>CURRENCY</t>
  </si>
  <si>
    <t>Amount as per invoice</t>
  </si>
  <si>
    <t>Amount as per SAP</t>
  </si>
  <si>
    <t>Scanned</t>
  </si>
  <si>
    <t>Mail Sent</t>
  </si>
  <si>
    <t>Freight</t>
  </si>
  <si>
    <t>Insurance</t>
  </si>
  <si>
    <t>Total CIF fc</t>
  </si>
  <si>
    <t>BE Rates</t>
  </si>
  <si>
    <t>Total Rs.</t>
  </si>
  <si>
    <t>Freight Rs</t>
  </si>
  <si>
    <t>Total CIF Rs.</t>
  </si>
  <si>
    <t>difference?</t>
  </si>
  <si>
    <t>Banks</t>
  </si>
  <si>
    <t>Dates</t>
  </si>
  <si>
    <t>Mc Descriptions as per Invoice</t>
  </si>
  <si>
    <t>Registered ? Y/N</t>
  </si>
  <si>
    <t>GILBOS</t>
  </si>
  <si>
    <t>V182233</t>
  </si>
  <si>
    <t>EUR</t>
  </si>
  <si>
    <t>Indusind</t>
  </si>
  <si>
    <t>1) PLC based precision package winder with online tension control having capability to process 2000 dtex speed 1000 m/m Air  Intermingling mc 2) Bit Winder 3) Accessories for PLC based heat setting mc integrated with the space dyeing mc 84 end winder.</t>
  </si>
  <si>
    <t>V182044</t>
  </si>
  <si>
    <t>Textechno</t>
  </si>
  <si>
    <t>18/11/341EA</t>
  </si>
  <si>
    <t>C&amp;F</t>
  </si>
  <si>
    <t>Testers</t>
  </si>
  <si>
    <t>PLC based PVC Coating Line</t>
  </si>
  <si>
    <t>M/s. TUFTCO INTERNATIONAL, USA is registered.</t>
  </si>
  <si>
    <t>TUFTING Mc</t>
  </si>
  <si>
    <t>Saurer</t>
  </si>
  <si>
    <t>Cabling Mc</t>
  </si>
  <si>
    <t>Sr.No. 471 - Saurer Components GmbH is registered</t>
  </si>
  <si>
    <t>Saurer AG is registered at sr.no. 28 in Switzerland list.</t>
  </si>
  <si>
    <t>Campen Machinery</t>
  </si>
  <si>
    <t>PLC Based Back Coating Line</t>
  </si>
  <si>
    <t>power heat</t>
  </si>
  <si>
    <t>2018-10977</t>
  </si>
  <si>
    <t>FOB</t>
  </si>
  <si>
    <t>Power heat set yarn heat setting mc</t>
  </si>
  <si>
    <t>Sr.No. 436 - Power-Heat-Set GmbH Textile Systems is registered.</t>
  </si>
  <si>
    <t>Schoen Sandt</t>
  </si>
  <si>
    <t>2019-0315</t>
  </si>
  <si>
    <t>Accessories for PLC based PVC tile coating line</t>
  </si>
  <si>
    <t>Shoen Sandt Machinery GmbH is registered at sr.no. 482 number in the list.</t>
  </si>
  <si>
    <t>2019-0027</t>
  </si>
  <si>
    <t>Superba Sas</t>
  </si>
  <si>
    <t>INV0000265</t>
  </si>
  <si>
    <t>BOB</t>
  </si>
  <si>
    <t>PLC based heat setting mc integrated with space dyeing mc for manufacture of high tenacity yarn and specially treated carpets …..</t>
  </si>
  <si>
    <t>In Process</t>
  </si>
  <si>
    <t>Sellers Global</t>
  </si>
  <si>
    <t>EX1655</t>
  </si>
  <si>
    <t>GBP</t>
  </si>
  <si>
    <t>Accessories for PLC based back coating line Shearing mc</t>
  </si>
  <si>
    <t>Atlas Copco</t>
  </si>
  <si>
    <t>AIF13118</t>
  </si>
  <si>
    <t>Air Compressor</t>
  </si>
  <si>
    <t>WACHTER PACKAUTOMATIK GMBH</t>
  </si>
  <si>
    <t>VA18345</t>
  </si>
  <si>
    <t>Automatic packing line for carpet tiles</t>
  </si>
  <si>
    <t>Modra Technology</t>
  </si>
  <si>
    <t>PL24136</t>
  </si>
  <si>
    <t>Sample tufting mc, Lab Shearing mc</t>
  </si>
  <si>
    <t xml:space="preserve"> CARD-MONROE CORP.</t>
  </si>
  <si>
    <t>15744-1</t>
  </si>
  <si>
    <t>Accessories / spares</t>
  </si>
  <si>
    <t>PLC based carpet tufting mc</t>
  </si>
  <si>
    <t>15744-1B</t>
  </si>
  <si>
    <t>Zimmer America Corporation is registered at sr.no. 43 in USA list.</t>
  </si>
  <si>
    <t>TUFTCO =</t>
  </si>
  <si>
    <t>MACHINES INSTALLED - INDIGENOUS</t>
  </si>
  <si>
    <t>Yamuna Machine</t>
  </si>
  <si>
    <t>YMW/0160/19-20</t>
  </si>
  <si>
    <t>Yes</t>
  </si>
  <si>
    <t>Automatic color kitchen system with accessories for superba space dyeing mc</t>
  </si>
  <si>
    <t>Yamuna Machine Works Ltd., Vapi is registered</t>
  </si>
  <si>
    <t>YMW/0164/19-20</t>
  </si>
  <si>
    <t>Yamuna Machine Works Ltd. is registered at sr.no. 163 in indigenous list.</t>
  </si>
  <si>
    <t>YMW/0172/19-20</t>
  </si>
  <si>
    <t>AALIDHRA TEXSPIN ENGINEERS</t>
  </si>
  <si>
    <t>CT1900309</t>
  </si>
  <si>
    <t>Precision assembly winder.</t>
  </si>
  <si>
    <t>Registered ?</t>
  </si>
  <si>
    <t>Alidhra Texspin Engineers, Dadra, DNH is registered</t>
  </si>
  <si>
    <t>CT1900310</t>
  </si>
  <si>
    <t>CT1900371</t>
  </si>
  <si>
    <t>CT1900372</t>
  </si>
  <si>
    <t xml:space="preserve">AALIDHRA TEXTOOL ENGINEERS PVT LIMITED </t>
  </si>
  <si>
    <t>AT1900104</t>
  </si>
  <si>
    <t>Double density Draw Texturising mc</t>
  </si>
  <si>
    <t>Aalidhra Textool Engineers P.Ltd.  is registered at sr.no. 4 in indigenous list.</t>
  </si>
  <si>
    <t>AT1900105</t>
  </si>
  <si>
    <t>Aalidhra Texpro Engineers P.Ltd. is registered</t>
  </si>
  <si>
    <t>AT1900223</t>
  </si>
  <si>
    <t>AT1900222</t>
  </si>
  <si>
    <t>Prashant Westpoint</t>
  </si>
  <si>
    <t>MAC/00006</t>
  </si>
  <si>
    <t>Direct Beam Warper-200 ends - speed 1000 mm</t>
  </si>
  <si>
    <t>Prashant West Point Machinery Pvt.Ltd., Vatwa, Ahmedabad, Gujarat 382445 is registered at sr.no. 103 in indigenous list.</t>
  </si>
  <si>
    <t>UNITOP AQUACARE LIMITED</t>
  </si>
  <si>
    <t>ULP/267/2018-19</t>
  </si>
  <si>
    <t>Effluent Evaporation Plant</t>
  </si>
  <si>
    <t>Unitop Aquacare, Thane is registered at sr.no. 49 in indigenous list.</t>
  </si>
  <si>
    <t>ULP/275/2018-19</t>
  </si>
  <si>
    <t>ULP/06/2019-20</t>
  </si>
  <si>
    <t>ULP/305/2018-19</t>
  </si>
  <si>
    <t>ULP/95/2019-20</t>
  </si>
  <si>
    <t>ULP/18/2019-20</t>
  </si>
  <si>
    <t>NILKAMAL BITO STORAGE SYSTEMS PVT.L</t>
  </si>
  <si>
    <t>NBSS Pallet Storage Systems</t>
  </si>
  <si>
    <t>Nilkamal BITO Upright PTI</t>
  </si>
  <si>
    <t>Nilkamal BITO Upright U40 LENGTH</t>
  </si>
  <si>
    <t xml:space="preserve">CHEEMA BOILERS LIMITED           </t>
  </si>
  <si>
    <t>CBL/G/18-19/1087</t>
  </si>
  <si>
    <t>Boiler parts - foundation Bolt</t>
  </si>
  <si>
    <t>CBL/G/18-19/1236</t>
  </si>
  <si>
    <t>CBL/G/18-19/1256</t>
  </si>
  <si>
    <t>CBL/G/18-19/1330</t>
  </si>
  <si>
    <t xml:space="preserve">Boiler Parts  </t>
  </si>
  <si>
    <t>CBL/G/18-19/1187</t>
  </si>
  <si>
    <t>CBL/G/18-19/1308</t>
  </si>
  <si>
    <t>CBL/G/18-19/1362</t>
  </si>
  <si>
    <t>CBL/T/19-20/001</t>
  </si>
  <si>
    <t>CBL/T/19-20/002</t>
  </si>
  <si>
    <t>CBL/T/19-20/003</t>
  </si>
  <si>
    <t>CBL/G/19-20/0079</t>
  </si>
  <si>
    <t>CBL/S/19-20/0003</t>
  </si>
  <si>
    <t>Erection</t>
  </si>
  <si>
    <t>CBL/T/19-20/023</t>
  </si>
  <si>
    <t>Boiler Parts</t>
  </si>
  <si>
    <t>CBL/T/19-20/032</t>
  </si>
  <si>
    <t>CBL/T/19-20/042</t>
  </si>
  <si>
    <t>CBL/T/19-20/017</t>
  </si>
  <si>
    <t>Abigail Enterprise</t>
  </si>
  <si>
    <t>AEPL/003/19-20</t>
  </si>
  <si>
    <t>Automatic Latex Compounding System a) Powder systems</t>
  </si>
  <si>
    <t>AEPL/001/19-20</t>
  </si>
  <si>
    <t>AEPL/002/19-20</t>
  </si>
  <si>
    <t>AEPL/019/19-20</t>
  </si>
  <si>
    <t>Slow speed stirrer - 10000 ltrs - 25 HP</t>
  </si>
  <si>
    <t>AEPL/018/19-20</t>
  </si>
  <si>
    <t>AEPL/017/19-20</t>
  </si>
  <si>
    <t>Storage Tank - 35 qubic meter</t>
  </si>
  <si>
    <t>AEPL/015/19-20</t>
  </si>
  <si>
    <t>Silo storage tank 100 cubic meter (CM)</t>
  </si>
  <si>
    <t>AEPL/016/19-20</t>
  </si>
  <si>
    <t>Storage tank 35 cubic meter (CM)</t>
  </si>
  <si>
    <t>AEPL/012/19-20</t>
  </si>
  <si>
    <t>Level storage for liquid storage rank - 35 CM</t>
  </si>
  <si>
    <t>AEPL/014/19-20</t>
  </si>
  <si>
    <t>Load cells - 15 tons, 6 tons, Hopper</t>
  </si>
  <si>
    <t>AEPL/011/19-20</t>
  </si>
  <si>
    <t>High speed Dissolver - 6 CM - 75 HP</t>
  </si>
  <si>
    <t>AEPL/013/19-20</t>
  </si>
  <si>
    <t>AEPL/010/19-20</t>
  </si>
  <si>
    <t>AEPL/023/19-20</t>
  </si>
  <si>
    <t>AEPL/032/19-20</t>
  </si>
  <si>
    <t>AODD pump - 3", 2", 1" PLC instumentaion, Scada Software</t>
  </si>
  <si>
    <t>AEPL/035/19-20</t>
  </si>
  <si>
    <t>VFD Control Panel system for 75 HP HSD</t>
  </si>
  <si>
    <t>AEPL/036/19-20</t>
  </si>
  <si>
    <t>Main LT Panel, MCC Panel, VFD control …. SSS</t>
  </si>
  <si>
    <t>AEPL/037/19-20</t>
  </si>
  <si>
    <t>AEPL/038/19-20</t>
  </si>
  <si>
    <t xml:space="preserve">AODD pump - 3", 1" </t>
  </si>
  <si>
    <t>AEPL/039/19-20</t>
  </si>
  <si>
    <t>Storage tank</t>
  </si>
  <si>
    <t>AEPL/040/19-20</t>
  </si>
  <si>
    <t>AEPL/041/19-20</t>
  </si>
  <si>
    <t>Slow speed stirrer</t>
  </si>
  <si>
    <t>AEPL/045/19-20</t>
  </si>
  <si>
    <t>Load Cell - 30 tons</t>
  </si>
  <si>
    <t>AEPL/051/19-20</t>
  </si>
  <si>
    <t>AEPL/050/19-20</t>
  </si>
  <si>
    <t>All pipe line, valve, NRV ….</t>
  </si>
  <si>
    <t>AEPL/049/19-20</t>
  </si>
  <si>
    <t>AEPL/048/19-20</t>
  </si>
  <si>
    <t>AEPL/047/19-20</t>
  </si>
  <si>
    <t>Pneumatic Conveying system - SS</t>
  </si>
  <si>
    <t>AEPL/030/19-20</t>
  </si>
  <si>
    <t>AEPL/029/19-20</t>
  </si>
  <si>
    <t>SS pipes fittings</t>
  </si>
  <si>
    <t>AEPL/028/19-20</t>
  </si>
  <si>
    <t>Tubular type screw coveyor</t>
  </si>
  <si>
    <t>AEPL/027/19-20</t>
  </si>
  <si>
    <t>Day tank - 2000 ltrs</t>
  </si>
  <si>
    <t>AEPL/026/19-20</t>
  </si>
  <si>
    <t>AEPL/025/19-20</t>
  </si>
  <si>
    <t>AEPL/031/19-20</t>
  </si>
  <si>
    <t>AEPL/060/19-20</t>
  </si>
  <si>
    <t>Bin activator for Silo</t>
  </si>
  <si>
    <t>AEPL/062/19-20</t>
  </si>
  <si>
    <t>Diverter for ATH</t>
  </si>
  <si>
    <t>AEPL/064/19-20</t>
  </si>
  <si>
    <t>Supply and installation of additive process for W/S Coating line</t>
  </si>
  <si>
    <t>AEPL/054/19-20</t>
  </si>
  <si>
    <t>SS AODD pumps 3"</t>
  </si>
  <si>
    <t>AEPL/056/19-20</t>
  </si>
  <si>
    <t>Hopper 100 kgs</t>
  </si>
  <si>
    <t>AEPL/055/19-20</t>
  </si>
  <si>
    <t>All pipelines</t>
  </si>
  <si>
    <t>AEPL/059/19-20</t>
  </si>
  <si>
    <t>AODD Pump</t>
  </si>
  <si>
    <t>AEPL/042/19-20</t>
  </si>
  <si>
    <t>Load cell - 40 tons, 20 tons</t>
  </si>
  <si>
    <t>AEPL/061/19-20</t>
  </si>
  <si>
    <t>Transparent Flexible Bellows</t>
  </si>
  <si>
    <t>THERMAX LIMITED</t>
  </si>
  <si>
    <t>Supply of water Treatment Plant</t>
  </si>
  <si>
    <t>Thermax Ltd., Mumbai is registered</t>
  </si>
  <si>
    <t>Pump and accessories</t>
  </si>
  <si>
    <t>JUNGHEINRICH LIFT TRUCK INDIA PVT L</t>
  </si>
  <si>
    <t>Hand pallet truck</t>
  </si>
  <si>
    <t>Fork Lift</t>
  </si>
  <si>
    <t>PARKER HANNIFIN INDIA PVT LTD</t>
  </si>
  <si>
    <t>Refrigerated Air Dryer</t>
  </si>
  <si>
    <t>INGERSOLL-RAND (INDIA) LTD</t>
  </si>
  <si>
    <t>Centac with Canopy</t>
  </si>
  <si>
    <t>Drive variable frequency</t>
  </si>
  <si>
    <t>Compressor, Centac with canopy</t>
  </si>
  <si>
    <t>NA</t>
  </si>
  <si>
    <t>Euro 1615000</t>
  </si>
  <si>
    <t>INV0000265 dated 13-Mar-2019</t>
  </si>
  <si>
    <t>3007854 dated 27-Apr-2019</t>
  </si>
  <si>
    <t>EPCG</t>
  </si>
  <si>
    <t>Bank TL</t>
  </si>
  <si>
    <t>Telengana</t>
  </si>
  <si>
    <t>13-sept.2019</t>
  </si>
  <si>
    <t>MCD/3</t>
  </si>
  <si>
    <t>`000000243001</t>
  </si>
  <si>
    <t>Fin</t>
  </si>
  <si>
    <t>KEHH032286                                         01-04-2019</t>
  </si>
  <si>
    <t>ORM0001180201739  09/10/2019</t>
  </si>
  <si>
    <t>G&amp;M</t>
  </si>
  <si>
    <t>2018-10977 07/11/2018</t>
  </si>
  <si>
    <t>2370983 11/03/2019</t>
  </si>
  <si>
    <t>GERMANY</t>
  </si>
  <si>
    <t>EXPO11802A           06/02/2019</t>
  </si>
  <si>
    <t>OLC0935180015457  31.03.2019</t>
  </si>
  <si>
    <t>1/12900418-H</t>
  </si>
  <si>
    <t>815202510-8</t>
  </si>
  <si>
    <t xml:space="preserve">`00006703         24/07/2019           </t>
  </si>
  <si>
    <t>7990645       10-09-2018</t>
  </si>
  <si>
    <t>N218668                              02/08/2018</t>
  </si>
  <si>
    <t>IBC0001180024303 30/08/2019</t>
  </si>
  <si>
    <t>1/402040418-H</t>
  </si>
  <si>
    <t>811492504-A</t>
  </si>
  <si>
    <t>`00006704 30/07/2018</t>
  </si>
  <si>
    <t>7990193       10-09-2018</t>
  </si>
  <si>
    <t>N218669                              08/08/2018</t>
  </si>
  <si>
    <t>OLC0935180014890 11/09/2018</t>
  </si>
  <si>
    <t>C6000333</t>
  </si>
  <si>
    <t>653                         06/03/2019</t>
  </si>
  <si>
    <t>2725729     05/04/2019</t>
  </si>
  <si>
    <t>DENMARK</t>
  </si>
  <si>
    <t>VEJA01536                                          05/03/2019</t>
  </si>
  <si>
    <t>OLC0935180018684     18.07.2019</t>
  </si>
  <si>
    <t>652                         16/02/2019</t>
  </si>
  <si>
    <t>2712671     04/04/2019</t>
  </si>
  <si>
    <t>651                         11/02/2019</t>
  </si>
  <si>
    <t>2753917   08/04/2019</t>
  </si>
  <si>
    <t>656                         15/04/2019</t>
  </si>
  <si>
    <t>3321716     21/05/2019</t>
  </si>
  <si>
    <t>VEJA01293                                          16/02/2019</t>
  </si>
  <si>
    <t>OLC0935180018684     31.03.2019</t>
  </si>
  <si>
    <t>LCJA02961                         11/02/2019</t>
  </si>
  <si>
    <t>ORM0001180206578       19.10.2018</t>
  </si>
  <si>
    <t>VEJA02136                                          19/04/2019</t>
  </si>
  <si>
    <t>OLC0935180018684 31.03.2019</t>
  </si>
  <si>
    <t>MP-F-1000</t>
  </si>
  <si>
    <t>1/101650418-H</t>
  </si>
  <si>
    <t>815212511-3</t>
  </si>
  <si>
    <t>`00006702         24-07-2018</t>
  </si>
  <si>
    <t>7991006 10/09/2018</t>
  </si>
  <si>
    <t>N218667                             24/07/2018</t>
  </si>
  <si>
    <t>OLC0935180014890 28/08/2018</t>
  </si>
  <si>
    <t xml:space="preserve">OLC0935180014890,
28.08.2018,
Indusind bank opera House Branch </t>
  </si>
  <si>
    <t>USD 1139000</t>
  </si>
  <si>
    <t>Accessories for PLC  Based PVC Tile Coating line comprising of Automatic Hydralic Die Cutting Machine</t>
  </si>
  <si>
    <t>2019-0315 29/03/2019</t>
  </si>
  <si>
    <t>3048294 30/04/2019</t>
  </si>
  <si>
    <t>AWSL174335                   31/03/2019</t>
  </si>
  <si>
    <t>49580TT00110718 27/06/2018         OLC0935180017175 08/02/2019</t>
  </si>
  <si>
    <t xml:space="preserve">49580TT00110718,27.06.2018. OLC0935180017175,
08.02.2019,
Indusind bank opera House Branch </t>
  </si>
  <si>
    <t xml:space="preserve">Automatic packing machine for Carpet Tiles </t>
  </si>
  <si>
    <t>18345-1</t>
  </si>
  <si>
    <t>VA18345 08/01/2019</t>
  </si>
  <si>
    <t>2371099 11/03/2019</t>
  </si>
  <si>
    <t>AWSL11295           17/01/2019</t>
  </si>
  <si>
    <t>ORM0001180218392   20.11.2018</t>
  </si>
  <si>
    <t xml:space="preserve"> ORM0001180218392,
20.11.2018,
Indusind bank opera House Branch </t>
  </si>
  <si>
    <t>EUR 1470000</t>
  </si>
  <si>
    <t>AUTOMATIC TENSILE TESTER FOR YARN ALONG WITH STAND ACCESSORIES AND SPARES</t>
  </si>
  <si>
    <t>CABLING MACHINE</t>
  </si>
  <si>
    <t>05-0-C-F</t>
  </si>
  <si>
    <t>21.09458.01</t>
  </si>
  <si>
    <t>2018000548 12/10/2018</t>
  </si>
  <si>
    <t>9387354 24/12/2018</t>
  </si>
  <si>
    <t>DE21720028600102018 23/10/2018</t>
  </si>
  <si>
    <t>OLC0935180015823 27.11.2018</t>
  </si>
  <si>
    <t xml:space="preserve"> OLC0935180015823, 27.11.2018,
Indusind bank opera House Branch </t>
  </si>
  <si>
    <t>COLOUR KITCHEN</t>
  </si>
  <si>
    <t>50/2018</t>
  </si>
  <si>
    <t>UNWINDER +TC+IM</t>
  </si>
  <si>
    <t>V182233 13/12/2018</t>
  </si>
  <si>
    <t>2048724 14/02/2019</t>
  </si>
  <si>
    <t>BELGIUM</t>
  </si>
  <si>
    <t>HLCUANR181153089 16/12/2018</t>
  </si>
  <si>
    <t>ORM0001180211126 30.10.2018</t>
  </si>
  <si>
    <t xml:space="preserve"> ORM0001180211126,
30.10.2018,
Indusind bank opera House Branch </t>
  </si>
  <si>
    <t>MAY - 2019</t>
  </si>
  <si>
    <t>AFT - 11 DD</t>
  </si>
  <si>
    <t>AFT - 11 DD HD /19-20/008</t>
  </si>
  <si>
    <t>25.06.2019</t>
  </si>
  <si>
    <t>GRN NOT YET MADE</t>
  </si>
  <si>
    <t>29.05.2019</t>
  </si>
  <si>
    <t>27.11.2018</t>
  </si>
  <si>
    <t>PL24136 &amp; 23.10.2018</t>
  </si>
  <si>
    <t>USD 96840</t>
  </si>
  <si>
    <t>10.07.2019</t>
  </si>
  <si>
    <t>MAC/00006 &amp; 23.07.2019</t>
  </si>
  <si>
    <t>EUR 1055271</t>
  </si>
  <si>
    <t>02.08.2019</t>
  </si>
  <si>
    <t>30.01.2019</t>
  </si>
  <si>
    <t>28.03.2019</t>
  </si>
  <si>
    <t>USD 11390000</t>
  </si>
  <si>
    <t>USD 3202000</t>
  </si>
  <si>
    <t>USD 3408000</t>
  </si>
  <si>
    <t>6702 &amp; 24.07.2018</t>
  </si>
  <si>
    <t>Euro 2039500</t>
  </si>
  <si>
    <t>Euro 817000</t>
  </si>
  <si>
    <t>Euro 668500</t>
  </si>
  <si>
    <t>Euro 585000</t>
  </si>
  <si>
    <t>Euro 649500</t>
  </si>
  <si>
    <t>Vendor</t>
  </si>
  <si>
    <t>1 (b)</t>
  </si>
  <si>
    <t>31.12.2018</t>
  </si>
  <si>
    <t>2©</t>
  </si>
  <si>
    <t>Card-Monroe</t>
  </si>
  <si>
    <t>USD 2300000</t>
  </si>
  <si>
    <t>07.02.2019</t>
  </si>
  <si>
    <t>Euro 692000</t>
  </si>
  <si>
    <t>Euro 358000</t>
  </si>
  <si>
    <t>Euro 580000</t>
  </si>
  <si>
    <t>INR 5650000</t>
  </si>
  <si>
    <t>SCHOEN+SANDT MACHINERY GMBH</t>
  </si>
  <si>
    <t>EURO 1055270</t>
  </si>
  <si>
    <t>WACHTER PACKAUTOMATIK GMBH &amp; CO. KG</t>
  </si>
  <si>
    <t>EURO 1470000</t>
  </si>
  <si>
    <t>SAURER TECHNOLOGIES</t>
  </si>
  <si>
    <t>EURO 1800202</t>
  </si>
  <si>
    <t>10a</t>
  </si>
  <si>
    <t>2018000628 / 03.12.2018</t>
  </si>
  <si>
    <t>EUR 643724.32</t>
  </si>
  <si>
    <t>EUR 1157575.50</t>
  </si>
  <si>
    <t>17.01.2019</t>
  </si>
  <si>
    <t>Yamuna Machines</t>
  </si>
  <si>
    <t>INR 3600000</t>
  </si>
  <si>
    <t>Euro 172328</t>
  </si>
  <si>
    <t>EURO 201500</t>
  </si>
  <si>
    <t xml:space="preserve"> JUNGHEINRICH LIFT</t>
  </si>
  <si>
    <t>INR 26384000</t>
  </si>
  <si>
    <t>28.01.2019</t>
  </si>
  <si>
    <t>PARKER HANNIFIN</t>
  </si>
  <si>
    <t>INR 8001990</t>
  </si>
  <si>
    <t>07.01.2019</t>
  </si>
  <si>
    <t>14A</t>
  </si>
  <si>
    <t>INGERSOLL-RAND</t>
  </si>
  <si>
    <t>INR 31686000</t>
  </si>
  <si>
    <t>25.02.2019</t>
  </si>
  <si>
    <t>AALIDHRA TEXTOOL ENGINEERS</t>
  </si>
  <si>
    <t>INR 34850150</t>
  </si>
  <si>
    <t>INR 8699515</t>
  </si>
  <si>
    <t>18.04.2019</t>
  </si>
  <si>
    <t>J.ZIMMER MASCHINENBAU GMBH</t>
  </si>
  <si>
    <t>1 sets</t>
  </si>
  <si>
    <t>INR 7650000</t>
  </si>
  <si>
    <t>Cheema Boiler</t>
  </si>
  <si>
    <t>3 sets</t>
  </si>
  <si>
    <t>INR 15000000</t>
  </si>
  <si>
    <t xml:space="preserve">NILKAMAL BITO STORAGE SYSTEMS </t>
  </si>
  <si>
    <t>INR 19406188.76</t>
  </si>
  <si>
    <t>ABIGAIL ENTERPRISES</t>
  </si>
  <si>
    <t>INR 62279140</t>
  </si>
  <si>
    <t>UNITOP AQUACARE</t>
  </si>
  <si>
    <t>INR 11500000</t>
  </si>
  <si>
    <t>03.05.2019</t>
  </si>
  <si>
    <t>EURO 598500</t>
  </si>
  <si>
    <t>USD 12090000</t>
  </si>
  <si>
    <t>EURO</t>
  </si>
  <si>
    <t>Currency</t>
  </si>
  <si>
    <t>PO Value</t>
  </si>
  <si>
    <t>Ex. Rate (approx rate taken)</t>
  </si>
  <si>
    <t xml:space="preserve"> Amount in INR (approx. Rt)</t>
  </si>
  <si>
    <t>Actual paid Exch Rt</t>
  </si>
  <si>
    <t>Actual Paid INR</t>
  </si>
  <si>
    <t>Payment details</t>
  </si>
  <si>
    <t>Actual paid INR</t>
  </si>
  <si>
    <t>As per MOM 26-11-19</t>
  </si>
  <si>
    <t>unregistered</t>
  </si>
  <si>
    <t>registered</t>
  </si>
  <si>
    <t>less comm</t>
  </si>
  <si>
    <t>Local registered</t>
  </si>
  <si>
    <t>local un-regtd</t>
  </si>
  <si>
    <t>clear and registered</t>
  </si>
  <si>
    <t>under registration</t>
  </si>
  <si>
    <t>imported to be registered</t>
  </si>
  <si>
    <t>local to be registered</t>
  </si>
  <si>
    <t>Minutes of the meeting held on 26th Nov, 2019 on JIT matter for WFL project at Telangana.</t>
  </si>
  <si>
    <t>Particulars</t>
  </si>
  <si>
    <t>Remarks</t>
  </si>
  <si>
    <t>Responsibility</t>
  </si>
  <si>
    <t>Target Date</t>
  </si>
  <si>
    <t>Project Actual Spent - Bifurcation Update details</t>
  </si>
  <si>
    <t>Expenditure - product wise</t>
  </si>
  <si>
    <t>Shashikant Sahoo</t>
  </si>
  <si>
    <t>Payment details Excel file with related documentary proofs</t>
  </si>
  <si>
    <t>Received as per format provided by Vipul Bhatt. Certain details  / paymnet details / exchange rate clarifications</t>
  </si>
  <si>
    <t>Registration of vendors to be Completed</t>
  </si>
  <si>
    <t>Applied already</t>
  </si>
  <si>
    <t>Superba, Sellers, Gilbos</t>
  </si>
  <si>
    <t>Abhimannu / Chintan</t>
  </si>
  <si>
    <t>in Next committee meeting</t>
  </si>
  <si>
    <t>To be applied</t>
  </si>
  <si>
    <t>Card Monroe, Atlas Copco, Abigail, Ingersoll - Rand. Cheema, Wachter</t>
  </si>
  <si>
    <t>Rahul mittal</t>
  </si>
  <si>
    <t>Purchase date of machine is the date on which final payment against machine is paid by the company. Commission if any paid shall be deducted from eligibility.</t>
  </si>
  <si>
    <t>Amounts withheld to be reduced from eligibility amount</t>
  </si>
  <si>
    <t>Clarification need - Abhimannu</t>
  </si>
  <si>
    <t>Final Payments to Card Monroe, Cappen, Schaun &amp; Sandt, Power Heatset</t>
  </si>
  <si>
    <t>Approvals and Loan Disbursals</t>
  </si>
  <si>
    <t>Amit Bhandari / Shashikant Sahoo</t>
  </si>
  <si>
    <t>Format - 4 - Copy of all docs required for bank certification &amp; uploading on Ituf</t>
  </si>
  <si>
    <t xml:space="preserve">Docs flow from WFL to Vipul, </t>
  </si>
  <si>
    <t>Shashikant Sahoo / Sandeep kumar / Vipul / Puneet</t>
  </si>
  <si>
    <t>Format - 4 - all related documents uploaded in ituf system &amp; certified by the bankers.</t>
  </si>
  <si>
    <t xml:space="preserve"> Sandeep kumar / Vipul</t>
  </si>
  <si>
    <t>Fogn. Curr</t>
  </si>
  <si>
    <t xml:space="preserve">Exch Rt Actual </t>
  </si>
  <si>
    <t>Actual INR paid</t>
  </si>
  <si>
    <t>Advice Dt.</t>
  </si>
  <si>
    <t>Paying Bank</t>
  </si>
  <si>
    <t>IBL</t>
  </si>
  <si>
    <t>Union Bank of India</t>
  </si>
  <si>
    <t>RTGS/INDBR22019021900147416/JUNGHEINRICH LIFT TRUC</t>
  </si>
  <si>
    <t>IBL - EMAIL</t>
  </si>
  <si>
    <t>PAYMENT DETAILS</t>
  </si>
  <si>
    <t>YES BANK</t>
  </si>
  <si>
    <t>Name of Machinery Projected While obtaining UID</t>
  </si>
  <si>
    <t>Numbers</t>
  </si>
  <si>
    <t>Projected Basic Cost in Rs.</t>
  </si>
  <si>
    <t>Actual machinery Purchased and Installed</t>
  </si>
  <si>
    <t>Actual Nos.</t>
  </si>
  <si>
    <t>Actual Basic Cost in Rs. As per Commercial Invoice</t>
  </si>
  <si>
    <t>Name of Manufacturer</t>
  </si>
  <si>
    <t>Year of Manufacturing</t>
  </si>
  <si>
    <t>Bill of Entry Number &amp; Date</t>
  </si>
  <si>
    <t>Country of Origin</t>
  </si>
  <si>
    <t>Germany</t>
  </si>
  <si>
    <t>Belgium</t>
  </si>
  <si>
    <t>China</t>
  </si>
  <si>
    <t>AIF13118               15-03-2019</t>
  </si>
  <si>
    <t>2723253             05-04-2019</t>
  </si>
  <si>
    <t>2914527     20/04/2019</t>
  </si>
  <si>
    <t>654                         21/03/2019</t>
  </si>
  <si>
    <t>3480294    01/06/2019</t>
  </si>
  <si>
    <t>658                         11/04/2019</t>
  </si>
  <si>
    <t>2753917    08/04/2019</t>
  </si>
  <si>
    <t>3381341    25/05/2019</t>
  </si>
  <si>
    <t>657                         11/04/2019</t>
  </si>
  <si>
    <t>Zimmer</t>
  </si>
  <si>
    <t>Remarks / invoice discription</t>
  </si>
  <si>
    <t>remarks / B/E description</t>
  </si>
  <si>
    <t>Denmark - EU</t>
  </si>
  <si>
    <t>Card Monroe Corp.</t>
  </si>
  <si>
    <t>145292 Dt 26/05/2019 and 154292B Dt. 28/05/2019</t>
  </si>
  <si>
    <t>15744-1 Dt 26/05/2019 and 15744-1B Dt. 28/05/2019</t>
  </si>
  <si>
    <t>U.S.A.</t>
  </si>
  <si>
    <t>3881235  &amp; 3881789 Dt. 01/07/2019</t>
  </si>
  <si>
    <t>2048724 &amp; 2048725 Dt. 14/02/2019 (part of 1 and 12)</t>
  </si>
  <si>
    <t>V182044 &amp; V182233 Dt. 13/12/2018 (part of 1 and 12)</t>
  </si>
  <si>
    <t>2018-19</t>
  </si>
  <si>
    <t>speed 1000</t>
  </si>
  <si>
    <t>Modra Tehnology Pty Ltd.</t>
  </si>
  <si>
    <t>PL24136 Dt 23/10/2018</t>
  </si>
  <si>
    <t>9381356 Dt 24/12/2018</t>
  </si>
  <si>
    <t>Australia</t>
  </si>
  <si>
    <t>1 sample tufting machine and 1 la bshearing machine</t>
  </si>
  <si>
    <t>Power-heat-set GmbH</t>
  </si>
  <si>
    <t>2018-10977 Dt. 07/11/2018</t>
  </si>
  <si>
    <t>Federal Republic of Germany (European Union)</t>
  </si>
  <si>
    <t>2370983 Dt. 11/03/2019</t>
  </si>
  <si>
    <t>Saurer Technologies GmbH &amp; Co. KG</t>
  </si>
  <si>
    <t>2018000548 12/10/2018 &amp; 2018000628 03/12/2018</t>
  </si>
  <si>
    <t>9387354 24/12/2018 &amp; 9590905 Dt. 10/01/2019</t>
  </si>
  <si>
    <t>Schoen-Sandt machiney GmbH</t>
  </si>
  <si>
    <t>2019-0315 Dt 29/03/2019 &amp; 2019-0027 Dt. 18/01/2019</t>
  </si>
  <si>
    <t>European Union - EEC (European Community)</t>
  </si>
  <si>
    <t>2370587 Dt 11/03/2019 &amp; 3048294 Dt. 30/04/2019</t>
  </si>
  <si>
    <t>Accessories</t>
  </si>
  <si>
    <t>Sellers Global Engineers Ltd.</t>
  </si>
  <si>
    <t>United Kingdom / European Community</t>
  </si>
  <si>
    <t>35902/3 Dt 09/01/2019</t>
  </si>
  <si>
    <t>2479870 Dt 19/03/2019</t>
  </si>
  <si>
    <t>Superba Advanced heat setting solutions</t>
  </si>
  <si>
    <t>009491 Dt. 13/03/2019</t>
  </si>
  <si>
    <t>3007854 Dt. 27/04/2019</t>
  </si>
  <si>
    <t>European Origin</t>
  </si>
  <si>
    <t>Textechno Herbert Stein GmbH &amp; Co. KG</t>
  </si>
  <si>
    <t>18/11/341Ea Dt. 28/11/2018</t>
  </si>
  <si>
    <t>2053724 Dt. 14/02/2019</t>
  </si>
  <si>
    <t>coating</t>
  </si>
  <si>
    <t>Set 1</t>
  </si>
  <si>
    <t>Tuftco International</t>
  </si>
  <si>
    <t>00006703 Dt 24/07/2018 &amp; 00006704 Dt 30/07/2018</t>
  </si>
  <si>
    <t>United States of America</t>
  </si>
  <si>
    <t>00006702 Dt 24/07/2018 &amp; 00006703 Dt 24/07/2018</t>
  </si>
  <si>
    <t>PLC BASED BACK COATING MACHINE</t>
  </si>
  <si>
    <t>7990645 (partly) DT 10-09-2018, 7991006 DT 10-09-2018</t>
  </si>
  <si>
    <t>7990193 DT 10-09-2018, 7990645 (partly) DT 10-09-2018</t>
  </si>
  <si>
    <t>Wachter Packautomatik</t>
  </si>
  <si>
    <t>VA18345 Dt. 08-01-2019</t>
  </si>
  <si>
    <t>2371099 Dt. 11-03-2019</t>
  </si>
  <si>
    <t xml:space="preserve">Deutschland </t>
  </si>
  <si>
    <t>Yamuna Machine Works Ltd.</t>
  </si>
  <si>
    <t>2019-20</t>
  </si>
  <si>
    <t>YMW/0164/2019-20 Dt 08-06-2019, YMW/0160/2019-20 Dt 05-06-2019, YMW/0172/2019-20 Dt 13-06-2019</t>
  </si>
  <si>
    <t>CT1900371 Dt 30-07-2019, CT1900372 Dt 30-07-2019, CT1900309 Dt 11-07-2019, CT1900310 Dt 11-07-2019</t>
  </si>
  <si>
    <t>Aalidhra Texspin Engineers</t>
  </si>
  <si>
    <t>Aalidhra Textool Engineers Pvt.Ltd.</t>
  </si>
  <si>
    <t xml:space="preserve">AT1900104 Dt. 26-04-2019, AT1900222 Dt. 25-05-2019, </t>
  </si>
  <si>
    <t>AT1900105 Dt. 26-04-2019, AT1900223 Dt. 26-05-2019</t>
  </si>
  <si>
    <t>MAC/00006 Dt. 23-07-2019</t>
  </si>
  <si>
    <t>Prashant West Point Machinery Pvt.Ltd.</t>
  </si>
  <si>
    <t>Unitop Aqua care Ltd.</t>
  </si>
  <si>
    <t>ULP/305/2018-19 Dt. 29-03-2019, ULP/06/2019-20 Dt. 11-04-2019, ULP/95/2019-20 Dt. 25-06-2019, ULP/18/2019-20 Dt. 23-04-2019, ULP/267/2018-19 Dt. 05-03-2019</t>
  </si>
  <si>
    <t>Commercial Invoice Number</t>
  </si>
  <si>
    <t>CBL/G/18-19/1087, 1236, 1256, 1330, 1187, 1308, 1362, 1438, CBL/T/19-20/001, 002, 003, 023, 32, 42, 17, CBL/G/19-20/0079, CBL/S/19-20/0003.</t>
  </si>
  <si>
    <t>2018, 2019</t>
  </si>
  <si>
    <t>Cheema Boilers Ltd.</t>
  </si>
  <si>
    <t>Abigail Enterprises Pvt. Ltd.</t>
  </si>
  <si>
    <t>1 Line</t>
  </si>
  <si>
    <t>AEPL/003/19-20, 001, 002, 010, 011, 012, 013, 014, 015, 016, 017, 018, 019, 023, 025, 026, 027, 028, 029, 030, 031, 032, 035, 036, 037, 038, 039, 040, 041, 042, 045, 047, 048, 049, 050, 051, 054, 055, 056, 059, 060, 061, 062, 064</t>
  </si>
  <si>
    <t>Thermax Limited</t>
  </si>
  <si>
    <t>271700007379, 7441, 7442, 7643, 7716, 6617, 6813, 6765, 6882.</t>
  </si>
  <si>
    <t>J. Zimmer Maschinenbau GmbH</t>
  </si>
  <si>
    <t>European Union  (AUSTRIA)</t>
  </si>
  <si>
    <t>320620-A Dt 04-11-2019</t>
  </si>
  <si>
    <t>1 set</t>
  </si>
  <si>
    <t>29600294 Dt. 31-12-2018</t>
  </si>
  <si>
    <t>Parker Hannifin India Pvt. Ltd.</t>
  </si>
  <si>
    <t>Ingersoll- Rand (India) Ltd.</t>
  </si>
  <si>
    <t xml:space="preserve">11924693 Dt. 27-02-2019, 11924695 Dt 27-02-2019, 11024692 Dt 27-02-2019 </t>
  </si>
  <si>
    <t>11924739 Dt 28-02-2019</t>
  </si>
  <si>
    <t>Jungheinrich Lift Truck India Pvt. Ltd.</t>
  </si>
  <si>
    <t>2118190550 Dt. 20-12-2018, 2118190593 Dt. 31-12-2018, 2118190551 Dt 20-12-2018, 2118190458 Dt. 02-11-2018</t>
  </si>
  <si>
    <t>Nilkamal Bito Storage Systems Pvt. Ltd.</t>
  </si>
  <si>
    <t>6410029438,441, 445, 443, 448, 449, 447, 528, 545, 527, 6440402419, 6410029585, 530, 6440402448, 459, 463, 6410029680, 679, 664, 661, 662, 6440402515, 6410029551, 652, 651, 650, 699, 6440402516, 584, 605, 637, 635, 639, 6410029801, 700, 802, 6440402636, 6410029722, 6440402633, 624, 634, 644, 6410029946, 6440402685, 686, 681, 660, 645, 653, 659, 643, 698, 701, 694, 697, 704, 700, 6410029921, 6440402774, 6410029529, 854</t>
  </si>
  <si>
    <t>3882229 Dt. 01/07/2019, 4012383 Dt.11-07-2019</t>
  </si>
  <si>
    <t>imported</t>
  </si>
  <si>
    <t>Basic Value invoice</t>
  </si>
  <si>
    <t>Less: Commission</t>
  </si>
  <si>
    <t>tuftco</t>
  </si>
  <si>
    <t>Pending Pay ments</t>
  </si>
  <si>
    <t>Pending Payments</t>
  </si>
  <si>
    <t>net of tuftco</t>
  </si>
  <si>
    <t>with local net of tuftco</t>
  </si>
  <si>
    <t>Invoice Value</t>
  </si>
  <si>
    <t>pending payments included in above - tuftco pending payment not included.</t>
  </si>
  <si>
    <t>Paid from Union Bank of India</t>
  </si>
  <si>
    <t>Paid from Yes Bank</t>
  </si>
  <si>
    <t>Paid from UBI &amp; Yes Bk</t>
  </si>
  <si>
    <t>Description of machine</t>
  </si>
  <si>
    <t>PREPARATION FOR JIT APPLICATION -</t>
  </si>
  <si>
    <t>WFL is newly floated company - wholly owned company of WIL.</t>
  </si>
  <si>
    <t>To get some documentary evidence and engineer certification.</t>
  </si>
  <si>
    <t>UID Ref.No. ATUFS/2018-19/2031</t>
  </si>
  <si>
    <t>UID Number - ATUFS/2019-29/GT/001125 dated 07th Sept, 2019.</t>
  </si>
  <si>
    <t>Term Loans</t>
  </si>
  <si>
    <t>Promoters contri.</t>
  </si>
  <si>
    <t>IndusInd Bank</t>
  </si>
  <si>
    <t>Sanction Ltr Dt.</t>
  </si>
  <si>
    <t>Bank of Baroda</t>
  </si>
  <si>
    <t>TL Amt</t>
  </si>
  <si>
    <t>EXIM Bank</t>
  </si>
  <si>
    <t>TUF</t>
  </si>
  <si>
    <t>Non-TUF</t>
  </si>
  <si>
    <t>IndusInd Bank sanction letter dated 29th June, 2018 (6:2, 6:3) - 10.2.5, 10.2.6, 10.2.7  - Installation and commissioning of the machinery covered under UID shall be done within one year from the date of sanction of TL. Extension beyond one year may be permitted only on production of documentary proof that the order for machinery was placed within the prescribed timeline i.e. one year from the date of sanction of TL.</t>
  </si>
  <si>
    <t>Calculation of Basic Cost of Eligible Machines (AS PER JIT) - a) Date of Full and Final Payment, b) Advance payment prior to Sanction of TL upto own share c) Whether TL portion is 50% &amp; above in machine cost? D) Amount of eligible machinery will be LOWEST of - Actual paid basic/cif cost, Bill of Entry Value, UID Value whichever is low.</t>
  </si>
  <si>
    <t>4:3, 5:2  - The scheme is credit linked. CIS shall be available to the entity on availing term loan from a notified lending agency with minimum 50% of the total eligible machinery cost under the project. 7:1 - Advance payment up to the limit of his own share in the machine cost can be made by the applicant prior to the date of sanction of TL. 7:2 - Machines purchased on or after the date of sanction of the term loan only shall be eligible for CIS.                  Purchase Date of machinery (7:3) - Purchase date shall be the date when full and final payment is made by the entity for machinery as envisaged by the bank transaction statement or the date of commercial invoice whichever is later. (amount withheld..)</t>
  </si>
  <si>
    <r>
      <t xml:space="preserve">(A) At the time of UID application, the total basic/CIF value of eligible machinery was Rs.302 crs. However, the i-TUF system was not accepting total basic/CIF cost of machinery above Rs.200 crores (total ceiling of Rs.30 crores) - in view of this, we adjusted and reduced basic/CIF cost of machineries to make total of Rs.200 crs. We also put remark/Note in the application and mentioned above facts in our UID application. (B) 10:3:3 - Addition or deletion of machinery data will be permitted at the time of JIT application. This clause permits unit to make changes in the data/ Addition and deletion at the time of JIT. Also the restriction should be on the overall permitted eligible CIS amount against UID number allotted by TXC and not against UID value of machinery.                                                                        </t>
    </r>
    <r>
      <rPr>
        <b/>
        <u/>
        <sz val="11"/>
        <color theme="1"/>
        <rFont val="Calibri"/>
        <family val="2"/>
        <scheme val="minor"/>
      </rPr>
      <t>Action to be taken</t>
    </r>
    <r>
      <rPr>
        <sz val="11"/>
        <color theme="1"/>
        <rFont val="Calibri"/>
        <family val="2"/>
        <scheme val="minor"/>
      </rPr>
      <t xml:space="preserve"> - To take up this matter with TXC and MOT - to remove 'UID value of machinery' from the comparision to arrive at eligible value of machine.</t>
    </r>
  </si>
  <si>
    <t xml:space="preserve">Registration/ Enlistment of Machine Manufacturer / Authorised Agent / Accessories Manufacturer </t>
  </si>
  <si>
    <t>MIC - Machine identification Code to be engraved on eligible machines as given by TXC</t>
  </si>
  <si>
    <t>Following machines will not be eligible - a) RR1- Power-heat-set machine description (it is not integrated with the Space Dyeing machine) b) RR1-Gilbos, RR4-Sellers, RR14- Ingersoll - Accessories was not considered at the time of UID application separately - hence will not be eligible, c) Any accessories received alongwith the machine should have value bifurcation in the invoice - else straight 15% of the machine value will be considered as accessories and if the same is not mentioned at the time of UID application separately as accessories - it will not be eligible. d) RR9- Testing equip - if not certified by NABL, e) RR10- Cabling Machine - Description of machine to be checked and clarified, f) RR11- Yamuna Dye Kitchen - Make, Model no., Month and year of Manufacturing to be mentioned on Machine Plate - Machine sr no. to match with machine plate and invoice copy etc. g) RR13- Jungheinrich - fork lifts - not eligble -  not automatic h) RR14- Parker compressor - High Seas sell machine not allowed i) RR17- Zimmer - printing machine not commissioned j) RR18- Thermax - Water softening - Invoice says Water Treatment plant description k) RR19- Cheema - Boiler - To get console invoice with TUF description - Coal fired not eligible l) RR29 - Nilkamala - Racking not automatic not eligible m) RR21- Abigail - Latex Mixing - to get console invoice with tuf description n) RR22 - Unitop - RO-Nano Filteration...... - TUF description on invoice not matching o) All machines - Description on invoice as per tuf shall match - Speed, RPM, MPM, Mtrs per minutes, dtex, denier, H.P. - to get certified by the manufacturer and engineer and also the same will be physically verified at the time of JIT on related machine and to be proved actually with techmeter etc.. p) Accessories value should be restricted to 20% of the finally eligible machine value. q) Machine Sr.No. - Machine sr.no. not mentioned on most of the invoices - to get separate certificate from manufacturer about machine sr.no. quoting invoice reference. r) To ensure that on each machine name plate - Month and year of manufacture, Make, Model number, Machine Sr.No. shall appear s) MIC code number as allotted by TXC office shall be engraved on each eligible machine.</t>
  </si>
  <si>
    <t>WFL to check this and ensure compliance against this before JIT.</t>
  </si>
  <si>
    <t>To ensure this before JIT</t>
  </si>
  <si>
    <t>To check and complete before JIT</t>
  </si>
  <si>
    <t>UID Value - basic/ cif mentinoed in UID application for 200 crs</t>
  </si>
  <si>
    <t>Actual Payment of machine</t>
  </si>
  <si>
    <t>Value as per B/E rate</t>
  </si>
  <si>
    <t>Whichever is lower - of the three</t>
  </si>
  <si>
    <t>JIT method for assessing eligibility of basic/cif value of machine-</t>
  </si>
  <si>
    <t>Assumed registration of all suppliers</t>
  </si>
  <si>
    <t>Only presently registered parties</t>
  </si>
  <si>
    <t>Power-Heat-Set GmbH</t>
  </si>
  <si>
    <t>Superba Advnced Heat Setting Solutions</t>
  </si>
  <si>
    <t>Card Manroe Corporation</t>
  </si>
  <si>
    <t>TUFTCO International</t>
  </si>
  <si>
    <t>Modra Technology Pty Ltd.</t>
  </si>
  <si>
    <t>Denmark-EU</t>
  </si>
  <si>
    <t>Country</t>
  </si>
  <si>
    <t>Imported Machinery Suppliers</t>
  </si>
  <si>
    <t>Registration Status</t>
  </si>
  <si>
    <t>Sellers Global Engieers Ltd.</t>
  </si>
  <si>
    <t>U.K. - European Community</t>
  </si>
  <si>
    <t>Prashant West Point Machinery Pvt. Ltd.</t>
  </si>
  <si>
    <t>Shoen-Sandt Machinery GmbH</t>
  </si>
  <si>
    <t>E.U.- EEC - European Community</t>
  </si>
  <si>
    <t>Deutschland</t>
  </si>
  <si>
    <t>Germany - EU</t>
  </si>
  <si>
    <t>Alidhra Texspin Engineers</t>
  </si>
  <si>
    <t>Aalidhra Textool Engineers Pvt. Ltd.</t>
  </si>
  <si>
    <t>Jhungeinrich Lift Truck India Pvt. Ltd.</t>
  </si>
  <si>
    <t>Local Machinery Suppliers</t>
  </si>
  <si>
    <t>Ingersoll-Rand (India) Ltd.</t>
  </si>
  <si>
    <t>Austia - EU</t>
  </si>
  <si>
    <t>Unitop Aquacare Ltd.</t>
  </si>
  <si>
    <t>NABL Approval is must - else not eligible</t>
  </si>
  <si>
    <t>Papers submitted to TXC by party - under process</t>
  </si>
  <si>
    <t>Sr.No. 471 - Saurer Components GmbH is registered. Saurer AG is registered at sr.no. 28 in Switzerland list.</t>
  </si>
  <si>
    <t>Sr.No. 436 - Power-Heat-Set GmbH Textile Systems is registered.. Description problem - not with space dyeing machine ?</t>
  </si>
  <si>
    <t>not applied yet -----</t>
  </si>
  <si>
    <t>To check ??</t>
  </si>
  <si>
    <t>Zimmer America Corporation is registered at sr.no. 43 in USA list. - Machine not commissioned so far</t>
  </si>
  <si>
    <t>Machine may not be eligible under TUF</t>
  </si>
  <si>
    <t>under process</t>
  </si>
  <si>
    <t>Yamuna Machine Works Ltd., Vapi is registered. Yamuna Machine Works Ltd. is registered at sr.no. 163 in indigenous list.</t>
  </si>
  <si>
    <t>Thermax Ltd., Mumbai is registered - To check this………</t>
  </si>
  <si>
    <t>Product manufactured by WFL is Specially treated carpets, treated for Antibacterial and/or Anti odour and/or Fire Retardant and/or Water repellent property(ies). (UID allotment is under Technical Textile Segment having 15% CIS with ceiling of Rs.30 crs for any company).</t>
  </si>
  <si>
    <t>WFL has not availed any subsidy under RRTUF scheme. Has got separate PAN number. Registered with concerned authority indicating product manufactured is Textile Item. (IEM)</t>
  </si>
  <si>
    <r>
      <t xml:space="preserve">WFL wrote letter to TXC dt 31 May 2019 (acknowledged on 04th June, 2019) seeking approval for extension of time for commissioning and for making application for JIT. IndusInd Bank wrote letter dated 19 June 2019 (acknowledged on 24th June, 2019) to TXC with above request. Approval is still awaited.                                                                                                                               </t>
    </r>
    <r>
      <rPr>
        <b/>
        <u/>
        <sz val="11"/>
        <color theme="1"/>
        <rFont val="Calibri"/>
        <family val="2"/>
        <scheme val="minor"/>
      </rPr>
      <t>Action to be taken</t>
    </r>
    <r>
      <rPr>
        <sz val="11"/>
        <color theme="1"/>
        <rFont val="Calibri"/>
        <family val="2"/>
        <scheme val="minor"/>
      </rPr>
      <t xml:space="preserve"> - As we have received UID number, to make on-line request for above purpose.</t>
    </r>
  </si>
  <si>
    <r>
      <t xml:space="preserve">WFL to check - a) advance payments made against each machine before sanction (29/6/2018) are within own share of 28%. B) minimum 50% of the TL is availed c) machinery purchased (to see definition of "purchase date of machiney " here) after sanction date, d) Further how much paid from own share after sanciton?, e) In above scenario how much machine value will be considered as eligible?                                                       Not clear - </t>
    </r>
    <r>
      <rPr>
        <b/>
        <u/>
        <sz val="11"/>
        <color theme="1"/>
        <rFont val="Calibri"/>
        <family val="2"/>
        <scheme val="minor"/>
      </rPr>
      <t>Action to be taken</t>
    </r>
    <r>
      <rPr>
        <sz val="11"/>
        <color theme="1"/>
        <rFont val="Calibri"/>
        <family val="2"/>
        <scheme val="minor"/>
      </rPr>
      <t xml:space="preserve"> : to get clarity on this.</t>
    </r>
  </si>
  <si>
    <t>Whichever is lower - of the two - actual paid and B/E rate whichever is less</t>
  </si>
  <si>
    <t>abigail + payments of withheld amounts</t>
  </si>
  <si>
    <t>Payments of withheld amounts of machines</t>
  </si>
  <si>
    <t>Observation made by the team at the time of Mock conducted at plant on 24-12-2019.</t>
  </si>
  <si>
    <t>Action for Project Team</t>
  </si>
  <si>
    <t>RR No</t>
  </si>
  <si>
    <t>Not integrated with Space Dyeing machine - hence not eligible under ATUF as per description.</t>
  </si>
  <si>
    <t>Accessories was not considered separately in UID application hence will not be eligible in JIT.</t>
  </si>
  <si>
    <t>To get accredited by NABL - else Not Eligible.</t>
  </si>
  <si>
    <t>Make, Model No., Month &amp; Year of manufacturing, Machine sr.no. to be mentioned on Machine Plate and to match with invoices.</t>
  </si>
  <si>
    <t>Fork Lift - not fully automatic - not eligible as per description.</t>
  </si>
  <si>
    <t>High Seas Sell - machine not allowed under ATUFs</t>
  </si>
  <si>
    <t>To make payment and get machine commissioned at the time of JIT.</t>
  </si>
  <si>
    <t>Description on Invoice - Water Treatment Plant - description is different hence not eligible.</t>
  </si>
  <si>
    <t>Racks not eligble</t>
  </si>
  <si>
    <t>To get consolidated Invoice from supplier with ATUF description</t>
  </si>
  <si>
    <t>To get consolidated Invoice from supplier with ATUF description (coal fired is not eligible under ATUFs).</t>
  </si>
  <si>
    <t>TUF desription on Invoice not matching with ATUF description - not eligible</t>
  </si>
  <si>
    <t>Documentary proof about specially treated carpet.</t>
  </si>
  <si>
    <t>DTEX and MPM on INVOICE should be mentioned - dtex and MPM will be checked by JIT physically.</t>
  </si>
  <si>
    <t xml:space="preserve">MPM will be checked by JIT physically - (with techo meter??..) - to confirm that MPM is mentioned in the invoice </t>
  </si>
  <si>
    <t>Description of machine to be checked and clarified from the supplier - Cabling machine ?? (Also Denier and rpm will be checked by JIT on actual basis). Also to confirm that invoice mentions about denier and rpm.</t>
  </si>
  <si>
    <t>H.P. will be checked by JIT - to confirm that invoice mentioned about HP.</t>
  </si>
  <si>
    <t>Speed of 800 mtrs - will be checked by JIT - to confirm that it is mentinoed in invoice.</t>
  </si>
  <si>
    <t>Accessories supplier should be registered.</t>
  </si>
  <si>
    <t>Accessories was not considered separately in UID application hence will not be eligible in JIT. Accessories supplier should be registered.</t>
  </si>
  <si>
    <t>Accessories supplier should be registered</t>
  </si>
  <si>
    <t>CMC</t>
  </si>
  <si>
    <t>Sellers</t>
  </si>
  <si>
    <t>Total Rs.Crs</t>
  </si>
  <si>
    <r>
      <t>1)</t>
    </r>
    <r>
      <rPr>
        <sz val="7"/>
        <color theme="1"/>
        <rFont val="Times New Roman"/>
        <family val="1"/>
      </rPr>
      <t xml:space="preserve">      </t>
    </r>
    <r>
      <rPr>
        <sz val="11"/>
        <color theme="1"/>
        <rFont val="Calibri"/>
        <family val="2"/>
        <scheme val="minor"/>
      </rPr>
      <t>Any accessories received alongwith the machine should have value bifurcation in the invoice - else straight 15% of the machine value will be considered as accessories and if the same is not mentioned at the time of UID application separately as accessories - it will not be eligible.</t>
    </r>
  </si>
  <si>
    <t>Amit Bhandari / Rahul Mittal</t>
  </si>
  <si>
    <r>
      <t>2)</t>
    </r>
    <r>
      <rPr>
        <sz val="7"/>
        <color theme="1"/>
        <rFont val="Times New Roman"/>
        <family val="1"/>
      </rPr>
      <t xml:space="preserve">      </t>
    </r>
    <r>
      <rPr>
        <sz val="11"/>
        <color theme="1"/>
        <rFont val="Calibri"/>
        <family val="2"/>
        <scheme val="minor"/>
      </rPr>
      <t>All machines - Description on invoice as per tuf shall match - Speed, RPM, MPM, Mtrs per minutes, dtex, denier, H.P. - to get certified by the manufacturer and engineer and also the same will be physically verified at the time of JIT on related machine and to be proved actually with techometer etc.</t>
    </r>
  </si>
  <si>
    <t>Amit Bhandari / Rahul Mittal / D.N. Panda</t>
  </si>
  <si>
    <r>
      <t>3)</t>
    </r>
    <r>
      <rPr>
        <sz val="7"/>
        <color theme="1"/>
        <rFont val="Times New Roman"/>
        <family val="1"/>
      </rPr>
      <t xml:space="preserve">      </t>
    </r>
    <r>
      <rPr>
        <sz val="11"/>
        <color theme="1"/>
        <rFont val="Calibri"/>
        <family val="2"/>
        <scheme val="minor"/>
      </rPr>
      <t>Accessories value should be restricted to 20% of the finally eligible main machine value.</t>
    </r>
  </si>
  <si>
    <r>
      <t>4)</t>
    </r>
    <r>
      <rPr>
        <sz val="7"/>
        <color theme="1"/>
        <rFont val="Times New Roman"/>
        <family val="1"/>
      </rPr>
      <t xml:space="preserve">      </t>
    </r>
    <r>
      <rPr>
        <sz val="11"/>
        <color theme="1"/>
        <rFont val="Calibri"/>
        <family val="2"/>
        <scheme val="minor"/>
      </rPr>
      <t>Machine Sr.No. - Machine sr.no. not mentioned on most of the invoices - to get separate certificate from manufacturer about machine sr.no. quoting invoice reference number etc..</t>
    </r>
  </si>
  <si>
    <r>
      <t>5)</t>
    </r>
    <r>
      <rPr>
        <sz val="7"/>
        <color theme="1"/>
        <rFont val="Times New Roman"/>
        <family val="1"/>
      </rPr>
      <t xml:space="preserve">      </t>
    </r>
    <r>
      <rPr>
        <sz val="11"/>
        <color theme="1"/>
        <rFont val="Calibri"/>
        <family val="2"/>
        <scheme val="minor"/>
      </rPr>
      <t>To ensure that on each machine name plate - Month and year of manufacture, Make, Model number, Machine Sr.No. shall appear.</t>
    </r>
  </si>
  <si>
    <r>
      <t>6)</t>
    </r>
    <r>
      <rPr>
        <sz val="7"/>
        <color theme="1"/>
        <rFont val="Times New Roman"/>
        <family val="1"/>
      </rPr>
      <t xml:space="preserve">      </t>
    </r>
    <r>
      <rPr>
        <sz val="11"/>
        <color theme="1"/>
        <rFont val="Calibri"/>
        <family val="2"/>
        <scheme val="minor"/>
      </rPr>
      <t>MIC code number as allotted by TXC office (will be allotted at the time of making JIT application online) shall be engraved on each eligible machine.</t>
    </r>
  </si>
  <si>
    <t>7) Commission if any paid to be deducted from the machine eligible amount.</t>
  </si>
  <si>
    <r>
      <t>8)</t>
    </r>
    <r>
      <rPr>
        <sz val="7"/>
        <color rgb="FF000000"/>
        <rFont val="Times New Roman"/>
        <family val="1"/>
      </rPr>
      <t xml:space="preserve">     </t>
    </r>
    <r>
      <rPr>
        <sz val="11"/>
        <color rgb="FF000000"/>
        <rFont val="Calibri"/>
        <family val="2"/>
        <scheme val="minor"/>
      </rPr>
      <t>Product manufactured by WFL is Specially treated carpets, treated for Antibacterial and/or Anti odour and/or Fire Retardant and/or Water repellent property(ies). (UID allotment is under Technical Textile Segment having 15% CIS with ceiling of Rs.30 crs for any company). – To arrange necessary documentary proof to prove this.</t>
    </r>
  </si>
  <si>
    <r>
      <t>9)</t>
    </r>
    <r>
      <rPr>
        <sz val="7"/>
        <color rgb="FF000000"/>
        <rFont val="Times New Roman"/>
        <family val="1"/>
      </rPr>
      <t xml:space="preserve">      </t>
    </r>
    <r>
      <rPr>
        <sz val="11"/>
        <color rgb="FF000000"/>
        <rFont val="Calibri"/>
        <family val="2"/>
        <scheme val="minor"/>
      </rPr>
      <t>Payments of withheld amounts of machines</t>
    </r>
  </si>
  <si>
    <t>Amit Bhandari / Rahul Mittal / Shashikanta Sahoo</t>
  </si>
  <si>
    <r>
      <t>10)</t>
    </r>
    <r>
      <rPr>
        <sz val="7"/>
        <color rgb="FF000000"/>
        <rFont val="Times New Roman"/>
        <family val="1"/>
      </rPr>
      <t xml:space="preserve">      </t>
    </r>
    <r>
      <rPr>
        <sz val="11"/>
        <color rgb="FF000000"/>
        <rFont val="Calibri"/>
        <family val="2"/>
        <scheme val="minor"/>
      </rPr>
      <t xml:space="preserve">Registration/ Enlistment of Machine Manufacturer / Authorised Agent / Accessories Manufacturer </t>
    </r>
  </si>
  <si>
    <t>Amit Bhandari / Rahul Mittal / Abhimannu / Chintan</t>
  </si>
  <si>
    <t>Observation &amp; Action required</t>
  </si>
  <si>
    <t>Actual Basic Cost in Rs. As per Commercial Invoice Rs. Crs</t>
  </si>
  <si>
    <t xml:space="preserve">TOTAL Rs. Crs : </t>
  </si>
  <si>
    <t>Declaration from supplier for specially treated carpets, treated for antibacterial and/or anti odour and/or water repellet property.</t>
  </si>
  <si>
    <t>Description of machine to be checked and clarified from the supplier - Cabling machine ?? (Also Denier and rpm will be checked by JIT on actual basis). Also to confirm that invoice mentions about denier and rpm. Speed can be demonstrated at the time of JIT.</t>
  </si>
  <si>
    <t>paid</t>
  </si>
  <si>
    <t>withheld</t>
  </si>
  <si>
    <t>Sr.No</t>
  </si>
  <si>
    <t>Name of Machinery</t>
  </si>
  <si>
    <t>Name of Supplier</t>
  </si>
  <si>
    <t>Registration status</t>
  </si>
  <si>
    <t>Amt as per UID</t>
  </si>
  <si>
    <t xml:space="preserve"> Amount as per Invoice </t>
  </si>
  <si>
    <t>Payment released by WFL</t>
  </si>
  <si>
    <t>Machine Qualify W/o Issue</t>
  </si>
  <si>
    <t>MC Sr. No. (i-TUFS)</t>
  </si>
  <si>
    <t>Machine Code</t>
  </si>
  <si>
    <t>Registered with MOT</t>
  </si>
  <si>
    <t>MC03-f-9</t>
  </si>
  <si>
    <t>CISTT045</t>
  </si>
  <si>
    <t xml:space="preserve">Campen </t>
  </si>
  <si>
    <t>Denmark</t>
  </si>
  <si>
    <t>MC03-f-4</t>
  </si>
  <si>
    <t>CISTT040</t>
  </si>
  <si>
    <t>MC03-b-1</t>
  </si>
  <si>
    <t>CISTT003</t>
  </si>
  <si>
    <t>MC03-e-9</t>
  </si>
  <si>
    <t>CISTT031</t>
  </si>
  <si>
    <t>MC01-b-16</t>
  </si>
  <si>
    <t>WP028</t>
  </si>
  <si>
    <t>MC02-1</t>
  </si>
  <si>
    <t>CISPR001</t>
  </si>
  <si>
    <t>MC01-b-17</t>
  </si>
  <si>
    <t>WP029</t>
  </si>
  <si>
    <t>MC02-81</t>
  </si>
  <si>
    <t>CISPR081</t>
  </si>
  <si>
    <t>MC01-b-7</t>
  </si>
  <si>
    <t>WP024</t>
  </si>
  <si>
    <t>Accessories / attachments / sample machines / spares received alongwith machinery or procured from other manufacturers of the machinery under the project up to a value of 20% of the machinery cost eligible under ATUFS mentioned at Sr. No. 6 above. (for PVC coating line)</t>
  </si>
  <si>
    <t>MC02-36</t>
  </si>
  <si>
    <t>CISPR036</t>
  </si>
  <si>
    <t>MC02-73</t>
  </si>
  <si>
    <t>CISPR073</t>
  </si>
  <si>
    <t>MC02-80</t>
  </si>
  <si>
    <t>CISPR080</t>
  </si>
  <si>
    <t>MC02-9</t>
  </si>
  <si>
    <t>CISPR009</t>
  </si>
  <si>
    <t>MC03-e-14</t>
  </si>
  <si>
    <t>CISTT035</t>
  </si>
  <si>
    <t>Payment not updated</t>
  </si>
  <si>
    <t>Total of Registered vendor under TUF  (A)</t>
  </si>
  <si>
    <t>Not Registered with MOT</t>
  </si>
  <si>
    <t>Vendor not registered</t>
  </si>
  <si>
    <t>Vendor registration in process &amp; We might face issue in technical justification</t>
  </si>
  <si>
    <t>Not considered in our working</t>
  </si>
  <si>
    <t xml:space="preserve"> </t>
  </si>
  <si>
    <t>this machine is with provision of space dyeing , not actual space dyeing</t>
  </si>
  <si>
    <t>MC03-e-16</t>
  </si>
  <si>
    <t>CISTT037</t>
  </si>
  <si>
    <t>Vendor registration in process.</t>
  </si>
  <si>
    <t>Automaha</t>
  </si>
  <si>
    <t>Value considered based on order value with 80 rs conversion, However actual payment to be confirmed by Finanace.
Equipment under erection.</t>
  </si>
  <si>
    <t>MC02-83</t>
  </si>
  <si>
    <t>CISPR083</t>
  </si>
  <si>
    <t>Total Eligible Machines under TUF (NOT Qualified) - B</t>
  </si>
  <si>
    <t>Total Eligible Machines under TUF (A+B)</t>
  </si>
  <si>
    <t>WELSPUN ADVANCE TEXTILES (INDIA) LTD.</t>
  </si>
  <si>
    <t>CCY</t>
  </si>
  <si>
    <t>Misc.</t>
  </si>
  <si>
    <t>Other Misc</t>
  </si>
  <si>
    <t>Hplant and its Accessories</t>
  </si>
  <si>
    <t>Ducting</t>
  </si>
  <si>
    <t>Pipeline Supports/ Structure/ Fabrication etc.</t>
  </si>
  <si>
    <t xml:space="preserve">Misc Handling + Docks Stations etc </t>
  </si>
  <si>
    <t xml:space="preserve">Canteen Equipment </t>
  </si>
  <si>
    <t>IT Related Expenses + Security System</t>
  </si>
  <si>
    <t>Term Loan</t>
  </si>
  <si>
    <t>Promoter Contribution</t>
  </si>
  <si>
    <t>1 Lot</t>
  </si>
  <si>
    <t>2 Sets</t>
  </si>
  <si>
    <t xml:space="preserve">Fire System </t>
  </si>
  <si>
    <t xml:space="preserve">Fire System - Pipeline / Fittings/ Valves </t>
  </si>
  <si>
    <t>Misc. Fire Alarms/ Fire Safety equipment</t>
  </si>
  <si>
    <t>Electrical</t>
  </si>
  <si>
    <t>VCB/Bus Coupler/LT</t>
  </si>
  <si>
    <t>Cables LT Incl Machine special cables</t>
  </si>
  <si>
    <t>Lighting and Accessories</t>
  </si>
  <si>
    <t>OTHERS Materials (Cable Tray, Jointing Kit, Electrical Poles, High Mast)</t>
  </si>
  <si>
    <t>FURNITURE &amp; FIXTURE</t>
  </si>
  <si>
    <t>GRG GLOBAL TEXTILES LIMITED</t>
  </si>
  <si>
    <t>Rs. 277,00,00,000/-</t>
  </si>
  <si>
    <t>Amt. FC</t>
  </si>
  <si>
    <t>Exch.</t>
  </si>
  <si>
    <t>Amt. INR</t>
  </si>
  <si>
    <t>UID Amt.</t>
  </si>
  <si>
    <t>Advance paid before sanction</t>
  </si>
  <si>
    <t xml:space="preserve">Two-for-one Twister operating at the speed of 8000 rpm with cradle, drop wires and overfeed system. </t>
  </si>
  <si>
    <t>MC-01</t>
  </si>
  <si>
    <t>b(5)(i)</t>
  </si>
  <si>
    <t>Two-for-one Twister operating at the speed of minimum 8000 rpm with cradle, drop wires and overfeed system. / Three-for-one Twister operating at the speed of minimum 5000 rpm with cradle, drop wires and overfeed system.</t>
  </si>
  <si>
    <t>MC-1</t>
  </si>
  <si>
    <t>PI</t>
  </si>
  <si>
    <t>Saurer Technologies GMBH &amp; Co. KG</t>
  </si>
  <si>
    <r>
      <t xml:space="preserve">Air Jet Loom </t>
    </r>
    <r>
      <rPr>
        <b/>
        <sz val="11"/>
        <rFont val="Calibri"/>
        <family val="2"/>
        <scheme val="minor"/>
      </rPr>
      <t>without Build in Air Compressor with  Weft Insertion Rate (WIR) not less than 1200 mtrs per minutes without Electronic Dobby / Electronic Jacquard.</t>
    </r>
  </si>
  <si>
    <t>a(3)(i) - Circular No.3 Dt. 13/07/2016</t>
  </si>
  <si>
    <r>
      <t xml:space="preserve">Air Jet Loom </t>
    </r>
    <r>
      <rPr>
        <b/>
        <sz val="11"/>
        <rFont val="Calibri"/>
        <family val="2"/>
        <scheme val="minor"/>
      </rPr>
      <t>with or without Build in Air Compressor with  (i) Weft Insertion Rate (WIR) not less than 1200 mtrs per minutes without Electronic Dobby / Electronic Jacquard, (ii)  Weft Insertion Rate (WIR) not less than 900 mtrs per minutes with Electronic Dobby / Electronic Jacquard</t>
    </r>
  </si>
  <si>
    <t>PICANOL N. V.</t>
  </si>
  <si>
    <t>Ultrasonic cleaning machines for Reed</t>
  </si>
  <si>
    <t>a(12)</t>
  </si>
  <si>
    <t>NO PI</t>
  </si>
  <si>
    <t xml:space="preserve">Automatic Drawing in, Tying and Leasing-in machine </t>
  </si>
  <si>
    <t>b(10)</t>
  </si>
  <si>
    <t>Automatic Drawing in / warp Reaching, Tying and Leasing-in machine (Not applicable on stand alone machine).</t>
  </si>
  <si>
    <t>Staubli</t>
  </si>
  <si>
    <t>Switzerland</t>
  </si>
  <si>
    <t>CHF</t>
  </si>
  <si>
    <t>Battery operated trolley for Beam gaiting</t>
  </si>
  <si>
    <t>2 Lots</t>
  </si>
  <si>
    <t>a(9)</t>
  </si>
  <si>
    <t>Genkinger GmbH</t>
  </si>
  <si>
    <t>Over Head Travelling Clearers</t>
  </si>
  <si>
    <t>35 Sets</t>
  </si>
  <si>
    <t xml:space="preserve">a (11) </t>
  </si>
  <si>
    <t>Elgi Electric</t>
  </si>
  <si>
    <t>India</t>
  </si>
  <si>
    <r>
      <t>Air Compressor 15 H.P. and above with inbuilt invertors and air driers</t>
    </r>
    <r>
      <rPr>
        <b/>
        <sz val="11"/>
        <rFont val="Calibri"/>
        <family val="2"/>
        <scheme val="minor"/>
      </rPr>
      <t xml:space="preserve"> for Air Jet Looms only</t>
    </r>
  </si>
  <si>
    <t>a (8)</t>
  </si>
  <si>
    <t>Atlas Copco (wuxi)</t>
  </si>
  <si>
    <t>CHINA</t>
  </si>
  <si>
    <t>PLC based Precision Package Winder with online tension control having capability to process 2000 dtex and having speed of 1200 mtrs per minute.</t>
  </si>
  <si>
    <t>b (17) Circular No. 5 Dt. 14 /7/ 2017</t>
  </si>
  <si>
    <t xml:space="preserve">Yarn conditioning machine. </t>
  </si>
  <si>
    <t>MC-02</t>
  </si>
  <si>
    <t>Yarn conditioning machine for Yarn Dyeing units</t>
  </si>
  <si>
    <t>MC-2</t>
  </si>
  <si>
    <t>PO</t>
  </si>
  <si>
    <t>Seiger Spintech</t>
  </si>
  <si>
    <t>B-Tex Engineering</t>
  </si>
  <si>
    <t>Direct Beam warper with minimum 300 ends creel capacity and minimum speed of 1000 mtrs per minutes.</t>
  </si>
  <si>
    <t>b (3)</t>
  </si>
  <si>
    <t>prashant Westpoint</t>
  </si>
  <si>
    <t>High speed multi cylinder sizing machine having minimum 12-14 cylinders for double size box and minimum speed of 40 mtrs per minutes.</t>
  </si>
  <si>
    <t>b (2)</t>
  </si>
  <si>
    <t>High speed multi cylinder sizing machine / zero twist sizing machine having minimum 8-10 cylinders for single size box and 12-14 cylinders for double size box and minimum speed of 40 mtrs per minutes.</t>
  </si>
  <si>
    <t>On-line Loom Data Monitoring System</t>
  </si>
  <si>
    <t>91 Circular No.5 dt. 15 /9/ 2016</t>
  </si>
  <si>
    <t>Accessories / attachments / sample machines / spares received alongwith machinery or procured from other manufacturers of the machinery under the project up to a a value of 20% of the machinery cost eligible under ATUFS mentioned at Sr. No. 12 above. (for sizing machine)</t>
  </si>
  <si>
    <t>47 Sets</t>
  </si>
  <si>
    <t>Accessories / attachments / sample machines / spares received alongwith machinery or procured from other manufacturers of the machinery under the project up to a a value of 20% of the machinery cost eligible under ATUFS.</t>
  </si>
  <si>
    <t>AC invertor driven PLC based Fabric inspection machine with fault analyzer and report generator and length measuring and cutting device.</t>
  </si>
  <si>
    <t>prashant Ferber</t>
  </si>
  <si>
    <t>Accessories / attachments / sample machines / spares received alongwith machinery or procured from other manufacturers of the machinery under the project up to a a value of 20% of the machinery cost eligible under ATUFS mentioned at Sr. No. 7 above. (for Air compressor)</t>
  </si>
  <si>
    <t>7 Set</t>
  </si>
  <si>
    <t>a(8)</t>
  </si>
  <si>
    <t>Accessories / attachments / sample machines / spares received alongwith machinery or procured from other manufacturers of the machinery under the project up to a a value of 20% of the machinery cost eligible under ATUFS mentioned at Sr. No. 7 above. (for compressor)</t>
  </si>
  <si>
    <t>Accessories / attachments / sample machines / spares received alongwith machinery or procured from other manufacturers of the machinery under the project up to a a value of 20% of the machinery cost eligible under ATUFS mentioned at Sr. No. 17 above. (for Reverse Osmosis, Nano Filteration, Multiple stage prefabricated steel evaporator excluding civil construction.)</t>
  </si>
  <si>
    <t>PLC based Husk / Coal fired boiler (Steam) with automatic control on combustion efficiency, O2 Monitoring Equipments, and with Electrostatic precipitator and Micro dust collector</t>
  </si>
  <si>
    <t>Fabric automatic reversing machine</t>
  </si>
  <si>
    <t>TOTAL (I) Rs.:</t>
  </si>
  <si>
    <t>Weaving-Sheeting:</t>
  </si>
  <si>
    <t>Chiller ( 250 TR)</t>
  </si>
  <si>
    <t>TFOs:</t>
  </si>
  <si>
    <t xml:space="preserve">Stretch Wrapping / Strapping Machine </t>
  </si>
  <si>
    <t>MHE and charging station</t>
  </si>
  <si>
    <t>Weighing Scales</t>
  </si>
  <si>
    <t>Trolley</t>
  </si>
  <si>
    <t>Plastic Cones</t>
  </si>
  <si>
    <t xml:space="preserve">Sheeting </t>
  </si>
  <si>
    <t>Storage for Yarn</t>
  </si>
  <si>
    <t>EOT * Misc Cranes + lifts</t>
  </si>
  <si>
    <t>Forklift</t>
  </si>
  <si>
    <t>Storage Systems  - Geige Double Sided racks</t>
  </si>
  <si>
    <t>Misc. Fixed Assets :</t>
  </si>
  <si>
    <t>Water - Misc. Structure / Equipment  - Pipes Etc</t>
  </si>
  <si>
    <t>Misc Fire Signage,Exit Alarm  &amp; accessories</t>
  </si>
  <si>
    <t>Warping Shed</t>
  </si>
  <si>
    <t>Weaving Shed  320000 CMH</t>
  </si>
  <si>
    <t>TFO H Plant</t>
  </si>
  <si>
    <t>Compressors -Pipeline &amp; Accessories</t>
  </si>
  <si>
    <t>Boiler - STEAM Pipe Line for 6 TPH with its inslutation and Boiler</t>
  </si>
  <si>
    <t xml:space="preserve">Substation 66 KV </t>
  </si>
  <si>
    <t>Transformer (3.15 mVA)</t>
  </si>
  <si>
    <t xml:space="preserve">Cables HT </t>
  </si>
  <si>
    <t>Misc. Incl. Drawing in Frames, Reeds, Heald wires/ drop pins etc.</t>
  </si>
  <si>
    <t>Material Handling Equipments incl racks, stacker, Trollies/ Hoists/ Monorails , Pallets , Cloth Rolletc.</t>
  </si>
  <si>
    <t>TOTAL (II) Rs.:</t>
  </si>
  <si>
    <t>Saurer Technologies Gmbh &amp; Co. Kg</t>
  </si>
  <si>
    <t>Indian Bank  LC No.  0624521FL0000115 Dated. 06.08.2021</t>
  </si>
  <si>
    <t>I.no- 2021000424    Dated 04/10/2021</t>
  </si>
  <si>
    <t>Fusion Twister VTS-09-HE</t>
  </si>
  <si>
    <t>6307908  Dated: 18-11-2021</t>
  </si>
  <si>
    <t>Under EPCG</t>
  </si>
  <si>
    <t>20.10.2021</t>
  </si>
  <si>
    <t>15.11.2021</t>
  </si>
  <si>
    <t>Company</t>
  </si>
  <si>
    <t>Gujarat</t>
  </si>
  <si>
    <t>Advance</t>
  </si>
  <si>
    <t>Final Payment</t>
  </si>
  <si>
    <t xml:space="preserve">PO Value </t>
  </si>
  <si>
    <t>I.no- 2021000410    Dated 29/09/2021</t>
  </si>
  <si>
    <t>I.no- 2021000389    Dated 09/09/2021</t>
  </si>
  <si>
    <t>I.no- 2021000382    Dated 07/09/2021</t>
  </si>
  <si>
    <t>BLP2110/14   Dated-28.10.2021</t>
  </si>
  <si>
    <t>BLP2109/27   Dated-23.09.2021</t>
  </si>
  <si>
    <t>Original BOE found/M.sr no not found in invoice &amp; Packing list</t>
  </si>
  <si>
    <t>BLP2109/15   Dated-25.09.2021</t>
  </si>
  <si>
    <t>23.02.2021</t>
  </si>
  <si>
    <t>12.04.2021</t>
  </si>
  <si>
    <t>12.11.2021</t>
  </si>
  <si>
    <t>Picanole NV</t>
  </si>
  <si>
    <t>Omniplus-I-2-P 340 (ABB0110-2-P 340)</t>
  </si>
  <si>
    <t>428180 to 42809,  428924 to 428928, 428944 to 428953</t>
  </si>
  <si>
    <t>SIA2001971-21      Dated             30/08/2021</t>
  </si>
  <si>
    <t>Indian Bank  LC No.  0624521FL0000029 Dated. 22.06.2021</t>
  </si>
  <si>
    <t>ONEYANRB21973800      Dated: 02/09/2021</t>
  </si>
  <si>
    <t>EURO 2061000</t>
  </si>
  <si>
    <t>SIA2002337-21      Dated             30/08/2021</t>
  </si>
  <si>
    <t>428894 To 428923, 428929 to 428943</t>
  </si>
  <si>
    <t>ANR/2110/0092/MUN    Dated:     10/10/2021</t>
  </si>
  <si>
    <t>Shree padam</t>
  </si>
  <si>
    <t>SIA2002567-21      Dated             25/10/2021</t>
  </si>
  <si>
    <t>429784 to 429828</t>
  </si>
  <si>
    <t>ANT1475139  Dated:    29/11/2021</t>
  </si>
  <si>
    <t>ADitya</t>
  </si>
  <si>
    <t>432619 to 432635,   432648 to 432660</t>
  </si>
  <si>
    <t>SIA2002133-22      Dated             20/01/2022</t>
  </si>
  <si>
    <t>OOLU2033719600   Dated: 28/01/2022</t>
  </si>
  <si>
    <t>EURO 1374000</t>
  </si>
  <si>
    <t>BOE found</t>
  </si>
  <si>
    <t>7666893   Dated: 27/02/2022</t>
  </si>
  <si>
    <t>6672133  Dated: 14/12/2021</t>
  </si>
  <si>
    <t>Aditya</t>
  </si>
  <si>
    <t>6151804    Dated: 07/11/2021</t>
  </si>
  <si>
    <t>5585228  Dated:   25/09/2021</t>
  </si>
  <si>
    <t>Omniplus-I-2-P 360 (ABB0110-2-P 360)</t>
  </si>
  <si>
    <t>431272 to 431291</t>
  </si>
  <si>
    <t>SIA2002795-21      Dated             29/11/2021</t>
  </si>
  <si>
    <t>6992270  Dated: 07/01/2022</t>
  </si>
  <si>
    <t>HLCUANR211102605  Dated: 11/12/2021</t>
  </si>
  <si>
    <t>EURO 1145000</t>
  </si>
  <si>
    <t>EURO 952000</t>
  </si>
  <si>
    <t>7870055   Dated: 15/03/2022</t>
  </si>
  <si>
    <t>EURO 778600</t>
  </si>
  <si>
    <t>EURO 571200</t>
  </si>
  <si>
    <t>MEDUAH133855   Dated: 09/02/2022</t>
  </si>
  <si>
    <t>SIA200183-22      Dated             29/11/2021</t>
  </si>
  <si>
    <t>431247 to 431271</t>
  </si>
  <si>
    <t>432661 to 432677</t>
  </si>
  <si>
    <t>432636 to 432647</t>
  </si>
  <si>
    <t>EURO 11003824</t>
  </si>
  <si>
    <t>27.09.2021</t>
  </si>
  <si>
    <t>21.10.2021</t>
  </si>
  <si>
    <t>06.12.2021</t>
  </si>
  <si>
    <t>03.01.2022</t>
  </si>
  <si>
    <t>04.03.2022</t>
  </si>
  <si>
    <t>14.02.2022</t>
  </si>
  <si>
    <t>Term loan</t>
  </si>
  <si>
    <t>Final</t>
  </si>
  <si>
    <t>Staubli Sargans AG</t>
  </si>
  <si>
    <t xml:space="preserve">Automatic Warp reaching, Tying and Leasing-in machine </t>
  </si>
  <si>
    <t>Staubli Sargan AG</t>
  </si>
  <si>
    <t>SAFIR S60</t>
  </si>
  <si>
    <t>TIEPRO TG 88</t>
  </si>
  <si>
    <t>S/21/0028020/O/001</t>
  </si>
  <si>
    <t>S/21/0028201/Q/001, S/21/0028201/Q/002, S/21/0028201/Q/003</t>
  </si>
  <si>
    <t>2801510   Dated:  12.07.2021</t>
  </si>
  <si>
    <t>Indian Bank     L/c No. 0624521FL0000047       Dated: 05.07.2021</t>
  </si>
  <si>
    <t>5202083     Dated: 26.08.2021</t>
  </si>
  <si>
    <t>870.47.1066    Dated: 29.07.2021</t>
  </si>
  <si>
    <t>CHF 620000</t>
  </si>
  <si>
    <t>19.05.2021</t>
  </si>
  <si>
    <t>24.08.2021</t>
  </si>
  <si>
    <t>Genkinger GMBH</t>
  </si>
  <si>
    <t>2Lot/4 Set</t>
  </si>
  <si>
    <t>1Lot/2 Set</t>
  </si>
  <si>
    <t>MODEL EE KHUR 20/10</t>
  </si>
  <si>
    <t>MODEL EE KHUR 20/10 GEV 3</t>
  </si>
  <si>
    <t>2011231,    2011232</t>
  </si>
  <si>
    <t>2011233,    2011234</t>
  </si>
  <si>
    <t>GENKINGER GMBH, ALBSTRASSE 49, D-72525 MUNSINGEN, GERMANY</t>
  </si>
  <si>
    <t>Indian Bank, L/c no. 0624521fl0000062    Dated:   14.07.2021</t>
  </si>
  <si>
    <t>European union</t>
  </si>
  <si>
    <t>2011231-234,  Dated:  08/09/21</t>
  </si>
  <si>
    <t>5916591    Dated:   20/10/2021</t>
  </si>
  <si>
    <t xml:space="preserve">BHREMERHAVEN European </t>
  </si>
  <si>
    <t>21-EXP-1700  Dated: 17/09/2021</t>
  </si>
  <si>
    <t>ZH1600 8FS2W11S50</t>
  </si>
  <si>
    <t xml:space="preserve">WXU761332, WXU761333 </t>
  </si>
  <si>
    <t>Atlas copco *Wuxi) Compressor</t>
  </si>
  <si>
    <t>AIF01221  Dated: 29/06/2021</t>
  </si>
  <si>
    <t>0624521FL0000038   Dated: 29.06.2021</t>
  </si>
  <si>
    <t>HDMU   SHAZ74731600    Dated: 21.09.2021</t>
  </si>
  <si>
    <t>5927882  Dated:  21/10/2021</t>
  </si>
  <si>
    <t>27.01.2021</t>
  </si>
  <si>
    <t>06.10.2021</t>
  </si>
  <si>
    <t>ORM0022210509686 Dated: 27.01.2021</t>
  </si>
  <si>
    <t>yes</t>
  </si>
  <si>
    <t>IDIBINBBRPM Dated:  06/10/2021</t>
  </si>
  <si>
    <t>No</t>
  </si>
  <si>
    <t>IDIBINBBRPM Dated:  27/09/2021</t>
  </si>
  <si>
    <t>Indusind bank</t>
  </si>
  <si>
    <t>ORM0022210520573 Dated: 23.02.2021</t>
  </si>
  <si>
    <t>IDIBINBBRPM Dated:  15/11/2021</t>
  </si>
  <si>
    <t>IDIBINBBRPM Dated:  20/10/2021</t>
  </si>
  <si>
    <t>IDIBINBBRPM Dated:  12/11/2021</t>
  </si>
  <si>
    <t>IDIBINBBRPM Dated:  06/12/2021</t>
  </si>
  <si>
    <t>IDIBINBBRPM Dated:  21/10/2021</t>
  </si>
  <si>
    <t>IDIBINBBRPM Dated:  14/02/2022</t>
  </si>
  <si>
    <t>Peass Industrial Engineers Pvt Ltd</t>
  </si>
  <si>
    <t>A01/NM/114,          Dt. 13.11.2021</t>
  </si>
  <si>
    <t>A01/INM/122     Dt. 30.11.2021</t>
  </si>
  <si>
    <t>A01/NM/134     Dt. 21.12.2021</t>
  </si>
  <si>
    <t>A01/INM/165     Dt. 01.02.2021</t>
  </si>
  <si>
    <t>A01/INM/173     Dt. 23.02.2021</t>
  </si>
  <si>
    <t>A01/INM/188     Dt. 12.03.2021</t>
  </si>
  <si>
    <t>A01/INM/196 Dt.30.03.2022</t>
  </si>
  <si>
    <t>A01/INM/199 Dt.31.03.2022</t>
  </si>
  <si>
    <t>A01/NM/133  Dt.18.12.2021</t>
  </si>
  <si>
    <t xml:space="preserve">Peass Versa cone winder machine 24 Spindle </t>
  </si>
  <si>
    <t>VERSA-C DS</t>
  </si>
  <si>
    <t>PPW-A 2 PLY</t>
  </si>
  <si>
    <t>147 12 2004</t>
  </si>
  <si>
    <t>147 12 2009</t>
  </si>
  <si>
    <t>147 12 2014</t>
  </si>
  <si>
    <t>147 12 2019</t>
  </si>
  <si>
    <t>147 12 2030</t>
  </si>
  <si>
    <t>147 12 2031</t>
  </si>
  <si>
    <t>147 12 2035</t>
  </si>
  <si>
    <t>147 12 2033</t>
  </si>
  <si>
    <t>A01/INM/25 Dt.22.05.2022</t>
  </si>
  <si>
    <t>Sieger Spintech Equipments Pvt Ltd</t>
  </si>
  <si>
    <t xml:space="preserve">Sieger Yarn conditioning plant </t>
  </si>
  <si>
    <t>S21-22/002268  Dt. 03-01-2022</t>
  </si>
  <si>
    <t>S21-22/002477 Dt. 28-01-2022</t>
  </si>
  <si>
    <t>BI-445                   Dt. 02-02-2022</t>
  </si>
  <si>
    <t>9024, 8423, 7320, 8208</t>
  </si>
  <si>
    <t>Prashant West Point Machinery Pvt Ltd</t>
  </si>
  <si>
    <t>Direct Beam warper with 1224 ends creel capacity and minimum speed of 1000 mtrs per minutes.</t>
  </si>
  <si>
    <t>MPB-1000</t>
  </si>
  <si>
    <t>MAC/00023       Dt. 16.03.2022</t>
  </si>
  <si>
    <t>MAC/00001       Dt. 11.04.2022</t>
  </si>
  <si>
    <t>MAC/00010       Dt. 27.11.2021</t>
  </si>
  <si>
    <t>MAC/00009       Dt. 26.11.2021</t>
  </si>
  <si>
    <t>High speed multi cylinder sizing machine having 14 cylinders for double size box and minimum speed of 100 mtrs per minutes with servo drive &amp; servo motor and PLC based sizing machine</t>
  </si>
  <si>
    <t>MAC/00011  Dt. 27.11.2021</t>
  </si>
  <si>
    <t>MAC/00002 Dt. 12.04.2022</t>
  </si>
  <si>
    <t>PACESETTER-A</t>
  </si>
  <si>
    <t>Prashant Ferber Logistics Automation Pvt Ltd</t>
  </si>
  <si>
    <t>MAC/00068 Dt.26.03.2022</t>
  </si>
  <si>
    <t>MAC/00065  Dt.19.03.2022</t>
  </si>
  <si>
    <t>MAC/00001 Dt.07.04.2022</t>
  </si>
  <si>
    <t>MAC/00040 Dt.31.12.2021</t>
  </si>
  <si>
    <t>SUINSP4000</t>
  </si>
  <si>
    <t>1876, 1877,1878</t>
  </si>
  <si>
    <t>1873, 1874,1875</t>
  </si>
  <si>
    <t>1879, 1880,1881</t>
  </si>
  <si>
    <t>1870, 1871,1872</t>
  </si>
  <si>
    <t>MAC/00062       Dt. 08.03.2022</t>
  </si>
  <si>
    <t>MAC/00004      Dt. 19.04.2022</t>
  </si>
  <si>
    <t>Prashant ferber</t>
  </si>
  <si>
    <t>Compressed air filter</t>
  </si>
  <si>
    <t>IN21/22-1148   Dt. 09.09.2021</t>
  </si>
  <si>
    <t>Dryer</t>
  </si>
  <si>
    <t>29601706          Dt. 26.07.2021</t>
  </si>
  <si>
    <t>Elgi Electric &amp; Industries Ltd</t>
  </si>
  <si>
    <t>Nugen-AC- SARA make Overhead Travelling cleaner model nugen-s with railing, fan motor 2.2 KW, Drive motor 150W, suction &amp; blowing attachment, collection  box and PLC controller suitable for 1U cover 3R suitable for volkman TFO VTS-9 240 SPLS with 2 Alley in ST. PAth</t>
  </si>
  <si>
    <t>1231806   Dt. 08-12-2021</t>
  </si>
  <si>
    <t>1232307  Dt. 01-02-2022</t>
  </si>
  <si>
    <t>1231593  Dt. 15-11-2021</t>
  </si>
  <si>
    <t>1231590  Dt. 15-11-2021</t>
  </si>
  <si>
    <t>1231591  Dt. 15-11-2021</t>
  </si>
  <si>
    <t>10035 to 10038</t>
  </si>
  <si>
    <t>10039 to 10042</t>
  </si>
  <si>
    <t>Nugen-S</t>
  </si>
  <si>
    <t xml:space="preserve"> 10031 to 10034 &amp; 10043 to 10046</t>
  </si>
  <si>
    <t>10027 to 10030, 1332, 10047, 1329</t>
  </si>
  <si>
    <t>RR No.</t>
  </si>
  <si>
    <t>Common doubt</t>
  </si>
  <si>
    <t>1. Whether swift message and debit advice both are compulsory</t>
  </si>
  <si>
    <t>2. Date of completion of installation of machine</t>
  </si>
  <si>
    <t>3.Date of comissioning of machine</t>
  </si>
  <si>
    <t>4. Manufacturer code, Authorised agent code</t>
  </si>
  <si>
    <t>5. Original BOE not found</t>
  </si>
  <si>
    <t>Query cell Link</t>
  </si>
  <si>
    <t>Cheema</t>
  </si>
  <si>
    <t>Cheema, elora green</t>
  </si>
  <si>
    <t>Value not reached to projection</t>
  </si>
  <si>
    <t xml:space="preserve">6. Month and year not on max invoices </t>
  </si>
  <si>
    <t>Serial no. not in invoice</t>
  </si>
  <si>
    <t>Material description change, Invoice not found</t>
  </si>
  <si>
    <t>7. What is make of machinery</t>
  </si>
  <si>
    <t>8. MIC code of machine</t>
  </si>
  <si>
    <t>Actual value more than projected value</t>
  </si>
  <si>
    <t>Justification for imported to indeginious,Serial no. not in invoice</t>
  </si>
  <si>
    <t>Reserse osmosis plant</t>
  </si>
  <si>
    <t>9. PO include other tufs or non tuf item, we should write P.O only for item under consideration or 100%</t>
  </si>
  <si>
    <t>10. OEM - Original Equipment Manufacturer - is vendoe is OEM in our all cases??</t>
  </si>
  <si>
    <t>Microvision Enviro Equipments Pvt. Ltd.</t>
  </si>
  <si>
    <t>42/21-22, Dated: 15.11.2021</t>
  </si>
  <si>
    <t>Micro vision,</t>
  </si>
  <si>
    <t>Eq tank, Treated water tank, Bio media, difuser, water tank HDPE 500 lTr and 2000 Ltr</t>
  </si>
  <si>
    <t>17/18</t>
  </si>
  <si>
    <t>Value are higher than projected value</t>
  </si>
  <si>
    <t>Projected value is very higher than actual</t>
  </si>
  <si>
    <t>Model no, serial no. not on invoice</t>
  </si>
  <si>
    <t>CBL/G/21-22/0365  Dt: 09.07.2021</t>
  </si>
  <si>
    <t>CBL/G/21-22/0490 Dt: 02.08.2021</t>
  </si>
  <si>
    <t>CBL/G/21-22/580 Dt. 10.08.2021</t>
  </si>
  <si>
    <t>CBL/G/21-22/0626 Dt. 28.08.2021</t>
  </si>
  <si>
    <t>CBL/G/21-22/0736 Dt. 15.09.2021</t>
  </si>
  <si>
    <t>CBL/G/21-22/0790 Dt. 25.09.2021</t>
  </si>
  <si>
    <t>CBL/G/21-22/0891 Dt. 09.10.2021</t>
  </si>
  <si>
    <t>CBL/G/21-22/0892 Dt. 09.10.2021</t>
  </si>
  <si>
    <t>CBL/T/21-22/492 Dt. 27.10.2021</t>
  </si>
  <si>
    <t>CBL/T/21-22/494 Dt. 28.10.2021</t>
  </si>
  <si>
    <t>CBL/G/21-22/1051 Dt. 09.11.2021</t>
  </si>
  <si>
    <t>CBL/G/21-22/1022   Dt. 18.11.2021</t>
  </si>
  <si>
    <t>CBL/G/21-22/1220 Dt. 07.12.2021</t>
  </si>
  <si>
    <t>CBM/T/21-22/408 Dt. 26.09.2021</t>
  </si>
  <si>
    <t>CB//T/21-22/588 Dt. 17.12.2021</t>
  </si>
  <si>
    <t>CBLD/21-22/0148 Dt. 12.01.2022</t>
  </si>
  <si>
    <t>Erection and commisioning charges</t>
  </si>
  <si>
    <t>EOT crane</t>
  </si>
  <si>
    <t>21-22/KEE014 Dt. 15/12/2021</t>
  </si>
  <si>
    <t>Warper beam</t>
  </si>
  <si>
    <t>Kanetax</t>
  </si>
  <si>
    <t>Bharat beams</t>
  </si>
  <si>
    <t>BBPL/2021-22/300  Dt. 12.02.2022</t>
  </si>
  <si>
    <t>BBPL/2021-22/265  Dt. 08.01.2022</t>
  </si>
  <si>
    <t>BBPL/2022-23/046  Dt. 17.05.2022</t>
  </si>
  <si>
    <t>1231592  Dt. 15-11-2021</t>
  </si>
  <si>
    <t>29.11.2021</t>
  </si>
  <si>
    <t>20.12.2021</t>
  </si>
  <si>
    <t>30.10.2021</t>
  </si>
  <si>
    <t>29.01.2022</t>
  </si>
  <si>
    <t>21.02.2022</t>
  </si>
  <si>
    <t>24.12.2021</t>
  </si>
  <si>
    <t>28.09.2021</t>
  </si>
  <si>
    <t>14.03.2022</t>
  </si>
  <si>
    <t>09.02.2021 &amp; 30.07.2021</t>
  </si>
  <si>
    <t>09.02.2021</t>
  </si>
  <si>
    <t>26.07.2021</t>
  </si>
  <si>
    <t>30.07.2021</t>
  </si>
  <si>
    <t>15.02.2021</t>
  </si>
  <si>
    <t>23.04.2021</t>
  </si>
  <si>
    <t>28.04.2021</t>
  </si>
  <si>
    <t>31.10.2022</t>
  </si>
  <si>
    <t>23.08.2021</t>
  </si>
  <si>
    <t>22.09.2021</t>
  </si>
  <si>
    <t>02.02.2021</t>
  </si>
  <si>
    <t>02.03.2022</t>
  </si>
  <si>
    <t>29.03.2022</t>
  </si>
  <si>
    <t>17.05.2022</t>
  </si>
  <si>
    <t>17.09.2022</t>
  </si>
  <si>
    <t>14.10.2022</t>
  </si>
  <si>
    <t>04.02.2021</t>
  </si>
  <si>
    <t>18.11.2021</t>
  </si>
  <si>
    <t>23.03.2022</t>
  </si>
  <si>
    <t>04.01.2022</t>
  </si>
  <si>
    <t>09.02.2022</t>
  </si>
  <si>
    <t>28.04.2022</t>
  </si>
  <si>
    <t>17.08.2022</t>
  </si>
  <si>
    <t>S21-22/002974 Dt. 29-03-2022</t>
  </si>
  <si>
    <t>TDS</t>
  </si>
  <si>
    <t>15-15-2022</t>
  </si>
  <si>
    <t>Perfect</t>
  </si>
  <si>
    <t>Saurer Technologies</t>
  </si>
  <si>
    <t>Ex. Rate (boe rate)</t>
  </si>
  <si>
    <t xml:space="preserve">38148048 33/48 to 38148048 48/48 </t>
  </si>
  <si>
    <t xml:space="preserve">38148048 17/48 to 38148048 32/48 </t>
  </si>
  <si>
    <t xml:space="preserve">38148048 1/48 to 38148048 8/48 </t>
  </si>
  <si>
    <t xml:space="preserve">38148048 9/48 to 38148048 16/48 </t>
  </si>
  <si>
    <t xml:space="preserve">Indian Bank  </t>
  </si>
  <si>
    <t>Discussed with Anil Sir</t>
  </si>
  <si>
    <t>Online filing</t>
  </si>
  <si>
    <t>I.no- 2021000410    Dated 22/09/2021</t>
  </si>
  <si>
    <t>6183154         Dated: 09-11-2021</t>
  </si>
  <si>
    <t xml:space="preserve">Automatic Drawing in/Warp reaching, Tying and Leasing-in machine </t>
  </si>
  <si>
    <t>Payment</t>
  </si>
  <si>
    <t xml:space="preserve">BOE </t>
  </si>
  <si>
    <t>428180 to 428209,  428924 to 428928, 428944 to 428953</t>
  </si>
  <si>
    <t>5916588 Dated: 20-10-2021</t>
  </si>
  <si>
    <t>5992086 Dated: 26-10-2021</t>
  </si>
  <si>
    <t>Debit advice of Euro 198200 is pending</t>
  </si>
  <si>
    <t>SIA2002337-21      Dated             01/10/2021</t>
  </si>
  <si>
    <t>SIA2000133-22      Dated             20/01/2022</t>
  </si>
  <si>
    <t>SIA2000183-22      Dated             28/01/2022</t>
  </si>
  <si>
    <t>Complete List of Serial No. is not entered in online</t>
  </si>
  <si>
    <t>Installation certificate for 150 machine provided, remaining pending</t>
  </si>
  <si>
    <t>Debit advice</t>
  </si>
  <si>
    <t>EURO 11003800</t>
  </si>
  <si>
    <t>147 12 2045</t>
  </si>
  <si>
    <t>821-825</t>
  </si>
  <si>
    <t>812-820</t>
  </si>
  <si>
    <t>Nugen-W</t>
  </si>
  <si>
    <t>Date of Commissioning</t>
  </si>
  <si>
    <t>In UID 35 machine, actual 37 which will be take in No. of machinery column.</t>
  </si>
  <si>
    <t xml:space="preserve">WUX761332, WUX761333 </t>
  </si>
  <si>
    <t>Country of origin wrong entered due to party not find</t>
  </si>
  <si>
    <r>
      <t>Air Compressor I5 H.P. and above with inbuilt invertors and air driers</t>
    </r>
    <r>
      <rPr>
        <b/>
        <sz val="11"/>
        <rFont val="Calibri"/>
        <family val="2"/>
        <scheme val="minor"/>
      </rPr>
      <t xml:space="preserve"> for Air Jet Looms only</t>
    </r>
  </si>
  <si>
    <t>Serial No. &amp; Model No.</t>
  </si>
  <si>
    <t>A01/INM/114,          Dt. 13.11.2021</t>
  </si>
  <si>
    <t>PPWA 2 PLY</t>
  </si>
  <si>
    <t>A01/INM/134     Dt. 21.12.2021</t>
  </si>
  <si>
    <t>A01/INM/165     Dt. 01.02.2022</t>
  </si>
  <si>
    <t>A01/INM/173     Dt. 23.02.2022</t>
  </si>
  <si>
    <t>A01/INM/188     Dt. 12.03.2022</t>
  </si>
  <si>
    <t>A01/INM/133  Dt.18.12.2021</t>
  </si>
  <si>
    <t>Description has been changed</t>
  </si>
  <si>
    <t>Confirm</t>
  </si>
  <si>
    <t>MPB1000</t>
  </si>
  <si>
    <t>BBPL/2022-23/046  Dt. 14.05.2022</t>
  </si>
  <si>
    <t>Date of Commssioning</t>
  </si>
  <si>
    <t>Model No &amp; Serial No.</t>
  </si>
  <si>
    <t>AO7800FD</t>
  </si>
  <si>
    <t>Date of Commissing</t>
  </si>
  <si>
    <t>BPBOJS0040</t>
  </si>
  <si>
    <t>CBL/G/21-22/1022   Dt. 30.10.2021</t>
  </si>
  <si>
    <t>CBL/T/21-22/408 Dt. 26.09.2021</t>
  </si>
  <si>
    <t>CBL/T/21-22/588 Dt. 17.12.2021</t>
  </si>
  <si>
    <t>CBL/S/21-22/0148 Dt. 12.01.2022</t>
  </si>
  <si>
    <t>CBL/G/21-22/0580 Dt. 19.08.2021</t>
  </si>
  <si>
    <t>Date of commissiong</t>
  </si>
  <si>
    <t>Serial No. and Model No.</t>
  </si>
  <si>
    <t>Date of Commssioning, Model No. Serial No. Total Cost, Manufacture Year</t>
  </si>
  <si>
    <t>Fusion Twister VTS-09-HE With 240 spindles</t>
  </si>
  <si>
    <t>Common doubt for Ituf Portal</t>
  </si>
  <si>
    <t>Manufacture year- at number plate not in invoice</t>
  </si>
  <si>
    <t>Serial No. in bill and sheet given is not matched</t>
  </si>
  <si>
    <t>Year of manufacture</t>
  </si>
  <si>
    <t xml:space="preserve">Size kitchen add </t>
  </si>
  <si>
    <t>Refund of 150000 Euro</t>
  </si>
  <si>
    <t>BI-445 Dt. 02-02-2022</t>
  </si>
  <si>
    <t>Machine</t>
  </si>
  <si>
    <t>Yarn conditioning machine.</t>
  </si>
  <si>
    <t>KaneXT Equipments</t>
  </si>
  <si>
    <t>Bharat Beams Pvt. Ltd.</t>
  </si>
  <si>
    <t>Bhsakar Ji</t>
  </si>
  <si>
    <t>NG3PALLET</t>
  </si>
  <si>
    <t>Two-for-one Twister operating at the speed of 8000 rpm with cradle, drop wires and overfeed system.</t>
  </si>
  <si>
    <t>MAC/00012 Dt. 29/11/2021</t>
  </si>
  <si>
    <t>Size Kitchen Consist of Mixer</t>
  </si>
  <si>
    <t>Perfect Utilities</t>
  </si>
  <si>
    <t>PSE 1800-W4X03DF14EITS</t>
  </si>
  <si>
    <t>RR1</t>
  </si>
  <si>
    <t>Debit advice of Rs. 1,77,58,720 (EURO 1,98,200) is pending</t>
  </si>
  <si>
    <t>Mail Alredy send to Bank and telephonic conversation was done with indian bank</t>
  </si>
  <si>
    <t>Refund of Euro 1,50,000</t>
  </si>
  <si>
    <t>Discuss with Anil Sir</t>
  </si>
  <si>
    <t>RR2</t>
  </si>
  <si>
    <t>Assessed Copy of BOE is pending ( BOE No. 5585228)</t>
  </si>
  <si>
    <t xml:space="preserve">Already mailed to Kuldeep </t>
  </si>
  <si>
    <t>Debit advice of Rs. 17,77,75,344 (EURO 20,97,000) is pending</t>
  </si>
  <si>
    <t xml:space="preserve">Installation certificate for 150 Looms provided, remaining pending (whether required or not) </t>
  </si>
  <si>
    <t>RR3</t>
  </si>
  <si>
    <t>Debit advice of Rs. 5,05,07,240 (CHF 6,20,000) is pending</t>
  </si>
  <si>
    <t>RR7</t>
  </si>
  <si>
    <t>Country of Origin in certificate and entered in ituf portal was different</t>
  </si>
  <si>
    <t>RR8</t>
  </si>
  <si>
    <t>Description has been changed due to 1 new machine has been added</t>
  </si>
  <si>
    <t>RR10</t>
  </si>
  <si>
    <t>Serial No., Year of Manufacture and model No. and certificate from NABL for LAB certification is pending</t>
  </si>
  <si>
    <t>RR16</t>
  </si>
  <si>
    <t>High Seas sale of Dryer from Parker Haffins is pending in ituf portal due to confusion in country of origin</t>
  </si>
  <si>
    <t>Serial No., Year of Manufacture and model No.is pending</t>
  </si>
  <si>
    <t>Already talked with Sachin Sir</t>
  </si>
  <si>
    <t>RR17 &amp; RR18</t>
  </si>
  <si>
    <t>RR19</t>
  </si>
  <si>
    <t>Service charges bill is also given (whether the same is given or not)</t>
  </si>
  <si>
    <t>Date of Commissioning is not there (mainly in case of indigenous purchase)</t>
  </si>
  <si>
    <t>Model No., Serial No. and year of manufacture was not there in case of accessories was purchased (Dyneshwar Sir told model no and serial no. is not impotant in acse of accessories)</t>
  </si>
  <si>
    <t>Doubts</t>
  </si>
  <si>
    <t>Parker Hennifin</t>
  </si>
  <si>
    <t>Payment Certificate</t>
  </si>
  <si>
    <t>Invoice No.</t>
  </si>
  <si>
    <t>Serial No. and Model No. was not there in Boiler and RO Plant</t>
  </si>
  <si>
    <t>COO is change</t>
  </si>
  <si>
    <t>DA was not generated by bank</t>
  </si>
  <si>
    <t>Refund of EURO 150000 in saurer</t>
  </si>
  <si>
    <t>Swift Message Pending</t>
  </si>
  <si>
    <t>Bilateral Trade Agreement, S No. 183 (Imported)</t>
  </si>
  <si>
    <t>Annexure I,II &amp; IV</t>
  </si>
  <si>
    <t>Bilateral Trade Agreement, S.no. 93, Imported</t>
  </si>
  <si>
    <t>Party Not Registered</t>
  </si>
  <si>
    <t>Bilateral Trade Agreement, S. No.125, Indigenous</t>
  </si>
  <si>
    <t>Bilateral Trade Agreement, S. No. 515, Imported</t>
  </si>
  <si>
    <t>Bilateral Trade Agreement, S.No. 223, Indigenous</t>
  </si>
  <si>
    <t>Bilateral Trade Agreement, S.No. 355, Indigenous</t>
  </si>
  <si>
    <t>Bilateral Trade Agreement On last Page</t>
  </si>
  <si>
    <t>Bilateral Trade Agreement, S.No.59, Indigenous</t>
  </si>
  <si>
    <t>Anexure-I,II&amp; IV</t>
  </si>
  <si>
    <t>Anexure-I,II&amp;IV</t>
  </si>
  <si>
    <t>Annexur-I,II&amp;IV</t>
  </si>
  <si>
    <t>Party not Registered</t>
  </si>
  <si>
    <t>Bilateral Trade Agreement, S.no. 177, Indigenous</t>
  </si>
  <si>
    <t>Bilateral Trade Agreement, S.no. 137, Indigenous</t>
  </si>
  <si>
    <t>Bilateral Trade Agreement, S.no. 137, Indegenous</t>
  </si>
  <si>
    <t>-------</t>
  </si>
  <si>
    <t>Rieter AG</t>
  </si>
  <si>
    <t>Winders Autoconer X6 Type RC</t>
  </si>
  <si>
    <t>171-0922-2759</t>
  </si>
  <si>
    <t>920007105 &amp; 16.11.2022</t>
  </si>
  <si>
    <t>0624522FL0000103 &amp; 01.02.2022</t>
  </si>
  <si>
    <t>IDIBINBBRPM &amp; 23.12.2022</t>
  </si>
  <si>
    <t>Final Points</t>
  </si>
  <si>
    <t>Description Given</t>
  </si>
  <si>
    <t>Swift message pending</t>
  </si>
  <si>
    <t>BOE 5585228</t>
  </si>
  <si>
    <t>RR5</t>
  </si>
  <si>
    <t>Check Description</t>
  </si>
  <si>
    <t>Euro 392000</t>
  </si>
  <si>
    <t>NABL Certificate</t>
  </si>
  <si>
    <t>RR14</t>
  </si>
  <si>
    <t>Serial No. &amp; Model No. &amp; Year of Manufacture</t>
  </si>
  <si>
    <t>whether declaration required or not</t>
  </si>
  <si>
    <t>Serial No. is not there</t>
  </si>
  <si>
    <t>RR17&amp;18</t>
  </si>
  <si>
    <t>Declaration is required from Manufacturer</t>
  </si>
  <si>
    <t>Purchase Amount is more than budgeted amount</t>
  </si>
  <si>
    <t>Party not registered Texc India</t>
  </si>
  <si>
    <t>Party not registered in Texc India</t>
  </si>
  <si>
    <t>Discussed with Kulkarni Sir.</t>
  </si>
  <si>
    <t>Declaration required</t>
  </si>
  <si>
    <t>Total Amount</t>
  </si>
  <si>
    <t>Total Application filled</t>
  </si>
  <si>
    <t>COO and party registered address in CI is mismatch</t>
  </si>
  <si>
    <t>Description given in UID and In CI confirm with kulkarni sir</t>
  </si>
  <si>
    <t>3947243 &amp; 28/12/2022</t>
  </si>
  <si>
    <t xml:space="preserve">Date Wise disbursement of term loan </t>
  </si>
  <si>
    <t>Certification from bank is required</t>
  </si>
  <si>
    <t>Pending</t>
  </si>
  <si>
    <t>-</t>
  </si>
  <si>
    <t>16.09.2022</t>
  </si>
  <si>
    <t>A TUF REFERENCE NO.</t>
  </si>
  <si>
    <t>GRG Global Textiles Ltd.</t>
  </si>
  <si>
    <t>Company Name</t>
  </si>
  <si>
    <t>ATUFS/2021-22/1436</t>
  </si>
  <si>
    <t>UID NO.</t>
  </si>
  <si>
    <t>ATUFS/2021-22/O/001703</t>
  </si>
  <si>
    <t>IDIBINBBRPM Dated:  03/01/2022</t>
  </si>
  <si>
    <t>IDIBINBBRPM Dated:  04/03/2022</t>
  </si>
  <si>
    <t>Actual Invoice Eligible</t>
  </si>
  <si>
    <t>Actual Payment Made</t>
  </si>
  <si>
    <t>Mini of all 3</t>
  </si>
  <si>
    <t>Rieter</t>
  </si>
  <si>
    <t>100% Clear</t>
  </si>
  <si>
    <t>To be worked</t>
  </si>
  <si>
    <t>Vendor Registration</t>
  </si>
  <si>
    <t>Serial no. Declartion</t>
  </si>
  <si>
    <t>Dec. for Accessories from Prashant</t>
  </si>
  <si>
    <t>Doubtful</t>
  </si>
  <si>
    <t>Commercial single Invoice to be arranged</t>
  </si>
  <si>
    <t>New Invoice to arranged</t>
  </si>
  <si>
    <t>Air Compressor I5 H.P. and above with inbuilt invertors and air driers for Air Jet Looms only</t>
  </si>
  <si>
    <t>Prashant Ferber Logistics Automation Pvt. Ltd.</t>
  </si>
  <si>
    <t xml:space="preserve">Automatic Beam Storage System </t>
  </si>
  <si>
    <t>MRP-56</t>
  </si>
  <si>
    <t>Prashant Ferber</t>
  </si>
  <si>
    <t>MAC/00026 Dated: 01/08/2022</t>
  </si>
  <si>
    <t>MAC/00035 Dated: 01/08/2022</t>
  </si>
  <si>
    <t>19.12.2022</t>
  </si>
  <si>
    <t>23.11.2022</t>
  </si>
  <si>
    <t>29.03.2023</t>
  </si>
  <si>
    <t>29.07.2022</t>
  </si>
  <si>
    <t xml:space="preserve">Parking Trolley </t>
  </si>
  <si>
    <t>INVOCES</t>
  </si>
  <si>
    <t>BILL OF LANDING</t>
  </si>
  <si>
    <t>DEBIT ADVICE</t>
  </si>
  <si>
    <t>BOE</t>
  </si>
  <si>
    <t>Machine Series</t>
  </si>
  <si>
    <t>15.10.2022</t>
  </si>
  <si>
    <t>27.02.2023</t>
  </si>
  <si>
    <t>BBPL/2022-23/262  Dt. 26.11.2022</t>
  </si>
  <si>
    <t>21.10.2022</t>
  </si>
  <si>
    <t>15.09.2022</t>
  </si>
  <si>
    <t>Pay Date</t>
  </si>
  <si>
    <t>Pay Amt (Rs)</t>
  </si>
  <si>
    <t>09.08.2021</t>
  </si>
  <si>
    <t>10.03.2022</t>
  </si>
  <si>
    <t>Number of Machine</t>
  </si>
  <si>
    <t>Name Of Manufacturer</t>
  </si>
  <si>
    <t>Year of Manufacture</t>
  </si>
  <si>
    <t>Contry of origin</t>
  </si>
  <si>
    <t>Name of Machinery Projected while obtaining UID</t>
  </si>
  <si>
    <t>Projected Basic Cost</t>
  </si>
  <si>
    <t>Actual Machinery Purchased &amp; Installed</t>
  </si>
  <si>
    <t>Actual Basic cost in Rs. As per commercial invoice</t>
  </si>
  <si>
    <t>Actual No.</t>
  </si>
  <si>
    <t>2021 &amp; 2022</t>
  </si>
  <si>
    <t xml:space="preserve">SIA2000183-22      </t>
  </si>
  <si>
    <t xml:space="preserve">SIA2002795-21     </t>
  </si>
  <si>
    <t xml:space="preserve">SIA2000133-22     </t>
  </si>
  <si>
    <t xml:space="preserve">SIA2002567-21  </t>
  </si>
  <si>
    <t xml:space="preserve">SIA2002337-21      </t>
  </si>
  <si>
    <t xml:space="preserve">SIA2001971-21     </t>
  </si>
  <si>
    <t>2011231-234</t>
  </si>
  <si>
    <t>2Lot</t>
  </si>
  <si>
    <t xml:space="preserve">A01/INM/133 </t>
  </si>
  <si>
    <t xml:space="preserve">A01/INM/196 </t>
  </si>
  <si>
    <t>A01/INM/25</t>
  </si>
  <si>
    <t>A01/INM/199</t>
  </si>
  <si>
    <t xml:space="preserve">A01/INM/188    </t>
  </si>
  <si>
    <t xml:space="preserve">A01/INM/173     </t>
  </si>
  <si>
    <t xml:space="preserve">A01/INM/165    </t>
  </si>
  <si>
    <t xml:space="preserve">A01/INM/134    </t>
  </si>
  <si>
    <t xml:space="preserve">A01/INM/122     </t>
  </si>
  <si>
    <t>A01/INM/114</t>
  </si>
  <si>
    <t>INVOICES</t>
  </si>
  <si>
    <t xml:space="preserve">S21-22/002477 </t>
  </si>
  <si>
    <t xml:space="preserve">S21-22/002268 </t>
  </si>
  <si>
    <t xml:space="preserve"> Yarn conditioning Machine</t>
  </si>
  <si>
    <t xml:space="preserve">BI-445 </t>
  </si>
  <si>
    <t xml:space="preserve">MAC/00001       </t>
  </si>
  <si>
    <t xml:space="preserve">MAC/00023       </t>
  </si>
  <si>
    <t xml:space="preserve">MAC/00010      </t>
  </si>
  <si>
    <t xml:space="preserve">MAC/00009       </t>
  </si>
  <si>
    <t xml:space="preserve">MAC/00002 </t>
  </si>
  <si>
    <t xml:space="preserve">MAC/00011 </t>
  </si>
  <si>
    <t xml:space="preserve">BBPL/2022-23/046  </t>
  </si>
  <si>
    <t xml:space="preserve">BBPL/2021-22/265  </t>
  </si>
  <si>
    <t xml:space="preserve">BBPL/2021-22/300  </t>
  </si>
  <si>
    <t>BBPL/2022-23/262</t>
  </si>
  <si>
    <t>MAC/00040</t>
  </si>
  <si>
    <t xml:space="preserve">MAC/00068 </t>
  </si>
  <si>
    <t xml:space="preserve">MAC/00065 </t>
  </si>
  <si>
    <t>MAC/00001</t>
  </si>
  <si>
    <t xml:space="preserve">IN21/22-1148  </t>
  </si>
  <si>
    <t>42/21-22</t>
  </si>
  <si>
    <t>PLC based Husk / Coal fired boiler (Steam) with automatic control on combustion efficiency, O2 Monitoring Equipments, and with provision for ESP and Micro dust collector</t>
  </si>
  <si>
    <t xml:space="preserve">CBL/S/21-22/0148 </t>
  </si>
  <si>
    <t xml:space="preserve">CBL/T/21-22/588 </t>
  </si>
  <si>
    <t>CBL/T/21-22/408</t>
  </si>
  <si>
    <t xml:space="preserve">CBL/G/21-22/1220 </t>
  </si>
  <si>
    <t xml:space="preserve">CBL/G/21-22/1022   </t>
  </si>
  <si>
    <t xml:space="preserve">CBL/G/21-22/1051 </t>
  </si>
  <si>
    <t xml:space="preserve">CBL/T/21-22/494 </t>
  </si>
  <si>
    <t>CBL/T/21-22/492</t>
  </si>
  <si>
    <t xml:space="preserve">CBL/G/21-22/0892 </t>
  </si>
  <si>
    <t xml:space="preserve">CBL/G/21-22/0891 </t>
  </si>
  <si>
    <t xml:space="preserve">CBL/G/21-22/0790 </t>
  </si>
  <si>
    <t xml:space="preserve">CBL/G/21-22/0736 </t>
  </si>
  <si>
    <t xml:space="preserve">CBL/G/21-22/0626 </t>
  </si>
  <si>
    <t xml:space="preserve">CBL/G/21-22/0580 </t>
  </si>
  <si>
    <t>CBL/G/21-22/0490</t>
  </si>
  <si>
    <t xml:space="preserve">CBL/G/21-22/0365  </t>
  </si>
  <si>
    <t xml:space="preserve">MAC/00062      </t>
  </si>
  <si>
    <t xml:space="preserve">MAC/00004    </t>
  </si>
  <si>
    <t>Machine not in UID</t>
  </si>
  <si>
    <t xml:space="preserve">MAC/00035 </t>
  </si>
  <si>
    <t xml:space="preserve">MAC/00026 </t>
  </si>
  <si>
    <t>Cheema Boiler Limited</t>
  </si>
  <si>
    <t>Annexure to Format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</si>
</sst>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 #,##0.00_ ;_ * \-#,##0.00_ ;_ * &quot;-&quot;??_ ;_ @_ "/>
    <numFmt numFmtId="164" formatCode="_(* #,##0.00_);_(* \(#,##0.00\);_(* &quot;-&quot;??_);_(@_)"/>
    <numFmt numFmtId="165" formatCode="0.00_)"/>
    <numFmt numFmtId="166" formatCode="0_)"/>
    <numFmt numFmtId="167" formatCode="0.0000_)"/>
    <numFmt numFmtId="168" formatCode="[$-F800]dddd\,\ mmmm\ dd\,\ yyyy"/>
    <numFmt numFmtId="169" formatCode="[$-409]d\-mmm\-yy;@"/>
    <numFmt numFmtId="170" formatCode="0.000_)"/>
    <numFmt numFmtId="171" formatCode="0.00000_)"/>
    <numFmt numFmtId="172" formatCode="#,##0.00;[Red]#,##0.00"/>
    <numFmt numFmtId="173" formatCode="_(* #,##0_);_(* \(#,##0\);_(* &quot;-&quot;??_);_(@_)"/>
    <numFmt numFmtId="174" formatCode="0.0000"/>
    <numFmt numFmtId="175" formatCode="0.00000"/>
    <numFmt numFmtId="176" formatCode="0E+00"/>
    <numFmt numFmtId="177" formatCode="0.0000%"/>
    <numFmt numFmtId="178" formatCode="_ * #,##0_ ;_ * \-#,##0_ ;_ * &quot;-&quot;??_ ;_ @_ "/>
    <numFmt numFmtId="179" formatCode="_-* #,##0_-;\-* #,##0_-;_-* &quot;-&quot;_-;_-@_-"/>
    <numFmt numFmtId="180" formatCode="yyyy\-mm\-dd;@"/>
  </numFmts>
  <fonts count="51" x14ac:knownFonts="1">
    <font>
      <sz val="11"/>
      <color theme="1"/>
      <name val="Calibri"/>
      <family val="2"/>
      <scheme val="minor"/>
    </font>
    <font>
      <sz val="11"/>
      <color theme="1"/>
      <name val="Calibri"/>
      <family val="2"/>
      <scheme val="minor"/>
    </font>
    <font>
      <b/>
      <sz val="10"/>
      <name val="Cambria"/>
      <family val="1"/>
      <scheme val="major"/>
    </font>
    <font>
      <sz val="10"/>
      <name val="Cambria"/>
      <family val="1"/>
      <scheme val="major"/>
    </font>
    <font>
      <sz val="10"/>
      <color indexed="8"/>
      <name val="Cambria"/>
      <family val="1"/>
      <scheme val="major"/>
    </font>
    <font>
      <b/>
      <sz val="10"/>
      <name val="Cambria"/>
      <family val="1"/>
    </font>
    <font>
      <sz val="10"/>
      <name val="Cambria"/>
      <family val="1"/>
    </font>
    <font>
      <b/>
      <u/>
      <sz val="10"/>
      <name val="Cambria"/>
      <family val="1"/>
    </font>
    <font>
      <sz val="11"/>
      <color rgb="FF000000"/>
      <name val="Calibri"/>
      <family val="2"/>
    </font>
    <font>
      <b/>
      <sz val="11"/>
      <color theme="1"/>
      <name val="Calibri"/>
      <family val="2"/>
      <scheme val="minor"/>
    </font>
    <font>
      <sz val="11"/>
      <color rgb="FF000000"/>
      <name val="Calibri"/>
      <family val="2"/>
    </font>
    <font>
      <sz val="12"/>
      <name val="Helv"/>
    </font>
    <font>
      <b/>
      <sz val="9"/>
      <name val="Cambria"/>
      <family val="1"/>
    </font>
    <font>
      <sz val="11"/>
      <name val="Calibri"/>
      <family val="2"/>
      <scheme val="minor"/>
    </font>
    <font>
      <sz val="9"/>
      <name val="Cambria"/>
      <family val="1"/>
    </font>
    <font>
      <b/>
      <sz val="8"/>
      <name val="Cambria"/>
      <family val="1"/>
    </font>
    <font>
      <b/>
      <i/>
      <sz val="9"/>
      <name val="Cambria"/>
      <family val="1"/>
    </font>
    <font>
      <b/>
      <i/>
      <u/>
      <sz val="9"/>
      <name val="Cambria"/>
      <family val="1"/>
    </font>
    <font>
      <b/>
      <sz val="10"/>
      <color rgb="FFFF0000"/>
      <name val="Cambria"/>
      <family val="1"/>
    </font>
    <font>
      <b/>
      <sz val="10"/>
      <color rgb="FF00B050"/>
      <name val="Cambria"/>
      <family val="1"/>
    </font>
    <font>
      <b/>
      <sz val="10"/>
      <color rgb="FF00B050"/>
      <name val="Cambria"/>
      <family val="1"/>
      <scheme val="major"/>
    </font>
    <font>
      <b/>
      <sz val="10"/>
      <color rgb="FFFF0000"/>
      <name val="Cambria"/>
      <family val="1"/>
      <scheme val="major"/>
    </font>
    <font>
      <sz val="10"/>
      <color rgb="FFFF0000"/>
      <name val="Cambria"/>
      <family val="1"/>
    </font>
    <font>
      <b/>
      <sz val="11"/>
      <color rgb="FFFF0000"/>
      <name val="Calibri"/>
      <family val="2"/>
      <scheme val="minor"/>
    </font>
    <font>
      <sz val="10"/>
      <name val="Arial"/>
      <family val="2"/>
    </font>
    <font>
      <b/>
      <sz val="10"/>
      <color rgb="FFFF0000"/>
      <name val="Arial"/>
      <family val="2"/>
    </font>
    <font>
      <sz val="11"/>
      <color rgb="FF000000"/>
      <name val="Calibri"/>
      <family val="2"/>
      <scheme val="minor"/>
    </font>
    <font>
      <sz val="11"/>
      <color rgb="FFFF0000"/>
      <name val="Calibri"/>
      <family val="2"/>
      <scheme val="minor"/>
    </font>
    <font>
      <sz val="9"/>
      <color theme="1"/>
      <name val="Calibri"/>
      <family val="2"/>
      <scheme val="minor"/>
    </font>
    <font>
      <b/>
      <sz val="8"/>
      <name val="Cambria"/>
      <family val="1"/>
      <scheme val="major"/>
    </font>
    <font>
      <b/>
      <sz val="9"/>
      <color rgb="FFFF0000"/>
      <name val="Cambria"/>
      <family val="1"/>
    </font>
    <font>
      <b/>
      <sz val="10"/>
      <name val="Arial"/>
      <family val="2"/>
    </font>
    <font>
      <b/>
      <u/>
      <sz val="11"/>
      <color theme="1"/>
      <name val="Calibri"/>
      <family val="2"/>
      <scheme val="minor"/>
    </font>
    <font>
      <b/>
      <u/>
      <sz val="10"/>
      <color rgb="FF0070C0"/>
      <name val="Cambria"/>
      <family val="1"/>
    </font>
    <font>
      <sz val="7"/>
      <color theme="1"/>
      <name val="Times New Roman"/>
      <family val="1"/>
    </font>
    <font>
      <sz val="7"/>
      <color rgb="FF000000"/>
      <name val="Times New Roman"/>
      <family val="1"/>
    </font>
    <font>
      <b/>
      <sz val="16"/>
      <name val="Cambria"/>
      <family val="1"/>
    </font>
    <font>
      <b/>
      <sz val="16"/>
      <name val="Cambria"/>
      <family val="1"/>
      <scheme val="major"/>
    </font>
    <font>
      <b/>
      <sz val="16"/>
      <color theme="1"/>
      <name val="Calibri"/>
      <family val="2"/>
      <scheme val="minor"/>
    </font>
    <font>
      <b/>
      <sz val="11"/>
      <name val="Calibri"/>
      <family val="2"/>
      <scheme val="minor"/>
    </font>
    <font>
      <sz val="12"/>
      <name val="Arial"/>
      <family val="2"/>
    </font>
    <font>
      <sz val="12"/>
      <color theme="1"/>
      <name val="Arial"/>
      <family val="2"/>
    </font>
    <font>
      <sz val="9"/>
      <color indexed="81"/>
      <name val="Tahoma"/>
      <family val="2"/>
    </font>
    <font>
      <b/>
      <sz val="9"/>
      <color indexed="81"/>
      <name val="Tahoma"/>
      <family val="2"/>
    </font>
    <font>
      <b/>
      <sz val="10"/>
      <color theme="1"/>
      <name val="Cambria"/>
      <family val="1"/>
    </font>
    <font>
      <sz val="10"/>
      <color theme="1"/>
      <name val="Cambria"/>
      <family val="1"/>
    </font>
    <font>
      <sz val="12"/>
      <color rgb="FFFF0000"/>
      <name val="Arial"/>
      <family val="2"/>
    </font>
    <font>
      <b/>
      <sz val="12"/>
      <color theme="1"/>
      <name val="Arial"/>
      <family val="2"/>
    </font>
    <font>
      <b/>
      <sz val="12"/>
      <name val="Arial"/>
      <family val="2"/>
    </font>
    <font>
      <b/>
      <sz val="10"/>
      <color theme="1"/>
      <name val="Cambria"/>
      <family val="1"/>
      <scheme val="major"/>
    </font>
    <font>
      <sz val="10"/>
      <color theme="1"/>
      <name val="Cambria"/>
      <family val="1"/>
      <scheme val="major"/>
    </font>
  </fonts>
  <fills count="22">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indexed="13"/>
        <bgColor indexed="64"/>
      </patternFill>
    </fill>
    <fill>
      <patternFill patternType="solid">
        <fgColor indexed="15"/>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4" tint="0.79998168889431442"/>
        <bgColor indexed="64"/>
      </patternFill>
    </fill>
  </fills>
  <borders count="5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0" fontId="8" fillId="0" borderId="0"/>
    <xf numFmtId="9" fontId="8" fillId="0" borderId="0" applyFont="0" applyFill="0" applyBorder="0" applyAlignment="0" applyProtection="0"/>
    <xf numFmtId="0" fontId="10" fillId="0" borderId="0"/>
    <xf numFmtId="165" fontId="11" fillId="0" borderId="0"/>
    <xf numFmtId="164" fontId="1" fillId="0" borderId="0" applyFont="0" applyFill="0" applyBorder="0" applyAlignment="0" applyProtection="0"/>
    <xf numFmtId="0" fontId="8" fillId="0" borderId="0"/>
    <xf numFmtId="165" fontId="24" fillId="0" borderId="0"/>
    <xf numFmtId="43" fontId="1" fillId="0" borderId="0" applyFont="0" applyFill="0" applyBorder="0" applyAlignment="0" applyProtection="0"/>
    <xf numFmtId="179" fontId="24" fillId="0" borderId="0" applyFont="0" applyFill="0" applyBorder="0" applyAlignment="0" applyProtection="0"/>
    <xf numFmtId="165" fontId="24" fillId="0" borderId="0"/>
  </cellStyleXfs>
  <cellXfs count="1495">
    <xf numFmtId="0" fontId="0" fillId="0" borderId="0" xfId="0"/>
    <xf numFmtId="165" fontId="3" fillId="0" borderId="5" xfId="0" applyNumberFormat="1" applyFont="1" applyBorder="1" applyAlignment="1">
      <alignment horizontal="left" vertical="center" wrapText="1" indent="1"/>
    </xf>
    <xf numFmtId="165" fontId="6" fillId="0" borderId="5" xfId="0" applyNumberFormat="1" applyFont="1" applyBorder="1" applyAlignment="1">
      <alignment horizontal="left" vertical="top" wrapText="1" indent="1"/>
    </xf>
    <xf numFmtId="166" fontId="5" fillId="0" borderId="11" xfId="0" applyNumberFormat="1" applyFont="1" applyBorder="1" applyAlignment="1">
      <alignment horizontal="center" vertical="center" wrapText="1"/>
    </xf>
    <xf numFmtId="165" fontId="6" fillId="0" borderId="5" xfId="0" applyNumberFormat="1" applyFont="1" applyBorder="1" applyAlignment="1">
      <alignment horizontal="left" vertical="center" wrapText="1" indent="1"/>
    </xf>
    <xf numFmtId="0" fontId="4" fillId="0" borderId="5" xfId="0" applyFont="1" applyBorder="1" applyAlignment="1">
      <alignment horizontal="left" vertical="center" wrapText="1" indent="1"/>
    </xf>
    <xf numFmtId="165" fontId="6" fillId="0" borderId="6" xfId="0" applyNumberFormat="1" applyFont="1" applyBorder="1" applyAlignment="1">
      <alignment horizontal="left" vertical="center" wrapText="1" indent="1"/>
    </xf>
    <xf numFmtId="166" fontId="6" fillId="0" borderId="0" xfId="5" applyNumberFormat="1" applyFont="1" applyAlignment="1">
      <alignment horizontal="center" vertical="top"/>
    </xf>
    <xf numFmtId="165" fontId="6" fillId="0" borderId="0" xfId="5" applyFont="1" applyAlignment="1">
      <alignment horizontal="left" vertical="top" wrapText="1"/>
    </xf>
    <xf numFmtId="165" fontId="6" fillId="0" borderId="0" xfId="5" applyFont="1" applyAlignment="1">
      <alignment horizontal="left" vertical="top"/>
    </xf>
    <xf numFmtId="166" fontId="5" fillId="0" borderId="0" xfId="5" applyNumberFormat="1" applyFont="1" applyAlignment="1">
      <alignment horizontal="center" vertical="top"/>
    </xf>
    <xf numFmtId="166" fontId="6" fillId="0" borderId="0" xfId="5" applyNumberFormat="1" applyFont="1" applyAlignment="1">
      <alignment horizontal="right" vertical="top"/>
    </xf>
    <xf numFmtId="165" fontId="6" fillId="0" borderId="0" xfId="5" applyFont="1" applyAlignment="1">
      <alignment horizontal="center" vertical="top"/>
    </xf>
    <xf numFmtId="165" fontId="6" fillId="0" borderId="0" xfId="5" applyFont="1" applyAlignment="1">
      <alignment vertical="top"/>
    </xf>
    <xf numFmtId="165" fontId="6" fillId="0" borderId="0" xfId="5" applyFont="1" applyAlignment="1">
      <alignment vertical="top" wrapText="1"/>
    </xf>
    <xf numFmtId="165" fontId="6" fillId="0" borderId="0" xfId="5" applyFont="1" applyAlignment="1">
      <alignment horizontal="center" vertical="top" wrapText="1"/>
    </xf>
    <xf numFmtId="166" fontId="7" fillId="0" borderId="0" xfId="5" applyNumberFormat="1" applyFont="1" applyAlignment="1">
      <alignment horizontal="left" vertical="top"/>
    </xf>
    <xf numFmtId="166" fontId="6" fillId="0" borderId="0" xfId="5" applyNumberFormat="1" applyFont="1" applyAlignment="1">
      <alignment vertical="top"/>
    </xf>
    <xf numFmtId="165" fontId="5" fillId="0" borderId="0" xfId="5" applyFont="1" applyAlignment="1">
      <alignment horizontal="left" vertical="top" wrapText="1"/>
    </xf>
    <xf numFmtId="166" fontId="5" fillId="0" borderId="3" xfId="5" applyNumberFormat="1" applyFont="1" applyBorder="1" applyAlignment="1">
      <alignment horizontal="center" vertical="top" wrapText="1"/>
    </xf>
    <xf numFmtId="165" fontId="6" fillId="0" borderId="21" xfId="5" applyFont="1" applyBorder="1" applyAlignment="1">
      <alignment horizontal="center" vertical="top"/>
    </xf>
    <xf numFmtId="166" fontId="5" fillId="0" borderId="3" xfId="5" quotePrefix="1" applyNumberFormat="1" applyFont="1" applyBorder="1" applyAlignment="1">
      <alignment horizontal="center" vertical="top"/>
    </xf>
    <xf numFmtId="166" fontId="5" fillId="0" borderId="2" xfId="5" quotePrefix="1" applyNumberFormat="1" applyFont="1" applyBorder="1" applyAlignment="1">
      <alignment horizontal="center" vertical="top" wrapText="1"/>
    </xf>
    <xf numFmtId="166" fontId="5" fillId="0" borderId="2" xfId="5" quotePrefix="1" applyNumberFormat="1" applyFont="1" applyBorder="1" applyAlignment="1">
      <alignment horizontal="center" vertical="top"/>
    </xf>
    <xf numFmtId="166" fontId="5" fillId="0" borderId="3" xfId="5" quotePrefix="1" applyNumberFormat="1" applyFont="1" applyBorder="1" applyAlignment="1">
      <alignment horizontal="center" vertical="top" wrapText="1"/>
    </xf>
    <xf numFmtId="9" fontId="5" fillId="5" borderId="15" xfId="1" applyFont="1" applyFill="1" applyBorder="1" applyAlignment="1">
      <alignment horizontal="center" vertical="top"/>
    </xf>
    <xf numFmtId="166" fontId="5" fillId="0" borderId="26" xfId="5" applyNumberFormat="1" applyFont="1" applyBorder="1" applyAlignment="1">
      <alignment horizontal="center" vertical="top"/>
    </xf>
    <xf numFmtId="165" fontId="7" fillId="0" borderId="24" xfId="5" applyFont="1" applyBorder="1" applyAlignment="1">
      <alignment horizontal="left" vertical="top" wrapText="1"/>
    </xf>
    <xf numFmtId="165" fontId="5" fillId="0" borderId="24" xfId="5" applyFont="1" applyBorder="1" applyAlignment="1">
      <alignment horizontal="left" vertical="top"/>
    </xf>
    <xf numFmtId="166" fontId="5" fillId="0" borderId="24" xfId="5" applyNumberFormat="1" applyFont="1" applyBorder="1" applyAlignment="1">
      <alignment horizontal="center" vertical="top"/>
    </xf>
    <xf numFmtId="166" fontId="5" fillId="0" borderId="24" xfId="5" applyNumberFormat="1" applyFont="1" applyBorder="1" applyAlignment="1">
      <alignment horizontal="right" vertical="top"/>
    </xf>
    <xf numFmtId="165" fontId="5" fillId="0" borderId="24" xfId="5" applyFont="1" applyBorder="1" applyAlignment="1">
      <alignment horizontal="center" vertical="top"/>
    </xf>
    <xf numFmtId="165" fontId="5" fillId="0" borderId="24" xfId="5" applyFont="1" applyBorder="1" applyAlignment="1">
      <alignment horizontal="center" vertical="top" wrapText="1"/>
    </xf>
    <xf numFmtId="165" fontId="5" fillId="0" borderId="24" xfId="5" applyFont="1" applyBorder="1" applyAlignment="1">
      <alignment vertical="top" wrapText="1"/>
    </xf>
    <xf numFmtId="166" fontId="2" fillId="0" borderId="11" xfId="0" applyNumberFormat="1" applyFont="1" applyBorder="1" applyAlignment="1">
      <alignment horizontal="center" vertical="center" wrapText="1"/>
    </xf>
    <xf numFmtId="165" fontId="5" fillId="0" borderId="13" xfId="0" applyNumberFormat="1" applyFont="1" applyBorder="1" applyAlignment="1">
      <alignment horizontal="left" vertical="top" wrapText="1"/>
    </xf>
    <xf numFmtId="166" fontId="2" fillId="0" borderId="13" xfId="0" applyNumberFormat="1" applyFont="1" applyBorder="1" applyAlignment="1">
      <alignment horizontal="center" vertical="center" wrapText="1"/>
    </xf>
    <xf numFmtId="165" fontId="6" fillId="0" borderId="13" xfId="5" applyFont="1" applyBorder="1" applyAlignment="1">
      <alignment horizontal="center" vertical="top" wrapText="1"/>
    </xf>
    <xf numFmtId="166" fontId="5" fillId="0" borderId="13" xfId="0" applyNumberFormat="1" applyFont="1" applyBorder="1" applyAlignment="1">
      <alignment horizontal="center" vertical="center" wrapText="1"/>
    </xf>
    <xf numFmtId="166" fontId="5" fillId="0" borderId="13" xfId="5" applyNumberFormat="1" applyFont="1" applyBorder="1" applyAlignment="1">
      <alignment horizontal="center" vertical="top" wrapText="1"/>
    </xf>
    <xf numFmtId="1" fontId="2" fillId="0" borderId="13" xfId="0" applyNumberFormat="1" applyFont="1" applyBorder="1" applyAlignment="1">
      <alignment horizontal="center" vertical="center" wrapText="1"/>
    </xf>
    <xf numFmtId="1" fontId="2" fillId="0" borderId="11" xfId="0" applyNumberFormat="1" applyFont="1" applyBorder="1" applyAlignment="1">
      <alignment horizontal="center" vertical="center" wrapText="1"/>
    </xf>
    <xf numFmtId="166" fontId="5" fillId="0" borderId="22" xfId="5" applyNumberFormat="1" applyFont="1" applyBorder="1" applyAlignment="1">
      <alignment horizontal="center" vertical="top"/>
    </xf>
    <xf numFmtId="165" fontId="5" fillId="0" borderId="25" xfId="5" applyFont="1" applyBorder="1" applyAlignment="1">
      <alignment horizontal="left" vertical="top"/>
    </xf>
    <xf numFmtId="165" fontId="5" fillId="0" borderId="25" xfId="5" applyFont="1" applyBorder="1" applyAlignment="1">
      <alignment vertical="top"/>
    </xf>
    <xf numFmtId="166" fontId="5" fillId="0" borderId="25" xfId="5" applyNumberFormat="1" applyFont="1" applyBorder="1" applyAlignment="1">
      <alignment horizontal="right" vertical="top"/>
    </xf>
    <xf numFmtId="166" fontId="5" fillId="6" borderId="7" xfId="5" applyNumberFormat="1" applyFont="1" applyFill="1" applyBorder="1" applyAlignment="1">
      <alignment horizontal="center" vertical="top"/>
    </xf>
    <xf numFmtId="166" fontId="5" fillId="6" borderId="9" xfId="5" applyNumberFormat="1" applyFont="1" applyFill="1" applyBorder="1" applyAlignment="1">
      <alignment horizontal="center" vertical="top"/>
    </xf>
    <xf numFmtId="166" fontId="5" fillId="6" borderId="7" xfId="5" applyNumberFormat="1" applyFont="1" applyFill="1" applyBorder="1" applyAlignment="1">
      <alignment horizontal="right" vertical="top"/>
    </xf>
    <xf numFmtId="165" fontId="5" fillId="6" borderId="9" xfId="5" applyFont="1" applyFill="1" applyBorder="1" applyAlignment="1">
      <alignment horizontal="center" vertical="top"/>
    </xf>
    <xf numFmtId="165" fontId="5" fillId="6" borderId="7" xfId="5" applyFont="1" applyFill="1" applyBorder="1" applyAlignment="1">
      <alignment horizontal="center" vertical="top"/>
    </xf>
    <xf numFmtId="165" fontId="5" fillId="6" borderId="7" xfId="5" applyFont="1" applyFill="1" applyBorder="1" applyAlignment="1">
      <alignment horizontal="center" vertical="top" wrapText="1"/>
    </xf>
    <xf numFmtId="165" fontId="5" fillId="6" borderId="9" xfId="5" applyFont="1" applyFill="1" applyBorder="1" applyAlignment="1">
      <alignment vertical="top" wrapText="1"/>
    </xf>
    <xf numFmtId="165" fontId="5" fillId="6" borderId="9" xfId="5" applyFont="1" applyFill="1" applyBorder="1" applyAlignment="1">
      <alignment horizontal="center" vertical="top" wrapText="1"/>
    </xf>
    <xf numFmtId="165" fontId="5" fillId="0" borderId="0" xfId="5" applyFont="1" applyAlignment="1">
      <alignment vertical="top"/>
    </xf>
    <xf numFmtId="166" fontId="6" fillId="0" borderId="21" xfId="5" applyNumberFormat="1" applyFont="1" applyBorder="1" applyAlignment="1">
      <alignment horizontal="center" vertical="top"/>
    </xf>
    <xf numFmtId="166" fontId="6" fillId="2" borderId="20" xfId="5" applyNumberFormat="1" applyFont="1" applyFill="1" applyBorder="1" applyAlignment="1">
      <alignment horizontal="center" vertical="top"/>
    </xf>
    <xf numFmtId="166" fontId="5" fillId="4" borderId="3" xfId="5" applyNumberFormat="1" applyFont="1" applyFill="1" applyBorder="1" applyAlignment="1">
      <alignment horizontal="center" vertical="top"/>
    </xf>
    <xf numFmtId="166" fontId="5" fillId="5" borderId="18" xfId="1" applyNumberFormat="1" applyFont="1" applyFill="1" applyBorder="1" applyAlignment="1">
      <alignment horizontal="center" vertical="top"/>
    </xf>
    <xf numFmtId="165" fontId="5" fillId="0" borderId="0" xfId="5" applyFont="1" applyAlignment="1">
      <alignment horizontal="center" vertical="top" wrapText="1"/>
    </xf>
    <xf numFmtId="165" fontId="5" fillId="0" borderId="10" xfId="5" applyFont="1" applyBorder="1" applyAlignment="1">
      <alignment horizontal="center" vertical="top"/>
    </xf>
    <xf numFmtId="166" fontId="2" fillId="0" borderId="12" xfId="0" applyNumberFormat="1" applyFont="1" applyBorder="1" applyAlignment="1">
      <alignment horizontal="center" vertical="center" wrapText="1"/>
    </xf>
    <xf numFmtId="166" fontId="5" fillId="0" borderId="12" xfId="0" applyNumberFormat="1" applyFont="1" applyBorder="1" applyAlignment="1">
      <alignment horizontal="center" vertical="center" wrapText="1"/>
    </xf>
    <xf numFmtId="1" fontId="2" fillId="0" borderId="12" xfId="0" applyNumberFormat="1" applyFont="1" applyBorder="1" applyAlignment="1">
      <alignment horizontal="center" vertical="center" wrapText="1"/>
    </xf>
    <xf numFmtId="166" fontId="5" fillId="4" borderId="2" xfId="5" applyNumberFormat="1" applyFont="1" applyFill="1" applyBorder="1" applyAlignment="1">
      <alignment horizontal="center" vertical="top"/>
    </xf>
    <xf numFmtId="165" fontId="6" fillId="0" borderId="6" xfId="5" applyFont="1" applyBorder="1" applyAlignment="1">
      <alignment vertical="top"/>
    </xf>
    <xf numFmtId="165" fontId="6" fillId="0" borderId="8" xfId="5" applyFont="1" applyBorder="1" applyAlignment="1">
      <alignment vertical="top"/>
    </xf>
    <xf numFmtId="165" fontId="6" fillId="6" borderId="3" xfId="5" applyFont="1" applyFill="1" applyBorder="1" applyAlignment="1">
      <alignment vertical="top"/>
    </xf>
    <xf numFmtId="165" fontId="6" fillId="6" borderId="2" xfId="5" applyFont="1" applyFill="1" applyBorder="1" applyAlignment="1">
      <alignment vertical="top"/>
    </xf>
    <xf numFmtId="165" fontId="6" fillId="0" borderId="11" xfId="5" applyFont="1" applyBorder="1" applyAlignment="1">
      <alignment vertical="top"/>
    </xf>
    <xf numFmtId="165" fontId="6" fillId="0" borderId="13" xfId="5" applyFont="1" applyBorder="1" applyAlignment="1">
      <alignment vertical="top"/>
    </xf>
    <xf numFmtId="165" fontId="6" fillId="0" borderId="7" xfId="0" applyNumberFormat="1" applyFont="1" applyBorder="1" applyAlignment="1">
      <alignment horizontal="left" vertical="center" wrapText="1" indent="1"/>
    </xf>
    <xf numFmtId="165" fontId="5" fillId="0" borderId="14" xfId="5" applyFont="1" applyBorder="1" applyAlignment="1">
      <alignment vertical="top" wrapText="1"/>
    </xf>
    <xf numFmtId="165" fontId="5" fillId="0" borderId="26" xfId="5" applyFont="1" applyBorder="1" applyAlignment="1">
      <alignment horizontal="center" vertical="top" wrapText="1"/>
    </xf>
    <xf numFmtId="165" fontId="5" fillId="0" borderId="22" xfId="5" applyFont="1" applyBorder="1" applyAlignment="1">
      <alignment vertical="top" wrapText="1"/>
    </xf>
    <xf numFmtId="166" fontId="5" fillId="6" borderId="3" xfId="5" applyNumberFormat="1" applyFont="1" applyFill="1" applyBorder="1" applyAlignment="1">
      <alignment horizontal="right" vertical="top"/>
    </xf>
    <xf numFmtId="165" fontId="6" fillId="0" borderId="0" xfId="0" applyNumberFormat="1" applyFont="1" applyAlignment="1">
      <alignment horizontal="left" vertical="top" wrapText="1" indent="1"/>
    </xf>
    <xf numFmtId="168" fontId="6" fillId="6" borderId="2" xfId="5" applyNumberFormat="1" applyFont="1" applyFill="1" applyBorder="1" applyAlignment="1">
      <alignment vertical="top"/>
    </xf>
    <xf numFmtId="168" fontId="6" fillId="0" borderId="0" xfId="5" applyNumberFormat="1" applyFont="1" applyAlignment="1">
      <alignment vertical="top"/>
    </xf>
    <xf numFmtId="169" fontId="6" fillId="0" borderId="13" xfId="5" applyNumberFormat="1" applyFont="1" applyBorder="1" applyAlignment="1">
      <alignment vertical="top"/>
    </xf>
    <xf numFmtId="0" fontId="0" fillId="0" borderId="0" xfId="0" applyAlignment="1">
      <alignment horizontal="center"/>
    </xf>
    <xf numFmtId="0" fontId="0" fillId="0" borderId="27" xfId="0" applyBorder="1" applyAlignment="1">
      <alignment horizontal="center"/>
    </xf>
    <xf numFmtId="0" fontId="0" fillId="0" borderId="27" xfId="0" applyBorder="1"/>
    <xf numFmtId="165" fontId="5" fillId="0" borderId="25" xfId="5" applyFont="1" applyBorder="1" applyAlignment="1">
      <alignment horizontal="center" vertical="top" wrapText="1"/>
    </xf>
    <xf numFmtId="166" fontId="7" fillId="0" borderId="0" xfId="5" applyNumberFormat="1" applyFont="1" applyAlignment="1">
      <alignment horizontal="right" vertical="top"/>
    </xf>
    <xf numFmtId="165" fontId="5" fillId="0" borderId="0" xfId="5" applyFont="1" applyAlignment="1">
      <alignment horizontal="left" vertical="top"/>
    </xf>
    <xf numFmtId="165" fontId="5" fillId="0" borderId="0" xfId="5" applyFont="1" applyAlignment="1">
      <alignment horizontal="center" vertical="top"/>
    </xf>
    <xf numFmtId="165" fontId="7" fillId="0" borderId="0" xfId="5" applyFont="1" applyAlignment="1">
      <alignment horizontal="left" vertical="top"/>
    </xf>
    <xf numFmtId="166" fontId="5" fillId="0" borderId="0" xfId="5" applyNumberFormat="1" applyFont="1" applyAlignment="1">
      <alignment vertical="top"/>
    </xf>
    <xf numFmtId="166" fontId="7" fillId="0" borderId="0" xfId="5" applyNumberFormat="1" applyFont="1" applyAlignment="1">
      <alignment horizontal="center" vertical="top"/>
    </xf>
    <xf numFmtId="166" fontId="5" fillId="0" borderId="0" xfId="5" applyNumberFormat="1" applyFont="1" applyAlignment="1">
      <alignment horizontal="left" vertical="top"/>
    </xf>
    <xf numFmtId="166" fontId="5" fillId="5" borderId="3" xfId="5" applyNumberFormat="1" applyFont="1" applyFill="1" applyBorder="1" applyAlignment="1">
      <alignment horizontal="center" vertical="top"/>
    </xf>
    <xf numFmtId="165" fontId="5" fillId="5" borderId="0" xfId="5" applyFont="1" applyFill="1" applyAlignment="1">
      <alignment horizontal="center" vertical="top" wrapText="1"/>
    </xf>
    <xf numFmtId="166" fontId="5" fillId="0" borderId="0" xfId="5" applyNumberFormat="1" applyFont="1" applyAlignment="1">
      <alignment horizontal="right" vertical="top"/>
    </xf>
    <xf numFmtId="166" fontId="5" fillId="0" borderId="8" xfId="5" applyNumberFormat="1" applyFont="1" applyBorder="1" applyAlignment="1">
      <alignment horizontal="center" vertical="top" wrapText="1"/>
    </xf>
    <xf numFmtId="165" fontId="6" fillId="0" borderId="33" xfId="5" applyFont="1" applyBorder="1" applyAlignment="1">
      <alignment vertical="top"/>
    </xf>
    <xf numFmtId="165" fontId="6" fillId="0" borderId="33" xfId="5" applyFont="1" applyBorder="1" applyAlignment="1">
      <alignment horizontal="center" vertical="top"/>
    </xf>
    <xf numFmtId="166" fontId="5" fillId="0" borderId="10" xfId="5" applyNumberFormat="1" applyFont="1" applyBorder="1" applyAlignment="1">
      <alignment horizontal="center" vertical="top" wrapText="1"/>
    </xf>
    <xf numFmtId="165" fontId="6" fillId="0" borderId="21" xfId="5" applyFont="1" applyBorder="1" applyAlignment="1">
      <alignment vertical="top"/>
    </xf>
    <xf numFmtId="166" fontId="5" fillId="0" borderId="5" xfId="5" applyNumberFormat="1" applyFont="1" applyBorder="1" applyAlignment="1">
      <alignment horizontal="center" vertical="top" wrapText="1"/>
    </xf>
    <xf numFmtId="165" fontId="5" fillId="0" borderId="3" xfId="5" applyFont="1" applyBorder="1" applyAlignment="1">
      <alignment horizontal="center" vertical="top" wrapText="1"/>
    </xf>
    <xf numFmtId="166" fontId="6" fillId="0" borderId="2" xfId="5" applyNumberFormat="1" applyFont="1" applyBorder="1" applyAlignment="1">
      <alignment vertical="top"/>
    </xf>
    <xf numFmtId="166" fontId="18" fillId="3" borderId="3" xfId="5" applyNumberFormat="1" applyFont="1" applyFill="1" applyBorder="1" applyAlignment="1">
      <alignment horizontal="center" vertical="top"/>
    </xf>
    <xf numFmtId="165" fontId="6" fillId="0" borderId="10" xfId="5" applyFont="1" applyBorder="1" applyAlignment="1">
      <alignment vertical="top"/>
    </xf>
    <xf numFmtId="166" fontId="2" fillId="7" borderId="11" xfId="0" applyNumberFormat="1" applyFont="1" applyFill="1" applyBorder="1" applyAlignment="1">
      <alignment horizontal="center" vertical="center" wrapText="1"/>
    </xf>
    <xf numFmtId="166" fontId="5" fillId="0" borderId="11" xfId="5" applyNumberFormat="1" applyFont="1" applyBorder="1" applyAlignment="1">
      <alignment horizontal="center" vertical="top"/>
    </xf>
    <xf numFmtId="166" fontId="2" fillId="8" borderId="13" xfId="0" applyNumberFormat="1" applyFont="1" applyFill="1" applyBorder="1" applyAlignment="1">
      <alignment horizontal="center" vertical="center" wrapText="1"/>
    </xf>
    <xf numFmtId="165" fontId="18" fillId="0" borderId="13" xfId="0" applyNumberFormat="1" applyFont="1" applyBorder="1" applyAlignment="1">
      <alignment horizontal="left" vertical="top" wrapText="1"/>
    </xf>
    <xf numFmtId="166" fontId="5" fillId="8" borderId="13" xfId="0" applyNumberFormat="1" applyFont="1" applyFill="1" applyBorder="1" applyAlignment="1">
      <alignment horizontal="center" vertical="center" wrapText="1"/>
    </xf>
    <xf numFmtId="1" fontId="2" fillId="8" borderId="13" xfId="0" applyNumberFormat="1" applyFont="1" applyFill="1" applyBorder="1" applyAlignment="1">
      <alignment horizontal="center" vertical="center" wrapText="1"/>
    </xf>
    <xf numFmtId="165" fontId="6" fillId="2" borderId="13" xfId="5" applyFont="1" applyFill="1" applyBorder="1" applyAlignment="1">
      <alignment vertical="top"/>
    </xf>
    <xf numFmtId="166" fontId="2" fillId="3" borderId="11" xfId="0" applyNumberFormat="1" applyFont="1" applyFill="1" applyBorder="1" applyAlignment="1">
      <alignment horizontal="center" vertical="center" wrapText="1"/>
    </xf>
    <xf numFmtId="165" fontId="19" fillId="0" borderId="13" xfId="0" applyNumberFormat="1" applyFont="1" applyBorder="1" applyAlignment="1">
      <alignment horizontal="left" vertical="top" wrapText="1"/>
    </xf>
    <xf numFmtId="1" fontId="20" fillId="0" borderId="13" xfId="0" applyNumberFormat="1" applyFont="1" applyBorder="1" applyAlignment="1">
      <alignment horizontal="center" vertical="center" wrapText="1"/>
    </xf>
    <xf numFmtId="165" fontId="19" fillId="0" borderId="23" xfId="0" applyNumberFormat="1" applyFont="1" applyBorder="1" applyAlignment="1">
      <alignment horizontal="left" vertical="top" wrapText="1"/>
    </xf>
    <xf numFmtId="166" fontId="20" fillId="0" borderId="23" xfId="0" applyNumberFormat="1" applyFont="1" applyBorder="1" applyAlignment="1">
      <alignment horizontal="center" vertical="center" wrapText="1"/>
    </xf>
    <xf numFmtId="166" fontId="2" fillId="0" borderId="17" xfId="0" applyNumberFormat="1" applyFont="1" applyBorder="1" applyAlignment="1">
      <alignment horizontal="center" vertical="center" wrapText="1"/>
    </xf>
    <xf numFmtId="166" fontId="2" fillId="8" borderId="23" xfId="0" applyNumberFormat="1" applyFont="1" applyFill="1" applyBorder="1" applyAlignment="1">
      <alignment horizontal="center" vertical="center" wrapText="1"/>
    </xf>
    <xf numFmtId="166" fontId="2" fillId="3" borderId="23" xfId="0" applyNumberFormat="1" applyFont="1" applyFill="1" applyBorder="1" applyAlignment="1">
      <alignment horizontal="center" vertical="center" wrapText="1"/>
    </xf>
    <xf numFmtId="165" fontId="5" fillId="0" borderId="23" xfId="0" applyNumberFormat="1" applyFont="1" applyBorder="1" applyAlignment="1">
      <alignment horizontal="left" vertical="top" wrapText="1"/>
    </xf>
    <xf numFmtId="165" fontId="6" fillId="0" borderId="23" xfId="5" applyFont="1" applyBorder="1" applyAlignment="1">
      <alignment horizontal="center" vertical="top" wrapText="1"/>
    </xf>
    <xf numFmtId="166" fontId="20" fillId="0" borderId="13" xfId="0" applyNumberFormat="1" applyFont="1" applyBorder="1" applyAlignment="1">
      <alignment horizontal="center" vertical="center" wrapText="1"/>
    </xf>
    <xf numFmtId="165" fontId="5" fillId="0" borderId="22" xfId="5" applyFont="1" applyBorder="1" applyAlignment="1">
      <alignment vertical="top"/>
    </xf>
    <xf numFmtId="165" fontId="5" fillId="0" borderId="25" xfId="5" applyFont="1" applyBorder="1" applyAlignment="1">
      <alignment horizontal="center" vertical="top"/>
    </xf>
    <xf numFmtId="165" fontId="5" fillId="0" borderId="25" xfId="5" applyFont="1" applyBorder="1" applyAlignment="1">
      <alignment vertical="top" wrapText="1"/>
    </xf>
    <xf numFmtId="165" fontId="6" fillId="0" borderId="9" xfId="5" applyFont="1" applyBorder="1" applyAlignment="1">
      <alignment vertical="top"/>
    </xf>
    <xf numFmtId="2" fontId="5" fillId="6" borderId="34" xfId="5" applyNumberFormat="1" applyFont="1" applyFill="1" applyBorder="1" applyAlignment="1">
      <alignment vertical="top"/>
    </xf>
    <xf numFmtId="2" fontId="5" fillId="6" borderId="9" xfId="5" applyNumberFormat="1" applyFont="1" applyFill="1" applyBorder="1" applyAlignment="1">
      <alignment horizontal="center" vertical="top"/>
    </xf>
    <xf numFmtId="165" fontId="6" fillId="6" borderId="35" xfId="5" applyFont="1" applyFill="1" applyBorder="1" applyAlignment="1">
      <alignment vertical="top"/>
    </xf>
    <xf numFmtId="166" fontId="5" fillId="0" borderId="9" xfId="5" applyNumberFormat="1" applyFont="1" applyBorder="1" applyAlignment="1">
      <alignment horizontal="center" vertical="top" wrapText="1"/>
    </xf>
    <xf numFmtId="166" fontId="5" fillId="0" borderId="6" xfId="5" quotePrefix="1" applyNumberFormat="1" applyFont="1" applyBorder="1" applyAlignment="1">
      <alignment horizontal="center" vertical="top"/>
    </xf>
    <xf numFmtId="166" fontId="5" fillId="0" borderId="8" xfId="5" quotePrefix="1" applyNumberFormat="1" applyFont="1" applyBorder="1" applyAlignment="1">
      <alignment horizontal="center" vertical="top" wrapText="1"/>
    </xf>
    <xf numFmtId="166" fontId="5" fillId="0" borderId="8" xfId="5" quotePrefix="1" applyNumberFormat="1" applyFont="1" applyBorder="1" applyAlignment="1">
      <alignment horizontal="center" vertical="top"/>
    </xf>
    <xf numFmtId="166" fontId="5" fillId="0" borderId="16" xfId="5" applyNumberFormat="1" applyFont="1" applyBorder="1" applyAlignment="1">
      <alignment horizontal="center" vertical="top"/>
    </xf>
    <xf numFmtId="165" fontId="7" fillId="0" borderId="19" xfId="5" applyFont="1" applyBorder="1" applyAlignment="1">
      <alignment horizontal="left" vertical="top" wrapText="1"/>
    </xf>
    <xf numFmtId="165" fontId="5" fillId="0" borderId="19" xfId="5" applyFont="1" applyBorder="1" applyAlignment="1">
      <alignment horizontal="left" vertical="top"/>
    </xf>
    <xf numFmtId="166" fontId="5" fillId="0" borderId="19" xfId="5" applyNumberFormat="1" applyFont="1" applyBorder="1" applyAlignment="1">
      <alignment horizontal="center" vertical="top"/>
    </xf>
    <xf numFmtId="166" fontId="5" fillId="0" borderId="19" xfId="5" applyNumberFormat="1" applyFont="1" applyBorder="1" applyAlignment="1">
      <alignment horizontal="right" vertical="top"/>
    </xf>
    <xf numFmtId="165" fontId="5" fillId="0" borderId="19" xfId="5" applyFont="1" applyBorder="1" applyAlignment="1">
      <alignment horizontal="center" vertical="top"/>
    </xf>
    <xf numFmtId="165" fontId="5" fillId="3" borderId="13" xfId="0" applyNumberFormat="1" applyFont="1" applyFill="1" applyBorder="1" applyAlignment="1">
      <alignment horizontal="left" vertical="top" wrapText="1"/>
    </xf>
    <xf numFmtId="166" fontId="5" fillId="0" borderId="13" xfId="5" applyNumberFormat="1" applyFont="1" applyBorder="1" applyAlignment="1">
      <alignment horizontal="center" vertical="top"/>
    </xf>
    <xf numFmtId="166" fontId="5" fillId="0" borderId="13" xfId="5" applyNumberFormat="1" applyFont="1" applyBorder="1" applyAlignment="1">
      <alignment horizontal="right" vertical="top"/>
    </xf>
    <xf numFmtId="165" fontId="5" fillId="0" borderId="13" xfId="5" applyFont="1" applyBorder="1" applyAlignment="1">
      <alignment horizontal="center" vertical="top"/>
    </xf>
    <xf numFmtId="165" fontId="5" fillId="0" borderId="27" xfId="0" applyNumberFormat="1" applyFont="1" applyBorder="1" applyAlignment="1">
      <alignment horizontal="left" vertical="top" wrapText="1"/>
    </xf>
    <xf numFmtId="166" fontId="5" fillId="0" borderId="27" xfId="5" applyNumberFormat="1" applyFont="1" applyBorder="1" applyAlignment="1">
      <alignment horizontal="center" vertical="top"/>
    </xf>
    <xf numFmtId="166" fontId="2" fillId="9" borderId="11" xfId="0" applyNumberFormat="1" applyFont="1" applyFill="1" applyBorder="1" applyAlignment="1">
      <alignment horizontal="center" vertical="center" wrapText="1"/>
    </xf>
    <xf numFmtId="165" fontId="5" fillId="9" borderId="13" xfId="0" applyNumberFormat="1" applyFont="1" applyFill="1" applyBorder="1" applyAlignment="1">
      <alignment horizontal="left" vertical="top" wrapText="1"/>
    </xf>
    <xf numFmtId="166" fontId="5" fillId="9" borderId="13" xfId="5" applyNumberFormat="1" applyFont="1" applyFill="1" applyBorder="1" applyAlignment="1">
      <alignment horizontal="right" vertical="top"/>
    </xf>
    <xf numFmtId="165" fontId="5" fillId="0" borderId="13" xfId="0" applyNumberFormat="1" applyFont="1" applyBorder="1" applyAlignment="1">
      <alignment horizontal="center" vertical="top" wrapText="1"/>
    </xf>
    <xf numFmtId="165" fontId="6" fillId="0" borderId="27" xfId="5" applyFont="1" applyBorder="1" applyAlignment="1">
      <alignment vertical="top"/>
    </xf>
    <xf numFmtId="166" fontId="6" fillId="0" borderId="27" xfId="5" applyNumberFormat="1" applyFont="1" applyBorder="1" applyAlignment="1">
      <alignment horizontal="center" vertical="top"/>
    </xf>
    <xf numFmtId="166" fontId="5" fillId="7" borderId="13" xfId="5" applyNumberFormat="1" applyFont="1" applyFill="1" applyBorder="1" applyAlignment="1">
      <alignment horizontal="right" vertical="top"/>
    </xf>
    <xf numFmtId="166" fontId="18" fillId="0" borderId="13" xfId="5" applyNumberFormat="1" applyFont="1" applyBorder="1" applyAlignment="1">
      <alignment horizontal="right" vertical="top"/>
    </xf>
    <xf numFmtId="166" fontId="5" fillId="4" borderId="13" xfId="5" applyNumberFormat="1" applyFont="1" applyFill="1" applyBorder="1" applyAlignment="1">
      <alignment horizontal="right" vertical="top"/>
    </xf>
    <xf numFmtId="167" fontId="5" fillId="0" borderId="13" xfId="5" applyNumberFormat="1" applyFont="1" applyBorder="1" applyAlignment="1">
      <alignment horizontal="right" vertical="top"/>
    </xf>
    <xf numFmtId="170" fontId="5" fillId="0" borderId="13" xfId="5" applyNumberFormat="1" applyFont="1" applyBorder="1" applyAlignment="1">
      <alignment horizontal="right" vertical="top"/>
    </xf>
    <xf numFmtId="165" fontId="5" fillId="0" borderId="27" xfId="0" applyNumberFormat="1" applyFont="1" applyBorder="1" applyAlignment="1">
      <alignment horizontal="center" vertical="top" wrapText="1"/>
    </xf>
    <xf numFmtId="166" fontId="5" fillId="9" borderId="24" xfId="5" applyNumberFormat="1" applyFont="1" applyFill="1" applyBorder="1" applyAlignment="1">
      <alignment horizontal="center" vertical="top"/>
    </xf>
    <xf numFmtId="166" fontId="5" fillId="9" borderId="13" xfId="5" applyNumberFormat="1" applyFont="1" applyFill="1" applyBorder="1" applyAlignment="1">
      <alignment horizontal="center" vertical="top"/>
    </xf>
    <xf numFmtId="2" fontId="5" fillId="6" borderId="9" xfId="5" applyNumberFormat="1" applyFont="1" applyFill="1" applyBorder="1" applyAlignment="1">
      <alignment vertical="top"/>
    </xf>
    <xf numFmtId="166" fontId="19" fillId="0" borderId="0" xfId="5" applyNumberFormat="1" applyFont="1" applyAlignment="1">
      <alignment horizontal="right" vertical="top"/>
    </xf>
    <xf numFmtId="166" fontId="5" fillId="0" borderId="0" xfId="5" quotePrefix="1" applyNumberFormat="1" applyFont="1" applyAlignment="1">
      <alignment horizontal="center" vertical="top"/>
    </xf>
    <xf numFmtId="165" fontId="5" fillId="0" borderId="0" xfId="5" applyFont="1" applyAlignment="1">
      <alignment horizontal="right" vertical="top" wrapText="1"/>
    </xf>
    <xf numFmtId="165" fontId="5" fillId="0" borderId="0" xfId="5" applyFont="1" applyAlignment="1">
      <alignment vertical="top" wrapText="1"/>
    </xf>
    <xf numFmtId="171" fontId="5" fillId="0" borderId="0" xfId="5" applyNumberFormat="1" applyFont="1" applyAlignment="1">
      <alignment vertical="top" wrapText="1"/>
    </xf>
    <xf numFmtId="166" fontId="6" fillId="0" borderId="0" xfId="5" applyNumberFormat="1" applyFont="1" applyAlignment="1">
      <alignment vertical="top" wrapText="1"/>
    </xf>
    <xf numFmtId="165" fontId="5" fillId="0" borderId="35" xfId="5" applyFont="1" applyBorder="1" applyAlignment="1">
      <alignment horizontal="left" vertical="top"/>
    </xf>
    <xf numFmtId="165" fontId="5" fillId="0" borderId="35" xfId="5" applyFont="1" applyBorder="1" applyAlignment="1">
      <alignment vertical="top"/>
    </xf>
    <xf numFmtId="165" fontId="5" fillId="0" borderId="35" xfId="5" applyFont="1" applyBorder="1" applyAlignment="1">
      <alignment vertical="top" wrapText="1"/>
    </xf>
    <xf numFmtId="165" fontId="7" fillId="0" borderId="0" xfId="5" applyFont="1" applyAlignment="1">
      <alignment horizontal="right" vertical="top" wrapText="1"/>
    </xf>
    <xf numFmtId="165" fontId="5" fillId="0" borderId="0" xfId="5" applyFont="1" applyAlignment="1">
      <alignment horizontal="right" vertical="top"/>
    </xf>
    <xf numFmtId="166" fontId="6" fillId="0" borderId="45" xfId="5" applyNumberFormat="1" applyFont="1" applyBorder="1" applyAlignment="1">
      <alignment horizontal="center" vertical="top"/>
    </xf>
    <xf numFmtId="165" fontId="6" fillId="0" borderId="45" xfId="5" applyFont="1" applyBorder="1" applyAlignment="1">
      <alignment horizontal="left" vertical="top" wrapText="1"/>
    </xf>
    <xf numFmtId="165" fontId="6" fillId="0" borderId="45" xfId="5" applyFont="1" applyBorder="1" applyAlignment="1">
      <alignment horizontal="left" vertical="top"/>
    </xf>
    <xf numFmtId="166" fontId="5" fillId="0" borderId="45" xfId="5" applyNumberFormat="1" applyFont="1" applyBorder="1" applyAlignment="1">
      <alignment horizontal="center" vertical="top"/>
    </xf>
    <xf numFmtId="166" fontId="6" fillId="0" borderId="45" xfId="5" applyNumberFormat="1" applyFont="1" applyBorder="1" applyAlignment="1">
      <alignment horizontal="right" vertical="top"/>
    </xf>
    <xf numFmtId="165" fontId="6" fillId="0" borderId="45" xfId="5" applyFont="1" applyBorder="1" applyAlignment="1">
      <alignment horizontal="center" vertical="top"/>
    </xf>
    <xf numFmtId="165" fontId="6" fillId="0" borderId="45" xfId="5" applyFont="1" applyBorder="1" applyAlignment="1">
      <alignment vertical="top"/>
    </xf>
    <xf numFmtId="165" fontId="6" fillId="0" borderId="45" xfId="5" applyFont="1" applyBorder="1" applyAlignment="1">
      <alignment vertical="top" wrapText="1"/>
    </xf>
    <xf numFmtId="165" fontId="6" fillId="0" borderId="45" xfId="5" applyFont="1" applyBorder="1" applyAlignment="1">
      <alignment horizontal="center" vertical="top" wrapText="1"/>
    </xf>
    <xf numFmtId="166" fontId="5" fillId="8" borderId="3" xfId="5" applyNumberFormat="1" applyFont="1" applyFill="1" applyBorder="1" applyAlignment="1">
      <alignment horizontal="right" vertical="top"/>
    </xf>
    <xf numFmtId="166" fontId="5" fillId="4" borderId="3" xfId="5" applyNumberFormat="1" applyFont="1" applyFill="1" applyBorder="1" applyAlignment="1">
      <alignment horizontal="right" vertical="top"/>
    </xf>
    <xf numFmtId="166" fontId="6" fillId="0" borderId="27" xfId="5" applyNumberFormat="1" applyFont="1" applyBorder="1" applyAlignment="1">
      <alignment horizontal="left" vertical="top"/>
    </xf>
    <xf numFmtId="166" fontId="6" fillId="0" borderId="27" xfId="5" applyNumberFormat="1" applyFont="1" applyBorder="1" applyAlignment="1">
      <alignment horizontal="right" vertical="top"/>
    </xf>
    <xf numFmtId="166" fontId="5" fillId="0" borderId="27" xfId="5" applyNumberFormat="1" applyFont="1" applyBorder="1" applyAlignment="1">
      <alignment horizontal="left" vertical="top"/>
    </xf>
    <xf numFmtId="166" fontId="5" fillId="0" borderId="27" xfId="5" applyNumberFormat="1" applyFont="1" applyBorder="1" applyAlignment="1">
      <alignment horizontal="right" vertical="top"/>
    </xf>
    <xf numFmtId="165" fontId="5" fillId="0" borderId="6" xfId="5" applyFont="1" applyBorder="1" applyAlignment="1">
      <alignment vertical="top" wrapText="1"/>
    </xf>
    <xf numFmtId="166" fontId="5" fillId="0" borderId="7" xfId="5" applyNumberFormat="1" applyFont="1" applyBorder="1" applyAlignment="1">
      <alignment vertical="top" wrapText="1"/>
    </xf>
    <xf numFmtId="166" fontId="2" fillId="0" borderId="23" xfId="0" applyNumberFormat="1" applyFont="1" applyBorder="1" applyAlignment="1">
      <alignment horizontal="center" vertical="center" wrapText="1"/>
    </xf>
    <xf numFmtId="166" fontId="5" fillId="0" borderId="7" xfId="5" applyNumberFormat="1" applyFont="1" applyBorder="1" applyAlignment="1">
      <alignment horizontal="right" vertical="top"/>
    </xf>
    <xf numFmtId="166" fontId="2" fillId="3" borderId="13" xfId="0" applyNumberFormat="1" applyFont="1" applyFill="1" applyBorder="1" applyAlignment="1">
      <alignment horizontal="center" vertical="center" wrapText="1"/>
    </xf>
    <xf numFmtId="166" fontId="5" fillId="0" borderId="3" xfId="5" applyNumberFormat="1" applyFont="1" applyBorder="1" applyAlignment="1">
      <alignment horizontal="center" vertical="top"/>
    </xf>
    <xf numFmtId="166" fontId="5" fillId="0" borderId="1" xfId="5" applyNumberFormat="1" applyFont="1" applyBorder="1" applyAlignment="1">
      <alignment horizontal="center" vertical="top"/>
    </xf>
    <xf numFmtId="166" fontId="5" fillId="0" borderId="31" xfId="5" applyNumberFormat="1" applyFont="1" applyBorder="1" applyAlignment="1">
      <alignment horizontal="center" vertical="top" wrapText="1"/>
    </xf>
    <xf numFmtId="166" fontId="5" fillId="0" borderId="25" xfId="5" applyNumberFormat="1" applyFont="1" applyBorder="1" applyAlignment="1">
      <alignment horizontal="center" vertical="top"/>
    </xf>
    <xf numFmtId="166" fontId="5" fillId="0" borderId="7" xfId="5" applyNumberFormat="1" applyFont="1" applyBorder="1" applyAlignment="1">
      <alignment horizontal="center" vertical="top"/>
    </xf>
    <xf numFmtId="166" fontId="5" fillId="0" borderId="46" xfId="5" applyNumberFormat="1" applyFont="1" applyBorder="1" applyAlignment="1">
      <alignment horizontal="center" vertical="top"/>
    </xf>
    <xf numFmtId="165" fontId="5" fillId="0" borderId="7" xfId="5" applyFont="1" applyBorder="1" applyAlignment="1">
      <alignment horizontal="center" vertical="top" wrapText="1"/>
    </xf>
    <xf numFmtId="166" fontId="6" fillId="0" borderId="20" xfId="5" applyNumberFormat="1" applyFont="1" applyBorder="1" applyAlignment="1">
      <alignment horizontal="center" vertical="top"/>
    </xf>
    <xf numFmtId="166" fontId="5" fillId="0" borderId="9" xfId="5" applyNumberFormat="1" applyFont="1" applyBorder="1" applyAlignment="1">
      <alignment horizontal="center" vertical="top"/>
    </xf>
    <xf numFmtId="165" fontId="5" fillId="0" borderId="7" xfId="5" applyFont="1" applyBorder="1" applyAlignment="1">
      <alignment horizontal="center" vertical="top"/>
    </xf>
    <xf numFmtId="165" fontId="6" fillId="0" borderId="35" xfId="5" applyFont="1" applyBorder="1" applyAlignment="1">
      <alignment vertical="top"/>
    </xf>
    <xf numFmtId="166" fontId="5" fillId="0" borderId="18" xfId="1" applyNumberFormat="1" applyFont="1" applyFill="1" applyBorder="1" applyAlignment="1">
      <alignment horizontal="center" vertical="top"/>
    </xf>
    <xf numFmtId="1" fontId="2" fillId="0" borderId="0" xfId="0" applyNumberFormat="1" applyFont="1" applyAlignment="1">
      <alignment horizontal="center" vertical="center" wrapText="1"/>
    </xf>
    <xf numFmtId="166" fontId="21" fillId="0" borderId="13" xfId="0" applyNumberFormat="1" applyFont="1" applyBorder="1" applyAlignment="1">
      <alignment horizontal="center" vertical="center" wrapText="1"/>
    </xf>
    <xf numFmtId="166" fontId="6" fillId="0" borderId="0" xfId="5" applyNumberFormat="1" applyFont="1" applyAlignment="1">
      <alignment horizontal="left" vertical="top"/>
    </xf>
    <xf numFmtId="165" fontId="6" fillId="0" borderId="0" xfId="5" applyFont="1" applyAlignment="1">
      <alignment horizontal="right" vertical="top"/>
    </xf>
    <xf numFmtId="165" fontId="5" fillId="3" borderId="3" xfId="5" applyFont="1" applyFill="1" applyBorder="1" applyAlignment="1">
      <alignment horizontal="center" vertical="top"/>
    </xf>
    <xf numFmtId="165" fontId="5" fillId="3" borderId="3" xfId="5" applyFont="1" applyFill="1" applyBorder="1" applyAlignment="1">
      <alignment horizontal="right" vertical="top"/>
    </xf>
    <xf numFmtId="166" fontId="5" fillId="3" borderId="3" xfId="5" applyNumberFormat="1" applyFont="1" applyFill="1" applyBorder="1" applyAlignment="1">
      <alignment horizontal="center" vertical="top"/>
    </xf>
    <xf numFmtId="165" fontId="5" fillId="8" borderId="3" xfId="5" applyFont="1" applyFill="1" applyBorder="1" applyAlignment="1">
      <alignment horizontal="center" vertical="top"/>
    </xf>
    <xf numFmtId="166" fontId="6" fillId="4" borderId="0" xfId="5" applyNumberFormat="1" applyFont="1" applyFill="1" applyAlignment="1">
      <alignment horizontal="center" vertical="top"/>
    </xf>
    <xf numFmtId="165" fontId="6" fillId="4" borderId="0" xfId="5" applyFont="1" applyFill="1" applyAlignment="1">
      <alignment horizontal="right" vertical="top"/>
    </xf>
    <xf numFmtId="165" fontId="5" fillId="0" borderId="6" xfId="5" applyFont="1" applyBorder="1" applyAlignment="1">
      <alignment horizontal="center" vertical="top" wrapText="1"/>
    </xf>
    <xf numFmtId="165" fontId="5" fillId="0" borderId="10" xfId="5" applyFont="1" applyBorder="1" applyAlignment="1">
      <alignment horizontal="center" vertical="top" wrapText="1"/>
    </xf>
    <xf numFmtId="166" fontId="6" fillId="0" borderId="0" xfId="5" applyNumberFormat="1" applyFont="1" applyAlignment="1">
      <alignment horizontal="left" vertical="top" wrapText="1"/>
    </xf>
    <xf numFmtId="165" fontId="18" fillId="0" borderId="0" xfId="5" applyFont="1" applyAlignment="1">
      <alignment vertical="top"/>
    </xf>
    <xf numFmtId="0" fontId="9" fillId="0" borderId="0" xfId="0" applyFont="1"/>
    <xf numFmtId="0" fontId="9" fillId="3" borderId="6" xfId="0" applyFont="1" applyFill="1" applyBorder="1"/>
    <xf numFmtId="0" fontId="0" fillId="0" borderId="1" xfId="0" applyBorder="1" applyAlignment="1">
      <alignment wrapText="1"/>
    </xf>
    <xf numFmtId="0" fontId="0" fillId="0" borderId="31" xfId="0" applyBorder="1" applyAlignment="1">
      <alignment horizontal="center" wrapText="1"/>
    </xf>
    <xf numFmtId="0" fontId="0" fillId="0" borderId="31" xfId="0" applyBorder="1" applyAlignment="1">
      <alignment wrapText="1"/>
    </xf>
    <xf numFmtId="0" fontId="9" fillId="0" borderId="3" xfId="0" applyFont="1" applyBorder="1" applyAlignment="1">
      <alignment wrapText="1"/>
    </xf>
    <xf numFmtId="0" fontId="9" fillId="3" borderId="3" xfId="0" applyFont="1" applyFill="1" applyBorder="1" applyAlignment="1">
      <alignment wrapText="1"/>
    </xf>
    <xf numFmtId="0" fontId="0" fillId="0" borderId="0" xfId="0" applyAlignment="1">
      <alignment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wrapText="1"/>
    </xf>
    <xf numFmtId="0" fontId="0" fillId="0" borderId="27" xfId="0" applyBorder="1" applyAlignment="1">
      <alignment horizontal="center" wrapText="1"/>
    </xf>
    <xf numFmtId="4" fontId="0" fillId="0" borderId="0" xfId="0" applyNumberFormat="1"/>
    <xf numFmtId="2" fontId="0" fillId="0" borderId="0" xfId="0" applyNumberFormat="1"/>
    <xf numFmtId="1" fontId="0" fillId="0" borderId="0" xfId="0" applyNumberFormat="1"/>
    <xf numFmtId="169" fontId="0" fillId="0" borderId="0" xfId="0" applyNumberFormat="1"/>
    <xf numFmtId="0" fontId="0" fillId="0" borderId="27" xfId="0" applyBorder="1" applyAlignment="1">
      <alignment wrapText="1"/>
    </xf>
    <xf numFmtId="0" fontId="0" fillId="0" borderId="0" xfId="0" applyAlignment="1">
      <alignment horizontal="right"/>
    </xf>
    <xf numFmtId="1" fontId="9" fillId="3" borderId="3" xfId="0" applyNumberFormat="1" applyFont="1" applyFill="1" applyBorder="1"/>
    <xf numFmtId="1" fontId="9" fillId="0" borderId="3" xfId="0" applyNumberFormat="1" applyFont="1" applyBorder="1"/>
    <xf numFmtId="0" fontId="0" fillId="0" borderId="6" xfId="0" applyBorder="1" applyAlignment="1">
      <alignment wrapText="1"/>
    </xf>
    <xf numFmtId="0" fontId="0" fillId="3" borderId="0" xfId="0" applyFill="1"/>
    <xf numFmtId="0" fontId="0" fillId="0" borderId="0" xfId="0" applyAlignment="1">
      <alignment horizontal="center" vertical="top"/>
    </xf>
    <xf numFmtId="4" fontId="0" fillId="0" borderId="0" xfId="0" applyNumberFormat="1" applyAlignment="1">
      <alignment horizontal="right" vertical="top"/>
    </xf>
    <xf numFmtId="172" fontId="13" fillId="0" borderId="0" xfId="0" applyNumberFormat="1" applyFont="1" applyAlignment="1">
      <alignment horizontal="right" vertical="top"/>
    </xf>
    <xf numFmtId="4" fontId="0" fillId="0" borderId="0" xfId="6" applyNumberFormat="1" applyFont="1"/>
    <xf numFmtId="164" fontId="2" fillId="0" borderId="13" xfId="6" applyFont="1" applyFill="1" applyBorder="1" applyAlignment="1">
      <alignment horizontal="center" vertical="center" wrapText="1"/>
    </xf>
    <xf numFmtId="173" fontId="2" fillId="0" borderId="13" xfId="6" applyNumberFormat="1" applyFont="1" applyFill="1" applyBorder="1" applyAlignment="1">
      <alignment horizontal="center" vertical="center" wrapText="1"/>
    </xf>
    <xf numFmtId="166" fontId="12" fillId="0" borderId="6" xfId="5" applyNumberFormat="1" applyFont="1" applyBorder="1" applyAlignment="1">
      <alignment horizontal="center" vertical="top" wrapText="1"/>
    </xf>
    <xf numFmtId="166" fontId="12" fillId="0" borderId="7" xfId="5" applyNumberFormat="1" applyFont="1" applyBorder="1" applyAlignment="1">
      <alignment horizontal="center" vertical="top" wrapText="1"/>
    </xf>
    <xf numFmtId="0" fontId="5" fillId="0" borderId="13" xfId="0" applyFont="1" applyBorder="1" applyAlignment="1">
      <alignment horizontal="left" vertical="top" wrapText="1"/>
    </xf>
    <xf numFmtId="166" fontId="5" fillId="0" borderId="13" xfId="0" applyNumberFormat="1" applyFont="1" applyBorder="1" applyAlignment="1">
      <alignment horizontal="left" vertical="top" wrapText="1"/>
    </xf>
    <xf numFmtId="14" fontId="6" fillId="0" borderId="13" xfId="5" applyNumberFormat="1" applyFont="1" applyBorder="1" applyAlignment="1">
      <alignment vertical="top"/>
    </xf>
    <xf numFmtId="165" fontId="6" fillId="0" borderId="13" xfId="5" applyFont="1" applyBorder="1" applyAlignment="1">
      <alignment vertical="top" wrapText="1"/>
    </xf>
    <xf numFmtId="49" fontId="5" fillId="0" borderId="13" xfId="0" applyNumberFormat="1" applyFont="1" applyBorder="1" applyAlignment="1">
      <alignment horizontal="left" vertical="top" wrapText="1"/>
    </xf>
    <xf numFmtId="165" fontId="6" fillId="0" borderId="13" xfId="5" applyFont="1" applyBorder="1" applyAlignment="1">
      <alignment horizontal="center" vertical="center" wrapText="1"/>
    </xf>
    <xf numFmtId="167" fontId="6" fillId="0" borderId="13" xfId="5" applyNumberFormat="1" applyFont="1" applyBorder="1" applyAlignment="1">
      <alignment vertical="top"/>
    </xf>
    <xf numFmtId="0" fontId="6" fillId="0" borderId="13" xfId="5" applyNumberFormat="1" applyFont="1" applyBorder="1" applyAlignment="1">
      <alignment vertical="top"/>
    </xf>
    <xf numFmtId="165" fontId="6" fillId="0" borderId="17" xfId="5" applyFont="1" applyBorder="1" applyAlignment="1">
      <alignment vertical="top"/>
    </xf>
    <xf numFmtId="165" fontId="6" fillId="0" borderId="23" xfId="5" applyFont="1" applyBorder="1" applyAlignment="1">
      <alignment vertical="top"/>
    </xf>
    <xf numFmtId="168" fontId="6" fillId="0" borderId="23" xfId="5" applyNumberFormat="1" applyFont="1" applyBorder="1" applyAlignment="1">
      <alignment vertical="top"/>
    </xf>
    <xf numFmtId="165" fontId="22" fillId="3" borderId="13" xfId="5" applyFont="1" applyFill="1" applyBorder="1" applyAlignment="1">
      <alignment vertical="top"/>
    </xf>
    <xf numFmtId="165" fontId="6" fillId="0" borderId="12" xfId="5" applyFont="1" applyBorder="1" applyAlignment="1">
      <alignment vertical="top"/>
    </xf>
    <xf numFmtId="2" fontId="0" fillId="0" borderId="27" xfId="0" applyNumberFormat="1" applyBorder="1" applyAlignment="1">
      <alignment horizontal="center" vertical="center"/>
    </xf>
    <xf numFmtId="165" fontId="5" fillId="0" borderId="12" xfId="0" applyNumberFormat="1" applyFont="1" applyBorder="1" applyAlignment="1">
      <alignment horizontal="left" vertical="top" wrapText="1"/>
    </xf>
    <xf numFmtId="165" fontId="6" fillId="0" borderId="27" xfId="5" applyFont="1" applyBorder="1" applyAlignment="1">
      <alignment vertical="top" wrapText="1"/>
    </xf>
    <xf numFmtId="164" fontId="5" fillId="6" borderId="3" xfId="6" applyFont="1" applyFill="1" applyBorder="1" applyAlignment="1">
      <alignment horizontal="right" vertical="top"/>
    </xf>
    <xf numFmtId="166" fontId="5" fillId="6" borderId="9" xfId="5" applyNumberFormat="1" applyFont="1" applyFill="1" applyBorder="1" applyAlignment="1">
      <alignment horizontal="right" vertical="top"/>
    </xf>
    <xf numFmtId="164" fontId="5" fillId="6" borderId="9" xfId="6" applyFont="1" applyFill="1" applyBorder="1" applyAlignment="1">
      <alignment horizontal="right" vertical="top"/>
    </xf>
    <xf numFmtId="165" fontId="5" fillId="3" borderId="3" xfId="5" applyFont="1" applyFill="1" applyBorder="1" applyAlignment="1">
      <alignment vertical="top"/>
    </xf>
    <xf numFmtId="165" fontId="18" fillId="0" borderId="0" xfId="5" applyFont="1" applyAlignment="1">
      <alignment vertical="top" wrapText="1"/>
    </xf>
    <xf numFmtId="165" fontId="18" fillId="3" borderId="13" xfId="5" applyFont="1" applyFill="1" applyBorder="1" applyAlignment="1">
      <alignment vertical="top"/>
    </xf>
    <xf numFmtId="0" fontId="0" fillId="0" borderId="36" xfId="0" applyBorder="1"/>
    <xf numFmtId="0" fontId="0" fillId="0" borderId="8" xfId="0" applyBorder="1"/>
    <xf numFmtId="0" fontId="0" fillId="0" borderId="37" xfId="0" applyBorder="1"/>
    <xf numFmtId="0" fontId="0" fillId="0" borderId="10" xfId="0" applyBorder="1"/>
    <xf numFmtId="1" fontId="0" fillId="0" borderId="10" xfId="0" applyNumberFormat="1" applyBorder="1"/>
    <xf numFmtId="0" fontId="0" fillId="0" borderId="46" xfId="0" applyBorder="1"/>
    <xf numFmtId="0" fontId="0" fillId="0" borderId="9" xfId="0" applyBorder="1"/>
    <xf numFmtId="1" fontId="0" fillId="0" borderId="8" xfId="0" applyNumberFormat="1" applyBorder="1"/>
    <xf numFmtId="0" fontId="0" fillId="3" borderId="3" xfId="0" applyFill="1" applyBorder="1" applyAlignment="1">
      <alignment horizontal="center"/>
    </xf>
    <xf numFmtId="4" fontId="0" fillId="0" borderId="5" xfId="0" applyNumberFormat="1" applyBorder="1"/>
    <xf numFmtId="4" fontId="0" fillId="0" borderId="7" xfId="0" applyNumberFormat="1" applyBorder="1"/>
    <xf numFmtId="172" fontId="13" fillId="0" borderId="5" xfId="0" applyNumberFormat="1" applyFont="1" applyBorder="1" applyAlignment="1">
      <alignment horizontal="right" vertical="top"/>
    </xf>
    <xf numFmtId="172" fontId="13" fillId="0" borderId="7" xfId="0" applyNumberFormat="1" applyFont="1" applyBorder="1" applyAlignment="1">
      <alignment horizontal="right" vertical="top"/>
    </xf>
    <xf numFmtId="3" fontId="0" fillId="0" borderId="0" xfId="0" applyNumberFormat="1"/>
    <xf numFmtId="4" fontId="0" fillId="0" borderId="5" xfId="6" applyNumberFormat="1" applyFont="1" applyBorder="1"/>
    <xf numFmtId="4" fontId="0" fillId="0" borderId="7" xfId="6" applyNumberFormat="1" applyFont="1" applyBorder="1"/>
    <xf numFmtId="3" fontId="0" fillId="3" borderId="3" xfId="0" applyNumberFormat="1" applyFill="1" applyBorder="1"/>
    <xf numFmtId="0" fontId="0" fillId="0" borderId="0" xfId="0" applyAlignment="1">
      <alignment horizontal="center" wrapText="1"/>
    </xf>
    <xf numFmtId="1" fontId="9" fillId="3" borderId="0" xfId="0" applyNumberFormat="1" applyFont="1" applyFill="1"/>
    <xf numFmtId="174" fontId="0" fillId="0" borderId="0" xfId="0" applyNumberFormat="1"/>
    <xf numFmtId="1" fontId="0" fillId="7" borderId="0" xfId="0" applyNumberFormat="1" applyFill="1"/>
    <xf numFmtId="1" fontId="0" fillId="8" borderId="0" xfId="0" applyNumberFormat="1" applyFill="1"/>
    <xf numFmtId="1" fontId="0" fillId="0" borderId="3" xfId="0" applyNumberFormat="1" applyBorder="1"/>
    <xf numFmtId="3" fontId="0" fillId="0" borderId="3" xfId="0" applyNumberFormat="1" applyBorder="1"/>
    <xf numFmtId="0" fontId="0" fillId="8" borderId="3" xfId="0" applyFill="1" applyBorder="1"/>
    <xf numFmtId="0" fontId="0" fillId="0" borderId="6" xfId="0" applyBorder="1"/>
    <xf numFmtId="0" fontId="0" fillId="0" borderId="5" xfId="0" applyBorder="1"/>
    <xf numFmtId="0" fontId="0" fillId="0" borderId="7" xfId="0" applyBorder="1"/>
    <xf numFmtId="0" fontId="0" fillId="0" borderId="27" xfId="0" applyBorder="1" applyAlignment="1">
      <alignment horizontal="center" vertical="top"/>
    </xf>
    <xf numFmtId="0" fontId="9" fillId="0" borderId="27" xfId="0" applyFont="1" applyBorder="1" applyAlignment="1">
      <alignment vertical="top"/>
    </xf>
    <xf numFmtId="0" fontId="0" fillId="0" borderId="27" xfId="0" applyBorder="1" applyAlignment="1">
      <alignment vertical="top"/>
    </xf>
    <xf numFmtId="16" fontId="0" fillId="0" borderId="27" xfId="0" applyNumberFormat="1" applyBorder="1" applyAlignment="1">
      <alignment vertical="top"/>
    </xf>
    <xf numFmtId="0" fontId="0" fillId="0" borderId="27" xfId="0" applyBorder="1" applyAlignment="1">
      <alignment vertical="top" wrapText="1"/>
    </xf>
    <xf numFmtId="16" fontId="0" fillId="0" borderId="27" xfId="0" applyNumberFormat="1" applyBorder="1" applyAlignment="1">
      <alignment vertical="top" wrapText="1"/>
    </xf>
    <xf numFmtId="0" fontId="0" fillId="0" borderId="0" xfId="0" applyAlignment="1">
      <alignment vertical="top"/>
    </xf>
    <xf numFmtId="3" fontId="0" fillId="3" borderId="0" xfId="0" applyNumberFormat="1" applyFill="1"/>
    <xf numFmtId="0" fontId="0" fillId="8" borderId="0" xfId="0" applyFill="1"/>
    <xf numFmtId="174" fontId="0" fillId="0" borderId="0" xfId="0" applyNumberFormat="1" applyAlignment="1">
      <alignment horizontal="center"/>
    </xf>
    <xf numFmtId="174" fontId="0" fillId="0" borderId="0" xfId="0" applyNumberFormat="1" applyAlignment="1">
      <alignment horizontal="center" wrapText="1"/>
    </xf>
    <xf numFmtId="174" fontId="0" fillId="7" borderId="0" xfId="0" applyNumberFormat="1" applyFill="1"/>
    <xf numFmtId="174" fontId="0" fillId="8" borderId="0" xfId="0" applyNumberFormat="1" applyFill="1"/>
    <xf numFmtId="174" fontId="9" fillId="3" borderId="0" xfId="0" applyNumberFormat="1" applyFont="1" applyFill="1"/>
    <xf numFmtId="174" fontId="0" fillId="3" borderId="0" xfId="0" applyNumberFormat="1" applyFill="1"/>
    <xf numFmtId="169" fontId="24" fillId="8" borderId="0" xfId="0" applyNumberFormat="1" applyFont="1" applyFill="1" applyAlignment="1">
      <alignment horizontal="center"/>
    </xf>
    <xf numFmtId="1" fontId="23" fillId="0" borderId="0" xfId="0" applyNumberFormat="1" applyFont="1"/>
    <xf numFmtId="174" fontId="23" fillId="0" borderId="0" xfId="0" applyNumberFormat="1" applyFont="1"/>
    <xf numFmtId="169" fontId="25" fillId="0" borderId="0" xfId="0" applyNumberFormat="1" applyFont="1" applyAlignment="1">
      <alignment horizontal="center"/>
    </xf>
    <xf numFmtId="0" fontId="26" fillId="0" borderId="0" xfId="0" applyFont="1"/>
    <xf numFmtId="2" fontId="23" fillId="0" borderId="0" xfId="0" applyNumberFormat="1" applyFont="1"/>
    <xf numFmtId="3" fontId="0" fillId="7" borderId="6" xfId="0" applyNumberFormat="1" applyFill="1" applyBorder="1"/>
    <xf numFmtId="3" fontId="0" fillId="7" borderId="0" xfId="0" applyNumberFormat="1" applyFill="1"/>
    <xf numFmtId="4" fontId="0" fillId="0" borderId="6" xfId="0" applyNumberFormat="1" applyBorder="1"/>
    <xf numFmtId="174" fontId="0" fillId="0" borderId="36" xfId="0" applyNumberFormat="1" applyBorder="1"/>
    <xf numFmtId="174" fontId="0" fillId="0" borderId="37" xfId="0" applyNumberFormat="1" applyBorder="1"/>
    <xf numFmtId="174" fontId="0" fillId="0" borderId="46" xfId="0" applyNumberFormat="1" applyBorder="1"/>
    <xf numFmtId="0" fontId="0" fillId="0" borderId="29" xfId="0" applyBorder="1" applyAlignment="1">
      <alignment horizontal="center" wrapText="1"/>
    </xf>
    <xf numFmtId="0" fontId="13" fillId="0" borderId="0" xfId="0" applyFont="1"/>
    <xf numFmtId="1" fontId="13" fillId="0" borderId="0" xfId="0" applyNumberFormat="1" applyFont="1"/>
    <xf numFmtId="165" fontId="5" fillId="0" borderId="2" xfId="5" applyFont="1" applyBorder="1" applyAlignment="1">
      <alignment horizontal="center" vertical="top" wrapText="1"/>
    </xf>
    <xf numFmtId="166" fontId="12" fillId="0" borderId="2" xfId="5" applyNumberFormat="1" applyFont="1" applyBorder="1" applyAlignment="1">
      <alignment horizontal="center" vertical="top" wrapText="1"/>
    </xf>
    <xf numFmtId="165" fontId="12" fillId="0" borderId="2" xfId="5" applyFont="1" applyBorder="1" applyAlignment="1">
      <alignment horizontal="center" vertical="top" wrapText="1"/>
    </xf>
    <xf numFmtId="165" fontId="5" fillId="0" borderId="2" xfId="5" applyFont="1" applyBorder="1" applyAlignment="1">
      <alignment vertical="top" wrapText="1"/>
    </xf>
    <xf numFmtId="165" fontId="5" fillId="0" borderId="19" xfId="5" applyFont="1" applyBorder="1" applyAlignment="1">
      <alignment vertical="top" wrapText="1"/>
    </xf>
    <xf numFmtId="165" fontId="5" fillId="0" borderId="19" xfId="5" applyFont="1" applyBorder="1" applyAlignment="1">
      <alignment horizontal="center" vertical="top" wrapText="1"/>
    </xf>
    <xf numFmtId="165" fontId="6" fillId="0" borderId="19" xfId="5" applyFont="1" applyBorder="1" applyAlignment="1">
      <alignment vertical="top"/>
    </xf>
    <xf numFmtId="166" fontId="6" fillId="0" borderId="13" xfId="5" applyNumberFormat="1" applyFont="1" applyBorder="1" applyAlignment="1">
      <alignment vertical="top"/>
    </xf>
    <xf numFmtId="165" fontId="6" fillId="0" borderId="19" xfId="5" applyFont="1" applyBorder="1" applyAlignment="1">
      <alignment horizontal="center" vertical="top"/>
    </xf>
    <xf numFmtId="166" fontId="6" fillId="0" borderId="13" xfId="5" applyNumberFormat="1" applyFont="1" applyBorder="1" applyAlignment="1">
      <alignment horizontal="center" vertical="top"/>
    </xf>
    <xf numFmtId="166" fontId="5" fillId="0" borderId="17" xfId="5" applyNumberFormat="1" applyFont="1" applyBorder="1" applyAlignment="1">
      <alignment horizontal="center" vertical="top"/>
    </xf>
    <xf numFmtId="165" fontId="5" fillId="0" borderId="23" xfId="5" applyFont="1" applyBorder="1" applyAlignment="1">
      <alignment horizontal="left" vertical="top"/>
    </xf>
    <xf numFmtId="165" fontId="5" fillId="0" borderId="23" xfId="5" applyFont="1" applyBorder="1" applyAlignment="1">
      <alignment vertical="top"/>
    </xf>
    <xf numFmtId="165" fontId="5" fillId="0" borderId="23" xfId="5" applyFont="1" applyBorder="1" applyAlignment="1">
      <alignment horizontal="center" vertical="top" wrapText="1"/>
    </xf>
    <xf numFmtId="165" fontId="5" fillId="0" borderId="23" xfId="5" applyFont="1" applyBorder="1" applyAlignment="1">
      <alignment vertical="top" wrapText="1"/>
    </xf>
    <xf numFmtId="166" fontId="6" fillId="0" borderId="23" xfId="5" applyNumberFormat="1" applyFont="1" applyBorder="1" applyAlignment="1">
      <alignment horizontal="center" vertical="top"/>
    </xf>
    <xf numFmtId="166" fontId="6" fillId="0" borderId="23" xfId="5" applyNumberFormat="1" applyFont="1" applyBorder="1" applyAlignment="1">
      <alignment vertical="top"/>
    </xf>
    <xf numFmtId="166" fontId="5" fillId="0" borderId="2" xfId="5" applyNumberFormat="1" applyFont="1" applyBorder="1" applyAlignment="1">
      <alignment horizontal="center" vertical="top"/>
    </xf>
    <xf numFmtId="165" fontId="6" fillId="0" borderId="2" xfId="5" applyFont="1" applyBorder="1" applyAlignment="1">
      <alignment vertical="top"/>
    </xf>
    <xf numFmtId="165" fontId="5" fillId="0" borderId="2" xfId="5" applyFont="1" applyBorder="1" applyAlignment="1">
      <alignment horizontal="right" vertical="top" wrapText="1"/>
    </xf>
    <xf numFmtId="165" fontId="5" fillId="0" borderId="2" xfId="5" applyFont="1" applyBorder="1" applyAlignment="1">
      <alignment horizontal="center" vertical="top"/>
    </xf>
    <xf numFmtId="165" fontId="18" fillId="0" borderId="3" xfId="5" applyFont="1" applyBorder="1" applyAlignment="1">
      <alignment vertical="top" wrapText="1"/>
    </xf>
    <xf numFmtId="165" fontId="18" fillId="3" borderId="0" xfId="5" applyFont="1" applyFill="1" applyAlignment="1">
      <alignment vertical="top" wrapText="1"/>
    </xf>
    <xf numFmtId="1" fontId="9" fillId="3" borderId="1" xfId="0" applyNumberFormat="1" applyFont="1" applyFill="1" applyBorder="1"/>
    <xf numFmtId="0" fontId="9" fillId="3" borderId="2" xfId="0" applyFont="1" applyFill="1" applyBorder="1"/>
    <xf numFmtId="175" fontId="0" fillId="0" borderId="0" xfId="0" applyNumberFormat="1"/>
    <xf numFmtId="4" fontId="0" fillId="3" borderId="5" xfId="0" applyNumberFormat="1" applyFill="1" applyBorder="1"/>
    <xf numFmtId="0" fontId="0" fillId="3" borderId="6" xfId="0" applyFill="1" applyBorder="1"/>
    <xf numFmtId="176" fontId="28" fillId="0" borderId="0" xfId="0" applyNumberFormat="1" applyFont="1" applyAlignment="1">
      <alignment horizontal="center" vertical="top"/>
    </xf>
    <xf numFmtId="176" fontId="28" fillId="0" borderId="0" xfId="0" applyNumberFormat="1" applyFont="1" applyAlignment="1">
      <alignment horizontal="center"/>
    </xf>
    <xf numFmtId="166" fontId="29" fillId="0" borderId="13" xfId="0" applyNumberFormat="1" applyFont="1" applyBorder="1" applyAlignment="1">
      <alignment horizontal="center" vertical="center" wrapText="1"/>
    </xf>
    <xf numFmtId="3" fontId="0" fillId="7" borderId="5" xfId="0" applyNumberFormat="1" applyFill="1" applyBorder="1"/>
    <xf numFmtId="166" fontId="6" fillId="0" borderId="0" xfId="5" applyNumberFormat="1" applyFont="1" applyAlignment="1">
      <alignment horizontal="center" vertical="top" wrapText="1"/>
    </xf>
    <xf numFmtId="4" fontId="0" fillId="3" borderId="7" xfId="0" applyNumberFormat="1" applyFill="1" applyBorder="1"/>
    <xf numFmtId="3" fontId="13" fillId="3" borderId="6" xfId="0" applyNumberFormat="1" applyFont="1" applyFill="1" applyBorder="1"/>
    <xf numFmtId="172" fontId="13" fillId="3" borderId="5" xfId="0" applyNumberFormat="1" applyFont="1" applyFill="1" applyBorder="1" applyAlignment="1">
      <alignment horizontal="right" vertical="top"/>
    </xf>
    <xf numFmtId="172" fontId="13" fillId="3" borderId="7" xfId="0" applyNumberFormat="1" applyFont="1" applyFill="1" applyBorder="1" applyAlignment="1">
      <alignment horizontal="right" vertical="top"/>
    </xf>
    <xf numFmtId="4" fontId="0" fillId="3" borderId="5" xfId="6" applyNumberFormat="1" applyFont="1" applyFill="1" applyBorder="1"/>
    <xf numFmtId="4" fontId="0" fillId="3" borderId="7" xfId="6" applyNumberFormat="1" applyFont="1" applyFill="1" applyBorder="1"/>
    <xf numFmtId="3" fontId="0" fillId="0" borderId="5" xfId="0" applyNumberFormat="1" applyBorder="1"/>
    <xf numFmtId="3" fontId="0" fillId="0" borderId="7" xfId="0" applyNumberFormat="1" applyBorder="1"/>
    <xf numFmtId="3" fontId="13" fillId="7" borderId="6" xfId="0" applyNumberFormat="1" applyFont="1" applyFill="1" applyBorder="1"/>
    <xf numFmtId="1" fontId="23" fillId="0" borderId="5" xfId="0" applyNumberFormat="1" applyFont="1" applyBorder="1"/>
    <xf numFmtId="1" fontId="0" fillId="0" borderId="5" xfId="0" applyNumberFormat="1" applyBorder="1"/>
    <xf numFmtId="1" fontId="0" fillId="0" borderId="7" xfId="0" applyNumberFormat="1" applyBorder="1"/>
    <xf numFmtId="1" fontId="0" fillId="3" borderId="6" xfId="0" applyNumberFormat="1" applyFill="1" applyBorder="1"/>
    <xf numFmtId="1" fontId="23" fillId="3" borderId="5" xfId="0" applyNumberFormat="1" applyFont="1" applyFill="1" applyBorder="1"/>
    <xf numFmtId="1" fontId="0" fillId="3" borderId="5" xfId="0" applyNumberFormat="1" applyFill="1" applyBorder="1"/>
    <xf numFmtId="1" fontId="0" fillId="3" borderId="7" xfId="0" applyNumberFormat="1" applyFill="1" applyBorder="1"/>
    <xf numFmtId="1" fontId="23" fillId="3" borderId="6" xfId="0" applyNumberFormat="1" applyFont="1" applyFill="1" applyBorder="1"/>
    <xf numFmtId="1" fontId="23" fillId="3" borderId="7" xfId="0" applyNumberFormat="1" applyFont="1" applyFill="1" applyBorder="1"/>
    <xf numFmtId="1" fontId="23" fillId="7" borderId="6" xfId="0" applyNumberFormat="1" applyFont="1" applyFill="1" applyBorder="1"/>
    <xf numFmtId="1" fontId="0" fillId="7" borderId="5" xfId="0" applyNumberFormat="1" applyFill="1" applyBorder="1"/>
    <xf numFmtId="1" fontId="0" fillId="7" borderId="7" xfId="0" applyNumberFormat="1" applyFill="1" applyBorder="1"/>
    <xf numFmtId="1" fontId="0" fillId="7" borderId="6" xfId="0" applyNumberFormat="1" applyFill="1" applyBorder="1"/>
    <xf numFmtId="1" fontId="0" fillId="8" borderId="6" xfId="0" applyNumberFormat="1" applyFill="1" applyBorder="1"/>
    <xf numFmtId="1" fontId="0" fillId="8" borderId="5" xfId="0" applyNumberFormat="1" applyFill="1" applyBorder="1"/>
    <xf numFmtId="1" fontId="0" fillId="8" borderId="7" xfId="0" applyNumberFormat="1" applyFill="1" applyBorder="1"/>
    <xf numFmtId="1" fontId="13" fillId="7" borderId="6" xfId="0" applyNumberFormat="1" applyFont="1" applyFill="1" applyBorder="1"/>
    <xf numFmtId="1" fontId="13" fillId="7" borderId="5" xfId="0" applyNumberFormat="1" applyFont="1" applyFill="1" applyBorder="1"/>
    <xf numFmtId="1" fontId="23" fillId="0" borderId="7" xfId="0" applyNumberFormat="1" applyFont="1" applyBorder="1"/>
    <xf numFmtId="1" fontId="0" fillId="3" borderId="0" xfId="0" applyNumberFormat="1" applyFill="1"/>
    <xf numFmtId="2" fontId="0" fillId="8" borderId="6" xfId="0" applyNumberFormat="1" applyFill="1" applyBorder="1"/>
    <xf numFmtId="2" fontId="0" fillId="8" borderId="7" xfId="0" applyNumberFormat="1" applyFill="1" applyBorder="1"/>
    <xf numFmtId="1" fontId="23" fillId="0" borderId="6" xfId="0" applyNumberFormat="1" applyFont="1" applyBorder="1"/>
    <xf numFmtId="0" fontId="13" fillId="3" borderId="6" xfId="0" applyFont="1" applyFill="1" applyBorder="1"/>
    <xf numFmtId="0" fontId="23" fillId="3" borderId="5" xfId="0" applyFont="1" applyFill="1" applyBorder="1"/>
    <xf numFmtId="0" fontId="23" fillId="3" borderId="7" xfId="0" applyFont="1" applyFill="1" applyBorder="1"/>
    <xf numFmtId="1" fontId="0" fillId="8" borderId="3" xfId="0" applyNumberFormat="1" applyFill="1" applyBorder="1"/>
    <xf numFmtId="4" fontId="0" fillId="0" borderId="3" xfId="0" applyNumberFormat="1" applyBorder="1"/>
    <xf numFmtId="3" fontId="13" fillId="3" borderId="5" xfId="0" applyNumberFormat="1" applyFont="1" applyFill="1" applyBorder="1"/>
    <xf numFmtId="4" fontId="0" fillId="0" borderId="6" xfId="0" applyNumberFormat="1" applyBorder="1" applyAlignment="1">
      <alignment horizontal="right" vertical="top"/>
    </xf>
    <xf numFmtId="4" fontId="0" fillId="0" borderId="5" xfId="0" applyNumberFormat="1" applyBorder="1" applyAlignment="1">
      <alignment horizontal="right" vertical="top"/>
    </xf>
    <xf numFmtId="4" fontId="0" fillId="0" borderId="7" xfId="0" applyNumberFormat="1" applyBorder="1" applyAlignment="1">
      <alignment horizontal="right" vertical="top"/>
    </xf>
    <xf numFmtId="3" fontId="23" fillId="3" borderId="6" xfId="0" applyNumberFormat="1" applyFont="1" applyFill="1" applyBorder="1" applyAlignment="1">
      <alignment horizontal="right" vertical="top"/>
    </xf>
    <xf numFmtId="4" fontId="9" fillId="0" borderId="6" xfId="0" applyNumberFormat="1" applyFont="1" applyBorder="1"/>
    <xf numFmtId="4" fontId="9" fillId="0" borderId="5" xfId="0" applyNumberFormat="1" applyFont="1" applyBorder="1"/>
    <xf numFmtId="4" fontId="27" fillId="3" borderId="5" xfId="0" applyNumberFormat="1" applyFont="1" applyFill="1" applyBorder="1"/>
    <xf numFmtId="4" fontId="9" fillId="0" borderId="7" xfId="0" applyNumberFormat="1" applyFont="1" applyBorder="1"/>
    <xf numFmtId="4" fontId="0" fillId="0" borderId="6" xfId="6" applyNumberFormat="1" applyFont="1" applyBorder="1"/>
    <xf numFmtId="172" fontId="13" fillId="0" borderId="6" xfId="0" applyNumberFormat="1" applyFont="1" applyBorder="1" applyAlignment="1">
      <alignment horizontal="right" vertical="top"/>
    </xf>
    <xf numFmtId="172" fontId="23" fillId="3" borderId="0" xfId="0" applyNumberFormat="1" applyFont="1" applyFill="1" applyAlignment="1">
      <alignment horizontal="right" vertical="top"/>
    </xf>
    <xf numFmtId="0" fontId="0" fillId="8" borderId="31" xfId="0" applyFill="1" applyBorder="1" applyAlignment="1">
      <alignment horizontal="center"/>
    </xf>
    <xf numFmtId="0" fontId="23" fillId="3" borderId="3" xfId="0" applyFont="1" applyFill="1" applyBorder="1" applyAlignment="1">
      <alignment horizontal="center" wrapText="1"/>
    </xf>
    <xf numFmtId="3" fontId="23" fillId="3" borderId="6" xfId="0" applyNumberFormat="1" applyFont="1" applyFill="1" applyBorder="1"/>
    <xf numFmtId="3" fontId="13" fillId="3" borderId="0" xfId="0" applyNumberFormat="1" applyFont="1" applyFill="1"/>
    <xf numFmtId="4" fontId="0" fillId="3" borderId="0" xfId="0" applyNumberFormat="1" applyFill="1"/>
    <xf numFmtId="3" fontId="23" fillId="3" borderId="0" xfId="0" applyNumberFormat="1" applyFont="1" applyFill="1" applyAlignment="1">
      <alignment horizontal="right" vertical="top"/>
    </xf>
    <xf numFmtId="172" fontId="13" fillId="3" borderId="0" xfId="0" applyNumberFormat="1" applyFont="1" applyFill="1" applyAlignment="1">
      <alignment horizontal="right" vertical="top"/>
    </xf>
    <xf numFmtId="4" fontId="0" fillId="3" borderId="0" xfId="6" applyNumberFormat="1" applyFont="1" applyFill="1" applyBorder="1"/>
    <xf numFmtId="3" fontId="13" fillId="7" borderId="0" xfId="0" applyNumberFormat="1" applyFont="1" applyFill="1"/>
    <xf numFmtId="3" fontId="23" fillId="3" borderId="3" xfId="0" applyNumberFormat="1" applyFont="1" applyFill="1" applyBorder="1"/>
    <xf numFmtId="1" fontId="23" fillId="3" borderId="3" xfId="0" applyNumberFormat="1" applyFont="1" applyFill="1" applyBorder="1"/>
    <xf numFmtId="174" fontId="0" fillId="0" borderId="2" xfId="0" applyNumberFormat="1" applyBorder="1"/>
    <xf numFmtId="0" fontId="9" fillId="0" borderId="31" xfId="0" applyFont="1" applyBorder="1"/>
    <xf numFmtId="3" fontId="6" fillId="0" borderId="0" xfId="5" applyNumberFormat="1" applyFont="1" applyAlignment="1">
      <alignment horizontal="center" vertical="top"/>
    </xf>
    <xf numFmtId="3" fontId="30" fillId="3" borderId="2" xfId="5" applyNumberFormat="1" applyFont="1" applyFill="1" applyBorder="1" applyAlignment="1">
      <alignment horizontal="center" vertical="top" wrapText="1"/>
    </xf>
    <xf numFmtId="3" fontId="5" fillId="0" borderId="8" xfId="5" quotePrefix="1" applyNumberFormat="1" applyFont="1" applyBorder="1" applyAlignment="1">
      <alignment horizontal="center" vertical="top" wrapText="1"/>
    </xf>
    <xf numFmtId="3" fontId="5" fillId="0" borderId="19" xfId="5" applyNumberFormat="1" applyFont="1" applyBorder="1" applyAlignment="1">
      <alignment horizontal="center" vertical="top"/>
    </xf>
    <xf numFmtId="3" fontId="2" fillId="0" borderId="13" xfId="0" applyNumberFormat="1"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2" fillId="0" borderId="23" xfId="0" applyNumberFormat="1" applyFont="1" applyBorder="1" applyAlignment="1">
      <alignment horizontal="center" vertical="center" wrapText="1"/>
    </xf>
    <xf numFmtId="3" fontId="5" fillId="0" borderId="23" xfId="5" applyNumberFormat="1" applyFont="1" applyBorder="1" applyAlignment="1">
      <alignment vertical="top"/>
    </xf>
    <xf numFmtId="3" fontId="5" fillId="0" borderId="2" xfId="5" applyNumberFormat="1" applyFont="1" applyBorder="1" applyAlignment="1">
      <alignment horizontal="right" vertical="top"/>
    </xf>
    <xf numFmtId="3" fontId="5" fillId="3" borderId="3" xfId="5" applyNumberFormat="1" applyFont="1" applyFill="1" applyBorder="1" applyAlignment="1">
      <alignment horizontal="center" vertical="top"/>
    </xf>
    <xf numFmtId="3" fontId="5" fillId="7" borderId="3" xfId="5" applyNumberFormat="1" applyFont="1" applyFill="1" applyBorder="1" applyAlignment="1">
      <alignment horizontal="center" vertical="top"/>
    </xf>
    <xf numFmtId="3" fontId="6" fillId="0" borderId="0" xfId="5" applyNumberFormat="1" applyFont="1" applyAlignment="1">
      <alignment vertical="top"/>
    </xf>
    <xf numFmtId="3" fontId="6" fillId="0" borderId="0" xfId="5" applyNumberFormat="1" applyFont="1" applyAlignment="1">
      <alignment horizontal="right" vertical="top"/>
    </xf>
    <xf numFmtId="3" fontId="12" fillId="0" borderId="2" xfId="5" applyNumberFormat="1" applyFont="1" applyBorder="1" applyAlignment="1">
      <alignment horizontal="center" vertical="top" wrapText="1"/>
    </xf>
    <xf numFmtId="3" fontId="5" fillId="0" borderId="19" xfId="5" applyNumberFormat="1" applyFont="1" applyBorder="1" applyAlignment="1">
      <alignment horizontal="right" vertical="top"/>
    </xf>
    <xf numFmtId="3" fontId="5" fillId="0" borderId="13" xfId="0" applyNumberFormat="1" applyFont="1" applyBorder="1" applyAlignment="1">
      <alignment horizontal="center" vertical="center" wrapText="1"/>
    </xf>
    <xf numFmtId="3" fontId="5" fillId="0" borderId="23" xfId="5" applyNumberFormat="1" applyFont="1" applyBorder="1" applyAlignment="1">
      <alignment horizontal="right" vertical="top"/>
    </xf>
    <xf numFmtId="3" fontId="6" fillId="0" borderId="0" xfId="5" applyNumberFormat="1" applyFont="1" applyAlignment="1">
      <alignment horizontal="left" vertical="top"/>
    </xf>
    <xf numFmtId="165" fontId="12" fillId="0" borderId="0" xfId="5" applyFont="1" applyAlignment="1">
      <alignment horizontal="center" vertical="top" wrapText="1"/>
    </xf>
    <xf numFmtId="166" fontId="5" fillId="0" borderId="0" xfId="5" quotePrefix="1" applyNumberFormat="1" applyFont="1" applyAlignment="1">
      <alignment horizontal="center" vertical="top" wrapText="1"/>
    </xf>
    <xf numFmtId="166" fontId="2" fillId="0" borderId="0" xfId="0" applyNumberFormat="1" applyFont="1" applyAlignment="1">
      <alignment horizontal="center" vertical="center" wrapText="1"/>
    </xf>
    <xf numFmtId="166" fontId="5" fillId="7" borderId="3" xfId="5" applyNumberFormat="1" applyFont="1" applyFill="1" applyBorder="1" applyAlignment="1">
      <alignment horizontal="center" vertical="top" wrapText="1"/>
    </xf>
    <xf numFmtId="166" fontId="6" fillId="3" borderId="0" xfId="5" applyNumberFormat="1" applyFont="1" applyFill="1" applyAlignment="1">
      <alignment vertical="top"/>
    </xf>
    <xf numFmtId="3" fontId="5" fillId="7" borderId="2" xfId="5" applyNumberFormat="1" applyFont="1" applyFill="1" applyBorder="1" applyAlignment="1">
      <alignment horizontal="right" vertical="top"/>
    </xf>
    <xf numFmtId="166" fontId="5" fillId="7" borderId="2" xfId="5" applyNumberFormat="1" applyFont="1" applyFill="1" applyBorder="1" applyAlignment="1">
      <alignment horizontal="right" vertical="top"/>
    </xf>
    <xf numFmtId="0" fontId="0" fillId="0" borderId="1" xfId="0" applyBorder="1" applyAlignment="1">
      <alignment horizontal="center"/>
    </xf>
    <xf numFmtId="1" fontId="23" fillId="0" borderId="36" xfId="0" applyNumberFormat="1" applyFont="1" applyBorder="1"/>
    <xf numFmtId="0" fontId="23" fillId="0" borderId="32" xfId="0" applyFont="1" applyBorder="1"/>
    <xf numFmtId="1" fontId="23" fillId="0" borderId="37" xfId="0" applyNumberFormat="1" applyFont="1" applyBorder="1"/>
    <xf numFmtId="0" fontId="0" fillId="0" borderId="4" xfId="0" applyBorder="1"/>
    <xf numFmtId="166" fontId="18" fillId="0" borderId="0" xfId="5" applyNumberFormat="1" applyFont="1" applyAlignment="1">
      <alignment vertical="top"/>
    </xf>
    <xf numFmtId="166" fontId="5" fillId="3" borderId="3" xfId="5" applyNumberFormat="1" applyFont="1" applyFill="1" applyBorder="1" applyAlignment="1">
      <alignment vertical="top"/>
    </xf>
    <xf numFmtId="0" fontId="0" fillId="0" borderId="0" xfId="0" applyAlignment="1">
      <alignment vertical="center" wrapText="1"/>
    </xf>
    <xf numFmtId="0" fontId="0" fillId="0" borderId="0" xfId="0" applyAlignment="1">
      <alignment horizontal="center" vertical="center"/>
    </xf>
    <xf numFmtId="169" fontId="24" fillId="0" borderId="0" xfId="0" applyNumberFormat="1" applyFont="1" applyAlignment="1">
      <alignment horizontal="center"/>
    </xf>
    <xf numFmtId="0" fontId="0" fillId="0" borderId="32" xfId="0" applyBorder="1"/>
    <xf numFmtId="169" fontId="31" fillId="0" borderId="7" xfId="0" applyNumberFormat="1" applyFont="1" applyBorder="1" applyAlignment="1">
      <alignment horizontal="center"/>
    </xf>
    <xf numFmtId="0" fontId="0" fillId="0" borderId="1" xfId="0" applyBorder="1"/>
    <xf numFmtId="0" fontId="0" fillId="0" borderId="31" xfId="0" applyBorder="1"/>
    <xf numFmtId="0" fontId="0" fillId="0" borderId="2" xfId="0" applyBorder="1"/>
    <xf numFmtId="3" fontId="5" fillId="4" borderId="3" xfId="5" applyNumberFormat="1" applyFont="1" applyFill="1" applyBorder="1" applyAlignment="1">
      <alignment horizontal="right" vertical="top"/>
    </xf>
    <xf numFmtId="0" fontId="0" fillId="0" borderId="27" xfId="0" applyBorder="1" applyAlignment="1">
      <alignment horizontal="center" vertical="center"/>
    </xf>
    <xf numFmtId="0" fontId="9" fillId="0" borderId="27" xfId="0" applyFont="1" applyBorder="1" applyAlignment="1">
      <alignment vertical="center" wrapText="1"/>
    </xf>
    <xf numFmtId="0" fontId="0" fillId="0" borderId="27" xfId="0" applyBorder="1" applyAlignment="1">
      <alignment vertical="center" wrapText="1"/>
    </xf>
    <xf numFmtId="166" fontId="6" fillId="0" borderId="3" xfId="5" applyNumberFormat="1" applyFont="1" applyBorder="1" applyAlignment="1">
      <alignment horizontal="center" vertical="top" wrapText="1"/>
    </xf>
    <xf numFmtId="166" fontId="22" fillId="0" borderId="3" xfId="5" applyNumberFormat="1" applyFont="1" applyBorder="1" applyAlignment="1">
      <alignment horizontal="center" vertical="top" wrapText="1"/>
    </xf>
    <xf numFmtId="166" fontId="5" fillId="7" borderId="3" xfId="5" applyNumberFormat="1" applyFont="1" applyFill="1" applyBorder="1" applyAlignment="1">
      <alignment horizontal="right" vertical="top"/>
    </xf>
    <xf numFmtId="166" fontId="22" fillId="0" borderId="0" xfId="5" applyNumberFormat="1" applyFont="1" applyAlignment="1">
      <alignment vertical="top"/>
    </xf>
    <xf numFmtId="166" fontId="6" fillId="4" borderId="0" xfId="5" applyNumberFormat="1" applyFont="1" applyFill="1" applyAlignment="1">
      <alignment vertical="top"/>
    </xf>
    <xf numFmtId="166" fontId="33" fillId="0" borderId="0" xfId="5" applyNumberFormat="1" applyFont="1" applyAlignment="1">
      <alignment vertical="top"/>
    </xf>
    <xf numFmtId="166" fontId="5" fillId="3" borderId="3" xfId="5" applyNumberFormat="1" applyFont="1" applyFill="1" applyBorder="1" applyAlignment="1">
      <alignment horizontal="right" vertical="top"/>
    </xf>
    <xf numFmtId="166" fontId="6" fillId="4" borderId="7" xfId="5" applyNumberFormat="1" applyFont="1" applyFill="1" applyBorder="1" applyAlignment="1">
      <alignment horizontal="center" vertical="top" wrapText="1"/>
    </xf>
    <xf numFmtId="0" fontId="0" fillId="0" borderId="31" xfId="0" applyBorder="1" applyAlignment="1">
      <alignment horizontal="center"/>
    </xf>
    <xf numFmtId="0" fontId="0" fillId="0" borderId="3" xfId="0" applyBorder="1" applyAlignment="1">
      <alignment horizontal="center"/>
    </xf>
    <xf numFmtId="0" fontId="0" fillId="0" borderId="3" xfId="0" applyBorder="1" applyAlignment="1">
      <alignment horizontal="center" wrapText="1"/>
    </xf>
    <xf numFmtId="0" fontId="0" fillId="0" borderId="48" xfId="0" applyBorder="1"/>
    <xf numFmtId="0" fontId="0" fillId="0" borderId="49" xfId="0" applyBorder="1"/>
    <xf numFmtId="0" fontId="0" fillId="0" borderId="38" xfId="0" applyBorder="1" applyAlignment="1">
      <alignment horizontal="center"/>
    </xf>
    <xf numFmtId="0" fontId="0" fillId="0" borderId="50" xfId="0" applyBorder="1"/>
    <xf numFmtId="0" fontId="0" fillId="0" borderId="51" xfId="0" applyBorder="1"/>
    <xf numFmtId="0" fontId="0" fillId="0" borderId="20" xfId="0" applyBorder="1"/>
    <xf numFmtId="0" fontId="0" fillId="0" borderId="52" xfId="0" applyBorder="1"/>
    <xf numFmtId="0" fontId="0" fillId="0" borderId="26" xfId="0" applyBorder="1" applyAlignment="1">
      <alignment horizontal="center" wrapText="1"/>
    </xf>
    <xf numFmtId="0" fontId="0" fillId="9" borderId="11" xfId="0" applyFill="1" applyBorder="1"/>
    <xf numFmtId="0" fontId="0" fillId="7" borderId="11" xfId="0" applyFill="1" applyBorder="1"/>
    <xf numFmtId="0" fontId="0" fillId="3" borderId="11" xfId="0" applyFill="1" applyBorder="1"/>
    <xf numFmtId="0" fontId="0" fillId="4" borderId="22" xfId="0" applyFill="1" applyBorder="1"/>
    <xf numFmtId="0" fontId="0" fillId="0" borderId="35" xfId="0" applyBorder="1" applyAlignment="1">
      <alignment horizontal="center"/>
    </xf>
    <xf numFmtId="0" fontId="0" fillId="0" borderId="12" xfId="0" applyBorder="1"/>
    <xf numFmtId="0" fontId="0" fillId="0" borderId="53" xfId="0" applyBorder="1"/>
    <xf numFmtId="0" fontId="0" fillId="0" borderId="26" xfId="0" applyBorder="1" applyAlignment="1">
      <alignment horizontal="center"/>
    </xf>
    <xf numFmtId="0" fontId="0" fillId="0" borderId="11" xfId="0" applyBorder="1"/>
    <xf numFmtId="0" fontId="0" fillId="0" borderId="11" xfId="0" applyBorder="1" applyAlignment="1">
      <alignment wrapText="1"/>
    </xf>
    <xf numFmtId="0" fontId="0" fillId="0" borderId="22" xfId="0" applyBorder="1" applyAlignment="1">
      <alignment wrapText="1"/>
    </xf>
    <xf numFmtId="0" fontId="0" fillId="0" borderId="20" xfId="0" applyBorder="1" applyAlignment="1">
      <alignment horizontal="center" wrapText="1"/>
    </xf>
    <xf numFmtId="0" fontId="0" fillId="0" borderId="16" xfId="0" applyBorder="1" applyAlignment="1">
      <alignment horizontal="center"/>
    </xf>
    <xf numFmtId="0" fontId="0" fillId="0" borderId="11" xfId="0" applyBorder="1" applyAlignment="1">
      <alignment horizontal="center"/>
    </xf>
    <xf numFmtId="0" fontId="0" fillId="0" borderId="22" xfId="0" applyBorder="1"/>
    <xf numFmtId="4" fontId="0" fillId="0" borderId="20" xfId="0" applyNumberFormat="1" applyBorder="1"/>
    <xf numFmtId="0" fontId="0" fillId="0" borderId="19" xfId="0" applyBorder="1" applyAlignment="1">
      <alignment horizontal="center" wrapText="1"/>
    </xf>
    <xf numFmtId="0" fontId="0" fillId="0" borderId="13" xfId="0" applyBorder="1" applyAlignment="1">
      <alignment horizontal="center" wrapText="1"/>
    </xf>
    <xf numFmtId="0" fontId="0" fillId="7" borderId="13" xfId="0" applyFill="1" applyBorder="1"/>
    <xf numFmtId="0" fontId="0" fillId="9" borderId="13" xfId="0" applyFill="1" applyBorder="1"/>
    <xf numFmtId="0" fontId="0" fillId="4" borderId="13" xfId="0" applyFill="1" applyBorder="1"/>
    <xf numFmtId="0" fontId="0" fillId="0" borderId="13" xfId="0" applyBorder="1"/>
    <xf numFmtId="0" fontId="0" fillId="9" borderId="25" xfId="0" applyFill="1" applyBorder="1"/>
    <xf numFmtId="166" fontId="2" fillId="0" borderId="5" xfId="0" applyNumberFormat="1" applyFont="1" applyBorder="1" applyAlignment="1">
      <alignment horizontal="center" vertical="center" wrapText="1"/>
    </xf>
    <xf numFmtId="165" fontId="5" fillId="0" borderId="3" xfId="5" applyFont="1" applyBorder="1" applyAlignment="1">
      <alignment vertical="top"/>
    </xf>
    <xf numFmtId="0" fontId="0" fillId="3" borderId="27" xfId="0" applyFill="1" applyBorder="1" applyAlignment="1">
      <alignment vertical="center" wrapText="1"/>
    </xf>
    <xf numFmtId="165" fontId="12" fillId="4" borderId="3" xfId="5" applyFont="1" applyFill="1" applyBorder="1" applyAlignment="1">
      <alignment horizontal="center" vertical="top" wrapText="1"/>
    </xf>
    <xf numFmtId="165" fontId="18" fillId="3" borderId="3" xfId="5" applyFont="1" applyFill="1" applyBorder="1" applyAlignment="1">
      <alignment vertical="top"/>
    </xf>
    <xf numFmtId="166" fontId="2" fillId="0" borderId="3" xfId="0" applyNumberFormat="1" applyFont="1" applyBorder="1" applyAlignment="1">
      <alignment horizontal="center" vertical="center" wrapText="1"/>
    </xf>
    <xf numFmtId="166" fontId="5" fillId="0" borderId="5" xfId="5" quotePrefix="1" applyNumberFormat="1" applyFont="1" applyBorder="1" applyAlignment="1">
      <alignment horizontal="center" vertical="top" wrapText="1"/>
    </xf>
    <xf numFmtId="165" fontId="6" fillId="0" borderId="5" xfId="5" applyFont="1" applyBorder="1" applyAlignment="1">
      <alignment vertical="top"/>
    </xf>
    <xf numFmtId="166" fontId="6" fillId="0" borderId="5" xfId="5" applyNumberFormat="1" applyFont="1" applyBorder="1" applyAlignment="1">
      <alignment vertical="top"/>
    </xf>
    <xf numFmtId="166" fontId="6" fillId="0" borderId="7" xfId="5" applyNumberFormat="1" applyFont="1" applyBorder="1" applyAlignment="1">
      <alignment vertical="top"/>
    </xf>
    <xf numFmtId="166" fontId="2" fillId="0" borderId="7" xfId="0" applyNumberFormat="1" applyFont="1" applyBorder="1" applyAlignment="1">
      <alignment horizontal="center" vertical="center" wrapText="1"/>
    </xf>
    <xf numFmtId="166" fontId="6" fillId="0" borderId="32" xfId="5" applyNumberFormat="1" applyFont="1" applyBorder="1" applyAlignment="1">
      <alignment vertical="top"/>
    </xf>
    <xf numFmtId="166" fontId="6" fillId="0" borderId="4" xfId="5" applyNumberFormat="1" applyFont="1" applyBorder="1" applyAlignment="1">
      <alignment vertical="top"/>
    </xf>
    <xf numFmtId="166" fontId="6" fillId="0" borderId="1" xfId="5" applyNumberFormat="1" applyFont="1" applyBorder="1" applyAlignment="1">
      <alignment vertical="top"/>
    </xf>
    <xf numFmtId="166" fontId="6" fillId="0" borderId="31" xfId="5" applyNumberFormat="1" applyFont="1" applyBorder="1" applyAlignment="1">
      <alignment vertical="top"/>
    </xf>
    <xf numFmtId="166" fontId="6" fillId="0" borderId="3" xfId="5" applyNumberFormat="1" applyFont="1" applyBorder="1" applyAlignment="1">
      <alignment vertical="top"/>
    </xf>
    <xf numFmtId="9" fontId="5" fillId="0" borderId="3" xfId="1" applyFont="1" applyBorder="1" applyAlignment="1">
      <alignment horizontal="center" vertical="top"/>
    </xf>
    <xf numFmtId="165" fontId="6" fillId="0" borderId="5" xfId="5" applyFont="1" applyBorder="1" applyAlignment="1">
      <alignment horizontal="center" vertical="top"/>
    </xf>
    <xf numFmtId="165" fontId="5" fillId="0" borderId="3" xfId="5" applyFont="1" applyBorder="1" applyAlignment="1">
      <alignment horizontal="center" vertical="top"/>
    </xf>
    <xf numFmtId="166" fontId="6" fillId="0" borderId="36" xfId="5" applyNumberFormat="1" applyFont="1" applyBorder="1" applyAlignment="1">
      <alignment horizontal="center" vertical="top"/>
    </xf>
    <xf numFmtId="166" fontId="6" fillId="0" borderId="37" xfId="5" applyNumberFormat="1" applyFont="1" applyBorder="1" applyAlignment="1">
      <alignment horizontal="center" vertical="top"/>
    </xf>
    <xf numFmtId="166" fontId="6" fillId="0" borderId="1" xfId="5" applyNumberFormat="1" applyFont="1" applyBorder="1" applyAlignment="1">
      <alignment horizontal="center" vertical="top"/>
    </xf>
    <xf numFmtId="10" fontId="6" fillId="0" borderId="46" xfId="1" applyNumberFormat="1" applyFont="1" applyBorder="1" applyAlignment="1">
      <alignment horizontal="center" vertical="top"/>
    </xf>
    <xf numFmtId="165" fontId="6" fillId="0" borderId="6" xfId="5" applyFont="1" applyBorder="1" applyAlignment="1">
      <alignment horizontal="center" vertical="top"/>
    </xf>
    <xf numFmtId="166" fontId="6" fillId="7" borderId="0" xfId="5" applyNumberFormat="1" applyFont="1" applyFill="1" applyAlignment="1">
      <alignment vertical="top"/>
    </xf>
    <xf numFmtId="3" fontId="21" fillId="3" borderId="13" xfId="0" applyNumberFormat="1" applyFont="1" applyFill="1" applyBorder="1" applyAlignment="1">
      <alignment horizontal="center" vertical="center" wrapText="1"/>
    </xf>
    <xf numFmtId="166" fontId="21" fillId="3" borderId="13" xfId="0" applyNumberFormat="1" applyFont="1" applyFill="1" applyBorder="1" applyAlignment="1">
      <alignment horizontal="center" vertical="center" wrapText="1"/>
    </xf>
    <xf numFmtId="166" fontId="21" fillId="3" borderId="19" xfId="0" applyNumberFormat="1" applyFont="1" applyFill="1" applyBorder="1" applyAlignment="1">
      <alignment horizontal="center" vertical="center" wrapText="1"/>
    </xf>
    <xf numFmtId="166" fontId="2" fillId="0" borderId="26" xfId="0" applyNumberFormat="1" applyFont="1" applyBorder="1" applyAlignment="1">
      <alignment horizontal="center" vertical="center" wrapText="1"/>
    </xf>
    <xf numFmtId="0" fontId="0" fillId="0" borderId="0" xfId="0" applyAlignment="1">
      <alignment vertical="center"/>
    </xf>
    <xf numFmtId="0" fontId="0" fillId="0" borderId="27" xfId="0" applyBorder="1" applyAlignment="1">
      <alignment horizontal="left" vertical="center" wrapText="1"/>
    </xf>
    <xf numFmtId="0" fontId="26" fillId="0" borderId="27" xfId="0" applyFont="1" applyBorder="1" applyAlignment="1">
      <alignment horizontal="left" vertical="center" wrapText="1"/>
    </xf>
    <xf numFmtId="0" fontId="0" fillId="0" borderId="3" xfId="0" applyBorder="1"/>
    <xf numFmtId="166" fontId="2" fillId="0" borderId="16" xfId="0" applyNumberFormat="1" applyFont="1" applyBorder="1" applyAlignment="1">
      <alignment horizontal="center" vertical="center" wrapText="1"/>
    </xf>
    <xf numFmtId="166" fontId="2" fillId="0" borderId="22" xfId="0" applyNumberFormat="1" applyFont="1" applyBorder="1" applyAlignment="1">
      <alignment horizontal="center" vertical="center" wrapText="1"/>
    </xf>
    <xf numFmtId="165" fontId="5" fillId="0" borderId="19" xfId="0" applyNumberFormat="1" applyFont="1" applyBorder="1" applyAlignment="1">
      <alignment horizontal="left" vertical="top" wrapText="1"/>
    </xf>
    <xf numFmtId="165" fontId="5" fillId="0" borderId="25" xfId="0" applyNumberFormat="1" applyFont="1" applyBorder="1" applyAlignment="1">
      <alignment horizontal="left" vertical="top" wrapText="1"/>
    </xf>
    <xf numFmtId="165" fontId="5" fillId="0" borderId="2" xfId="0" applyNumberFormat="1" applyFont="1" applyBorder="1" applyAlignment="1">
      <alignment horizontal="left" vertical="top" wrapText="1"/>
    </xf>
    <xf numFmtId="165" fontId="5" fillId="0" borderId="9" xfId="0" applyNumberFormat="1" applyFont="1" applyBorder="1" applyAlignment="1">
      <alignment horizontal="left" vertical="top" wrapText="1"/>
    </xf>
    <xf numFmtId="165" fontId="5" fillId="0" borderId="24" xfId="0" applyNumberFormat="1" applyFont="1" applyBorder="1" applyAlignment="1">
      <alignment horizontal="left" vertical="top" wrapText="1"/>
    </xf>
    <xf numFmtId="165" fontId="5" fillId="0" borderId="25" xfId="5" applyFont="1" applyBorder="1" applyAlignment="1">
      <alignment horizontal="right" vertical="top" wrapText="1"/>
    </xf>
    <xf numFmtId="2" fontId="9" fillId="0" borderId="19" xfId="0" applyNumberFormat="1" applyFont="1" applyBorder="1" applyAlignment="1">
      <alignment horizontal="center"/>
    </xf>
    <xf numFmtId="2" fontId="9" fillId="0" borderId="13" xfId="0" applyNumberFormat="1" applyFont="1" applyBorder="1" applyAlignment="1">
      <alignment horizontal="center"/>
    </xf>
    <xf numFmtId="2" fontId="9" fillId="0" borderId="25" xfId="0" applyNumberFormat="1" applyFont="1" applyBorder="1" applyAlignment="1">
      <alignment horizontal="center"/>
    </xf>
    <xf numFmtId="2" fontId="9" fillId="0" borderId="2" xfId="0" applyNumberFormat="1" applyFont="1" applyBorder="1" applyAlignment="1">
      <alignment horizontal="center"/>
    </xf>
    <xf numFmtId="2" fontId="9" fillId="0" borderId="9" xfId="0" applyNumberFormat="1" applyFont="1" applyBorder="1" applyAlignment="1">
      <alignment horizontal="center"/>
    </xf>
    <xf numFmtId="2" fontId="9" fillId="0" borderId="24" xfId="0" applyNumberFormat="1" applyFont="1" applyBorder="1" applyAlignment="1">
      <alignment horizontal="center"/>
    </xf>
    <xf numFmtId="4" fontId="5" fillId="7" borderId="25" xfId="5" applyNumberFormat="1" applyFont="1" applyFill="1" applyBorder="1" applyAlignment="1">
      <alignment horizontal="center" vertical="top"/>
    </xf>
    <xf numFmtId="165" fontId="12" fillId="4" borderId="2" xfId="5" applyFont="1" applyFill="1" applyBorder="1" applyAlignment="1">
      <alignment horizontal="center" vertical="top" wrapText="1"/>
    </xf>
    <xf numFmtId="166" fontId="2" fillId="0" borderId="19" xfId="0" applyNumberFormat="1" applyFont="1" applyBorder="1" applyAlignment="1">
      <alignment horizontal="center" vertical="center" wrapText="1"/>
    </xf>
    <xf numFmtId="166" fontId="2" fillId="0" borderId="25"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166" fontId="2" fillId="0" borderId="9" xfId="0" applyNumberFormat="1" applyFont="1" applyBorder="1" applyAlignment="1">
      <alignment horizontal="center" vertical="center" wrapText="1"/>
    </xf>
    <xf numFmtId="166" fontId="2" fillId="0" borderId="24" xfId="0" applyNumberFormat="1" applyFont="1" applyBorder="1" applyAlignment="1">
      <alignment horizontal="center" vertical="center" wrapText="1"/>
    </xf>
    <xf numFmtId="0" fontId="0" fillId="0" borderId="25" xfId="0" applyBorder="1"/>
    <xf numFmtId="3" fontId="12" fillId="3" borderId="2" xfId="5" applyNumberFormat="1" applyFont="1" applyFill="1" applyBorder="1" applyAlignment="1">
      <alignment horizontal="center" vertical="top" wrapText="1"/>
    </xf>
    <xf numFmtId="165" fontId="5" fillId="3" borderId="6" xfId="5" applyFont="1" applyFill="1" applyBorder="1" applyAlignment="1">
      <alignment vertical="top"/>
    </xf>
    <xf numFmtId="0" fontId="13" fillId="0" borderId="25" xfId="0" applyFont="1" applyBorder="1"/>
    <xf numFmtId="166" fontId="21" fillId="3" borderId="9" xfId="0" applyNumberFormat="1" applyFont="1" applyFill="1" applyBorder="1" applyAlignment="1">
      <alignment horizontal="center" vertical="center" wrapText="1"/>
    </xf>
    <xf numFmtId="166" fontId="18" fillId="3" borderId="0" xfId="5" applyNumberFormat="1" applyFont="1" applyFill="1" applyAlignment="1">
      <alignment vertical="top"/>
    </xf>
    <xf numFmtId="3" fontId="21" fillId="0" borderId="13" xfId="0" applyNumberFormat="1" applyFont="1" applyBorder="1" applyAlignment="1">
      <alignment horizontal="center" vertical="center" wrapText="1"/>
    </xf>
    <xf numFmtId="166" fontId="18" fillId="7" borderId="0" xfId="5" applyNumberFormat="1" applyFont="1" applyFill="1" applyAlignment="1">
      <alignment vertical="top"/>
    </xf>
    <xf numFmtId="0" fontId="9" fillId="3" borderId="36" xfId="0" applyFont="1" applyFill="1" applyBorder="1"/>
    <xf numFmtId="0" fontId="9" fillId="3" borderId="32" xfId="0" applyFont="1" applyFill="1" applyBorder="1" applyAlignment="1">
      <alignment horizontal="center"/>
    </xf>
    <xf numFmtId="0" fontId="9" fillId="3" borderId="37" xfId="0" applyFont="1" applyFill="1" applyBorder="1"/>
    <xf numFmtId="0" fontId="9" fillId="3" borderId="0" xfId="0" applyFont="1" applyFill="1" applyAlignment="1">
      <alignment horizontal="center"/>
    </xf>
    <xf numFmtId="0" fontId="9" fillId="3" borderId="46" xfId="0" applyFont="1" applyFill="1" applyBorder="1"/>
    <xf numFmtId="0" fontId="9" fillId="3" borderId="4" xfId="0" applyFont="1" applyFill="1" applyBorder="1" applyAlignment="1">
      <alignment horizontal="center"/>
    </xf>
    <xf numFmtId="0" fontId="9" fillId="3" borderId="9" xfId="0" applyFont="1" applyFill="1" applyBorder="1" applyAlignment="1">
      <alignment horizontal="center"/>
    </xf>
    <xf numFmtId="0" fontId="0" fillId="0" borderId="32" xfId="0" applyBorder="1" applyAlignment="1">
      <alignment horizontal="center"/>
    </xf>
    <xf numFmtId="0" fontId="0" fillId="0" borderId="8" xfId="0" applyBorder="1" applyAlignment="1">
      <alignment horizontal="center"/>
    </xf>
    <xf numFmtId="1" fontId="0" fillId="0" borderId="37" xfId="0" applyNumberFormat="1" applyBorder="1"/>
    <xf numFmtId="177" fontId="9" fillId="3" borderId="46" xfId="1" applyNumberFormat="1" applyFont="1" applyFill="1" applyBorder="1"/>
    <xf numFmtId="0" fontId="0" fillId="0" borderId="4" xfId="0" applyBorder="1" applyAlignment="1">
      <alignment horizontal="center"/>
    </xf>
    <xf numFmtId="0" fontId="0" fillId="0" borderId="9" xfId="0" applyBorder="1" applyAlignment="1">
      <alignment horizontal="center"/>
    </xf>
    <xf numFmtId="177" fontId="9" fillId="0" borderId="46" xfId="0" applyNumberFormat="1" applyFont="1" applyBorder="1"/>
    <xf numFmtId="174" fontId="0" fillId="0" borderId="10" xfId="0" applyNumberFormat="1" applyBorder="1" applyAlignment="1">
      <alignment horizontal="center"/>
    </xf>
    <xf numFmtId="177" fontId="9" fillId="3" borderId="8" xfId="1" applyNumberFormat="1" applyFont="1" applyFill="1" applyBorder="1" applyAlignment="1">
      <alignment horizontal="center"/>
    </xf>
    <xf numFmtId="177" fontId="9" fillId="3" borderId="10" xfId="1" applyNumberFormat="1" applyFont="1" applyFill="1" applyBorder="1" applyAlignment="1">
      <alignment horizontal="center"/>
    </xf>
    <xf numFmtId="0" fontId="9" fillId="3" borderId="32" xfId="0" applyFont="1" applyFill="1" applyBorder="1"/>
    <xf numFmtId="2" fontId="9" fillId="3" borderId="8" xfId="0" applyNumberFormat="1" applyFont="1" applyFill="1" applyBorder="1"/>
    <xf numFmtId="0" fontId="9" fillId="3" borderId="0" xfId="0" applyFont="1" applyFill="1"/>
    <xf numFmtId="2" fontId="9" fillId="3" borderId="10" xfId="0" applyNumberFormat="1" applyFont="1" applyFill="1" applyBorder="1"/>
    <xf numFmtId="0" fontId="9" fillId="3" borderId="4" xfId="0" applyFont="1" applyFill="1" applyBorder="1"/>
    <xf numFmtId="2" fontId="9" fillId="3" borderId="9" xfId="0" applyNumberFormat="1" applyFont="1" applyFill="1" applyBorder="1"/>
    <xf numFmtId="1" fontId="9" fillId="3" borderId="6" xfId="0" applyNumberFormat="1" applyFont="1" applyFill="1" applyBorder="1"/>
    <xf numFmtId="1" fontId="9" fillId="3" borderId="5" xfId="0" applyNumberFormat="1" applyFont="1" applyFill="1" applyBorder="1"/>
    <xf numFmtId="1" fontId="9" fillId="3" borderId="7" xfId="0" applyNumberFormat="1" applyFont="1" applyFill="1" applyBorder="1"/>
    <xf numFmtId="0" fontId="9" fillId="3" borderId="1" xfId="0" applyFont="1" applyFill="1" applyBorder="1"/>
    <xf numFmtId="0" fontId="9" fillId="3" borderId="31" xfId="0" applyFont="1" applyFill="1" applyBorder="1"/>
    <xf numFmtId="2" fontId="9" fillId="3" borderId="2" xfId="0" applyNumberFormat="1" applyFont="1" applyFill="1" applyBorder="1"/>
    <xf numFmtId="0" fontId="27" fillId="3" borderId="1" xfId="0" applyFont="1" applyFill="1" applyBorder="1"/>
    <xf numFmtId="0" fontId="0" fillId="3" borderId="31" xfId="0" applyFill="1" applyBorder="1"/>
    <xf numFmtId="2" fontId="0" fillId="3" borderId="2" xfId="0" applyNumberFormat="1" applyFill="1" applyBorder="1"/>
    <xf numFmtId="3" fontId="3" fillId="11" borderId="27" xfId="0" applyNumberFormat="1" applyFont="1" applyFill="1" applyBorder="1" applyAlignment="1">
      <alignment horizontal="center" vertical="top" wrapText="1"/>
    </xf>
    <xf numFmtId="0" fontId="9" fillId="12" borderId="27" xfId="0" applyFont="1" applyFill="1" applyBorder="1" applyAlignment="1">
      <alignment vertical="top"/>
    </xf>
    <xf numFmtId="0" fontId="9" fillId="12" borderId="27" xfId="0" applyFont="1" applyFill="1" applyBorder="1" applyAlignment="1">
      <alignment vertical="top" wrapText="1"/>
    </xf>
    <xf numFmtId="0" fontId="9" fillId="12" borderId="27" xfId="0" applyFont="1" applyFill="1" applyBorder="1" applyAlignment="1">
      <alignment horizontal="left" vertical="top" wrapText="1"/>
    </xf>
    <xf numFmtId="0" fontId="9" fillId="12" borderId="27" xfId="0" applyFont="1" applyFill="1" applyBorder="1" applyAlignment="1">
      <alignment horizontal="center" vertical="top" wrapText="1"/>
    </xf>
    <xf numFmtId="0" fontId="9" fillId="12" borderId="27" xfId="0" applyFont="1" applyFill="1" applyBorder="1" applyAlignment="1">
      <alignment horizontal="right" vertical="top" wrapText="1"/>
    </xf>
    <xf numFmtId="0" fontId="9" fillId="12" borderId="27" xfId="0" applyFont="1" applyFill="1" applyBorder="1" applyAlignment="1">
      <alignment horizontal="center" vertical="center" wrapText="1"/>
    </xf>
    <xf numFmtId="0" fontId="0" fillId="13" borderId="0" xfId="0" applyFill="1"/>
    <xf numFmtId="0" fontId="13" fillId="11" borderId="27" xfId="0" applyFont="1" applyFill="1" applyBorder="1" applyAlignment="1">
      <alignment horizontal="center" vertical="top"/>
    </xf>
    <xf numFmtId="165" fontId="6" fillId="11" borderId="27" xfId="0" applyNumberFormat="1" applyFont="1" applyFill="1" applyBorder="1" applyAlignment="1">
      <alignment horizontal="left" vertical="top" wrapText="1"/>
    </xf>
    <xf numFmtId="166" fontId="3" fillId="11" borderId="27" xfId="0" applyNumberFormat="1" applyFont="1" applyFill="1" applyBorder="1" applyAlignment="1">
      <alignment horizontal="left" vertical="top" wrapText="1"/>
    </xf>
    <xf numFmtId="166" fontId="3" fillId="11" borderId="27" xfId="0" applyNumberFormat="1" applyFont="1" applyFill="1" applyBorder="1" applyAlignment="1">
      <alignment horizontal="center" vertical="top" wrapText="1"/>
    </xf>
    <xf numFmtId="0" fontId="13" fillId="11" borderId="27" xfId="0" applyFont="1" applyFill="1" applyBorder="1" applyAlignment="1">
      <alignment vertical="top" wrapText="1"/>
    </xf>
    <xf numFmtId="3" fontId="3" fillId="11" borderId="27" xfId="0" applyNumberFormat="1" applyFont="1" applyFill="1" applyBorder="1" applyAlignment="1">
      <alignment horizontal="right" vertical="top" wrapText="1"/>
    </xf>
    <xf numFmtId="0" fontId="0" fillId="11" borderId="27" xfId="0" applyFill="1" applyBorder="1" applyAlignment="1">
      <alignment horizontal="center" vertical="center"/>
    </xf>
    <xf numFmtId="0" fontId="0" fillId="11" borderId="0" xfId="0" applyFill="1"/>
    <xf numFmtId="165" fontId="6" fillId="11" borderId="27" xfId="0" applyNumberFormat="1" applyFont="1" applyFill="1" applyBorder="1" applyAlignment="1">
      <alignment vertical="top" wrapText="1"/>
    </xf>
    <xf numFmtId="0" fontId="13" fillId="11" borderId="27" xfId="0" applyFont="1" applyFill="1" applyBorder="1" applyAlignment="1">
      <alignment horizontal="left" vertical="top" wrapText="1"/>
    </xf>
    <xf numFmtId="0" fontId="13" fillId="11" borderId="27" xfId="0" applyFont="1" applyFill="1" applyBorder="1" applyAlignment="1">
      <alignment horizontal="center" vertical="top" wrapText="1"/>
    </xf>
    <xf numFmtId="0" fontId="13" fillId="11" borderId="27" xfId="0" applyFont="1" applyFill="1" applyBorder="1" applyAlignment="1">
      <alignment horizontal="right" vertical="top" wrapText="1"/>
    </xf>
    <xf numFmtId="3" fontId="0" fillId="11" borderId="0" xfId="0" applyNumberFormat="1" applyFill="1" applyAlignment="1">
      <alignment horizontal="right"/>
    </xf>
    <xf numFmtId="166" fontId="6" fillId="11" borderId="27" xfId="0" applyNumberFormat="1" applyFont="1" applyFill="1" applyBorder="1" applyAlignment="1">
      <alignment horizontal="center" vertical="top" wrapText="1"/>
    </xf>
    <xf numFmtId="0" fontId="13" fillId="11" borderId="29" xfId="0" applyFont="1" applyFill="1" applyBorder="1" applyAlignment="1">
      <alignment horizontal="right" vertical="top" wrapText="1"/>
    </xf>
    <xf numFmtId="3" fontId="6" fillId="11" borderId="27" xfId="0" applyNumberFormat="1" applyFont="1" applyFill="1" applyBorder="1" applyAlignment="1">
      <alignment horizontal="center" vertical="top" wrapText="1"/>
    </xf>
    <xf numFmtId="3" fontId="37" fillId="11" borderId="27" xfId="0" applyNumberFormat="1" applyFont="1" applyFill="1" applyBorder="1" applyAlignment="1">
      <alignment horizontal="center" vertical="top" wrapText="1"/>
    </xf>
    <xf numFmtId="3" fontId="37" fillId="14" borderId="27" xfId="0" applyNumberFormat="1" applyFont="1" applyFill="1" applyBorder="1" applyAlignment="1">
      <alignment horizontal="center" vertical="top" wrapText="1"/>
    </xf>
    <xf numFmtId="0" fontId="13" fillId="15" borderId="27" xfId="0" applyFont="1" applyFill="1" applyBorder="1" applyAlignment="1">
      <alignment horizontal="center" vertical="top"/>
    </xf>
    <xf numFmtId="165" fontId="6" fillId="15" borderId="27" xfId="0" applyNumberFormat="1" applyFont="1" applyFill="1" applyBorder="1" applyAlignment="1">
      <alignment horizontal="left" vertical="top" wrapText="1"/>
    </xf>
    <xf numFmtId="166" fontId="3" fillId="15" borderId="27" xfId="0" applyNumberFormat="1" applyFont="1" applyFill="1" applyBorder="1" applyAlignment="1">
      <alignment horizontal="left" vertical="top" wrapText="1"/>
    </xf>
    <xf numFmtId="0" fontId="13" fillId="15" borderId="27" xfId="0" applyFont="1" applyFill="1" applyBorder="1" applyAlignment="1">
      <alignment horizontal="center" vertical="top" wrapText="1"/>
    </xf>
    <xf numFmtId="0" fontId="13" fillId="15" borderId="27" xfId="0" applyFont="1" applyFill="1" applyBorder="1" applyAlignment="1">
      <alignment vertical="top" wrapText="1"/>
    </xf>
    <xf numFmtId="166" fontId="6" fillId="15" borderId="27" xfId="0" applyNumberFormat="1" applyFont="1" applyFill="1" applyBorder="1" applyAlignment="1">
      <alignment horizontal="center" vertical="top" wrapText="1"/>
    </xf>
    <xf numFmtId="3" fontId="3" fillId="15" borderId="27" xfId="0" applyNumberFormat="1" applyFont="1" applyFill="1" applyBorder="1" applyAlignment="1">
      <alignment horizontal="center" vertical="top" wrapText="1"/>
    </xf>
    <xf numFmtId="0" fontId="13" fillId="15" borderId="27" xfId="0" applyFont="1" applyFill="1" applyBorder="1" applyAlignment="1">
      <alignment horizontal="right" vertical="top" wrapText="1"/>
    </xf>
    <xf numFmtId="0" fontId="13" fillId="15" borderId="27" xfId="0" applyFont="1" applyFill="1" applyBorder="1" applyAlignment="1">
      <alignment horizontal="left" vertical="top" wrapText="1"/>
    </xf>
    <xf numFmtId="0" fontId="0" fillId="15" borderId="27" xfId="0" applyFill="1" applyBorder="1" applyAlignment="1">
      <alignment horizontal="center" vertical="center"/>
    </xf>
    <xf numFmtId="0" fontId="0" fillId="13" borderId="27" xfId="0" applyFill="1" applyBorder="1" applyAlignment="1">
      <alignment horizontal="center" vertical="center"/>
    </xf>
    <xf numFmtId="165" fontId="6" fillId="15" borderId="27" xfId="0" applyNumberFormat="1" applyFont="1" applyFill="1" applyBorder="1" applyAlignment="1">
      <alignment vertical="top" wrapText="1"/>
    </xf>
    <xf numFmtId="166" fontId="3" fillId="15" borderId="27" xfId="0" applyNumberFormat="1" applyFont="1" applyFill="1" applyBorder="1" applyAlignment="1">
      <alignment horizontal="center" vertical="top" wrapText="1"/>
    </xf>
    <xf numFmtId="0" fontId="13" fillId="15" borderId="27" xfId="0" applyFont="1" applyFill="1" applyBorder="1" applyAlignment="1">
      <alignment vertical="top"/>
    </xf>
    <xf numFmtId="0" fontId="13" fillId="15" borderId="27" xfId="0" applyFont="1" applyFill="1" applyBorder="1" applyAlignment="1">
      <alignment horizontal="right" vertical="top"/>
    </xf>
    <xf numFmtId="0" fontId="13" fillId="15" borderId="27" xfId="0" applyFont="1" applyFill="1" applyBorder="1" applyAlignment="1">
      <alignment horizontal="left" vertical="top"/>
    </xf>
    <xf numFmtId="0" fontId="13" fillId="15" borderId="27" xfId="0" applyFont="1" applyFill="1" applyBorder="1" applyAlignment="1">
      <alignment horizontal="center" vertical="center"/>
    </xf>
    <xf numFmtId="0" fontId="0" fillId="15" borderId="27" xfId="0" applyFill="1" applyBorder="1" applyAlignment="1">
      <alignment vertical="center"/>
    </xf>
    <xf numFmtId="166" fontId="3" fillId="15" borderId="27" xfId="0" applyNumberFormat="1" applyFont="1" applyFill="1" applyBorder="1" applyAlignment="1">
      <alignment horizontal="left" vertical="center" wrapText="1"/>
    </xf>
    <xf numFmtId="166" fontId="3" fillId="15" borderId="27" xfId="0" applyNumberFormat="1" applyFont="1" applyFill="1" applyBorder="1" applyAlignment="1">
      <alignment horizontal="center" vertical="center" wrapText="1"/>
    </xf>
    <xf numFmtId="0" fontId="13" fillId="15" borderId="27" xfId="0" applyFont="1" applyFill="1" applyBorder="1" applyAlignment="1">
      <alignment vertical="center"/>
    </xf>
    <xf numFmtId="178" fontId="0" fillId="15" borderId="27" xfId="6" applyNumberFormat="1" applyFont="1" applyFill="1" applyBorder="1" applyAlignment="1">
      <alignment horizontal="center" vertical="center"/>
    </xf>
    <xf numFmtId="0" fontId="0" fillId="15" borderId="27" xfId="0" applyFill="1" applyBorder="1" applyAlignment="1">
      <alignment horizontal="center" vertical="center" wrapText="1"/>
    </xf>
    <xf numFmtId="3" fontId="38" fillId="13" borderId="27" xfId="0" applyNumberFormat="1" applyFont="1" applyFill="1" applyBorder="1" applyAlignment="1">
      <alignment horizontal="center" vertical="top"/>
    </xf>
    <xf numFmtId="3" fontId="9" fillId="13" borderId="27" xfId="0" applyNumberFormat="1" applyFont="1" applyFill="1" applyBorder="1" applyAlignment="1">
      <alignment horizontal="right" vertical="top"/>
    </xf>
    <xf numFmtId="0" fontId="0" fillId="13" borderId="0" xfId="0" applyFill="1" applyAlignment="1">
      <alignment horizontal="center" vertical="center"/>
    </xf>
    <xf numFmtId="3" fontId="38" fillId="14" borderId="27" xfId="0" applyNumberFormat="1" applyFont="1" applyFill="1" applyBorder="1"/>
    <xf numFmtId="3" fontId="38" fillId="13" borderId="27" xfId="0" applyNumberFormat="1" applyFont="1" applyFill="1" applyBorder="1"/>
    <xf numFmtId="0" fontId="0" fillId="13" borderId="0" xfId="0" applyFill="1" applyAlignment="1">
      <alignment horizontal="right"/>
    </xf>
    <xf numFmtId="178" fontId="0" fillId="13" borderId="0" xfId="6" applyNumberFormat="1" applyFont="1" applyFill="1" applyBorder="1" applyAlignment="1">
      <alignment horizontal="center" vertical="top"/>
    </xf>
    <xf numFmtId="0" fontId="0" fillId="13" borderId="0" xfId="0" applyFill="1" applyAlignment="1">
      <alignment horizontal="left"/>
    </xf>
    <xf numFmtId="0" fontId="0" fillId="13" borderId="0" xfId="0" applyFill="1" applyAlignment="1">
      <alignment horizontal="center" vertical="top"/>
    </xf>
    <xf numFmtId="165" fontId="6" fillId="0" borderId="22" xfId="5" applyFont="1" applyBorder="1" applyAlignment="1">
      <alignment vertical="top"/>
    </xf>
    <xf numFmtId="165" fontId="6" fillId="0" borderId="26" xfId="5" applyFont="1" applyBorder="1" applyAlignment="1">
      <alignment vertical="top"/>
    </xf>
    <xf numFmtId="166" fontId="6" fillId="0" borderId="0" xfId="5" applyNumberFormat="1" applyFont="1" applyAlignment="1">
      <alignment horizontal="center" vertical="center"/>
    </xf>
    <xf numFmtId="165" fontId="6" fillId="0" borderId="0" xfId="5" applyFont="1" applyAlignment="1">
      <alignment horizontal="center" vertical="center"/>
    </xf>
    <xf numFmtId="1" fontId="2"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0" borderId="0" xfId="0" applyNumberFormat="1" applyFont="1" applyAlignment="1">
      <alignment horizontal="center" vertical="center" wrapText="1"/>
    </xf>
    <xf numFmtId="165" fontId="6" fillId="17" borderId="0" xfId="5" applyFont="1" applyFill="1" applyAlignment="1">
      <alignment vertical="top"/>
    </xf>
    <xf numFmtId="166" fontId="5" fillId="17" borderId="2" xfId="5" applyNumberFormat="1" applyFont="1" applyFill="1" applyBorder="1" applyAlignment="1">
      <alignment horizontal="center" vertical="top" wrapText="1"/>
    </xf>
    <xf numFmtId="165" fontId="5" fillId="17" borderId="10" xfId="5" applyFont="1" applyFill="1" applyBorder="1" applyAlignment="1">
      <alignment horizontal="center" vertical="top" wrapText="1"/>
    </xf>
    <xf numFmtId="165" fontId="5" fillId="17" borderId="10" xfId="5" applyFont="1" applyFill="1" applyBorder="1" applyAlignment="1">
      <alignment horizontal="center" vertical="top"/>
    </xf>
    <xf numFmtId="166" fontId="6" fillId="17" borderId="0" xfId="5" applyNumberFormat="1" applyFont="1" applyFill="1" applyAlignment="1">
      <alignment vertical="top"/>
    </xf>
    <xf numFmtId="166" fontId="5" fillId="17" borderId="2" xfId="5" quotePrefix="1" applyNumberFormat="1" applyFont="1" applyFill="1" applyBorder="1" applyAlignment="1">
      <alignment horizontal="center" vertical="top"/>
    </xf>
    <xf numFmtId="166" fontId="5" fillId="17" borderId="2" xfId="5" quotePrefix="1" applyNumberFormat="1" applyFont="1" applyFill="1" applyBorder="1" applyAlignment="1">
      <alignment horizontal="center" vertical="top" wrapText="1"/>
    </xf>
    <xf numFmtId="166" fontId="5" fillId="17" borderId="3" xfId="5" quotePrefix="1" applyNumberFormat="1" applyFont="1" applyFill="1" applyBorder="1" applyAlignment="1">
      <alignment horizontal="center" vertical="top" wrapText="1"/>
    </xf>
    <xf numFmtId="43" fontId="7" fillId="0" borderId="0" xfId="9" applyFont="1" applyAlignment="1">
      <alignment horizontal="right" vertical="top"/>
    </xf>
    <xf numFmtId="43" fontId="6" fillId="0" borderId="0" xfId="9" applyFont="1" applyAlignment="1">
      <alignment horizontal="right" vertical="top"/>
    </xf>
    <xf numFmtId="43" fontId="5" fillId="0" borderId="0" xfId="9" applyFont="1" applyBorder="1" applyAlignment="1">
      <alignment horizontal="left" vertical="top"/>
    </xf>
    <xf numFmtId="43" fontId="5" fillId="0" borderId="0" xfId="9" applyFont="1" applyAlignment="1">
      <alignment horizontal="right" vertical="top"/>
    </xf>
    <xf numFmtId="10" fontId="6" fillId="0" borderId="0" xfId="1" applyNumberFormat="1" applyFont="1" applyAlignment="1">
      <alignment vertical="top"/>
    </xf>
    <xf numFmtId="43" fontId="5" fillId="0" borderId="2" xfId="9" quotePrefix="1" applyFont="1" applyBorder="1" applyAlignment="1">
      <alignment horizontal="center" vertical="top" wrapText="1"/>
    </xf>
    <xf numFmtId="43" fontId="5" fillId="0" borderId="24" xfId="9" applyFont="1" applyBorder="1" applyAlignment="1">
      <alignment horizontal="right" vertical="top"/>
    </xf>
    <xf numFmtId="43" fontId="5" fillId="0" borderId="13" xfId="9" applyFont="1" applyFill="1" applyBorder="1" applyAlignment="1">
      <alignment horizontal="center" vertical="center" wrapText="1"/>
    </xf>
    <xf numFmtId="165" fontId="6" fillId="7" borderId="0" xfId="5" applyFont="1" applyFill="1" applyAlignment="1">
      <alignment vertical="top"/>
    </xf>
    <xf numFmtId="1" fontId="2" fillId="9" borderId="13" xfId="0" applyNumberFormat="1" applyFont="1" applyFill="1" applyBorder="1" applyAlignment="1">
      <alignment horizontal="center" vertical="center" wrapText="1"/>
    </xf>
    <xf numFmtId="165" fontId="6" fillId="3" borderId="0" xfId="5" applyFont="1" applyFill="1" applyAlignment="1">
      <alignment horizontal="center" vertical="top" wrapText="1"/>
    </xf>
    <xf numFmtId="165" fontId="6" fillId="3" borderId="0" xfId="5" applyFont="1" applyFill="1" applyAlignment="1">
      <alignment vertical="top"/>
    </xf>
    <xf numFmtId="165" fontId="5" fillId="3" borderId="23" xfId="0" applyNumberFormat="1" applyFont="1" applyFill="1" applyBorder="1" applyAlignment="1">
      <alignment vertical="top" wrapText="1"/>
    </xf>
    <xf numFmtId="165" fontId="5" fillId="0" borderId="23" xfId="0" applyNumberFormat="1" applyFont="1" applyBorder="1" applyAlignment="1">
      <alignment vertical="top" wrapText="1"/>
    </xf>
    <xf numFmtId="165" fontId="22" fillId="0" borderId="0" xfId="5" applyFont="1" applyAlignment="1">
      <alignment vertical="top"/>
    </xf>
    <xf numFmtId="165" fontId="22" fillId="3" borderId="0" xfId="5" applyFont="1" applyFill="1" applyAlignment="1">
      <alignment horizontal="center" vertical="top" wrapText="1"/>
    </xf>
    <xf numFmtId="165" fontId="22" fillId="3" borderId="0" xfId="5" applyFont="1" applyFill="1" applyAlignment="1">
      <alignment vertical="top"/>
    </xf>
    <xf numFmtId="178" fontId="5" fillId="0" borderId="13" xfId="9" applyNumberFormat="1" applyFont="1" applyFill="1" applyBorder="1" applyAlignment="1">
      <alignment horizontal="left" vertical="top" wrapText="1"/>
    </xf>
    <xf numFmtId="43" fontId="5" fillId="3" borderId="2" xfId="9" applyFont="1" applyFill="1" applyBorder="1" applyAlignment="1">
      <alignment horizontal="center" vertical="center" wrapText="1"/>
    </xf>
    <xf numFmtId="165" fontId="7" fillId="0" borderId="0" xfId="5" applyFont="1" applyAlignment="1">
      <alignment horizontal="left" vertical="top" wrapText="1"/>
    </xf>
    <xf numFmtId="165" fontId="5" fillId="0" borderId="0" xfId="0" applyNumberFormat="1" applyFont="1" applyAlignment="1">
      <alignment horizontal="left" vertical="top" wrapText="1"/>
    </xf>
    <xf numFmtId="43" fontId="5" fillId="0" borderId="0" xfId="9" applyFont="1" applyFill="1" applyBorder="1" applyAlignment="1">
      <alignment horizontal="center" vertical="center" wrapText="1"/>
    </xf>
    <xf numFmtId="9" fontId="6" fillId="0" borderId="0" xfId="1" applyFont="1" applyAlignment="1">
      <alignment vertical="top"/>
    </xf>
    <xf numFmtId="43" fontId="5" fillId="0" borderId="8" xfId="9" quotePrefix="1" applyFont="1" applyBorder="1" applyAlignment="1">
      <alignment horizontal="center" vertical="top" wrapText="1"/>
    </xf>
    <xf numFmtId="165" fontId="7" fillId="0" borderId="16" xfId="5" applyFont="1" applyBorder="1" applyAlignment="1">
      <alignment horizontal="left" vertical="top" wrapText="1"/>
    </xf>
    <xf numFmtId="43" fontId="5" fillId="0" borderId="19" xfId="9" applyFont="1" applyBorder="1" applyAlignment="1">
      <alignment horizontal="right" vertical="top"/>
    </xf>
    <xf numFmtId="165" fontId="7" fillId="0" borderId="26" xfId="5" applyFont="1" applyBorder="1" applyAlignment="1">
      <alignment horizontal="left" vertical="top" wrapText="1"/>
    </xf>
    <xf numFmtId="165" fontId="5" fillId="0" borderId="11" xfId="11" applyFont="1" applyBorder="1" applyAlignment="1">
      <alignment horizontal="left" vertical="center" wrapText="1"/>
    </xf>
    <xf numFmtId="166" fontId="2" fillId="0" borderId="11" xfId="11" applyNumberFormat="1" applyFont="1" applyBorder="1" applyAlignment="1">
      <alignment horizontal="center" vertical="center" wrapText="1"/>
    </xf>
    <xf numFmtId="165" fontId="5" fillId="0" borderId="26" xfId="11" applyFont="1" applyBorder="1" applyAlignment="1">
      <alignment horizontal="left" vertical="center" wrapText="1"/>
    </xf>
    <xf numFmtId="165" fontId="7" fillId="0" borderId="13" xfId="0" applyNumberFormat="1" applyFont="1" applyBorder="1" applyAlignment="1">
      <alignment horizontal="left" vertical="top" wrapText="1"/>
    </xf>
    <xf numFmtId="0" fontId="13" fillId="0" borderId="26" xfId="0" applyFont="1" applyBorder="1" applyAlignment="1">
      <alignment horizontal="justify" vertical="center" wrapText="1"/>
    </xf>
    <xf numFmtId="43" fontId="5" fillId="0" borderId="24" xfId="9" applyFont="1" applyFill="1" applyBorder="1" applyAlignment="1">
      <alignment horizontal="right" vertical="top"/>
    </xf>
    <xf numFmtId="165" fontId="5" fillId="0" borderId="22" xfId="5" applyFont="1" applyBorder="1" applyAlignment="1">
      <alignment horizontal="left" vertical="top"/>
    </xf>
    <xf numFmtId="43" fontId="5" fillId="0" borderId="25" xfId="9" applyFont="1" applyBorder="1" applyAlignment="1">
      <alignment horizontal="right" vertical="top"/>
    </xf>
    <xf numFmtId="43" fontId="5" fillId="6" borderId="7" xfId="9" applyFont="1" applyFill="1" applyBorder="1" applyAlignment="1">
      <alignment horizontal="right" vertical="top"/>
    </xf>
    <xf numFmtId="43" fontId="6" fillId="0" borderId="0" xfId="9" applyFont="1" applyBorder="1" applyAlignment="1">
      <alignment horizontal="right" vertical="top"/>
    </xf>
    <xf numFmtId="0" fontId="40" fillId="0" borderId="27" xfId="0" applyFont="1" applyBorder="1" applyAlignment="1">
      <alignment horizontal="left" vertical="center"/>
    </xf>
    <xf numFmtId="0" fontId="40" fillId="0" borderId="27" xfId="0" applyFont="1" applyBorder="1" applyAlignment="1">
      <alignment horizontal="left" vertical="top" wrapText="1"/>
    </xf>
    <xf numFmtId="165" fontId="5" fillId="3" borderId="24" xfId="5" applyFont="1" applyFill="1" applyBorder="1" applyAlignment="1">
      <alignment horizontal="center" vertical="top" wrapText="1"/>
    </xf>
    <xf numFmtId="165" fontId="5" fillId="3" borderId="24" xfId="5" applyFont="1" applyFill="1" applyBorder="1" applyAlignment="1">
      <alignment vertical="top" wrapText="1"/>
    </xf>
    <xf numFmtId="165" fontId="6" fillId="3" borderId="10" xfId="5" applyFont="1" applyFill="1" applyBorder="1" applyAlignment="1">
      <alignment vertical="top"/>
    </xf>
    <xf numFmtId="164" fontId="5" fillId="0" borderId="24" xfId="6" applyFont="1" applyBorder="1" applyAlignment="1">
      <alignment vertical="top" wrapText="1"/>
    </xf>
    <xf numFmtId="0" fontId="41" fillId="0" borderId="27" xfId="0" applyFont="1" applyBorder="1" applyAlignment="1">
      <alignment horizontal="center" vertical="center"/>
    </xf>
    <xf numFmtId="165" fontId="5" fillId="0" borderId="38" xfId="5" applyFont="1" applyBorder="1" applyAlignment="1">
      <alignment horizontal="center" vertical="top" wrapText="1"/>
    </xf>
    <xf numFmtId="166" fontId="5" fillId="17" borderId="6" xfId="5" quotePrefix="1" applyNumberFormat="1" applyFont="1" applyFill="1" applyBorder="1" applyAlignment="1">
      <alignment horizontal="center" vertical="top" wrapText="1"/>
    </xf>
    <xf numFmtId="165" fontId="5" fillId="0" borderId="27" xfId="5" applyFont="1" applyBorder="1" applyAlignment="1">
      <alignment horizontal="center" vertical="top" wrapText="1"/>
    </xf>
    <xf numFmtId="165" fontId="5" fillId="0" borderId="28" xfId="5" applyFont="1" applyBorder="1" applyAlignment="1">
      <alignment horizontal="center" vertical="top" wrapText="1"/>
    </xf>
    <xf numFmtId="166" fontId="2" fillId="0" borderId="50" xfId="0" applyNumberFormat="1" applyFont="1" applyBorder="1" applyAlignment="1">
      <alignment horizontal="center" vertical="center" wrapText="1"/>
    </xf>
    <xf numFmtId="166" fontId="2" fillId="0" borderId="27" xfId="0" applyNumberFormat="1" applyFont="1" applyBorder="1" applyAlignment="1">
      <alignment horizontal="center" vertical="center" wrapText="1"/>
    </xf>
    <xf numFmtId="165" fontId="6" fillId="16" borderId="26" xfId="5" applyFont="1" applyFill="1" applyBorder="1" applyAlignment="1">
      <alignment vertical="top"/>
    </xf>
    <xf numFmtId="166" fontId="5" fillId="16" borderId="24" xfId="5" applyNumberFormat="1" applyFont="1" applyFill="1" applyBorder="1" applyAlignment="1">
      <alignment horizontal="center" vertical="top"/>
    </xf>
    <xf numFmtId="165" fontId="7" fillId="16" borderId="24" xfId="5" applyFont="1" applyFill="1" applyBorder="1" applyAlignment="1">
      <alignment horizontal="left" vertical="top" wrapText="1"/>
    </xf>
    <xf numFmtId="165" fontId="5" fillId="16" borderId="24" xfId="5" applyFont="1" applyFill="1" applyBorder="1" applyAlignment="1">
      <alignment horizontal="left" vertical="top"/>
    </xf>
    <xf numFmtId="165" fontId="5" fillId="16" borderId="10" xfId="5" applyFont="1" applyFill="1" applyBorder="1" applyAlignment="1">
      <alignment vertical="top"/>
    </xf>
    <xf numFmtId="165" fontId="5" fillId="16" borderId="24" xfId="5" applyFont="1" applyFill="1" applyBorder="1" applyAlignment="1">
      <alignment vertical="top" wrapText="1"/>
    </xf>
    <xf numFmtId="165" fontId="5" fillId="16" borderId="24" xfId="5" applyFont="1" applyFill="1" applyBorder="1" applyAlignment="1">
      <alignment horizontal="center" vertical="top"/>
    </xf>
    <xf numFmtId="165" fontId="5" fillId="16" borderId="24" xfId="5" applyFont="1" applyFill="1" applyBorder="1" applyAlignment="1">
      <alignment horizontal="center" vertical="top" wrapText="1"/>
    </xf>
    <xf numFmtId="165" fontId="5" fillId="16" borderId="26" xfId="5" applyFont="1" applyFill="1" applyBorder="1" applyAlignment="1">
      <alignment horizontal="center" vertical="top" wrapText="1"/>
    </xf>
    <xf numFmtId="165" fontId="5" fillId="16" borderId="0" xfId="5" applyFont="1" applyFill="1" applyAlignment="1">
      <alignment horizontal="center" vertical="top" wrapText="1"/>
    </xf>
    <xf numFmtId="165" fontId="6" fillId="16" borderId="27" xfId="5" applyFont="1" applyFill="1" applyBorder="1" applyAlignment="1">
      <alignment vertical="top"/>
    </xf>
    <xf numFmtId="165" fontId="6" fillId="16" borderId="10" xfId="5" applyFont="1" applyFill="1" applyBorder="1" applyAlignment="1">
      <alignment vertical="top"/>
    </xf>
    <xf numFmtId="165" fontId="6" fillId="16" borderId="21" xfId="5" applyFont="1" applyFill="1" applyBorder="1" applyAlignment="1">
      <alignment horizontal="center" vertical="top"/>
    </xf>
    <xf numFmtId="165" fontId="6" fillId="16" borderId="0" xfId="5" applyFont="1" applyFill="1" applyAlignment="1">
      <alignment vertical="top"/>
    </xf>
    <xf numFmtId="164" fontId="2" fillId="0" borderId="23" xfId="6" applyFont="1" applyFill="1" applyBorder="1" applyAlignment="1">
      <alignment horizontal="center" vertical="center" wrapText="1"/>
    </xf>
    <xf numFmtId="0" fontId="5" fillId="0" borderId="23" xfId="0" applyFont="1" applyBorder="1" applyAlignment="1">
      <alignment horizontal="left" vertical="top" wrapText="1"/>
    </xf>
    <xf numFmtId="165" fontId="6" fillId="0" borderId="23" xfId="5" applyFont="1" applyBorder="1" applyAlignment="1">
      <alignment horizontal="center" vertical="center" wrapText="1"/>
    </xf>
    <xf numFmtId="166" fontId="2" fillId="0" borderId="14" xfId="0" applyNumberFormat="1" applyFont="1" applyBorder="1" applyAlignment="1">
      <alignment horizontal="center" vertical="center" wrapText="1"/>
    </xf>
    <xf numFmtId="165" fontId="6" fillId="0" borderId="23" xfId="5" applyFont="1" applyBorder="1" applyAlignment="1">
      <alignment vertical="top" wrapText="1"/>
    </xf>
    <xf numFmtId="167" fontId="6" fillId="0" borderId="23" xfId="5" applyNumberFormat="1" applyFont="1" applyBorder="1" applyAlignment="1">
      <alignment vertical="top"/>
    </xf>
    <xf numFmtId="169" fontId="6" fillId="0" borderId="23" xfId="5" applyNumberFormat="1" applyFont="1" applyBorder="1" applyAlignment="1">
      <alignment vertical="top"/>
    </xf>
    <xf numFmtId="165" fontId="6" fillId="0" borderId="23" xfId="0" applyNumberFormat="1" applyFont="1" applyBorder="1" applyAlignment="1">
      <alignment horizontal="left" vertical="top" wrapText="1"/>
    </xf>
    <xf numFmtId="166" fontId="5" fillId="0" borderId="24" xfId="5" applyNumberFormat="1" applyFont="1" applyBorder="1" applyAlignment="1">
      <alignment vertical="top" wrapText="1"/>
    </xf>
    <xf numFmtId="166" fontId="5" fillId="0" borderId="23" xfId="0" applyNumberFormat="1" applyFont="1" applyBorder="1" applyAlignment="1">
      <alignment horizontal="right" vertical="top" wrapText="1"/>
    </xf>
    <xf numFmtId="164" fontId="3" fillId="0" borderId="23" xfId="6" applyFont="1" applyFill="1" applyBorder="1" applyAlignment="1">
      <alignment horizontal="center" vertical="center" wrapText="1"/>
    </xf>
    <xf numFmtId="0" fontId="40" fillId="0" borderId="12" xfId="0" applyFont="1" applyBorder="1" applyAlignment="1">
      <alignment horizontal="left" vertical="center"/>
    </xf>
    <xf numFmtId="165" fontId="5" fillId="0" borderId="37" xfId="5" applyFont="1" applyBorder="1" applyAlignment="1">
      <alignment horizontal="center" vertical="top" wrapText="1"/>
    </xf>
    <xf numFmtId="165" fontId="5" fillId="0" borderId="14" xfId="5" applyFont="1" applyBorder="1" applyAlignment="1">
      <alignment horizontal="center" vertical="top" wrapText="1"/>
    </xf>
    <xf numFmtId="0" fontId="5" fillId="0" borderId="14" xfId="0" applyFont="1" applyBorder="1" applyAlignment="1">
      <alignment horizontal="left" vertical="top" wrapText="1"/>
    </xf>
    <xf numFmtId="165" fontId="6" fillId="0" borderId="27" xfId="5" applyFont="1" applyBorder="1" applyAlignment="1">
      <alignment horizontal="center" vertical="center" wrapText="1"/>
    </xf>
    <xf numFmtId="164" fontId="2" fillId="0" borderId="14" xfId="6" applyFont="1" applyFill="1" applyBorder="1" applyAlignment="1">
      <alignment horizontal="center" vertical="center" wrapText="1"/>
    </xf>
    <xf numFmtId="43" fontId="40" fillId="0" borderId="27" xfId="0" applyNumberFormat="1" applyFont="1" applyBorder="1" applyAlignment="1">
      <alignment horizontal="left" vertical="center"/>
    </xf>
    <xf numFmtId="164" fontId="6" fillId="0" borderId="23" xfId="6" applyFont="1" applyFill="1" applyBorder="1" applyAlignment="1">
      <alignment vertical="top"/>
    </xf>
    <xf numFmtId="164" fontId="6" fillId="0" borderId="0" xfId="6" applyFont="1" applyFill="1" applyAlignment="1">
      <alignment vertical="top"/>
    </xf>
    <xf numFmtId="164" fontId="5" fillId="16" borderId="24" xfId="6" applyFont="1" applyFill="1" applyBorder="1" applyAlignment="1">
      <alignment vertical="top" wrapText="1"/>
    </xf>
    <xf numFmtId="164" fontId="5" fillId="16" borderId="10" xfId="6" applyFont="1" applyFill="1" applyBorder="1" applyAlignment="1">
      <alignment vertical="top"/>
    </xf>
    <xf numFmtId="165" fontId="6" fillId="10" borderId="11" xfId="5" applyFont="1" applyFill="1" applyBorder="1" applyAlignment="1">
      <alignment vertical="top"/>
    </xf>
    <xf numFmtId="166" fontId="2" fillId="10" borderId="23" xfId="0" applyNumberFormat="1" applyFont="1" applyFill="1" applyBorder="1" applyAlignment="1">
      <alignment horizontal="center" vertical="center" wrapText="1"/>
    </xf>
    <xf numFmtId="165" fontId="5" fillId="10" borderId="23" xfId="0" applyNumberFormat="1" applyFont="1" applyFill="1" applyBorder="1" applyAlignment="1">
      <alignment horizontal="left" vertical="top" wrapText="1"/>
    </xf>
    <xf numFmtId="164" fontId="2" fillId="10" borderId="23" xfId="6" applyFont="1" applyFill="1" applyBorder="1" applyAlignment="1">
      <alignment horizontal="center" vertical="center" wrapText="1"/>
    </xf>
    <xf numFmtId="0" fontId="5" fillId="10" borderId="23" xfId="0" applyFont="1" applyFill="1" applyBorder="1" applyAlignment="1">
      <alignment horizontal="left" vertical="top" wrapText="1"/>
    </xf>
    <xf numFmtId="165" fontId="6" fillId="10" borderId="23" xfId="5" applyFont="1" applyFill="1" applyBorder="1" applyAlignment="1">
      <alignment horizontal="center" vertical="center" wrapText="1"/>
    </xf>
    <xf numFmtId="166" fontId="2" fillId="10" borderId="17" xfId="0" applyNumberFormat="1" applyFont="1" applyFill="1" applyBorder="1" applyAlignment="1">
      <alignment horizontal="center" vertical="center" wrapText="1"/>
    </xf>
    <xf numFmtId="166" fontId="2" fillId="10" borderId="14" xfId="0" applyNumberFormat="1" applyFont="1" applyFill="1" applyBorder="1" applyAlignment="1">
      <alignment horizontal="center" vertical="center" wrapText="1"/>
    </xf>
    <xf numFmtId="165" fontId="6" fillId="10" borderId="23" xfId="5" applyFont="1" applyFill="1" applyBorder="1" applyAlignment="1">
      <alignment vertical="top"/>
    </xf>
    <xf numFmtId="165" fontId="6" fillId="10" borderId="23" xfId="5" applyFont="1" applyFill="1" applyBorder="1" applyAlignment="1">
      <alignment vertical="top" wrapText="1"/>
    </xf>
    <xf numFmtId="167" fontId="6" fillId="10" borderId="23" xfId="5" applyNumberFormat="1" applyFont="1" applyFill="1" applyBorder="1" applyAlignment="1">
      <alignment vertical="top"/>
    </xf>
    <xf numFmtId="169" fontId="6" fillId="10" borderId="23" xfId="5" applyNumberFormat="1" applyFont="1" applyFill="1" applyBorder="1" applyAlignment="1">
      <alignment vertical="top"/>
    </xf>
    <xf numFmtId="164" fontId="6" fillId="0" borderId="0" xfId="6" applyFont="1" applyAlignment="1">
      <alignment horizontal="right" vertical="top"/>
    </xf>
    <xf numFmtId="164" fontId="5" fillId="17" borderId="2" xfId="6" quotePrefix="1" applyFont="1" applyFill="1" applyBorder="1" applyAlignment="1">
      <alignment horizontal="center" vertical="top" wrapText="1"/>
    </xf>
    <xf numFmtId="164" fontId="5" fillId="0" borderId="24" xfId="6" applyFont="1" applyBorder="1" applyAlignment="1">
      <alignment horizontal="right" vertical="top"/>
    </xf>
    <xf numFmtId="164" fontId="5" fillId="0" borderId="25" xfId="6" applyFont="1" applyFill="1" applyBorder="1" applyAlignment="1">
      <alignment horizontal="right" vertical="top"/>
    </xf>
    <xf numFmtId="164" fontId="5" fillId="6" borderId="7" xfId="6" applyFont="1" applyFill="1" applyBorder="1" applyAlignment="1">
      <alignment horizontal="right" vertical="top"/>
    </xf>
    <xf numFmtId="164" fontId="6" fillId="0" borderId="0" xfId="6" applyFont="1" applyAlignment="1">
      <alignment vertical="top"/>
    </xf>
    <xf numFmtId="164" fontId="6" fillId="0" borderId="0" xfId="6" applyFont="1" applyBorder="1" applyAlignment="1">
      <alignment horizontal="right" vertical="top"/>
    </xf>
    <xf numFmtId="165" fontId="18" fillId="0" borderId="23" xfId="0" applyNumberFormat="1" applyFont="1" applyBorder="1" applyAlignment="1">
      <alignment horizontal="left" vertical="top" wrapText="1"/>
    </xf>
    <xf numFmtId="166" fontId="5" fillId="0" borderId="23" xfId="0" applyNumberFormat="1" applyFont="1" applyBorder="1" applyAlignment="1">
      <alignment horizontal="left" vertical="top" wrapText="1"/>
    </xf>
    <xf numFmtId="164" fontId="22" fillId="0" borderId="23" xfId="6" applyFont="1" applyFill="1" applyBorder="1" applyAlignment="1">
      <alignment vertical="top"/>
    </xf>
    <xf numFmtId="166" fontId="21" fillId="0" borderId="23" xfId="0" applyNumberFormat="1" applyFont="1" applyBorder="1" applyAlignment="1">
      <alignment horizontal="center" vertical="center" wrapText="1"/>
    </xf>
    <xf numFmtId="166" fontId="2" fillId="0" borderId="57" xfId="0" applyNumberFormat="1" applyFont="1" applyBorder="1" applyAlignment="1">
      <alignment horizontal="center" vertical="center" wrapText="1"/>
    </xf>
    <xf numFmtId="169" fontId="6" fillId="0" borderId="23" xfId="5" applyNumberFormat="1" applyFont="1" applyBorder="1" applyAlignment="1">
      <alignment horizontal="right" vertical="top"/>
    </xf>
    <xf numFmtId="165" fontId="6" fillId="10" borderId="0" xfId="5" applyFont="1" applyFill="1" applyAlignment="1">
      <alignment vertical="top"/>
    </xf>
    <xf numFmtId="164" fontId="6" fillId="0" borderId="8" xfId="6" applyFont="1" applyBorder="1" applyAlignment="1">
      <alignment vertical="top"/>
    </xf>
    <xf numFmtId="164" fontId="6" fillId="0" borderId="10" xfId="6" applyFont="1" applyBorder="1" applyAlignment="1">
      <alignment vertical="top"/>
    </xf>
    <xf numFmtId="164" fontId="6" fillId="0" borderId="13" xfId="6" applyFont="1" applyFill="1" applyBorder="1" applyAlignment="1">
      <alignment vertical="top"/>
    </xf>
    <xf numFmtId="164" fontId="6" fillId="10" borderId="23" xfId="6" applyFont="1" applyFill="1" applyBorder="1" applyAlignment="1">
      <alignment vertical="top"/>
    </xf>
    <xf numFmtId="164" fontId="6" fillId="6" borderId="2" xfId="6" applyFont="1" applyFill="1" applyBorder="1" applyAlignment="1">
      <alignment vertical="top"/>
    </xf>
    <xf numFmtId="166" fontId="2" fillId="0" borderId="17" xfId="0" applyNumberFormat="1" applyFont="1" applyBorder="1" applyAlignment="1">
      <alignment vertical="center" wrapText="1"/>
    </xf>
    <xf numFmtId="165" fontId="6" fillId="0" borderId="27" xfId="5" applyFont="1" applyBorder="1" applyAlignment="1">
      <alignment horizontal="center" vertical="top" wrapText="1"/>
    </xf>
    <xf numFmtId="0" fontId="40" fillId="0" borderId="27" xfId="0" applyFont="1" applyBorder="1" applyAlignment="1">
      <alignment horizontal="center" vertical="center" wrapText="1"/>
    </xf>
    <xf numFmtId="0" fontId="41" fillId="0" borderId="27" xfId="0" applyFont="1" applyBorder="1" applyAlignment="1">
      <alignment horizontal="center" vertical="center" wrapText="1"/>
    </xf>
    <xf numFmtId="0" fontId="40" fillId="0" borderId="29" xfId="0" applyFont="1" applyBorder="1" applyAlignment="1">
      <alignment horizontal="center" vertical="center" wrapText="1"/>
    </xf>
    <xf numFmtId="43" fontId="41" fillId="0" borderId="27" xfId="9" applyFont="1" applyFill="1" applyBorder="1" applyAlignment="1">
      <alignment horizontal="right" vertical="center"/>
    </xf>
    <xf numFmtId="43" fontId="40" fillId="0" borderId="27" xfId="9" applyFont="1" applyFill="1" applyBorder="1" applyAlignment="1">
      <alignment horizontal="right" vertical="center"/>
    </xf>
    <xf numFmtId="43" fontId="41" fillId="0" borderId="29" xfId="9" applyFont="1" applyFill="1" applyBorder="1" applyAlignment="1">
      <alignment horizontal="right" vertical="center"/>
    </xf>
    <xf numFmtId="43" fontId="41" fillId="0" borderId="14" xfId="9" applyFont="1" applyFill="1" applyBorder="1" applyAlignment="1">
      <alignment horizontal="right" vertical="center"/>
    </xf>
    <xf numFmtId="165" fontId="5" fillId="0" borderId="10" xfId="0" applyNumberFormat="1" applyFont="1" applyBorder="1" applyAlignment="1">
      <alignment horizontal="center" vertical="center" wrapText="1"/>
    </xf>
    <xf numFmtId="0" fontId="40" fillId="0" borderId="14" xfId="0" applyFont="1" applyBorder="1" applyAlignment="1">
      <alignment horizontal="center" vertical="center" wrapText="1"/>
    </xf>
    <xf numFmtId="166" fontId="6" fillId="0" borderId="23" xfId="0" applyNumberFormat="1" applyFont="1" applyBorder="1" applyAlignment="1">
      <alignment horizontal="left" vertical="top" wrapText="1"/>
    </xf>
    <xf numFmtId="0" fontId="41" fillId="9" borderId="27" xfId="0" applyFont="1" applyFill="1" applyBorder="1" applyAlignment="1">
      <alignment horizontal="center" vertical="center" wrapText="1"/>
    </xf>
    <xf numFmtId="165" fontId="6" fillId="18" borderId="11" xfId="5" applyFont="1" applyFill="1" applyBorder="1" applyAlignment="1">
      <alignment vertical="top"/>
    </xf>
    <xf numFmtId="166" fontId="2" fillId="18" borderId="23" xfId="0" applyNumberFormat="1" applyFont="1" applyFill="1" applyBorder="1" applyAlignment="1">
      <alignment horizontal="center" vertical="center" wrapText="1"/>
    </xf>
    <xf numFmtId="165" fontId="5" fillId="18" borderId="23" xfId="0" applyNumberFormat="1" applyFont="1" applyFill="1" applyBorder="1" applyAlignment="1">
      <alignment horizontal="left" vertical="top" wrapText="1"/>
    </xf>
    <xf numFmtId="164" fontId="2" fillId="18" borderId="23" xfId="6" applyFont="1" applyFill="1" applyBorder="1" applyAlignment="1">
      <alignment horizontal="center" vertical="center" wrapText="1"/>
    </xf>
    <xf numFmtId="165" fontId="18" fillId="18" borderId="23" xfId="0" applyNumberFormat="1" applyFont="1" applyFill="1" applyBorder="1" applyAlignment="1">
      <alignment horizontal="left" vertical="top" wrapText="1"/>
    </xf>
    <xf numFmtId="43" fontId="41" fillId="18" borderId="14" xfId="9" applyFont="1" applyFill="1" applyBorder="1" applyAlignment="1">
      <alignment horizontal="right" vertical="center"/>
    </xf>
    <xf numFmtId="165" fontId="5" fillId="18" borderId="10" xfId="0" applyNumberFormat="1" applyFont="1" applyFill="1" applyBorder="1" applyAlignment="1">
      <alignment horizontal="center" vertical="center" wrapText="1"/>
    </xf>
    <xf numFmtId="0" fontId="5" fillId="18" borderId="23" xfId="0" applyFont="1" applyFill="1" applyBorder="1" applyAlignment="1">
      <alignment horizontal="left" vertical="top" wrapText="1"/>
    </xf>
    <xf numFmtId="165" fontId="6" fillId="18" borderId="23" xfId="0" applyNumberFormat="1" applyFont="1" applyFill="1" applyBorder="1" applyAlignment="1">
      <alignment horizontal="left" vertical="top" wrapText="1"/>
    </xf>
    <xf numFmtId="0" fontId="40" fillId="18" borderId="14" xfId="0" applyFont="1" applyFill="1" applyBorder="1" applyAlignment="1">
      <alignment horizontal="center" vertical="center" wrapText="1"/>
    </xf>
    <xf numFmtId="165" fontId="6" fillId="18" borderId="23" xfId="5" applyFont="1" applyFill="1" applyBorder="1" applyAlignment="1">
      <alignment horizontal="center" vertical="center" wrapText="1"/>
    </xf>
    <xf numFmtId="166" fontId="2" fillId="18" borderId="17" xfId="0" applyNumberFormat="1" applyFont="1" applyFill="1" applyBorder="1" applyAlignment="1">
      <alignment horizontal="center" vertical="center" wrapText="1"/>
    </xf>
    <xf numFmtId="166" fontId="2" fillId="18" borderId="14" xfId="0" applyNumberFormat="1" applyFont="1" applyFill="1" applyBorder="1" applyAlignment="1">
      <alignment horizontal="center" vertical="center" wrapText="1"/>
    </xf>
    <xf numFmtId="165" fontId="6" fillId="18" borderId="23" xfId="5" applyFont="1" applyFill="1" applyBorder="1" applyAlignment="1">
      <alignment vertical="top"/>
    </xf>
    <xf numFmtId="165" fontId="6" fillId="18" borderId="23" xfId="5" applyFont="1" applyFill="1" applyBorder="1" applyAlignment="1">
      <alignment vertical="top" wrapText="1"/>
    </xf>
    <xf numFmtId="167" fontId="6" fillId="18" borderId="23" xfId="5" applyNumberFormat="1" applyFont="1" applyFill="1" applyBorder="1" applyAlignment="1">
      <alignment vertical="top"/>
    </xf>
    <xf numFmtId="169" fontId="6" fillId="18" borderId="23" xfId="5" applyNumberFormat="1" applyFont="1" applyFill="1" applyBorder="1" applyAlignment="1">
      <alignment vertical="top"/>
    </xf>
    <xf numFmtId="165" fontId="18" fillId="10" borderId="23" xfId="0" applyNumberFormat="1" applyFont="1" applyFill="1" applyBorder="1" applyAlignment="1">
      <alignment horizontal="left" vertical="top" wrapText="1"/>
    </xf>
    <xf numFmtId="43" fontId="41" fillId="10" borderId="14" xfId="9" applyFont="1" applyFill="1" applyBorder="1" applyAlignment="1">
      <alignment horizontal="right" vertical="center"/>
    </xf>
    <xf numFmtId="165" fontId="5" fillId="10" borderId="10" xfId="0" applyNumberFormat="1" applyFont="1" applyFill="1" applyBorder="1" applyAlignment="1">
      <alignment horizontal="center" vertical="center" wrapText="1"/>
    </xf>
    <xf numFmtId="165" fontId="6" fillId="10" borderId="23" xfId="0" applyNumberFormat="1" applyFont="1" applyFill="1" applyBorder="1" applyAlignment="1">
      <alignment horizontal="left" vertical="top" wrapText="1"/>
    </xf>
    <xf numFmtId="0" fontId="40" fillId="10" borderId="14" xfId="0" applyFont="1" applyFill="1" applyBorder="1" applyAlignment="1">
      <alignment horizontal="center" vertical="center" wrapText="1"/>
    </xf>
    <xf numFmtId="166" fontId="3" fillId="0" borderId="23" xfId="0" applyNumberFormat="1" applyFont="1" applyBorder="1" applyAlignment="1">
      <alignment horizontal="center" vertical="center" wrapText="1"/>
    </xf>
    <xf numFmtId="165" fontId="44" fillId="0" borderId="23" xfId="0" applyNumberFormat="1" applyFont="1" applyBorder="1" applyAlignment="1">
      <alignment horizontal="left" vertical="top" wrapText="1"/>
    </xf>
    <xf numFmtId="165" fontId="45" fillId="0" borderId="23" xfId="0" applyNumberFormat="1" applyFont="1" applyBorder="1" applyAlignment="1">
      <alignment horizontal="left" vertical="top" wrapText="1"/>
    </xf>
    <xf numFmtId="165" fontId="5" fillId="9" borderId="23" xfId="0" applyNumberFormat="1" applyFont="1" applyFill="1" applyBorder="1" applyAlignment="1">
      <alignment horizontal="left" vertical="top" wrapText="1"/>
    </xf>
    <xf numFmtId="0" fontId="40" fillId="18" borderId="12" xfId="0" applyFont="1" applyFill="1" applyBorder="1" applyAlignment="1">
      <alignment horizontal="left" vertical="center"/>
    </xf>
    <xf numFmtId="0" fontId="40" fillId="10" borderId="12" xfId="0" applyFont="1" applyFill="1" applyBorder="1" applyAlignment="1">
      <alignment horizontal="left" vertical="center"/>
    </xf>
    <xf numFmtId="0" fontId="0" fillId="10" borderId="27" xfId="0" applyFill="1" applyBorder="1"/>
    <xf numFmtId="166" fontId="6" fillId="0" borderId="23" xfId="0" applyNumberFormat="1" applyFont="1" applyBorder="1" applyAlignment="1">
      <alignment horizontal="right" vertical="top" wrapText="1"/>
    </xf>
    <xf numFmtId="0" fontId="6" fillId="0" borderId="23" xfId="0" applyFont="1" applyBorder="1" applyAlignment="1">
      <alignment horizontal="left" vertical="top" wrapText="1"/>
    </xf>
    <xf numFmtId="0" fontId="5" fillId="9" borderId="23" xfId="0" applyFont="1" applyFill="1" applyBorder="1" applyAlignment="1">
      <alignment horizontal="left" vertical="top" wrapText="1"/>
    </xf>
    <xf numFmtId="164" fontId="45" fillId="0" borderId="23" xfId="6" applyFont="1" applyFill="1" applyBorder="1" applyAlignment="1">
      <alignment vertical="top"/>
    </xf>
    <xf numFmtId="166" fontId="5" fillId="17" borderId="9" xfId="5" applyNumberFormat="1" applyFont="1" applyFill="1" applyBorder="1" applyAlignment="1">
      <alignment horizontal="center" vertical="top" wrapText="1"/>
    </xf>
    <xf numFmtId="165" fontId="6" fillId="0" borderId="27" xfId="5" applyFont="1" applyBorder="1" applyAlignment="1">
      <alignment horizontal="center" vertical="top"/>
    </xf>
    <xf numFmtId="164" fontId="6" fillId="0" borderId="27" xfId="6" applyFont="1" applyBorder="1" applyAlignment="1">
      <alignment vertical="top"/>
    </xf>
    <xf numFmtId="164" fontId="0" fillId="0" borderId="0" xfId="6" applyFont="1"/>
    <xf numFmtId="43" fontId="0" fillId="0" borderId="0" xfId="0" applyNumberFormat="1"/>
    <xf numFmtId="43" fontId="46" fillId="0" borderId="14" xfId="9" applyFont="1" applyFill="1" applyBorder="1" applyAlignment="1">
      <alignment horizontal="right" vertical="center"/>
    </xf>
    <xf numFmtId="165" fontId="5" fillId="0" borderId="7" xfId="5" applyFont="1" applyBorder="1" applyAlignment="1">
      <alignment vertical="top" wrapText="1"/>
    </xf>
    <xf numFmtId="173" fontId="5" fillId="17" borderId="2" xfId="6" quotePrefix="1" applyNumberFormat="1" applyFont="1" applyFill="1" applyBorder="1" applyAlignment="1">
      <alignment vertical="center" wrapText="1"/>
    </xf>
    <xf numFmtId="165" fontId="18" fillId="12" borderId="23" xfId="0" applyNumberFormat="1" applyFont="1" applyFill="1" applyBorder="1" applyAlignment="1">
      <alignment horizontal="left" vertical="top" wrapText="1"/>
    </xf>
    <xf numFmtId="43" fontId="41" fillId="0" borderId="27" xfId="0" applyNumberFormat="1" applyFont="1" applyBorder="1" applyAlignment="1">
      <alignment horizontal="right" vertical="center"/>
    </xf>
    <xf numFmtId="165" fontId="6" fillId="9" borderId="23" xfId="0" applyNumberFormat="1" applyFont="1" applyFill="1" applyBorder="1" applyAlignment="1">
      <alignment horizontal="left" vertical="top" wrapText="1"/>
    </xf>
    <xf numFmtId="0" fontId="40" fillId="0" borderId="27" xfId="0" applyFont="1" applyBorder="1" applyAlignment="1">
      <alignment horizontal="center" vertical="center"/>
    </xf>
    <xf numFmtId="165" fontId="5" fillId="0" borderId="14" xfId="0" applyNumberFormat="1" applyFont="1" applyBorder="1" applyAlignment="1">
      <alignment horizontal="left" vertical="top" wrapText="1"/>
    </xf>
    <xf numFmtId="0" fontId="40" fillId="0" borderId="27" xfId="0" applyFont="1" applyBorder="1" applyAlignment="1">
      <alignment horizontal="left" vertical="center" wrapText="1"/>
    </xf>
    <xf numFmtId="0" fontId="41" fillId="0" borderId="27" xfId="0" applyFont="1" applyBorder="1" applyAlignment="1">
      <alignment horizontal="left" vertical="center" wrapText="1"/>
    </xf>
    <xf numFmtId="14" fontId="41" fillId="0" borderId="27" xfId="0" applyNumberFormat="1" applyFont="1" applyBorder="1" applyAlignment="1">
      <alignment horizontal="left" vertical="center" wrapText="1"/>
    </xf>
    <xf numFmtId="43" fontId="41" fillId="0" borderId="28" xfId="9" applyFont="1" applyFill="1" applyBorder="1" applyAlignment="1">
      <alignment horizontal="right" vertical="center"/>
    </xf>
    <xf numFmtId="43" fontId="40" fillId="0" borderId="28" xfId="9" applyFont="1" applyFill="1" applyBorder="1" applyAlignment="1">
      <alignment horizontal="right" vertical="center"/>
    </xf>
    <xf numFmtId="43" fontId="41" fillId="0" borderId="28" xfId="0" applyNumberFormat="1" applyFont="1" applyBorder="1" applyAlignment="1">
      <alignment horizontal="right" vertical="center"/>
    </xf>
    <xf numFmtId="164" fontId="2" fillId="0" borderId="10" xfId="6" applyFont="1" applyFill="1" applyBorder="1" applyAlignment="1">
      <alignment horizontal="center" vertical="center" wrapText="1"/>
    </xf>
    <xf numFmtId="166" fontId="2" fillId="0" borderId="10" xfId="0" applyNumberFormat="1" applyFont="1" applyBorder="1" applyAlignment="1">
      <alignment horizontal="center" vertical="center" wrapText="1"/>
    </xf>
    <xf numFmtId="164" fontId="2" fillId="0" borderId="27" xfId="6" applyFont="1" applyFill="1" applyBorder="1" applyAlignment="1">
      <alignment horizontal="center" vertical="center" wrapText="1"/>
    </xf>
    <xf numFmtId="165" fontId="5" fillId="0" borderId="27" xfId="0" applyNumberFormat="1" applyFont="1" applyBorder="1" applyAlignment="1">
      <alignment horizontal="center" vertical="center" wrapText="1"/>
    </xf>
    <xf numFmtId="164" fontId="21" fillId="0" borderId="27" xfId="6" applyFont="1" applyFill="1" applyBorder="1" applyAlignment="1">
      <alignment horizontal="center" vertical="center" wrapText="1"/>
    </xf>
    <xf numFmtId="165" fontId="6" fillId="0" borderId="27" xfId="0" applyNumberFormat="1" applyFont="1" applyBorder="1" applyAlignment="1">
      <alignment horizontal="center" vertical="center" wrapText="1"/>
    </xf>
    <xf numFmtId="43" fontId="41" fillId="0" borderId="27" xfId="0" applyNumberFormat="1" applyFont="1" applyBorder="1" applyAlignment="1">
      <alignment horizontal="right"/>
    </xf>
    <xf numFmtId="164" fontId="2" fillId="0" borderId="28" xfId="6" applyFont="1" applyFill="1" applyBorder="1" applyAlignment="1">
      <alignment horizontal="center" vertical="center" wrapText="1"/>
    </xf>
    <xf numFmtId="164" fontId="2" fillId="0" borderId="0" xfId="6" applyFont="1" applyFill="1" applyBorder="1" applyAlignment="1">
      <alignment horizontal="center" vertical="center" wrapText="1"/>
    </xf>
    <xf numFmtId="166" fontId="2" fillId="0" borderId="20" xfId="0" applyNumberFormat="1" applyFont="1" applyBorder="1" applyAlignment="1">
      <alignment horizontal="center" vertical="center" wrapText="1"/>
    </xf>
    <xf numFmtId="43" fontId="40" fillId="0" borderId="14" xfId="9" applyFont="1" applyFill="1" applyBorder="1" applyAlignment="1">
      <alignment horizontal="right" vertical="center"/>
    </xf>
    <xf numFmtId="43" fontId="41" fillId="0" borderId="14" xfId="0" applyNumberFormat="1" applyFont="1" applyBorder="1" applyAlignment="1">
      <alignment horizontal="right"/>
    </xf>
    <xf numFmtId="165" fontId="6" fillId="12" borderId="0" xfId="5" applyFont="1" applyFill="1" applyAlignment="1">
      <alignment vertical="top"/>
    </xf>
    <xf numFmtId="0" fontId="40" fillId="12" borderId="12" xfId="0" applyFont="1" applyFill="1" applyBorder="1" applyAlignment="1">
      <alignment horizontal="left" vertical="center"/>
    </xf>
    <xf numFmtId="166" fontId="2" fillId="12" borderId="23" xfId="0" applyNumberFormat="1" applyFont="1" applyFill="1" applyBorder="1" applyAlignment="1">
      <alignment horizontal="center" vertical="center" wrapText="1"/>
    </xf>
    <xf numFmtId="165" fontId="5" fillId="12" borderId="23" xfId="0" applyNumberFormat="1" applyFont="1" applyFill="1" applyBorder="1" applyAlignment="1">
      <alignment horizontal="left" vertical="top" wrapText="1"/>
    </xf>
    <xf numFmtId="164" fontId="2" fillId="12" borderId="23" xfId="6" applyFont="1" applyFill="1" applyBorder="1" applyAlignment="1">
      <alignment horizontal="center" vertical="center" wrapText="1"/>
    </xf>
    <xf numFmtId="43" fontId="41" fillId="12" borderId="14" xfId="9" applyFont="1" applyFill="1" applyBorder="1" applyAlignment="1">
      <alignment horizontal="right" vertical="center"/>
    </xf>
    <xf numFmtId="165" fontId="5" fillId="12" borderId="10" xfId="0" applyNumberFormat="1" applyFont="1" applyFill="1" applyBorder="1" applyAlignment="1">
      <alignment horizontal="center" vertical="center" wrapText="1"/>
    </xf>
    <xf numFmtId="0" fontId="5" fillId="12" borderId="23" xfId="0" applyFont="1" applyFill="1" applyBorder="1" applyAlignment="1">
      <alignment horizontal="left" vertical="top" wrapText="1"/>
    </xf>
    <xf numFmtId="165" fontId="6" fillId="12" borderId="23" xfId="0" applyNumberFormat="1" applyFont="1" applyFill="1" applyBorder="1" applyAlignment="1">
      <alignment horizontal="left" vertical="top" wrapText="1"/>
    </xf>
    <xf numFmtId="0" fontId="40" fillId="12" borderId="14" xfId="0" applyFont="1" applyFill="1" applyBorder="1" applyAlignment="1">
      <alignment horizontal="center" vertical="center" wrapText="1"/>
    </xf>
    <xf numFmtId="165" fontId="6" fillId="12" borderId="23" xfId="5" applyFont="1" applyFill="1" applyBorder="1" applyAlignment="1">
      <alignment horizontal="center" vertical="center" wrapText="1"/>
    </xf>
    <xf numFmtId="166" fontId="2" fillId="12" borderId="17" xfId="0" applyNumberFormat="1" applyFont="1" applyFill="1" applyBorder="1" applyAlignment="1">
      <alignment horizontal="center" vertical="center" wrapText="1"/>
    </xf>
    <xf numFmtId="166" fontId="2" fillId="12" borderId="14" xfId="0" applyNumberFormat="1" applyFont="1" applyFill="1" applyBorder="1" applyAlignment="1">
      <alignment horizontal="center" vertical="center" wrapText="1"/>
    </xf>
    <xf numFmtId="165" fontId="6" fillId="12" borderId="23" xfId="5" applyFont="1" applyFill="1" applyBorder="1" applyAlignment="1">
      <alignment vertical="top"/>
    </xf>
    <xf numFmtId="165" fontId="6" fillId="12" borderId="23" xfId="5" applyFont="1" applyFill="1" applyBorder="1" applyAlignment="1">
      <alignment vertical="top" wrapText="1"/>
    </xf>
    <xf numFmtId="165" fontId="45" fillId="12" borderId="23" xfId="0" applyNumberFormat="1" applyFont="1" applyFill="1" applyBorder="1" applyAlignment="1">
      <alignment horizontal="left" vertical="top" wrapText="1"/>
    </xf>
    <xf numFmtId="164" fontId="6" fillId="12" borderId="23" xfId="6" applyFont="1" applyFill="1" applyBorder="1" applyAlignment="1">
      <alignment vertical="top"/>
    </xf>
    <xf numFmtId="167" fontId="6" fillId="12" borderId="23" xfId="5" applyNumberFormat="1" applyFont="1" applyFill="1" applyBorder="1" applyAlignment="1">
      <alignment vertical="top"/>
    </xf>
    <xf numFmtId="169" fontId="6" fillId="12" borderId="23" xfId="5" applyNumberFormat="1" applyFont="1" applyFill="1" applyBorder="1" applyAlignment="1">
      <alignment vertical="top"/>
    </xf>
    <xf numFmtId="166" fontId="6" fillId="12" borderId="21" xfId="5" applyNumberFormat="1" applyFont="1" applyFill="1" applyBorder="1" applyAlignment="1">
      <alignment horizontal="center" vertical="top"/>
    </xf>
    <xf numFmtId="166" fontId="6" fillId="12" borderId="0" xfId="5" applyNumberFormat="1" applyFont="1" applyFill="1" applyAlignment="1">
      <alignment vertical="top"/>
    </xf>
    <xf numFmtId="165" fontId="6" fillId="12" borderId="11" xfId="5" applyFont="1" applyFill="1" applyBorder="1" applyAlignment="1">
      <alignment vertical="top"/>
    </xf>
    <xf numFmtId="43" fontId="46" fillId="12" borderId="14" xfId="9" applyFont="1" applyFill="1" applyBorder="1" applyAlignment="1">
      <alignment horizontal="right" vertical="center"/>
    </xf>
    <xf numFmtId="164" fontId="2" fillId="12" borderId="27" xfId="6" applyFont="1" applyFill="1" applyBorder="1" applyAlignment="1">
      <alignment horizontal="center" vertical="center" wrapText="1"/>
    </xf>
    <xf numFmtId="164" fontId="21" fillId="12" borderId="27" xfId="6" applyFont="1" applyFill="1" applyBorder="1" applyAlignment="1">
      <alignment horizontal="center" vertical="center" wrapText="1"/>
    </xf>
    <xf numFmtId="165" fontId="6" fillId="12" borderId="27" xfId="0" applyNumberFormat="1" applyFont="1" applyFill="1" applyBorder="1" applyAlignment="1">
      <alignment horizontal="center" vertical="center" wrapText="1"/>
    </xf>
    <xf numFmtId="166" fontId="2" fillId="12" borderId="27" xfId="0" applyNumberFormat="1" applyFont="1" applyFill="1" applyBorder="1" applyAlignment="1">
      <alignment horizontal="center" vertical="center" wrapText="1"/>
    </xf>
    <xf numFmtId="0" fontId="0" fillId="12" borderId="27" xfId="0" applyFill="1" applyBorder="1"/>
    <xf numFmtId="165" fontId="6" fillId="12" borderId="14" xfId="5" applyFont="1" applyFill="1" applyBorder="1" applyAlignment="1">
      <alignment horizontal="center" vertical="center" wrapText="1"/>
    </xf>
    <xf numFmtId="165" fontId="5" fillId="12" borderId="27" xfId="0" applyNumberFormat="1" applyFont="1" applyFill="1" applyBorder="1" applyAlignment="1">
      <alignment horizontal="center" vertical="center" wrapText="1"/>
    </xf>
    <xf numFmtId="164" fontId="3" fillId="12" borderId="23" xfId="6" applyFont="1" applyFill="1" applyBorder="1" applyAlignment="1">
      <alignment horizontal="center" vertical="center" wrapText="1"/>
    </xf>
    <xf numFmtId="164" fontId="2" fillId="12" borderId="14" xfId="6" applyFont="1" applyFill="1" applyBorder="1" applyAlignment="1">
      <alignment horizontal="center" vertical="center" wrapText="1"/>
    </xf>
    <xf numFmtId="166" fontId="6" fillId="12" borderId="23" xfId="0" applyNumberFormat="1" applyFont="1" applyFill="1" applyBorder="1" applyAlignment="1">
      <alignment horizontal="left" vertical="top" wrapText="1"/>
    </xf>
    <xf numFmtId="165" fontId="5" fillId="12" borderId="14" xfId="0" applyNumberFormat="1" applyFont="1" applyFill="1" applyBorder="1" applyAlignment="1">
      <alignment horizontal="left" vertical="top" wrapText="1"/>
    </xf>
    <xf numFmtId="0" fontId="41" fillId="12" borderId="27" xfId="0" applyFont="1" applyFill="1" applyBorder="1" applyAlignment="1">
      <alignment horizontal="left" vertical="center" wrapText="1"/>
    </xf>
    <xf numFmtId="43" fontId="41" fillId="12" borderId="14" xfId="0" applyNumberFormat="1" applyFont="1" applyFill="1" applyBorder="1" applyAlignment="1">
      <alignment horizontal="right"/>
    </xf>
    <xf numFmtId="169" fontId="6" fillId="0" borderId="23" xfId="5" applyNumberFormat="1" applyFont="1" applyBorder="1" applyAlignment="1">
      <alignment vertical="top" wrapText="1"/>
    </xf>
    <xf numFmtId="165" fontId="6" fillId="3" borderId="23" xfId="5" applyFont="1" applyFill="1" applyBorder="1" applyAlignment="1">
      <alignment horizontal="center" vertical="center" wrapText="1"/>
    </xf>
    <xf numFmtId="166" fontId="2" fillId="3" borderId="17" xfId="0" applyNumberFormat="1" applyFont="1" applyFill="1" applyBorder="1" applyAlignment="1">
      <alignment horizontal="center" vertical="center" wrapText="1"/>
    </xf>
    <xf numFmtId="166" fontId="2" fillId="3" borderId="14" xfId="0" applyNumberFormat="1" applyFont="1" applyFill="1" applyBorder="1" applyAlignment="1">
      <alignment horizontal="center" vertical="center" wrapText="1"/>
    </xf>
    <xf numFmtId="165" fontId="6" fillId="3" borderId="23" xfId="5" applyFont="1" applyFill="1" applyBorder="1" applyAlignment="1">
      <alignment vertical="top"/>
    </xf>
    <xf numFmtId="165" fontId="6" fillId="3" borderId="23" xfId="5" applyFont="1" applyFill="1" applyBorder="1" applyAlignment="1">
      <alignment vertical="top" wrapText="1"/>
    </xf>
    <xf numFmtId="167" fontId="6" fillId="0" borderId="14" xfId="5" applyNumberFormat="1" applyFont="1" applyBorder="1" applyAlignment="1">
      <alignment vertical="top"/>
    </xf>
    <xf numFmtId="164" fontId="6" fillId="0" borderId="10" xfId="6" applyFont="1" applyFill="1" applyBorder="1" applyAlignment="1">
      <alignment vertical="top"/>
    </xf>
    <xf numFmtId="164" fontId="6" fillId="0" borderId="3" xfId="6" applyFont="1" applyFill="1" applyBorder="1" applyAlignment="1">
      <alignment vertical="top"/>
    </xf>
    <xf numFmtId="164" fontId="6" fillId="3" borderId="23" xfId="6" applyFont="1" applyFill="1" applyBorder="1" applyAlignment="1">
      <alignment vertical="top"/>
    </xf>
    <xf numFmtId="164" fontId="5" fillId="0" borderId="23" xfId="6" applyFont="1" applyFill="1" applyBorder="1" applyAlignment="1">
      <alignment vertical="top"/>
    </xf>
    <xf numFmtId="167" fontId="5" fillId="0" borderId="23" xfId="5" applyNumberFormat="1" applyFont="1" applyBorder="1" applyAlignment="1">
      <alignment vertical="top"/>
    </xf>
    <xf numFmtId="164" fontId="6" fillId="0" borderId="39" xfId="6" applyFont="1" applyFill="1" applyBorder="1" applyAlignment="1">
      <alignment vertical="top"/>
    </xf>
    <xf numFmtId="165" fontId="5" fillId="3" borderId="13" xfId="5" applyFont="1" applyFill="1" applyBorder="1" applyAlignment="1">
      <alignment vertical="top" wrapText="1"/>
    </xf>
    <xf numFmtId="164" fontId="6" fillId="0" borderId="24" xfId="6" applyFont="1" applyBorder="1" applyAlignment="1">
      <alignment vertical="top" wrapText="1"/>
    </xf>
    <xf numFmtId="165" fontId="6" fillId="0" borderId="24" xfId="5" applyFont="1" applyBorder="1" applyAlignment="1">
      <alignment vertical="top" wrapText="1"/>
    </xf>
    <xf numFmtId="165" fontId="6" fillId="3" borderId="24" xfId="5" applyFont="1" applyFill="1" applyBorder="1" applyAlignment="1">
      <alignment vertical="top" wrapText="1"/>
    </xf>
    <xf numFmtId="165" fontId="5" fillId="0" borderId="50" xfId="5" applyFont="1" applyBorder="1" applyAlignment="1">
      <alignment vertical="top" wrapText="1"/>
    </xf>
    <xf numFmtId="165" fontId="6" fillId="0" borderId="50" xfId="5" applyFont="1" applyBorder="1" applyAlignment="1">
      <alignment vertical="top" wrapText="1"/>
    </xf>
    <xf numFmtId="166" fontId="6" fillId="0" borderId="24" xfId="5" applyNumberFormat="1" applyFont="1" applyBorder="1" applyAlignment="1">
      <alignment vertical="top" wrapText="1"/>
    </xf>
    <xf numFmtId="0" fontId="40" fillId="0" borderId="35" xfId="0" applyFont="1" applyBorder="1" applyAlignment="1">
      <alignment horizontal="left" vertical="center"/>
    </xf>
    <xf numFmtId="0" fontId="40" fillId="0" borderId="35" xfId="0" applyFont="1" applyBorder="1" applyAlignment="1">
      <alignment horizontal="left" vertical="top" wrapText="1"/>
    </xf>
    <xf numFmtId="165" fontId="5" fillId="0" borderId="13" xfId="5" applyFont="1" applyBorder="1" applyAlignment="1">
      <alignment vertical="top" wrapText="1"/>
    </xf>
    <xf numFmtId="165" fontId="6" fillId="9" borderId="11" xfId="5" applyFont="1" applyFill="1" applyBorder="1" applyAlignment="1">
      <alignment vertical="top"/>
    </xf>
    <xf numFmtId="166" fontId="2" fillId="9" borderId="23" xfId="0" applyNumberFormat="1" applyFont="1" applyFill="1" applyBorder="1" applyAlignment="1">
      <alignment horizontal="center" vertical="center" wrapText="1"/>
    </xf>
    <xf numFmtId="164" fontId="2" fillId="9" borderId="23" xfId="6" applyFont="1" applyFill="1" applyBorder="1" applyAlignment="1">
      <alignment horizontal="center" vertical="center" wrapText="1"/>
    </xf>
    <xf numFmtId="165" fontId="18" fillId="9" borderId="23" xfId="0" applyNumberFormat="1" applyFont="1" applyFill="1" applyBorder="1" applyAlignment="1">
      <alignment horizontal="left" vertical="top" wrapText="1"/>
    </xf>
    <xf numFmtId="43" fontId="41" fillId="9" borderId="14" xfId="9" applyFont="1" applyFill="1" applyBorder="1" applyAlignment="1">
      <alignment horizontal="right" vertical="center"/>
    </xf>
    <xf numFmtId="165" fontId="5" fillId="9" borderId="10" xfId="0" applyNumberFormat="1" applyFont="1" applyFill="1" applyBorder="1" applyAlignment="1">
      <alignment horizontal="center" vertical="center" wrapText="1"/>
    </xf>
    <xf numFmtId="0" fontId="0" fillId="9" borderId="27" xfId="0" applyFill="1" applyBorder="1"/>
    <xf numFmtId="0" fontId="40" fillId="9" borderId="14" xfId="0" applyFont="1" applyFill="1" applyBorder="1" applyAlignment="1">
      <alignment horizontal="center" vertical="center" wrapText="1"/>
    </xf>
    <xf numFmtId="165" fontId="6" fillId="9" borderId="23" xfId="5" applyFont="1" applyFill="1" applyBorder="1" applyAlignment="1">
      <alignment horizontal="center" vertical="center" wrapText="1"/>
    </xf>
    <xf numFmtId="166" fontId="2" fillId="9" borderId="17" xfId="0" applyNumberFormat="1" applyFont="1" applyFill="1" applyBorder="1" applyAlignment="1">
      <alignment horizontal="center" vertical="center" wrapText="1"/>
    </xf>
    <xf numFmtId="166" fontId="2" fillId="9" borderId="14" xfId="0" applyNumberFormat="1" applyFont="1" applyFill="1" applyBorder="1" applyAlignment="1">
      <alignment horizontal="center" vertical="center" wrapText="1"/>
    </xf>
    <xf numFmtId="165" fontId="6" fillId="9" borderId="23" xfId="5" applyFont="1" applyFill="1" applyBorder="1" applyAlignment="1">
      <alignment vertical="top"/>
    </xf>
    <xf numFmtId="165" fontId="6" fillId="9" borderId="23" xfId="5" applyFont="1" applyFill="1" applyBorder="1" applyAlignment="1">
      <alignment vertical="top" wrapText="1"/>
    </xf>
    <xf numFmtId="164" fontId="40" fillId="9" borderId="58" xfId="6" applyFont="1" applyFill="1" applyBorder="1" applyAlignment="1">
      <alignment horizontal="center" vertical="center" wrapText="1"/>
    </xf>
    <xf numFmtId="167" fontId="6" fillId="9" borderId="23" xfId="5" applyNumberFormat="1" applyFont="1" applyFill="1" applyBorder="1" applyAlignment="1">
      <alignment vertical="top"/>
    </xf>
    <xf numFmtId="164" fontId="6" fillId="9" borderId="23" xfId="6" applyFont="1" applyFill="1" applyBorder="1" applyAlignment="1">
      <alignment vertical="top"/>
    </xf>
    <xf numFmtId="169" fontId="6" fillId="9" borderId="23" xfId="5" applyNumberFormat="1" applyFont="1" applyFill="1" applyBorder="1" applyAlignment="1">
      <alignment vertical="top" wrapText="1"/>
    </xf>
    <xf numFmtId="169" fontId="6" fillId="9" borderId="23" xfId="5" applyNumberFormat="1" applyFont="1" applyFill="1" applyBorder="1" applyAlignment="1">
      <alignment vertical="top"/>
    </xf>
    <xf numFmtId="166" fontId="6" fillId="9" borderId="21" xfId="5" applyNumberFormat="1" applyFont="1" applyFill="1" applyBorder="1" applyAlignment="1">
      <alignment horizontal="center" vertical="top"/>
    </xf>
    <xf numFmtId="166" fontId="6" fillId="9" borderId="0" xfId="5" applyNumberFormat="1" applyFont="1" applyFill="1" applyAlignment="1">
      <alignment vertical="top"/>
    </xf>
    <xf numFmtId="165" fontId="6" fillId="9" borderId="0" xfId="5" applyFont="1" applyFill="1" applyAlignment="1">
      <alignment vertical="top"/>
    </xf>
    <xf numFmtId="180" fontId="6" fillId="0" borderId="10" xfId="5" applyNumberFormat="1" applyFont="1" applyBorder="1" applyAlignment="1">
      <alignment vertical="top"/>
    </xf>
    <xf numFmtId="165" fontId="5" fillId="9" borderId="24" xfId="5" applyFont="1" applyFill="1" applyBorder="1" applyAlignment="1">
      <alignment horizontal="center" vertical="top" wrapText="1"/>
    </xf>
    <xf numFmtId="14" fontId="6" fillId="0" borderId="23" xfId="5" applyNumberFormat="1" applyFont="1" applyBorder="1" applyAlignment="1">
      <alignment vertical="top"/>
    </xf>
    <xf numFmtId="0" fontId="5" fillId="0" borderId="23" xfId="0" applyFont="1" applyBorder="1" applyAlignment="1">
      <alignment horizontal="left" wrapText="1"/>
    </xf>
    <xf numFmtId="0" fontId="0" fillId="0" borderId="14" xfId="0" applyBorder="1"/>
    <xf numFmtId="0" fontId="0" fillId="0" borderId="14" xfId="0" applyBorder="1" applyAlignment="1">
      <alignment horizontal="center"/>
    </xf>
    <xf numFmtId="0" fontId="41" fillId="0" borderId="14" xfId="0" applyFont="1" applyBorder="1" applyAlignment="1">
      <alignment horizontal="center" vertical="center" wrapText="1"/>
    </xf>
    <xf numFmtId="166" fontId="6" fillId="0" borderId="50" xfId="5" applyNumberFormat="1" applyFont="1" applyBorder="1" applyAlignment="1">
      <alignment vertical="top" wrapText="1"/>
    </xf>
    <xf numFmtId="165" fontId="5" fillId="0" borderId="23" xfId="0" quotePrefix="1" applyNumberFormat="1" applyFont="1" applyBorder="1" applyAlignment="1">
      <alignment horizontal="center" vertical="center" wrapText="1"/>
    </xf>
    <xf numFmtId="0" fontId="40" fillId="0" borderId="27" xfId="0" applyFont="1" applyBorder="1" applyAlignment="1">
      <alignment horizontal="left" vertical="top"/>
    </xf>
    <xf numFmtId="14" fontId="6" fillId="3" borderId="23" xfId="5" applyNumberFormat="1" applyFont="1" applyFill="1" applyBorder="1" applyAlignment="1">
      <alignment vertical="top"/>
    </xf>
    <xf numFmtId="0" fontId="5" fillId="0" borderId="10" xfId="0" applyFont="1" applyBorder="1" applyAlignment="1">
      <alignment horizontal="center" vertical="center" wrapText="1"/>
    </xf>
    <xf numFmtId="166" fontId="2" fillId="0" borderId="17" xfId="0" applyNumberFormat="1" applyFont="1" applyBorder="1" applyAlignment="1">
      <alignment horizontal="center" vertical="center" wrapText="1"/>
    </xf>
    <xf numFmtId="165" fontId="6" fillId="0" borderId="23" xfId="5" applyFont="1" applyBorder="1" applyAlignment="1">
      <alignment horizontal="center" vertical="center" wrapText="1"/>
    </xf>
    <xf numFmtId="166" fontId="2" fillId="0" borderId="14" xfId="0" applyNumberFormat="1" applyFont="1" applyBorder="1" applyAlignment="1">
      <alignment horizontal="center" vertical="center" wrapText="1"/>
    </xf>
    <xf numFmtId="164" fontId="40" fillId="0" borderId="14" xfId="6" applyFont="1" applyFill="1" applyBorder="1" applyAlignment="1">
      <alignment horizontal="center" vertical="center" wrapText="1"/>
    </xf>
    <xf numFmtId="165" fontId="6" fillId="0" borderId="23" xfId="5" applyFont="1" applyFill="1" applyBorder="1" applyAlignment="1">
      <alignment vertical="top"/>
    </xf>
    <xf numFmtId="165" fontId="6" fillId="0" borderId="0" xfId="5" applyFont="1" applyAlignment="1">
      <alignment horizontal="center" vertical="top" wrapText="1"/>
    </xf>
    <xf numFmtId="166" fontId="6" fillId="0" borderId="0" xfId="5" applyNumberFormat="1" applyFont="1" applyAlignment="1">
      <alignment horizontal="center" vertical="top"/>
    </xf>
    <xf numFmtId="165" fontId="6" fillId="0" borderId="0" xfId="5" applyFont="1" applyAlignment="1">
      <alignment horizontal="center" vertical="top" wrapText="1"/>
    </xf>
    <xf numFmtId="165" fontId="6" fillId="0" borderId="0" xfId="5" applyFont="1" applyAlignment="1">
      <alignment horizontal="center" vertical="center"/>
    </xf>
    <xf numFmtId="166" fontId="6" fillId="20" borderId="0" xfId="5" applyNumberFormat="1" applyFont="1" applyFill="1" applyAlignment="1">
      <alignment horizontal="right" vertical="top"/>
    </xf>
    <xf numFmtId="166" fontId="5" fillId="20" borderId="2" xfId="5" quotePrefix="1" applyNumberFormat="1" applyFont="1" applyFill="1" applyBorder="1" applyAlignment="1">
      <alignment horizontal="center" vertical="top" wrapText="1"/>
    </xf>
    <xf numFmtId="166" fontId="5" fillId="20" borderId="24" xfId="5" applyNumberFormat="1" applyFont="1" applyFill="1" applyBorder="1" applyAlignment="1">
      <alignment horizontal="right" vertical="top"/>
    </xf>
    <xf numFmtId="1" fontId="5" fillId="20" borderId="13" xfId="6" applyNumberFormat="1" applyFont="1" applyFill="1" applyBorder="1" applyAlignment="1">
      <alignment horizontal="center" vertical="center" wrapText="1"/>
    </xf>
    <xf numFmtId="166" fontId="5" fillId="20" borderId="13" xfId="0" applyNumberFormat="1" applyFont="1" applyFill="1" applyBorder="1" applyAlignment="1">
      <alignment horizontal="center" vertical="center" wrapText="1"/>
    </xf>
    <xf numFmtId="166" fontId="5" fillId="20" borderId="2" xfId="0" applyNumberFormat="1" applyFont="1" applyFill="1" applyBorder="1" applyAlignment="1">
      <alignment horizontal="center" vertical="center" wrapText="1"/>
    </xf>
    <xf numFmtId="166" fontId="5" fillId="20" borderId="0" xfId="0" applyNumberFormat="1" applyFont="1" applyFill="1" applyAlignment="1">
      <alignment horizontal="center" vertical="center" wrapText="1"/>
    </xf>
    <xf numFmtId="166" fontId="5" fillId="20" borderId="0" xfId="5" applyNumberFormat="1" applyFont="1" applyFill="1" applyAlignment="1">
      <alignment horizontal="right" vertical="top"/>
    </xf>
    <xf numFmtId="166" fontId="5" fillId="20" borderId="8" xfId="5" quotePrefix="1" applyNumberFormat="1" applyFont="1" applyFill="1" applyBorder="1" applyAlignment="1">
      <alignment horizontal="center" vertical="top" wrapText="1"/>
    </xf>
    <xf numFmtId="166" fontId="5" fillId="20" borderId="19" xfId="5" applyNumberFormat="1" applyFont="1" applyFill="1" applyBorder="1" applyAlignment="1">
      <alignment horizontal="right" vertical="top"/>
    </xf>
    <xf numFmtId="166" fontId="5" fillId="20" borderId="25" xfId="5" applyNumberFormat="1" applyFont="1" applyFill="1" applyBorder="1" applyAlignment="1">
      <alignment horizontal="right" vertical="top"/>
    </xf>
    <xf numFmtId="166" fontId="5" fillId="20" borderId="7" xfId="5" applyNumberFormat="1" applyFont="1" applyFill="1" applyBorder="1" applyAlignment="1">
      <alignment horizontal="right" vertical="top"/>
    </xf>
    <xf numFmtId="166" fontId="12" fillId="20" borderId="6" xfId="5" applyNumberFormat="1" applyFont="1" applyFill="1" applyBorder="1" applyAlignment="1">
      <alignment horizontal="center" vertical="top" wrapText="1"/>
    </xf>
    <xf numFmtId="166" fontId="12" fillId="20" borderId="5" xfId="5" applyNumberFormat="1" applyFont="1" applyFill="1" applyBorder="1" applyAlignment="1">
      <alignment horizontal="center" vertical="top" wrapText="1"/>
    </xf>
    <xf numFmtId="166" fontId="12" fillId="20" borderId="7" xfId="5" applyNumberFormat="1" applyFont="1" applyFill="1" applyBorder="1" applyAlignment="1">
      <alignment horizontal="center" vertical="top" wrapText="1"/>
    </xf>
    <xf numFmtId="166" fontId="5" fillId="20" borderId="9" xfId="5" applyNumberFormat="1" applyFont="1" applyFill="1" applyBorder="1" applyAlignment="1">
      <alignment horizontal="right" vertical="top"/>
    </xf>
    <xf numFmtId="165" fontId="5" fillId="20" borderId="0" xfId="0" applyNumberFormat="1" applyFont="1" applyFill="1" applyAlignment="1">
      <alignment horizontal="center" vertical="center" wrapText="1"/>
    </xf>
    <xf numFmtId="165" fontId="6" fillId="0" borderId="0" xfId="5" applyFont="1" applyAlignment="1">
      <alignment horizontal="left" vertical="top" wrapText="1"/>
    </xf>
    <xf numFmtId="166" fontId="2" fillId="0" borderId="17" xfId="0" applyNumberFormat="1" applyFont="1" applyBorder="1" applyAlignment="1">
      <alignment horizontal="center" vertical="center" wrapText="1"/>
    </xf>
    <xf numFmtId="165" fontId="6" fillId="0" borderId="23" xfId="5" applyFont="1" applyBorder="1" applyAlignment="1">
      <alignment horizontal="center" vertical="center" wrapText="1"/>
    </xf>
    <xf numFmtId="166" fontId="2" fillId="0" borderId="14" xfId="0" applyNumberFormat="1" applyFont="1" applyBorder="1" applyAlignment="1">
      <alignment horizontal="center" vertical="center" wrapText="1"/>
    </xf>
    <xf numFmtId="166" fontId="6" fillId="18" borderId="21" xfId="5" applyNumberFormat="1" applyFont="1" applyFill="1" applyBorder="1" applyAlignment="1">
      <alignment horizontal="center" vertical="top"/>
    </xf>
    <xf numFmtId="166" fontId="6" fillId="18" borderId="0" xfId="5" applyNumberFormat="1" applyFont="1" applyFill="1" applyAlignment="1">
      <alignment vertical="top"/>
    </xf>
    <xf numFmtId="165" fontId="6" fillId="18" borderId="0" xfId="5" applyFont="1" applyFill="1" applyAlignment="1">
      <alignment vertical="top"/>
    </xf>
    <xf numFmtId="165" fontId="6" fillId="0" borderId="11" xfId="5" applyFont="1" applyFill="1" applyBorder="1" applyAlignment="1">
      <alignment vertical="top"/>
    </xf>
    <xf numFmtId="166" fontId="2" fillId="0" borderId="23" xfId="0" applyNumberFormat="1" applyFont="1" applyFill="1" applyBorder="1" applyAlignment="1">
      <alignment horizontal="center" vertical="center" wrapText="1"/>
    </xf>
    <xf numFmtId="165" fontId="5" fillId="0" borderId="23" xfId="0" applyNumberFormat="1" applyFont="1" applyFill="1" applyBorder="1" applyAlignment="1">
      <alignment horizontal="left" vertical="top" wrapText="1"/>
    </xf>
    <xf numFmtId="165" fontId="18" fillId="0" borderId="23" xfId="0" applyNumberFormat="1" applyFont="1" applyFill="1" applyBorder="1" applyAlignment="1">
      <alignment horizontal="left" vertical="top" wrapText="1"/>
    </xf>
    <xf numFmtId="165" fontId="5" fillId="0" borderId="10" xfId="0" applyNumberFormat="1" applyFont="1" applyFill="1" applyBorder="1" applyAlignment="1">
      <alignment horizontal="center" vertical="center" wrapText="1"/>
    </xf>
    <xf numFmtId="0" fontId="6" fillId="0" borderId="23" xfId="0" applyFont="1" applyFill="1" applyBorder="1" applyAlignment="1">
      <alignment horizontal="left" vertical="top" wrapText="1"/>
    </xf>
    <xf numFmtId="165" fontId="6" fillId="0" borderId="23" xfId="0" applyNumberFormat="1" applyFont="1" applyFill="1" applyBorder="1" applyAlignment="1">
      <alignment horizontal="left" vertical="top" wrapText="1"/>
    </xf>
    <xf numFmtId="166" fontId="5" fillId="0" borderId="23" xfId="0" applyNumberFormat="1" applyFont="1" applyFill="1" applyBorder="1" applyAlignment="1">
      <alignment horizontal="left" vertical="top" wrapText="1"/>
    </xf>
    <xf numFmtId="165" fontId="6" fillId="0" borderId="23" xfId="5" applyFont="1" applyFill="1" applyBorder="1" applyAlignment="1">
      <alignment horizontal="center" vertical="center" wrapText="1"/>
    </xf>
    <xf numFmtId="166" fontId="2" fillId="0" borderId="17" xfId="0" applyNumberFormat="1" applyFont="1" applyFill="1" applyBorder="1" applyAlignment="1">
      <alignment horizontal="center" vertical="center" wrapText="1"/>
    </xf>
    <xf numFmtId="166" fontId="2" fillId="0" borderId="14" xfId="0" applyNumberFormat="1" applyFont="1" applyFill="1" applyBorder="1" applyAlignment="1">
      <alignment horizontal="center" vertical="center" wrapText="1"/>
    </xf>
    <xf numFmtId="165" fontId="6" fillId="0" borderId="23" xfId="5" applyFont="1" applyFill="1" applyBorder="1" applyAlignment="1">
      <alignment vertical="top" wrapText="1"/>
    </xf>
    <xf numFmtId="167" fontId="6" fillId="0" borderId="23" xfId="5" applyNumberFormat="1" applyFont="1" applyFill="1" applyBorder="1" applyAlignment="1">
      <alignment vertical="top"/>
    </xf>
    <xf numFmtId="169" fontId="6" fillId="0" borderId="23" xfId="5" applyNumberFormat="1" applyFont="1" applyFill="1" applyBorder="1" applyAlignment="1">
      <alignment vertical="top"/>
    </xf>
    <xf numFmtId="166" fontId="6" fillId="0" borderId="21" xfId="5" applyNumberFormat="1" applyFont="1" applyFill="1" applyBorder="1" applyAlignment="1">
      <alignment horizontal="center" vertical="top"/>
    </xf>
    <xf numFmtId="166" fontId="6" fillId="0" borderId="0" xfId="5" applyNumberFormat="1" applyFont="1" applyFill="1" applyAlignment="1">
      <alignment vertical="top"/>
    </xf>
    <xf numFmtId="165" fontId="6" fillId="0" borderId="0" xfId="5" applyFont="1" applyFill="1" applyAlignment="1">
      <alignment vertical="top"/>
    </xf>
    <xf numFmtId="165" fontId="6" fillId="0" borderId="0" xfId="5" applyFont="1" applyAlignment="1">
      <alignment horizontal="left" vertical="top" wrapText="1"/>
    </xf>
    <xf numFmtId="165" fontId="6" fillId="0" borderId="0" xfId="5" applyFont="1" applyAlignment="1">
      <alignment horizontal="center" vertical="top" wrapText="1"/>
    </xf>
    <xf numFmtId="166" fontId="6" fillId="0" borderId="0" xfId="5" applyNumberFormat="1" applyFont="1" applyAlignment="1">
      <alignment horizontal="center" vertical="top"/>
    </xf>
    <xf numFmtId="164" fontId="2" fillId="7" borderId="23" xfId="6" applyFont="1" applyFill="1" applyBorder="1" applyAlignment="1">
      <alignment horizontal="center" vertical="center" wrapText="1"/>
    </xf>
    <xf numFmtId="165" fontId="5" fillId="7" borderId="24" xfId="5" applyFont="1" applyFill="1" applyBorder="1" applyAlignment="1">
      <alignment vertical="top" wrapText="1"/>
    </xf>
    <xf numFmtId="164" fontId="5" fillId="7" borderId="24" xfId="6" applyFont="1" applyFill="1" applyBorder="1" applyAlignment="1">
      <alignment vertical="top" wrapText="1"/>
    </xf>
    <xf numFmtId="165" fontId="6" fillId="7" borderId="11" xfId="5" applyFont="1" applyFill="1" applyBorder="1" applyAlignment="1">
      <alignment vertical="top"/>
    </xf>
    <xf numFmtId="166" fontId="6" fillId="7" borderId="21" xfId="5" applyNumberFormat="1" applyFont="1" applyFill="1" applyBorder="1" applyAlignment="1">
      <alignment horizontal="center" vertical="top"/>
    </xf>
    <xf numFmtId="166" fontId="2" fillId="7" borderId="23" xfId="0" applyNumberFormat="1" applyFont="1" applyFill="1" applyBorder="1" applyAlignment="1">
      <alignment horizontal="center" vertical="center" wrapText="1"/>
    </xf>
    <xf numFmtId="165" fontId="5" fillId="7" borderId="23" xfId="0" applyNumberFormat="1" applyFont="1" applyFill="1" applyBorder="1" applyAlignment="1">
      <alignment horizontal="left" vertical="top" wrapText="1"/>
    </xf>
    <xf numFmtId="165" fontId="18" fillId="7" borderId="23" xfId="0" applyNumberFormat="1" applyFont="1" applyFill="1" applyBorder="1" applyAlignment="1">
      <alignment horizontal="left" vertical="top" wrapText="1"/>
    </xf>
    <xf numFmtId="43" fontId="41" fillId="7" borderId="14" xfId="9" applyFont="1" applyFill="1" applyBorder="1" applyAlignment="1">
      <alignment horizontal="right" vertical="center"/>
    </xf>
    <xf numFmtId="165" fontId="5" fillId="7" borderId="10" xfId="0" applyNumberFormat="1" applyFont="1" applyFill="1" applyBorder="1" applyAlignment="1">
      <alignment horizontal="center" vertical="center" wrapText="1"/>
    </xf>
    <xf numFmtId="0" fontId="5" fillId="7" borderId="23" xfId="0" applyFont="1" applyFill="1" applyBorder="1" applyAlignment="1">
      <alignment horizontal="left" vertical="top" wrapText="1"/>
    </xf>
    <xf numFmtId="165" fontId="6" fillId="7" borderId="23" xfId="0" applyNumberFormat="1" applyFont="1" applyFill="1" applyBorder="1" applyAlignment="1">
      <alignment horizontal="left" vertical="top" wrapText="1"/>
    </xf>
    <xf numFmtId="0" fontId="40" fillId="7" borderId="14" xfId="0" applyFont="1" applyFill="1" applyBorder="1" applyAlignment="1">
      <alignment horizontal="center" vertical="center" wrapText="1"/>
    </xf>
    <xf numFmtId="165" fontId="6" fillId="7" borderId="23" xfId="5" applyFont="1" applyFill="1" applyBorder="1" applyAlignment="1">
      <alignment horizontal="center" vertical="center" wrapText="1"/>
    </xf>
    <xf numFmtId="166" fontId="2" fillId="7" borderId="17" xfId="0" applyNumberFormat="1" applyFont="1" applyFill="1" applyBorder="1" applyAlignment="1">
      <alignment horizontal="center" vertical="center" wrapText="1"/>
    </xf>
    <xf numFmtId="166" fontId="2" fillId="7" borderId="14" xfId="0" applyNumberFormat="1" applyFont="1" applyFill="1" applyBorder="1" applyAlignment="1">
      <alignment horizontal="center" vertical="center" wrapText="1"/>
    </xf>
    <xf numFmtId="165" fontId="6" fillId="7" borderId="23" xfId="5" applyFont="1" applyFill="1" applyBorder="1" applyAlignment="1">
      <alignment vertical="top"/>
    </xf>
    <xf numFmtId="165" fontId="6" fillId="7" borderId="23" xfId="5" applyFont="1" applyFill="1" applyBorder="1" applyAlignment="1">
      <alignment vertical="top" wrapText="1"/>
    </xf>
    <xf numFmtId="167" fontId="6" fillId="7" borderId="23" xfId="5" applyNumberFormat="1" applyFont="1" applyFill="1" applyBorder="1" applyAlignment="1">
      <alignment vertical="top"/>
    </xf>
    <xf numFmtId="169" fontId="6" fillId="7" borderId="23" xfId="5" applyNumberFormat="1" applyFont="1" applyFill="1" applyBorder="1" applyAlignment="1">
      <alignment vertical="top"/>
    </xf>
    <xf numFmtId="0" fontId="40" fillId="7" borderId="12" xfId="0" applyFont="1" applyFill="1" applyBorder="1" applyAlignment="1">
      <alignment horizontal="left" vertical="center"/>
    </xf>
    <xf numFmtId="165" fontId="45" fillId="7" borderId="23" xfId="0" applyNumberFormat="1" applyFont="1" applyFill="1" applyBorder="1" applyAlignment="1">
      <alignment horizontal="left" vertical="top" wrapText="1"/>
    </xf>
    <xf numFmtId="164" fontId="6" fillId="7" borderId="23" xfId="6" applyFont="1" applyFill="1" applyBorder="1" applyAlignment="1">
      <alignment vertical="top"/>
    </xf>
    <xf numFmtId="165" fontId="6" fillId="7" borderId="26" xfId="5" applyFont="1" applyFill="1" applyBorder="1" applyAlignment="1">
      <alignment vertical="top"/>
    </xf>
    <xf numFmtId="166" fontId="5" fillId="7" borderId="24" xfId="5" applyNumberFormat="1" applyFont="1" applyFill="1" applyBorder="1" applyAlignment="1">
      <alignment horizontal="center" vertical="top"/>
    </xf>
    <xf numFmtId="165" fontId="7" fillId="7" borderId="24" xfId="5" applyFont="1" applyFill="1" applyBorder="1" applyAlignment="1">
      <alignment horizontal="left" vertical="top" wrapText="1"/>
    </xf>
    <xf numFmtId="165" fontId="5" fillId="7" borderId="24" xfId="5" applyFont="1" applyFill="1" applyBorder="1" applyAlignment="1">
      <alignment horizontal="left" vertical="top"/>
    </xf>
    <xf numFmtId="164" fontId="5" fillId="7" borderId="10" xfId="6" applyFont="1" applyFill="1" applyBorder="1" applyAlignment="1">
      <alignment vertical="top"/>
    </xf>
    <xf numFmtId="165" fontId="5" fillId="7" borderId="24" xfId="5" applyFont="1" applyFill="1" applyBorder="1" applyAlignment="1">
      <alignment horizontal="center" vertical="top"/>
    </xf>
    <xf numFmtId="165" fontId="5" fillId="7" borderId="24" xfId="5" applyFont="1" applyFill="1" applyBorder="1" applyAlignment="1">
      <alignment horizontal="center" vertical="top" wrapText="1"/>
    </xf>
    <xf numFmtId="165" fontId="5" fillId="7" borderId="26" xfId="5" applyFont="1" applyFill="1" applyBorder="1" applyAlignment="1">
      <alignment horizontal="center" vertical="top" wrapText="1"/>
    </xf>
    <xf numFmtId="165" fontId="5" fillId="7" borderId="0" xfId="5" applyFont="1" applyFill="1" applyAlignment="1">
      <alignment horizontal="center" vertical="top" wrapText="1"/>
    </xf>
    <xf numFmtId="165" fontId="6" fillId="7" borderId="27" xfId="5" applyFont="1" applyFill="1" applyBorder="1" applyAlignment="1">
      <alignment vertical="top"/>
    </xf>
    <xf numFmtId="165" fontId="6" fillId="7" borderId="10" xfId="5" applyFont="1" applyFill="1" applyBorder="1" applyAlignment="1">
      <alignment vertical="top"/>
    </xf>
    <xf numFmtId="165" fontId="6" fillId="7" borderId="21" xfId="5" applyFont="1" applyFill="1" applyBorder="1" applyAlignment="1">
      <alignment horizontal="center" vertical="top"/>
    </xf>
    <xf numFmtId="164" fontId="3" fillId="7" borderId="23" xfId="6" applyFont="1" applyFill="1" applyBorder="1" applyAlignment="1">
      <alignment horizontal="center" vertical="center" wrapText="1"/>
    </xf>
    <xf numFmtId="164" fontId="2" fillId="7" borderId="14" xfId="6" applyFont="1" applyFill="1" applyBorder="1" applyAlignment="1">
      <alignment horizontal="center" vertical="center" wrapText="1"/>
    </xf>
    <xf numFmtId="165" fontId="5" fillId="7" borderId="27" xfId="0" applyNumberFormat="1" applyFont="1" applyFill="1" applyBorder="1" applyAlignment="1">
      <alignment horizontal="center" vertical="center" wrapText="1"/>
    </xf>
    <xf numFmtId="166" fontId="6" fillId="7" borderId="23" xfId="0" applyNumberFormat="1" applyFont="1" applyFill="1" applyBorder="1" applyAlignment="1">
      <alignment horizontal="left" vertical="top" wrapText="1"/>
    </xf>
    <xf numFmtId="165" fontId="5" fillId="7" borderId="14" xfId="0" applyNumberFormat="1" applyFont="1" applyFill="1" applyBorder="1" applyAlignment="1">
      <alignment horizontal="left" vertical="top" wrapText="1"/>
    </xf>
    <xf numFmtId="0" fontId="41" fillId="7" borderId="27" xfId="0" applyFont="1" applyFill="1" applyBorder="1" applyAlignment="1">
      <alignment horizontal="left" vertical="center" wrapText="1"/>
    </xf>
    <xf numFmtId="43" fontId="41" fillId="7" borderId="14" xfId="0" applyNumberFormat="1" applyFont="1" applyFill="1" applyBorder="1" applyAlignment="1">
      <alignment horizontal="right"/>
    </xf>
    <xf numFmtId="43" fontId="46" fillId="7" borderId="14" xfId="9" applyFont="1" applyFill="1" applyBorder="1" applyAlignment="1">
      <alignment horizontal="right" vertical="center"/>
    </xf>
    <xf numFmtId="164" fontId="2" fillId="7" borderId="27" xfId="6" applyFont="1" applyFill="1" applyBorder="1" applyAlignment="1">
      <alignment horizontal="center" vertical="center" wrapText="1"/>
    </xf>
    <xf numFmtId="164" fontId="21" fillId="7" borderId="27" xfId="6" applyFont="1" applyFill="1" applyBorder="1" applyAlignment="1">
      <alignment horizontal="center" vertical="center" wrapText="1"/>
    </xf>
    <xf numFmtId="165" fontId="6" fillId="7" borderId="27" xfId="0" applyNumberFormat="1" applyFont="1" applyFill="1" applyBorder="1" applyAlignment="1">
      <alignment horizontal="center" vertical="center" wrapText="1"/>
    </xf>
    <xf numFmtId="166" fontId="2" fillId="7" borderId="27" xfId="0" applyNumberFormat="1" applyFont="1" applyFill="1" applyBorder="1" applyAlignment="1">
      <alignment horizontal="center" vertical="center" wrapText="1"/>
    </xf>
    <xf numFmtId="0" fontId="0" fillId="7" borderId="27" xfId="0" applyFill="1" applyBorder="1"/>
    <xf numFmtId="165" fontId="6" fillId="7" borderId="14" xfId="5" applyFont="1" applyFill="1" applyBorder="1" applyAlignment="1">
      <alignment horizontal="center" vertical="center" wrapText="1"/>
    </xf>
    <xf numFmtId="0" fontId="6" fillId="7" borderId="23" xfId="6" applyNumberFormat="1" applyFont="1" applyFill="1" applyBorder="1" applyAlignment="1">
      <alignment vertical="top"/>
    </xf>
    <xf numFmtId="165" fontId="5" fillId="9" borderId="23" xfId="0" quotePrefix="1" applyNumberFormat="1" applyFont="1" applyFill="1" applyBorder="1" applyAlignment="1">
      <alignment horizontal="center" vertical="center" wrapText="1"/>
    </xf>
    <xf numFmtId="14" fontId="6" fillId="9" borderId="23" xfId="5" applyNumberFormat="1" applyFont="1" applyFill="1" applyBorder="1" applyAlignment="1">
      <alignment vertical="top"/>
    </xf>
    <xf numFmtId="164" fontId="3" fillId="9" borderId="23" xfId="6" applyFont="1" applyFill="1" applyBorder="1" applyAlignment="1">
      <alignment horizontal="center" vertical="center" wrapText="1"/>
    </xf>
    <xf numFmtId="164" fontId="2" fillId="9" borderId="27" xfId="6" applyFont="1" applyFill="1" applyBorder="1" applyAlignment="1">
      <alignment horizontal="center" vertical="center" wrapText="1"/>
    </xf>
    <xf numFmtId="165" fontId="5" fillId="9" borderId="27" xfId="0" applyNumberFormat="1" applyFont="1" applyFill="1" applyBorder="1" applyAlignment="1">
      <alignment horizontal="center" vertical="center" wrapText="1"/>
    </xf>
    <xf numFmtId="166" fontId="2" fillId="9" borderId="27" xfId="0" applyNumberFormat="1" applyFont="1" applyFill="1" applyBorder="1" applyAlignment="1">
      <alignment horizontal="center" vertical="center" wrapText="1"/>
    </xf>
    <xf numFmtId="0" fontId="5" fillId="0" borderId="23" xfId="0" applyFont="1" applyFill="1" applyBorder="1" applyAlignment="1">
      <alignment horizontal="left" vertical="top" wrapText="1"/>
    </xf>
    <xf numFmtId="0" fontId="0" fillId="0" borderId="27" xfId="0" applyFill="1" applyBorder="1"/>
    <xf numFmtId="165" fontId="5" fillId="0" borderId="23" xfId="0" quotePrefix="1" applyNumberFormat="1" applyFont="1" applyFill="1" applyBorder="1" applyAlignment="1">
      <alignment horizontal="center" vertical="center" wrapText="1"/>
    </xf>
    <xf numFmtId="14" fontId="6" fillId="0" borderId="23" xfId="5" applyNumberFormat="1" applyFont="1" applyFill="1" applyBorder="1" applyAlignment="1">
      <alignment vertical="top"/>
    </xf>
    <xf numFmtId="166" fontId="2" fillId="0" borderId="17" xfId="0" applyNumberFormat="1" applyFont="1" applyBorder="1" applyAlignment="1">
      <alignment horizontal="center" vertical="center" wrapText="1"/>
    </xf>
    <xf numFmtId="166" fontId="2" fillId="0" borderId="14" xfId="0" applyNumberFormat="1" applyFont="1" applyBorder="1" applyAlignment="1">
      <alignment horizontal="center" vertical="center" wrapText="1"/>
    </xf>
    <xf numFmtId="165" fontId="6" fillId="0" borderId="23" xfId="5" applyFont="1" applyBorder="1" applyAlignment="1">
      <alignment horizontal="center" vertical="center" wrapText="1"/>
    </xf>
    <xf numFmtId="165" fontId="6" fillId="0" borderId="0" xfId="5" applyFont="1" applyAlignment="1">
      <alignment horizontal="center" vertical="center" wrapText="1"/>
    </xf>
    <xf numFmtId="165" fontId="5" fillId="21" borderId="0" xfId="5" applyFont="1" applyFill="1" applyAlignment="1">
      <alignment vertical="top"/>
    </xf>
    <xf numFmtId="166" fontId="5" fillId="21" borderId="0" xfId="5" applyNumberFormat="1" applyFont="1" applyFill="1" applyAlignment="1">
      <alignment horizontal="center" vertical="top"/>
    </xf>
    <xf numFmtId="165" fontId="5" fillId="21" borderId="0" xfId="5" applyFont="1" applyFill="1" applyAlignment="1">
      <alignment horizontal="left" vertical="top"/>
    </xf>
    <xf numFmtId="166" fontId="7" fillId="21" borderId="0" xfId="5" applyNumberFormat="1" applyFont="1" applyFill="1" applyAlignment="1">
      <alignment horizontal="left" vertical="top"/>
    </xf>
    <xf numFmtId="164" fontId="5" fillId="21" borderId="0" xfId="6" applyFont="1" applyFill="1" applyAlignment="1">
      <alignment horizontal="right" vertical="top"/>
    </xf>
    <xf numFmtId="165" fontId="5" fillId="21" borderId="0" xfId="5" applyFont="1" applyFill="1" applyAlignment="1">
      <alignment vertical="top" wrapText="1"/>
    </xf>
    <xf numFmtId="165" fontId="5" fillId="21" borderId="0" xfId="5" applyFont="1" applyFill="1" applyAlignment="1">
      <alignment horizontal="center" vertical="top"/>
    </xf>
    <xf numFmtId="165" fontId="5" fillId="21" borderId="0" xfId="5" applyFont="1" applyFill="1" applyAlignment="1">
      <alignment horizontal="center" vertical="top" wrapText="1"/>
    </xf>
    <xf numFmtId="164" fontId="5" fillId="21" borderId="0" xfId="6" applyFont="1" applyFill="1" applyAlignment="1">
      <alignment vertical="top"/>
    </xf>
    <xf numFmtId="169" fontId="22" fillId="0" borderId="23" xfId="5" applyNumberFormat="1" applyFont="1" applyBorder="1" applyAlignment="1">
      <alignment vertical="top"/>
    </xf>
    <xf numFmtId="169" fontId="22" fillId="0" borderId="23" xfId="5" applyNumberFormat="1" applyFont="1" applyFill="1" applyBorder="1" applyAlignment="1">
      <alignment vertical="top" wrapText="1"/>
    </xf>
    <xf numFmtId="166" fontId="2" fillId="0" borderId="17" xfId="0" applyNumberFormat="1" applyFont="1" applyBorder="1" applyAlignment="1">
      <alignment horizontal="center" vertical="center" wrapText="1"/>
    </xf>
    <xf numFmtId="166" fontId="2" fillId="0" borderId="14" xfId="0" applyNumberFormat="1" applyFont="1" applyBorder="1" applyAlignment="1">
      <alignment horizontal="center" vertical="center" wrapText="1"/>
    </xf>
    <xf numFmtId="165" fontId="6" fillId="0" borderId="23" xfId="5" applyFont="1" applyBorder="1" applyAlignment="1">
      <alignment horizontal="center" vertical="center" wrapText="1"/>
    </xf>
    <xf numFmtId="165" fontId="6" fillId="0" borderId="0" xfId="5" applyFont="1" applyAlignment="1">
      <alignment horizontal="center" vertical="center" wrapText="1"/>
    </xf>
    <xf numFmtId="165" fontId="5" fillId="0" borderId="24" xfId="5" applyFont="1" applyFill="1" applyBorder="1" applyAlignment="1">
      <alignment horizontal="center" vertical="top" wrapText="1"/>
    </xf>
    <xf numFmtId="165" fontId="6" fillId="0" borderId="27" xfId="5" applyFont="1" applyFill="1" applyBorder="1" applyAlignment="1">
      <alignment vertical="top" wrapText="1"/>
    </xf>
    <xf numFmtId="166" fontId="2" fillId="0" borderId="17" xfId="0" applyNumberFormat="1" applyFont="1" applyFill="1" applyBorder="1" applyAlignment="1">
      <alignment vertical="center" wrapText="1"/>
    </xf>
    <xf numFmtId="165" fontId="6" fillId="0" borderId="27" xfId="5" applyFont="1" applyFill="1" applyBorder="1" applyAlignment="1">
      <alignment vertical="top"/>
    </xf>
    <xf numFmtId="165" fontId="6" fillId="0" borderId="24" xfId="5" applyFont="1" applyFill="1" applyBorder="1" applyAlignment="1">
      <alignment vertical="top" wrapText="1"/>
    </xf>
    <xf numFmtId="169" fontId="6" fillId="0" borderId="23" xfId="5" applyNumberFormat="1" applyFont="1" applyFill="1" applyBorder="1" applyAlignment="1">
      <alignment vertical="top" wrapText="1"/>
    </xf>
    <xf numFmtId="164" fontId="6" fillId="0" borderId="14" xfId="6" applyFont="1" applyFill="1" applyBorder="1" applyAlignment="1">
      <alignment vertical="top"/>
    </xf>
    <xf numFmtId="164" fontId="22" fillId="0" borderId="14" xfId="6" applyFont="1" applyFill="1" applyBorder="1" applyAlignment="1">
      <alignment vertical="top"/>
    </xf>
    <xf numFmtId="0" fontId="40" fillId="0" borderId="14"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0" fillId="0" borderId="27" xfId="0" applyFont="1" applyFill="1" applyBorder="1" applyAlignment="1">
      <alignment horizontal="center" vertical="center" wrapText="1"/>
    </xf>
    <xf numFmtId="0" fontId="40" fillId="0" borderId="27" xfId="0" applyFont="1" applyFill="1" applyBorder="1" applyAlignment="1">
      <alignment horizontal="left" vertical="center" wrapText="1"/>
    </xf>
    <xf numFmtId="0" fontId="41" fillId="0" borderId="27" xfId="0" applyFont="1" applyFill="1" applyBorder="1" applyAlignment="1">
      <alignment horizontal="left" vertical="center" wrapText="1"/>
    </xf>
    <xf numFmtId="14" fontId="41" fillId="0" borderId="27" xfId="0" applyNumberFormat="1" applyFont="1" applyFill="1" applyBorder="1" applyAlignment="1">
      <alignment horizontal="left" vertical="center" wrapText="1"/>
    </xf>
    <xf numFmtId="43" fontId="41" fillId="0" borderId="27" xfId="0" applyNumberFormat="1" applyFont="1" applyFill="1" applyBorder="1" applyAlignment="1">
      <alignment horizontal="right"/>
    </xf>
    <xf numFmtId="164" fontId="2" fillId="12" borderId="23" xfId="6" applyNumberFormat="1" applyFont="1" applyFill="1" applyBorder="1" applyAlignment="1">
      <alignment horizontal="center" vertical="center" wrapText="1"/>
    </xf>
    <xf numFmtId="166" fontId="5" fillId="0" borderId="0" xfId="5" applyNumberFormat="1" applyFont="1" applyFill="1" applyAlignment="1">
      <alignment horizontal="center" vertical="top"/>
    </xf>
    <xf numFmtId="165" fontId="6" fillId="0" borderId="0" xfId="5" applyFont="1" applyFill="1" applyAlignment="1">
      <alignment horizontal="left" vertical="top" wrapText="1"/>
    </xf>
    <xf numFmtId="165" fontId="6" fillId="0" borderId="0" xfId="5" applyFont="1" applyFill="1" applyAlignment="1">
      <alignment horizontal="left" vertical="top"/>
    </xf>
    <xf numFmtId="164" fontId="6" fillId="0" borderId="0" xfId="6" applyFont="1" applyFill="1" applyBorder="1" applyAlignment="1">
      <alignment horizontal="right" vertical="top"/>
    </xf>
    <xf numFmtId="165" fontId="6" fillId="0" borderId="0" xfId="5" applyFont="1" applyFill="1" applyAlignment="1">
      <alignment vertical="top" wrapText="1"/>
    </xf>
    <xf numFmtId="166" fontId="6" fillId="0" borderId="0" xfId="5" applyNumberFormat="1" applyFont="1" applyFill="1" applyAlignment="1">
      <alignment vertical="top" wrapText="1"/>
    </xf>
    <xf numFmtId="166" fontId="6" fillId="0" borderId="0" xfId="5" applyNumberFormat="1" applyFont="1" applyFill="1" applyAlignment="1">
      <alignment horizontal="center" vertical="top"/>
    </xf>
    <xf numFmtId="165" fontId="6" fillId="0" borderId="0" xfId="5" applyFont="1" applyFill="1" applyAlignment="1">
      <alignment horizontal="center" vertical="top"/>
    </xf>
    <xf numFmtId="165" fontId="6" fillId="0" borderId="0" xfId="5" applyFont="1" applyFill="1" applyAlignment="1">
      <alignment horizontal="center" vertical="top" wrapText="1"/>
    </xf>
    <xf numFmtId="14" fontId="6" fillId="0" borderId="0" xfId="5" applyNumberFormat="1" applyFont="1" applyFill="1" applyAlignment="1">
      <alignment vertical="top"/>
    </xf>
    <xf numFmtId="168" fontId="6" fillId="0" borderId="0" xfId="5" applyNumberFormat="1" applyFont="1" applyFill="1" applyAlignment="1">
      <alignment vertical="top"/>
    </xf>
    <xf numFmtId="165" fontId="6" fillId="0" borderId="23" xfId="5" applyNumberFormat="1" applyFont="1" applyBorder="1" applyAlignment="1">
      <alignment vertical="top"/>
    </xf>
    <xf numFmtId="166" fontId="2" fillId="0" borderId="17" xfId="0" applyNumberFormat="1" applyFont="1" applyBorder="1" applyAlignment="1">
      <alignment horizontal="center" vertical="center" wrapText="1"/>
    </xf>
    <xf numFmtId="165" fontId="6" fillId="0" borderId="23" xfId="5" applyFont="1" applyBorder="1" applyAlignment="1">
      <alignment horizontal="center" vertical="center" wrapText="1"/>
    </xf>
    <xf numFmtId="166" fontId="2" fillId="0" borderId="14" xfId="0" applyNumberFormat="1" applyFont="1" applyBorder="1" applyAlignment="1">
      <alignment horizontal="center" vertical="center" wrapText="1"/>
    </xf>
    <xf numFmtId="165" fontId="6" fillId="0" borderId="0" xfId="5" applyFont="1" applyAlignment="1">
      <alignment horizontal="center" vertical="top" wrapText="1"/>
    </xf>
    <xf numFmtId="164" fontId="5" fillId="7" borderId="23" xfId="6" applyFont="1" applyFill="1" applyBorder="1" applyAlignment="1">
      <alignment vertical="top"/>
    </xf>
    <xf numFmtId="165" fontId="5" fillId="7" borderId="11" xfId="5" applyFont="1" applyFill="1" applyBorder="1" applyAlignment="1">
      <alignment vertical="top"/>
    </xf>
    <xf numFmtId="43" fontId="47" fillId="7" borderId="14" xfId="9" applyFont="1" applyFill="1" applyBorder="1" applyAlignment="1">
      <alignment horizontal="right" vertical="center"/>
    </xf>
    <xf numFmtId="0" fontId="48" fillId="7" borderId="14" xfId="0" applyFont="1" applyFill="1" applyBorder="1" applyAlignment="1">
      <alignment horizontal="center" vertical="center" wrapText="1"/>
    </xf>
    <xf numFmtId="165" fontId="5" fillId="7" borderId="23" xfId="5" applyFont="1" applyFill="1" applyBorder="1" applyAlignment="1">
      <alignment horizontal="center" vertical="center" wrapText="1"/>
    </xf>
    <xf numFmtId="165" fontId="5" fillId="7" borderId="23" xfId="5" applyFont="1" applyFill="1" applyBorder="1" applyAlignment="1">
      <alignment vertical="top"/>
    </xf>
    <xf numFmtId="165" fontId="5" fillId="7" borderId="23" xfId="5" applyFont="1" applyFill="1" applyBorder="1" applyAlignment="1">
      <alignment vertical="top" wrapText="1"/>
    </xf>
    <xf numFmtId="167" fontId="5" fillId="7" borderId="23" xfId="5" applyNumberFormat="1" applyFont="1" applyFill="1" applyBorder="1" applyAlignment="1">
      <alignment vertical="top"/>
    </xf>
    <xf numFmtId="169" fontId="5" fillId="7" borderId="23" xfId="5" applyNumberFormat="1" applyFont="1" applyFill="1" applyBorder="1" applyAlignment="1">
      <alignment vertical="top"/>
    </xf>
    <xf numFmtId="166" fontId="5" fillId="7" borderId="21" xfId="5" applyNumberFormat="1" applyFont="1" applyFill="1" applyBorder="1" applyAlignment="1">
      <alignment horizontal="center" vertical="top"/>
    </xf>
    <xf numFmtId="166" fontId="5" fillId="7" borderId="0" xfId="5" applyNumberFormat="1" applyFont="1" applyFill="1" applyAlignment="1">
      <alignment vertical="top"/>
    </xf>
    <xf numFmtId="165" fontId="5" fillId="7" borderId="0" xfId="5" applyFont="1" applyFill="1" applyAlignment="1">
      <alignment vertical="top"/>
    </xf>
    <xf numFmtId="164" fontId="5" fillId="18" borderId="23" xfId="6" applyFont="1" applyFill="1" applyBorder="1" applyAlignment="1">
      <alignment vertical="top"/>
    </xf>
    <xf numFmtId="167" fontId="5" fillId="18" borderId="23" xfId="5" applyNumberFormat="1" applyFont="1" applyFill="1" applyBorder="1" applyAlignment="1">
      <alignment vertical="top"/>
    </xf>
    <xf numFmtId="164" fontId="5" fillId="12" borderId="23" xfId="6" applyFont="1" applyFill="1" applyBorder="1" applyAlignment="1">
      <alignment vertical="top"/>
    </xf>
    <xf numFmtId="165" fontId="6" fillId="0" borderId="0" xfId="5" applyFont="1" applyAlignment="1">
      <alignment horizontal="left" vertical="top" wrapText="1"/>
    </xf>
    <xf numFmtId="166" fontId="2" fillId="0" borderId="17" xfId="0" applyNumberFormat="1" applyFont="1" applyBorder="1" applyAlignment="1">
      <alignment horizontal="center" vertical="center" wrapText="1"/>
    </xf>
    <xf numFmtId="165" fontId="6" fillId="0" borderId="17" xfId="5" applyFont="1" applyBorder="1" applyAlignment="1">
      <alignment horizontal="center" vertical="center"/>
    </xf>
    <xf numFmtId="169" fontId="6" fillId="0" borderId="17" xfId="5" applyNumberFormat="1" applyFont="1" applyBorder="1" applyAlignment="1">
      <alignment horizontal="center" vertical="center"/>
    </xf>
    <xf numFmtId="165" fontId="6" fillId="0" borderId="23" xfId="5" applyFont="1" applyBorder="1" applyAlignment="1">
      <alignment horizontal="center" vertical="center" wrapText="1"/>
    </xf>
    <xf numFmtId="164" fontId="6" fillId="0" borderId="17" xfId="6" applyFont="1" applyFill="1" applyBorder="1" applyAlignment="1">
      <alignment horizontal="center" vertical="center"/>
    </xf>
    <xf numFmtId="166" fontId="2" fillId="0" borderId="14" xfId="0" applyNumberFormat="1" applyFont="1" applyBorder="1" applyAlignment="1">
      <alignment horizontal="center" vertical="center" wrapText="1"/>
    </xf>
    <xf numFmtId="167" fontId="6" fillId="0" borderId="17" xfId="5" applyNumberFormat="1" applyFont="1" applyBorder="1" applyAlignment="1">
      <alignment horizontal="right" vertical="center"/>
    </xf>
    <xf numFmtId="166" fontId="2" fillId="0" borderId="17" xfId="0" applyNumberFormat="1" applyFont="1" applyFill="1" applyBorder="1" applyAlignment="1">
      <alignment horizontal="center" vertical="center" wrapText="1"/>
    </xf>
    <xf numFmtId="166" fontId="2" fillId="0" borderId="14" xfId="0" applyNumberFormat="1" applyFont="1" applyFill="1" applyBorder="1" applyAlignment="1">
      <alignment horizontal="center" vertical="center" wrapText="1"/>
    </xf>
    <xf numFmtId="165" fontId="6" fillId="0" borderId="0" xfId="5" applyFont="1" applyAlignment="1">
      <alignment horizontal="center" vertical="center"/>
    </xf>
    <xf numFmtId="165" fontId="6" fillId="0" borderId="0" xfId="5" applyFont="1" applyAlignment="1">
      <alignment horizontal="center" vertical="center" wrapText="1"/>
    </xf>
    <xf numFmtId="165" fontId="6" fillId="0" borderId="17" xfId="5" applyFont="1" applyBorder="1" applyAlignment="1">
      <alignment horizontal="center" vertical="top"/>
    </xf>
    <xf numFmtId="165" fontId="6" fillId="0" borderId="0" xfId="5" applyFont="1" applyAlignment="1">
      <alignment horizontal="center" vertical="top" wrapText="1"/>
    </xf>
    <xf numFmtId="166" fontId="6" fillId="0" borderId="0" xfId="5" applyNumberFormat="1" applyFont="1" applyAlignment="1">
      <alignment horizontal="center" vertical="top"/>
    </xf>
    <xf numFmtId="169" fontId="22" fillId="0" borderId="23" xfId="5" applyNumberFormat="1" applyFont="1" applyBorder="1" applyAlignment="1">
      <alignment horizontal="center" vertical="center"/>
    </xf>
    <xf numFmtId="166" fontId="2" fillId="0" borderId="10" xfId="0" applyNumberFormat="1" applyFont="1" applyFill="1" applyBorder="1" applyAlignment="1">
      <alignment horizontal="center" vertical="center" wrapText="1"/>
    </xf>
    <xf numFmtId="165" fontId="5" fillId="21" borderId="27" xfId="5" applyFont="1" applyFill="1" applyBorder="1" applyAlignment="1">
      <alignment vertical="top" wrapText="1"/>
    </xf>
    <xf numFmtId="165" fontId="5" fillId="21" borderId="27" xfId="5" applyFont="1" applyFill="1" applyBorder="1" applyAlignment="1">
      <alignment horizontal="center" vertical="top" wrapText="1"/>
    </xf>
    <xf numFmtId="165" fontId="5" fillId="21" borderId="27" xfId="5" applyFont="1" applyFill="1" applyBorder="1" applyAlignment="1">
      <alignment vertical="top"/>
    </xf>
    <xf numFmtId="164" fontId="5" fillId="21" borderId="27" xfId="6" applyFont="1" applyFill="1" applyBorder="1" applyAlignment="1">
      <alignment vertical="top"/>
    </xf>
    <xf numFmtId="165" fontId="6" fillId="0" borderId="14" xfId="5" applyFont="1" applyBorder="1" applyAlignment="1">
      <alignment vertical="top"/>
    </xf>
    <xf numFmtId="165" fontId="6" fillId="0" borderId="23" xfId="5" applyFont="1" applyBorder="1" applyAlignment="1">
      <alignment horizontal="center" vertical="top"/>
    </xf>
    <xf numFmtId="165" fontId="5" fillId="21" borderId="20" xfId="5" applyFont="1" applyFill="1" applyBorder="1" applyAlignment="1">
      <alignment horizontal="center" vertical="top" wrapText="1"/>
    </xf>
    <xf numFmtId="165" fontId="5" fillId="0" borderId="27" xfId="5" applyFont="1" applyFill="1" applyBorder="1" applyAlignment="1">
      <alignment horizontal="center" vertical="top" wrapText="1"/>
    </xf>
    <xf numFmtId="165" fontId="6" fillId="0" borderId="27" xfId="0" applyNumberFormat="1" applyFont="1" applyFill="1" applyBorder="1" applyAlignment="1">
      <alignment horizontal="left" vertical="top" wrapText="1"/>
    </xf>
    <xf numFmtId="166" fontId="2" fillId="0" borderId="27" xfId="0" applyNumberFormat="1" applyFont="1" applyFill="1" applyBorder="1" applyAlignment="1">
      <alignment horizontal="center" vertical="center" wrapText="1"/>
    </xf>
    <xf numFmtId="165" fontId="5" fillId="0" borderId="27" xfId="0" applyNumberFormat="1" applyFont="1" applyFill="1" applyBorder="1" applyAlignment="1">
      <alignment horizontal="left" vertical="top" wrapText="1"/>
    </xf>
    <xf numFmtId="164" fontId="3" fillId="0" borderId="27" xfId="6" applyFont="1" applyFill="1" applyBorder="1" applyAlignment="1">
      <alignment horizontal="center" vertical="center" wrapText="1"/>
    </xf>
    <xf numFmtId="165" fontId="6" fillId="0" borderId="27" xfId="5" applyFont="1" applyFill="1" applyBorder="1" applyAlignment="1">
      <alignment horizontal="center" vertical="center" wrapText="1"/>
    </xf>
    <xf numFmtId="0" fontId="5" fillId="0" borderId="27" xfId="0" applyFont="1" applyFill="1" applyBorder="1" applyAlignment="1">
      <alignment horizontal="left" vertical="top" wrapText="1"/>
    </xf>
    <xf numFmtId="0" fontId="41" fillId="0" borderId="27" xfId="0" applyFont="1" applyFill="1" applyBorder="1" applyAlignment="1">
      <alignment vertical="center" wrapText="1"/>
    </xf>
    <xf numFmtId="166" fontId="5" fillId="0" borderId="27" xfId="5" applyNumberFormat="1" applyFont="1" applyFill="1" applyBorder="1" applyAlignment="1">
      <alignment horizontal="center" vertical="top"/>
    </xf>
    <xf numFmtId="165" fontId="6" fillId="0" borderId="27" xfId="5" applyFont="1" applyFill="1" applyBorder="1" applyAlignment="1">
      <alignment horizontal="left" vertical="top" wrapText="1"/>
    </xf>
    <xf numFmtId="166" fontId="6" fillId="0" borderId="27" xfId="5" applyNumberFormat="1" applyFont="1" applyFill="1" applyBorder="1" applyAlignment="1">
      <alignment vertical="top" wrapText="1"/>
    </xf>
    <xf numFmtId="166" fontId="6" fillId="0" borderId="27" xfId="5" applyNumberFormat="1" applyFont="1" applyFill="1" applyBorder="1" applyAlignment="1">
      <alignment horizontal="center" vertical="top"/>
    </xf>
    <xf numFmtId="165" fontId="6" fillId="0" borderId="27" xfId="5" applyFont="1" applyFill="1" applyBorder="1" applyAlignment="1">
      <alignment horizontal="center" vertical="top"/>
    </xf>
    <xf numFmtId="165" fontId="6" fillId="0" borderId="27" xfId="5" applyFont="1" applyFill="1" applyBorder="1" applyAlignment="1">
      <alignment horizontal="center" vertical="top" wrapText="1"/>
    </xf>
    <xf numFmtId="164" fontId="6" fillId="0" borderId="27" xfId="6" applyFont="1" applyFill="1" applyBorder="1" applyAlignment="1">
      <alignment horizontal="right" vertical="top"/>
    </xf>
    <xf numFmtId="165" fontId="5" fillId="0" borderId="27" xfId="5" applyFont="1" applyFill="1" applyBorder="1" applyAlignment="1">
      <alignment horizontal="left" vertical="top"/>
    </xf>
    <xf numFmtId="166" fontId="7" fillId="0" borderId="27" xfId="5" applyNumberFormat="1" applyFont="1" applyFill="1" applyBorder="1" applyAlignment="1">
      <alignment horizontal="left" vertical="top"/>
    </xf>
    <xf numFmtId="164" fontId="5" fillId="0" borderId="27" xfId="6" applyFont="1" applyFill="1" applyBorder="1" applyAlignment="1">
      <alignment horizontal="right" vertical="top"/>
    </xf>
    <xf numFmtId="165" fontId="5" fillId="0" borderId="27" xfId="5" applyFont="1" applyFill="1" applyBorder="1" applyAlignment="1">
      <alignment vertical="top" wrapText="1"/>
    </xf>
    <xf numFmtId="165" fontId="5" fillId="0" borderId="27" xfId="5" applyFont="1" applyFill="1" applyBorder="1" applyAlignment="1">
      <alignment horizontal="center" vertical="top"/>
    </xf>
    <xf numFmtId="164" fontId="5" fillId="0" borderId="27" xfId="6" applyFont="1" applyFill="1" applyBorder="1" applyAlignment="1">
      <alignment vertical="top" wrapText="1"/>
    </xf>
    <xf numFmtId="164" fontId="6" fillId="0" borderId="27" xfId="6" applyFont="1" applyFill="1" applyBorder="1" applyAlignment="1">
      <alignment vertical="top" wrapText="1"/>
    </xf>
    <xf numFmtId="166" fontId="5" fillId="0" borderId="27" xfId="0" applyNumberFormat="1" applyFont="1" applyFill="1" applyBorder="1" applyAlignment="1">
      <alignment horizontal="right" vertical="top" wrapText="1"/>
    </xf>
    <xf numFmtId="165" fontId="6" fillId="0" borderId="27" xfId="0" applyNumberFormat="1" applyFont="1" applyFill="1" applyBorder="1" applyAlignment="1">
      <alignment horizontal="center" vertical="center" wrapText="1"/>
    </xf>
    <xf numFmtId="166" fontId="6" fillId="0" borderId="27" xfId="0" applyNumberFormat="1" applyFont="1" applyFill="1" applyBorder="1" applyAlignment="1">
      <alignment horizontal="left" vertical="top" wrapText="1"/>
    </xf>
    <xf numFmtId="165" fontId="45" fillId="0" borderId="27" xfId="0" applyNumberFormat="1" applyFont="1" applyFill="1" applyBorder="1" applyAlignment="1">
      <alignment horizontal="left" vertical="top" wrapText="1"/>
    </xf>
    <xf numFmtId="43" fontId="41" fillId="0" borderId="27" xfId="0" applyNumberFormat="1" applyFont="1" applyFill="1" applyBorder="1" applyAlignment="1">
      <alignment horizontal="right" vertical="center"/>
    </xf>
    <xf numFmtId="166" fontId="6" fillId="0" borderId="27" xfId="0" applyNumberFormat="1" applyFont="1" applyFill="1" applyBorder="1" applyAlignment="1">
      <alignment horizontal="right" vertical="top" wrapText="1"/>
    </xf>
    <xf numFmtId="166" fontId="3" fillId="0" borderId="27" xfId="0" applyNumberFormat="1" applyFont="1" applyFill="1" applyBorder="1" applyAlignment="1">
      <alignment horizontal="center" vertical="center" wrapText="1"/>
    </xf>
    <xf numFmtId="0" fontId="6" fillId="0" borderId="27" xfId="0" applyFont="1" applyFill="1" applyBorder="1" applyAlignment="1">
      <alignment horizontal="left" vertical="top" wrapText="1"/>
    </xf>
    <xf numFmtId="165" fontId="45" fillId="0" borderId="27" xfId="0" applyNumberFormat="1" applyFont="1" applyFill="1" applyBorder="1" applyAlignment="1">
      <alignment horizontal="center" vertical="center" wrapText="1"/>
    </xf>
    <xf numFmtId="164" fontId="41" fillId="0" borderId="27" xfId="6" applyFont="1" applyFill="1" applyBorder="1" applyAlignment="1">
      <alignment horizontal="right" vertical="center"/>
    </xf>
    <xf numFmtId="164" fontId="6" fillId="0" borderId="0" xfId="6" applyFont="1" applyAlignment="1">
      <alignment vertical="top" wrapText="1"/>
    </xf>
    <xf numFmtId="165" fontId="6" fillId="0" borderId="27" xfId="0" applyNumberFormat="1" applyFont="1" applyFill="1" applyBorder="1" applyAlignment="1">
      <alignment horizontal="left" vertical="center" wrapText="1"/>
    </xf>
    <xf numFmtId="166" fontId="6" fillId="0" borderId="27" xfId="0" applyNumberFormat="1" applyFont="1" applyFill="1" applyBorder="1" applyAlignment="1">
      <alignment horizontal="left" vertical="center" wrapText="1"/>
    </xf>
    <xf numFmtId="166" fontId="50" fillId="0" borderId="27" xfId="0" applyNumberFormat="1" applyFont="1" applyFill="1" applyBorder="1" applyAlignment="1">
      <alignment horizontal="center" vertical="center" wrapText="1"/>
    </xf>
    <xf numFmtId="0" fontId="6" fillId="0" borderId="27" xfId="0" applyFont="1" applyFill="1" applyBorder="1" applyAlignment="1">
      <alignment horizontal="center" vertical="center" wrapText="1"/>
    </xf>
    <xf numFmtId="165" fontId="22" fillId="0" borderId="27" xfId="0" applyNumberFormat="1" applyFont="1" applyFill="1" applyBorder="1" applyAlignment="1">
      <alignment horizontal="left" vertical="top" wrapText="1"/>
    </xf>
    <xf numFmtId="0" fontId="6" fillId="0" borderId="27" xfId="0" applyFont="1" applyFill="1" applyBorder="1" applyAlignment="1">
      <alignment horizontal="left" wrapText="1"/>
    </xf>
    <xf numFmtId="0" fontId="0" fillId="0" borderId="27" xfId="0" applyFont="1" applyFill="1" applyBorder="1"/>
    <xf numFmtId="0" fontId="0" fillId="0" borderId="27" xfId="0" applyFont="1" applyFill="1" applyBorder="1" applyAlignment="1">
      <alignment horizontal="center"/>
    </xf>
    <xf numFmtId="0" fontId="0" fillId="0" borderId="27" xfId="0" applyFont="1" applyFill="1" applyBorder="1" applyAlignment="1">
      <alignment vertical="top"/>
    </xf>
    <xf numFmtId="165" fontId="6" fillId="0" borderId="27" xfId="0" quotePrefix="1" applyNumberFormat="1" applyFont="1" applyFill="1" applyBorder="1" applyAlignment="1">
      <alignment horizontal="center" vertical="center" wrapText="1"/>
    </xf>
    <xf numFmtId="164" fontId="50" fillId="0" borderId="27" xfId="6" applyFont="1" applyFill="1" applyBorder="1" applyAlignment="1">
      <alignment horizontal="center" vertical="center" wrapText="1"/>
    </xf>
    <xf numFmtId="165" fontId="5" fillId="0" borderId="6" xfId="5" applyFont="1" applyBorder="1" applyAlignment="1">
      <alignment horizontal="center" vertical="top" wrapText="1"/>
    </xf>
    <xf numFmtId="165" fontId="5" fillId="0" borderId="7" xfId="5" applyFont="1" applyBorder="1" applyAlignment="1">
      <alignment horizontal="center" vertical="top" wrapText="1"/>
    </xf>
    <xf numFmtId="165" fontId="6" fillId="0" borderId="0" xfId="5" applyFont="1" applyAlignment="1">
      <alignment horizontal="left" vertical="top" wrapText="1"/>
    </xf>
    <xf numFmtId="165" fontId="5" fillId="0" borderId="4" xfId="5" applyFont="1" applyBorder="1" applyAlignment="1">
      <alignment horizontal="left" vertical="top" wrapText="1"/>
    </xf>
    <xf numFmtId="165" fontId="12" fillId="0" borderId="6" xfId="5" applyFont="1" applyBorder="1" applyAlignment="1">
      <alignment horizontal="center" vertical="top" wrapText="1" shrinkToFit="1"/>
    </xf>
    <xf numFmtId="165" fontId="12" fillId="0" borderId="7" xfId="5" applyFont="1" applyBorder="1" applyAlignment="1">
      <alignment horizontal="center" vertical="top" wrapText="1" shrinkToFit="1"/>
    </xf>
    <xf numFmtId="165" fontId="12" fillId="0" borderId="6" xfId="5" applyFont="1" applyBorder="1" applyAlignment="1">
      <alignment horizontal="center" vertical="top" wrapText="1"/>
    </xf>
    <xf numFmtId="165" fontId="12" fillId="0" borderId="7" xfId="5" applyFont="1" applyBorder="1" applyAlignment="1">
      <alignment horizontal="center" vertical="top" wrapText="1"/>
    </xf>
    <xf numFmtId="165" fontId="5" fillId="0" borderId="0" xfId="5" applyFont="1" applyAlignment="1">
      <alignment horizontal="left" vertical="top" wrapText="1"/>
    </xf>
    <xf numFmtId="165" fontId="5" fillId="6" borderId="1" xfId="5" applyFont="1" applyFill="1" applyBorder="1" applyAlignment="1">
      <alignment horizontal="center" vertical="top" wrapText="1"/>
    </xf>
    <xf numFmtId="165" fontId="5" fillId="6" borderId="2" xfId="5" applyFont="1" applyFill="1" applyBorder="1" applyAlignment="1">
      <alignment horizontal="center" vertical="top" wrapText="1"/>
    </xf>
    <xf numFmtId="165" fontId="5" fillId="0" borderId="1" xfId="5" applyFont="1" applyBorder="1" applyAlignment="1">
      <alignment horizontal="center" vertical="top" wrapText="1"/>
    </xf>
    <xf numFmtId="165" fontId="5" fillId="0" borderId="2" xfId="5" applyFont="1" applyBorder="1" applyAlignment="1">
      <alignment horizontal="center" vertical="top" wrapText="1"/>
    </xf>
    <xf numFmtId="166" fontId="12" fillId="0" borderId="6" xfId="5" applyNumberFormat="1" applyFont="1" applyBorder="1" applyAlignment="1">
      <alignment horizontal="center" vertical="top" wrapText="1"/>
    </xf>
    <xf numFmtId="166" fontId="12" fillId="0" borderId="7" xfId="5" applyNumberFormat="1" applyFont="1" applyBorder="1" applyAlignment="1">
      <alignment horizontal="center" vertical="top" wrapText="1"/>
    </xf>
    <xf numFmtId="166" fontId="15" fillId="0" borderId="6" xfId="5" applyNumberFormat="1" applyFont="1" applyBorder="1" applyAlignment="1">
      <alignment horizontal="center" vertical="top" wrapText="1"/>
    </xf>
    <xf numFmtId="166" fontId="15" fillId="0" borderId="7" xfId="5" applyNumberFormat="1" applyFont="1" applyBorder="1" applyAlignment="1">
      <alignment horizontal="center" vertical="top" wrapText="1"/>
    </xf>
    <xf numFmtId="0" fontId="9" fillId="0" borderId="0" xfId="0" applyFont="1" applyAlignment="1">
      <alignment horizontal="center"/>
    </xf>
    <xf numFmtId="165" fontId="6" fillId="0" borderId="17" xfId="5" applyFont="1" applyBorder="1" applyAlignment="1">
      <alignment horizontal="center" vertical="center"/>
    </xf>
    <xf numFmtId="165" fontId="6" fillId="0" borderId="26" xfId="5" applyFont="1" applyBorder="1" applyAlignment="1">
      <alignment horizontal="center" vertical="center"/>
    </xf>
    <xf numFmtId="166" fontId="2" fillId="0" borderId="17" xfId="0" applyNumberFormat="1" applyFont="1" applyBorder="1" applyAlignment="1">
      <alignment horizontal="center" vertical="center" wrapText="1"/>
    </xf>
    <xf numFmtId="166" fontId="2" fillId="0" borderId="26" xfId="0" applyNumberFormat="1" applyFont="1" applyBorder="1" applyAlignment="1">
      <alignment horizontal="center" vertical="center" wrapText="1"/>
    </xf>
    <xf numFmtId="165" fontId="6" fillId="0" borderId="17" xfId="5" applyFont="1" applyBorder="1" applyAlignment="1">
      <alignment horizontal="center" vertical="top" wrapText="1"/>
    </xf>
    <xf numFmtId="165" fontId="6" fillId="0" borderId="26" xfId="5" applyFont="1" applyBorder="1" applyAlignment="1">
      <alignment horizontal="center" vertical="top" wrapText="1"/>
    </xf>
    <xf numFmtId="164" fontId="6" fillId="0" borderId="17" xfId="6" applyFont="1" applyFill="1" applyBorder="1" applyAlignment="1">
      <alignment horizontal="right" vertical="center"/>
    </xf>
    <xf numFmtId="164" fontId="6" fillId="0" borderId="26" xfId="6" applyFont="1" applyFill="1" applyBorder="1" applyAlignment="1">
      <alignment horizontal="right" vertical="center"/>
    </xf>
    <xf numFmtId="167" fontId="6" fillId="0" borderId="17" xfId="5" applyNumberFormat="1" applyFont="1" applyBorder="1" applyAlignment="1">
      <alignment horizontal="right" vertical="center"/>
    </xf>
    <xf numFmtId="167" fontId="6" fillId="0" borderId="26" xfId="5" applyNumberFormat="1" applyFont="1" applyBorder="1" applyAlignment="1">
      <alignment horizontal="right" vertical="center"/>
    </xf>
    <xf numFmtId="169" fontId="6" fillId="0" borderId="17" xfId="5" applyNumberFormat="1" applyFont="1" applyBorder="1" applyAlignment="1">
      <alignment horizontal="right" vertical="center"/>
    </xf>
    <xf numFmtId="169" fontId="6" fillId="0" borderId="26" xfId="5" applyNumberFormat="1" applyFont="1" applyBorder="1" applyAlignment="1">
      <alignment horizontal="right" vertical="center"/>
    </xf>
    <xf numFmtId="169" fontId="6" fillId="0" borderId="17" xfId="5" applyNumberFormat="1" applyFont="1" applyBorder="1" applyAlignment="1">
      <alignment horizontal="center" vertical="center"/>
    </xf>
    <xf numFmtId="169" fontId="6" fillId="0" borderId="26" xfId="5" applyNumberFormat="1" applyFont="1" applyBorder="1" applyAlignment="1">
      <alignment horizontal="center" vertical="center"/>
    </xf>
    <xf numFmtId="166" fontId="2" fillId="0" borderId="57" xfId="0" applyNumberFormat="1" applyFont="1" applyBorder="1" applyAlignment="1">
      <alignment horizontal="center" vertical="center" wrapText="1"/>
    </xf>
    <xf numFmtId="166" fontId="2" fillId="0" borderId="38" xfId="0" applyNumberFormat="1" applyFont="1" applyBorder="1" applyAlignment="1">
      <alignment horizontal="center" vertical="center" wrapText="1"/>
    </xf>
    <xf numFmtId="166" fontId="2" fillId="0" borderId="14" xfId="0" applyNumberFormat="1" applyFont="1" applyBorder="1" applyAlignment="1">
      <alignment horizontal="center" vertical="center" wrapText="1"/>
    </xf>
    <xf numFmtId="166" fontId="2" fillId="0" borderId="35" xfId="0" applyNumberFormat="1" applyFont="1" applyBorder="1" applyAlignment="1">
      <alignment horizontal="center" vertical="center" wrapText="1"/>
    </xf>
    <xf numFmtId="166" fontId="2" fillId="0" borderId="5" xfId="0" applyNumberFormat="1" applyFont="1" applyBorder="1" applyAlignment="1">
      <alignment horizontal="center" vertical="center" wrapText="1"/>
    </xf>
    <xf numFmtId="165" fontId="6" fillId="0" borderId="23" xfId="5" applyFont="1" applyBorder="1" applyAlignment="1">
      <alignment horizontal="center" vertical="top" wrapText="1"/>
    </xf>
    <xf numFmtId="165" fontId="6" fillId="0" borderId="24" xfId="5" applyFont="1" applyBorder="1" applyAlignment="1">
      <alignment horizontal="center" vertical="top" wrapText="1"/>
    </xf>
    <xf numFmtId="169" fontId="6" fillId="0" borderId="17" xfId="5" applyNumberFormat="1" applyFont="1" applyBorder="1" applyAlignment="1">
      <alignment vertical="center"/>
    </xf>
    <xf numFmtId="169" fontId="6" fillId="0" borderId="26" xfId="5" applyNumberFormat="1" applyFont="1" applyBorder="1" applyAlignment="1">
      <alignment vertical="center"/>
    </xf>
    <xf numFmtId="165" fontId="6" fillId="0" borderId="5" xfId="5" applyFont="1" applyBorder="1" applyAlignment="1">
      <alignment horizontal="center" vertical="center"/>
    </xf>
    <xf numFmtId="165" fontId="6" fillId="0" borderId="23" xfId="5" applyFont="1" applyBorder="1" applyAlignment="1">
      <alignment horizontal="center" vertical="center" wrapText="1"/>
    </xf>
    <xf numFmtId="165" fontId="6" fillId="0" borderId="10" xfId="5" applyFont="1" applyBorder="1" applyAlignment="1">
      <alignment horizontal="center" vertical="center" wrapText="1"/>
    </xf>
    <xf numFmtId="165" fontId="6" fillId="0" borderId="24" xfId="5" applyFont="1" applyBorder="1" applyAlignment="1">
      <alignment horizontal="center" vertical="center" wrapText="1"/>
    </xf>
    <xf numFmtId="164" fontId="6" fillId="0" borderId="17" xfId="6" applyFont="1" applyFill="1" applyBorder="1" applyAlignment="1">
      <alignment horizontal="center" vertical="center"/>
    </xf>
    <xf numFmtId="164" fontId="6" fillId="0" borderId="26" xfId="6" applyFont="1" applyFill="1" applyBorder="1" applyAlignment="1">
      <alignment horizontal="center" vertical="center"/>
    </xf>
    <xf numFmtId="167" fontId="6" fillId="0" borderId="17" xfId="5" applyNumberFormat="1" applyFont="1" applyBorder="1" applyAlignment="1">
      <alignment horizontal="center" vertical="center"/>
    </xf>
    <xf numFmtId="167" fontId="6" fillId="0" borderId="26" xfId="5" applyNumberFormat="1" applyFont="1" applyBorder="1" applyAlignment="1">
      <alignment horizontal="center" vertical="center"/>
    </xf>
    <xf numFmtId="164" fontId="6" fillId="0" borderId="17" xfId="6" applyFont="1" applyFill="1" applyBorder="1" applyAlignment="1">
      <alignment vertical="center"/>
    </xf>
    <xf numFmtId="164" fontId="6" fillId="0" borderId="26" xfId="6" applyFont="1" applyFill="1" applyBorder="1" applyAlignment="1">
      <alignment vertical="center"/>
    </xf>
    <xf numFmtId="166" fontId="21" fillId="0" borderId="14" xfId="0" applyNumberFormat="1" applyFont="1" applyBorder="1" applyAlignment="1">
      <alignment horizontal="center" vertical="center" wrapText="1"/>
    </xf>
    <xf numFmtId="166" fontId="21" fillId="0" borderId="35" xfId="0" applyNumberFormat="1" applyFont="1" applyBorder="1" applyAlignment="1">
      <alignment horizontal="center" vertical="center" wrapText="1"/>
    </xf>
    <xf numFmtId="166" fontId="5" fillId="17" borderId="5" xfId="5" applyNumberFormat="1" applyFont="1" applyFill="1" applyBorder="1" applyAlignment="1">
      <alignment horizontal="center" vertical="top" wrapText="1"/>
    </xf>
    <xf numFmtId="166" fontId="5" fillId="17" borderId="7" xfId="5" applyNumberFormat="1" applyFont="1" applyFill="1" applyBorder="1" applyAlignment="1">
      <alignment horizontal="center" vertical="top" wrapText="1"/>
    </xf>
    <xf numFmtId="165" fontId="5" fillId="17" borderId="5" xfId="5" applyFont="1" applyFill="1" applyBorder="1" applyAlignment="1">
      <alignment horizontal="center" vertical="top" wrapText="1"/>
    </xf>
    <xf numFmtId="165" fontId="5" fillId="17" borderId="7" xfId="5" applyFont="1" applyFill="1" applyBorder="1" applyAlignment="1">
      <alignment horizontal="center" vertical="top" wrapText="1"/>
    </xf>
    <xf numFmtId="165" fontId="5" fillId="0" borderId="27" xfId="5" applyFont="1" applyBorder="1" applyAlignment="1">
      <alignment horizontal="left" vertical="top" wrapText="1"/>
    </xf>
    <xf numFmtId="165" fontId="5" fillId="17" borderId="46" xfId="5" applyFont="1" applyFill="1" applyBorder="1" applyAlignment="1">
      <alignment horizontal="center" vertical="top" wrapText="1"/>
    </xf>
    <xf numFmtId="165" fontId="5" fillId="17" borderId="9" xfId="5" applyFont="1" applyFill="1" applyBorder="1" applyAlignment="1">
      <alignment horizontal="center" vertical="top" wrapText="1"/>
    </xf>
    <xf numFmtId="166" fontId="12" fillId="17" borderId="5" xfId="5" applyNumberFormat="1" applyFont="1" applyFill="1" applyBorder="1" applyAlignment="1">
      <alignment horizontal="center" vertical="top" wrapText="1"/>
    </xf>
    <xf numFmtId="166" fontId="12" fillId="17" borderId="7" xfId="5" applyNumberFormat="1" applyFont="1" applyFill="1" applyBorder="1" applyAlignment="1">
      <alignment horizontal="center" vertical="top" wrapText="1"/>
    </xf>
    <xf numFmtId="164" fontId="12" fillId="17" borderId="5" xfId="6" applyFont="1" applyFill="1" applyBorder="1" applyAlignment="1">
      <alignment horizontal="center" vertical="top" wrapText="1"/>
    </xf>
    <xf numFmtId="164" fontId="12" fillId="17" borderId="7" xfId="6" applyFont="1" applyFill="1" applyBorder="1" applyAlignment="1">
      <alignment horizontal="center" vertical="top" wrapText="1"/>
    </xf>
    <xf numFmtId="166" fontId="12" fillId="19" borderId="5" xfId="5" applyNumberFormat="1" applyFont="1" applyFill="1" applyBorder="1" applyAlignment="1">
      <alignment horizontal="center" vertical="top" wrapText="1"/>
    </xf>
    <xf numFmtId="166" fontId="12" fillId="19" borderId="7" xfId="5" applyNumberFormat="1" applyFont="1" applyFill="1" applyBorder="1" applyAlignment="1">
      <alignment horizontal="center" vertical="top" wrapText="1"/>
    </xf>
    <xf numFmtId="165" fontId="5" fillId="17" borderId="6" xfId="5" applyFont="1" applyFill="1" applyBorder="1" applyAlignment="1">
      <alignment horizontal="center" vertical="top" wrapText="1"/>
    </xf>
    <xf numFmtId="164" fontId="5" fillId="17" borderId="5" xfId="6" applyFont="1" applyFill="1" applyBorder="1" applyAlignment="1">
      <alignment horizontal="center" vertical="top" wrapText="1"/>
    </xf>
    <xf numFmtId="164" fontId="5" fillId="17" borderId="7" xfId="6" applyFont="1" applyFill="1" applyBorder="1" applyAlignment="1">
      <alignment horizontal="center" vertical="top" wrapText="1"/>
    </xf>
    <xf numFmtId="165" fontId="5" fillId="3" borderId="5" xfId="5" applyFont="1" applyFill="1" applyBorder="1" applyAlignment="1">
      <alignment horizontal="center" vertical="top" wrapText="1"/>
    </xf>
    <xf numFmtId="165" fontId="5" fillId="3" borderId="7" xfId="5" applyFont="1" applyFill="1" applyBorder="1" applyAlignment="1">
      <alignment horizontal="center" vertical="top" wrapText="1"/>
    </xf>
    <xf numFmtId="165" fontId="12" fillId="17" borderId="5" xfId="5" applyFont="1" applyFill="1" applyBorder="1" applyAlignment="1">
      <alignment horizontal="center" vertical="top" wrapText="1"/>
    </xf>
    <xf numFmtId="165" fontId="12" fillId="17" borderId="7" xfId="5" applyFont="1" applyFill="1" applyBorder="1" applyAlignment="1">
      <alignment horizontal="center" vertical="top" wrapText="1"/>
    </xf>
    <xf numFmtId="165" fontId="12" fillId="17" borderId="5" xfId="5" applyFont="1" applyFill="1" applyBorder="1" applyAlignment="1">
      <alignment horizontal="center" vertical="top" wrapText="1" shrinkToFit="1"/>
    </xf>
    <xf numFmtId="165" fontId="12" fillId="17" borderId="7" xfId="5" applyFont="1" applyFill="1" applyBorder="1" applyAlignment="1">
      <alignment horizontal="center" vertical="top" wrapText="1" shrinkToFit="1"/>
    </xf>
    <xf numFmtId="165" fontId="6" fillId="0" borderId="42" xfId="5" applyFont="1" applyBorder="1" applyAlignment="1">
      <alignment horizontal="center" vertical="center" wrapText="1"/>
    </xf>
    <xf numFmtId="43" fontId="41" fillId="3" borderId="57" xfId="0" applyNumberFormat="1" applyFont="1" applyFill="1" applyBorder="1" applyAlignment="1">
      <alignment horizontal="center" vertical="center"/>
    </xf>
    <xf numFmtId="43" fontId="41" fillId="3" borderId="38" xfId="0" applyNumberFormat="1" applyFont="1" applyFill="1" applyBorder="1" applyAlignment="1">
      <alignment horizontal="center" vertical="center"/>
    </xf>
    <xf numFmtId="0" fontId="41" fillId="3" borderId="56" xfId="0" applyFont="1" applyFill="1" applyBorder="1" applyAlignment="1">
      <alignment horizontal="center" vertical="center" wrapText="1"/>
    </xf>
    <xf numFmtId="0" fontId="41" fillId="3" borderId="29" xfId="0" applyFont="1" applyFill="1" applyBorder="1" applyAlignment="1">
      <alignment horizontal="center" vertical="center" wrapText="1"/>
    </xf>
    <xf numFmtId="165" fontId="5" fillId="0" borderId="17"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5" fillId="0" borderId="26" xfId="0" applyNumberFormat="1" applyFont="1" applyBorder="1" applyAlignment="1">
      <alignment horizontal="center" vertical="center" wrapText="1"/>
    </xf>
    <xf numFmtId="165" fontId="5" fillId="3" borderId="6" xfId="5" applyFont="1" applyFill="1" applyBorder="1" applyAlignment="1">
      <alignment horizontal="center" vertical="top" wrapText="1"/>
    </xf>
    <xf numFmtId="165" fontId="5" fillId="0" borderId="17" xfId="0" applyNumberFormat="1" applyFont="1" applyBorder="1" applyAlignment="1">
      <alignment horizontal="center" vertical="top" wrapText="1"/>
    </xf>
    <xf numFmtId="165" fontId="5" fillId="0" borderId="26" xfId="0" applyNumberFormat="1" applyFont="1" applyBorder="1" applyAlignment="1">
      <alignment horizontal="center" vertical="top" wrapText="1"/>
    </xf>
    <xf numFmtId="165" fontId="18" fillId="0" borderId="17" xfId="0" applyNumberFormat="1" applyFont="1" applyBorder="1" applyAlignment="1">
      <alignment horizontal="center" vertical="top" wrapText="1"/>
    </xf>
    <xf numFmtId="165" fontId="18" fillId="0" borderId="26" xfId="0" applyNumberFormat="1" applyFont="1" applyBorder="1" applyAlignment="1">
      <alignment horizontal="center" vertical="top" wrapText="1"/>
    </xf>
    <xf numFmtId="165" fontId="6" fillId="0" borderId="17" xfId="5" applyFont="1" applyBorder="1" applyAlignment="1">
      <alignment horizontal="center" vertical="center" wrapText="1"/>
    </xf>
    <xf numFmtId="165" fontId="6" fillId="0" borderId="26" xfId="5" applyFont="1" applyBorder="1" applyAlignment="1">
      <alignment horizontal="center" vertical="center" wrapText="1"/>
    </xf>
    <xf numFmtId="165" fontId="6" fillId="0" borderId="0" xfId="5" applyFont="1" applyAlignment="1">
      <alignment horizontal="center" vertical="top" wrapText="1"/>
    </xf>
    <xf numFmtId="165" fontId="6" fillId="0" borderId="0" xfId="5" applyFont="1" applyAlignment="1">
      <alignment horizontal="center" vertical="center" wrapText="1"/>
    </xf>
    <xf numFmtId="165" fontId="6" fillId="0" borderId="17" xfId="5" applyFont="1" applyBorder="1" applyAlignment="1">
      <alignment horizontal="center" vertical="top"/>
    </xf>
    <xf numFmtId="165" fontId="6" fillId="0" borderId="26" xfId="5" applyFont="1" applyBorder="1" applyAlignment="1">
      <alignment horizontal="center" vertical="top"/>
    </xf>
    <xf numFmtId="166" fontId="2" fillId="0" borderId="17" xfId="0" applyNumberFormat="1" applyFont="1" applyFill="1" applyBorder="1" applyAlignment="1">
      <alignment horizontal="center" vertical="center" wrapText="1"/>
    </xf>
    <xf numFmtId="166" fontId="2" fillId="0" borderId="26" xfId="0" applyNumberFormat="1" applyFont="1" applyFill="1" applyBorder="1" applyAlignment="1">
      <alignment horizontal="center" vertical="center" wrapText="1"/>
    </xf>
    <xf numFmtId="0" fontId="41" fillId="0" borderId="56" xfId="0" applyFont="1" applyFill="1" applyBorder="1" applyAlignment="1">
      <alignment horizontal="center" vertical="center" wrapText="1"/>
    </xf>
    <xf numFmtId="0" fontId="41" fillId="0" borderId="29" xfId="0" applyFont="1" applyFill="1" applyBorder="1" applyAlignment="1">
      <alignment horizontal="center" vertical="center" wrapText="1"/>
    </xf>
    <xf numFmtId="43" fontId="41" fillId="0" borderId="57" xfId="0" applyNumberFormat="1" applyFont="1" applyFill="1" applyBorder="1" applyAlignment="1">
      <alignment horizontal="center" vertical="center"/>
    </xf>
    <xf numFmtId="43" fontId="41" fillId="0" borderId="38" xfId="0" applyNumberFormat="1" applyFont="1" applyFill="1" applyBorder="1" applyAlignment="1">
      <alignment horizontal="center" vertical="center"/>
    </xf>
    <xf numFmtId="165" fontId="6" fillId="0" borderId="0" xfId="5" applyFont="1" applyAlignment="1">
      <alignment horizontal="center" vertical="center"/>
    </xf>
    <xf numFmtId="166" fontId="2" fillId="0" borderId="14" xfId="0" applyNumberFormat="1" applyFont="1" applyFill="1" applyBorder="1" applyAlignment="1">
      <alignment horizontal="center" vertical="center" wrapText="1"/>
    </xf>
    <xf numFmtId="166" fontId="2" fillId="0" borderId="35" xfId="0" applyNumberFormat="1" applyFont="1" applyFill="1" applyBorder="1" applyAlignment="1">
      <alignment horizontal="center" vertical="center" wrapText="1"/>
    </xf>
    <xf numFmtId="165" fontId="5" fillId="0" borderId="17" xfId="0" applyNumberFormat="1" applyFont="1" applyBorder="1" applyAlignment="1">
      <alignment horizontal="left" vertical="top" wrapText="1"/>
    </xf>
    <xf numFmtId="165" fontId="5" fillId="0" borderId="26" xfId="0" applyNumberFormat="1" applyFont="1" applyBorder="1" applyAlignment="1">
      <alignment horizontal="left" vertical="top" wrapText="1"/>
    </xf>
    <xf numFmtId="165" fontId="6" fillId="0" borderId="17" xfId="5" applyFont="1" applyBorder="1" applyAlignment="1">
      <alignment horizontal="left" vertical="center"/>
    </xf>
    <xf numFmtId="165" fontId="6" fillId="0" borderId="26" xfId="5" applyFont="1" applyBorder="1" applyAlignment="1">
      <alignment horizontal="left" vertical="center"/>
    </xf>
    <xf numFmtId="165" fontId="5" fillId="0" borderId="28" xfId="5" applyFont="1" applyBorder="1" applyAlignment="1">
      <alignment horizontal="center" vertical="top"/>
    </xf>
    <xf numFmtId="165" fontId="5" fillId="0" borderId="20" xfId="5" applyFont="1" applyBorder="1" applyAlignment="1">
      <alignment horizontal="center" vertical="top"/>
    </xf>
    <xf numFmtId="166" fontId="7" fillId="0" borderId="28" xfId="5" applyNumberFormat="1" applyFont="1" applyBorder="1" applyAlignment="1">
      <alignment horizontal="center" vertical="top"/>
    </xf>
    <xf numFmtId="166" fontId="7" fillId="0" borderId="20" xfId="5" applyNumberFormat="1" applyFont="1" applyBorder="1" applyAlignment="1">
      <alignment horizontal="center" vertical="top"/>
    </xf>
    <xf numFmtId="165" fontId="5" fillId="5" borderId="1" xfId="5" applyFont="1" applyFill="1" applyBorder="1" applyAlignment="1">
      <alignment horizontal="center" vertical="top" wrapText="1"/>
    </xf>
    <xf numFmtId="165" fontId="5" fillId="5" borderId="31" xfId="5" applyFont="1" applyFill="1" applyBorder="1" applyAlignment="1">
      <alignment horizontal="center" vertical="top" wrapText="1"/>
    </xf>
    <xf numFmtId="165" fontId="5" fillId="5" borderId="2" xfId="5" applyFont="1" applyFill="1" applyBorder="1" applyAlignment="1">
      <alignment horizontal="center" vertical="top" wrapText="1"/>
    </xf>
    <xf numFmtId="165" fontId="5" fillId="0" borderId="31" xfId="5" applyFont="1" applyBorder="1" applyAlignment="1">
      <alignment horizontal="center" vertical="top"/>
    </xf>
    <xf numFmtId="165" fontId="5" fillId="0" borderId="2" xfId="5" applyFont="1" applyBorder="1" applyAlignment="1">
      <alignment horizontal="center" vertical="top"/>
    </xf>
    <xf numFmtId="166" fontId="12" fillId="0" borderId="8" xfId="5" applyNumberFormat="1" applyFont="1" applyBorder="1" applyAlignment="1">
      <alignment horizontal="center" vertical="top" wrapText="1"/>
    </xf>
    <xf numFmtId="166" fontId="12" fillId="0" borderId="10" xfId="5" applyNumberFormat="1" applyFont="1" applyBorder="1" applyAlignment="1">
      <alignment horizontal="center" vertical="top" wrapText="1"/>
    </xf>
    <xf numFmtId="166" fontId="5" fillId="0" borderId="32" xfId="5" applyNumberFormat="1" applyFont="1" applyBorder="1" applyAlignment="1">
      <alignment horizontal="center" vertical="top" wrapText="1"/>
    </xf>
    <xf numFmtId="166" fontId="5" fillId="0" borderId="8" xfId="5" applyNumberFormat="1" applyFont="1" applyBorder="1" applyAlignment="1">
      <alignment horizontal="center" vertical="top" wrapText="1"/>
    </xf>
    <xf numFmtId="166" fontId="5" fillId="0" borderId="0" xfId="5" applyNumberFormat="1" applyFont="1" applyAlignment="1">
      <alignment horizontal="center" vertical="top" wrapText="1"/>
    </xf>
    <xf numFmtId="166" fontId="5" fillId="0" borderId="10" xfId="5" applyNumberFormat="1" applyFont="1" applyBorder="1" applyAlignment="1">
      <alignment horizontal="center" vertical="top" wrapText="1"/>
    </xf>
    <xf numFmtId="166" fontId="5" fillId="0" borderId="4" xfId="5" applyNumberFormat="1" applyFont="1" applyBorder="1" applyAlignment="1">
      <alignment horizontal="center" vertical="top" wrapText="1"/>
    </xf>
    <xf numFmtId="166" fontId="5" fillId="0" borderId="9" xfId="5" applyNumberFormat="1" applyFont="1" applyBorder="1" applyAlignment="1">
      <alignment horizontal="center" vertical="top" wrapText="1"/>
    </xf>
    <xf numFmtId="165" fontId="12" fillId="0" borderId="5" xfId="5" applyFont="1" applyBorder="1" applyAlignment="1">
      <alignment horizontal="center" vertical="top" wrapText="1"/>
    </xf>
    <xf numFmtId="166" fontId="5" fillId="0" borderId="6" xfId="5" applyNumberFormat="1" applyFont="1" applyBorder="1" applyAlignment="1">
      <alignment horizontal="center" vertical="top"/>
    </xf>
    <xf numFmtId="166" fontId="5" fillId="0" borderId="5" xfId="5" applyNumberFormat="1" applyFont="1" applyBorder="1" applyAlignment="1">
      <alignment horizontal="center" vertical="top"/>
    </xf>
    <xf numFmtId="165" fontId="5" fillId="0" borderId="5" xfId="5" applyFont="1" applyBorder="1" applyAlignment="1">
      <alignment horizontal="center" vertical="top" wrapText="1"/>
    </xf>
    <xf numFmtId="165" fontId="5" fillId="0" borderId="6" xfId="5" applyFont="1" applyBorder="1" applyAlignment="1">
      <alignment horizontal="center" vertical="top"/>
    </xf>
    <xf numFmtId="165" fontId="5" fillId="0" borderId="5" xfId="5" applyFont="1" applyBorder="1" applyAlignment="1">
      <alignment horizontal="center" vertical="top"/>
    </xf>
    <xf numFmtId="165" fontId="5" fillId="0" borderId="7" xfId="5" applyFont="1" applyBorder="1" applyAlignment="1">
      <alignment horizontal="center" vertical="top"/>
    </xf>
    <xf numFmtId="166" fontId="5" fillId="0" borderId="31" xfId="5" applyNumberFormat="1" applyFont="1" applyBorder="1" applyAlignment="1">
      <alignment horizontal="center" vertical="top" wrapText="1"/>
    </xf>
    <xf numFmtId="166" fontId="5" fillId="0" borderId="2" xfId="5" applyNumberFormat="1" applyFont="1" applyBorder="1" applyAlignment="1">
      <alignment horizontal="center" vertical="top" wrapText="1"/>
    </xf>
    <xf numFmtId="166" fontId="5" fillId="0" borderId="6" xfId="5" applyNumberFormat="1" applyFont="1" applyBorder="1" applyAlignment="1">
      <alignment horizontal="center" vertical="top" wrapText="1"/>
    </xf>
    <xf numFmtId="166" fontId="5" fillId="0" borderId="5" xfId="5" applyNumberFormat="1" applyFont="1" applyBorder="1" applyAlignment="1">
      <alignment horizontal="center" vertical="top" wrapText="1"/>
    </xf>
    <xf numFmtId="166" fontId="12" fillId="20" borderId="5" xfId="5" applyNumberFormat="1" applyFont="1" applyFill="1" applyBorder="1" applyAlignment="1">
      <alignment horizontal="center" vertical="top" wrapText="1"/>
    </xf>
    <xf numFmtId="43" fontId="5" fillId="0" borderId="6" xfId="9" applyFont="1" applyBorder="1" applyAlignment="1">
      <alignment horizontal="center" vertical="top" wrapText="1"/>
    </xf>
    <xf numFmtId="43" fontId="5" fillId="0" borderId="5" xfId="9" applyFont="1" applyBorder="1" applyAlignment="1">
      <alignment horizontal="center" vertical="top" wrapText="1"/>
    </xf>
    <xf numFmtId="166" fontId="12" fillId="20" borderId="6" xfId="5" applyNumberFormat="1" applyFont="1" applyFill="1" applyBorder="1" applyAlignment="1">
      <alignment horizontal="center" vertical="top" wrapText="1"/>
    </xf>
    <xf numFmtId="165" fontId="15" fillId="0" borderId="6" xfId="5" applyFont="1" applyBorder="1" applyAlignment="1">
      <alignment horizontal="center" vertical="top" wrapText="1"/>
    </xf>
    <xf numFmtId="165" fontId="15" fillId="0" borderId="5" xfId="5" applyFont="1" applyBorder="1" applyAlignment="1">
      <alignment horizontal="center" vertical="top" wrapText="1"/>
    </xf>
    <xf numFmtId="165" fontId="15" fillId="0" borderId="7" xfId="5" applyFont="1" applyBorder="1" applyAlignment="1">
      <alignment horizontal="center" vertical="top" wrapText="1"/>
    </xf>
    <xf numFmtId="165" fontId="12" fillId="0" borderId="32" xfId="5" applyFont="1" applyBorder="1" applyAlignment="1">
      <alignment horizontal="center" vertical="top" wrapText="1"/>
    </xf>
    <xf numFmtId="165" fontId="12" fillId="0" borderId="8" xfId="5" applyFont="1" applyBorder="1" applyAlignment="1">
      <alignment horizontal="center" vertical="top" wrapText="1"/>
    </xf>
    <xf numFmtId="165" fontId="12" fillId="0" borderId="0" xfId="5" applyFont="1" applyAlignment="1">
      <alignment horizontal="center" vertical="top" wrapText="1"/>
    </xf>
    <xf numFmtId="165" fontId="12" fillId="0" borderId="10" xfId="5" applyFont="1" applyBorder="1" applyAlignment="1">
      <alignment horizontal="center" vertical="top" wrapText="1"/>
    </xf>
    <xf numFmtId="165" fontId="12" fillId="0" borderId="4" xfId="5" applyFont="1" applyBorder="1" applyAlignment="1">
      <alignment horizontal="center" vertical="top" wrapText="1"/>
    </xf>
    <xf numFmtId="165" fontId="12" fillId="0" borderId="9" xfId="5" applyFont="1" applyBorder="1" applyAlignment="1">
      <alignment horizontal="center" vertical="top" wrapText="1"/>
    </xf>
    <xf numFmtId="165" fontId="5" fillId="0" borderId="8" xfId="5" applyFont="1" applyBorder="1" applyAlignment="1">
      <alignment horizontal="center" vertical="top" wrapText="1"/>
    </xf>
    <xf numFmtId="165" fontId="5" fillId="0" borderId="10" xfId="5" applyFont="1" applyBorder="1" applyAlignment="1">
      <alignment horizontal="center" vertical="top" wrapText="1"/>
    </xf>
    <xf numFmtId="165" fontId="12" fillId="0" borderId="32" xfId="5" applyFont="1" applyBorder="1" applyAlignment="1">
      <alignment horizontal="center" vertical="top" wrapText="1" shrinkToFit="1"/>
    </xf>
    <xf numFmtId="165" fontId="12" fillId="0" borderId="8" xfId="5" applyFont="1" applyBorder="1" applyAlignment="1">
      <alignment horizontal="center" vertical="top" wrapText="1" shrinkToFit="1"/>
    </xf>
    <xf numFmtId="165" fontId="12" fillId="0" borderId="0" xfId="5" applyFont="1" applyAlignment="1">
      <alignment horizontal="center" vertical="top" wrapText="1" shrinkToFit="1"/>
    </xf>
    <xf numFmtId="165" fontId="12" fillId="0" borderId="10" xfId="5" applyFont="1" applyBorder="1" applyAlignment="1">
      <alignment horizontal="center" vertical="top" wrapText="1" shrinkToFit="1"/>
    </xf>
    <xf numFmtId="165" fontId="12" fillId="0" borderId="4" xfId="5" applyFont="1" applyBorder="1" applyAlignment="1">
      <alignment horizontal="center" vertical="top" wrapText="1" shrinkToFit="1"/>
    </xf>
    <xf numFmtId="165" fontId="12" fillId="0" borderId="9" xfId="5" applyFont="1" applyBorder="1" applyAlignment="1">
      <alignment horizontal="center" vertical="top" wrapText="1" shrinkToFit="1"/>
    </xf>
    <xf numFmtId="165" fontId="5" fillId="3" borderId="1" xfId="5" applyFont="1" applyFill="1" applyBorder="1" applyAlignment="1">
      <alignment horizontal="center" vertical="top" wrapText="1"/>
    </xf>
    <xf numFmtId="165" fontId="5" fillId="3" borderId="2" xfId="5" applyFont="1" applyFill="1" applyBorder="1" applyAlignment="1">
      <alignment horizontal="center" vertical="top" wrapText="1"/>
    </xf>
    <xf numFmtId="165" fontId="5" fillId="5" borderId="1" xfId="5" applyFont="1" applyFill="1" applyBorder="1" applyAlignment="1">
      <alignment horizontal="left" vertical="top" wrapText="1"/>
    </xf>
    <xf numFmtId="165" fontId="5" fillId="5" borderId="2" xfId="5" applyFont="1" applyFill="1" applyBorder="1" applyAlignment="1">
      <alignment horizontal="left" vertical="top" wrapText="1"/>
    </xf>
    <xf numFmtId="166" fontId="12" fillId="0" borderId="5" xfId="5" applyNumberFormat="1" applyFont="1" applyBorder="1" applyAlignment="1">
      <alignment horizontal="center" vertical="top" wrapText="1"/>
    </xf>
    <xf numFmtId="166" fontId="5" fillId="0" borderId="36" xfId="5" applyNumberFormat="1" applyFont="1" applyBorder="1" applyAlignment="1">
      <alignment horizontal="center" vertical="top" wrapText="1"/>
    </xf>
    <xf numFmtId="166" fontId="5" fillId="0" borderId="37" xfId="5" applyNumberFormat="1" applyFont="1" applyBorder="1" applyAlignment="1">
      <alignment horizontal="center" vertical="top" wrapText="1"/>
    </xf>
    <xf numFmtId="166" fontId="5" fillId="0" borderId="7" xfId="5" applyNumberFormat="1" applyFont="1" applyBorder="1" applyAlignment="1">
      <alignment horizontal="center" vertical="top"/>
    </xf>
    <xf numFmtId="166" fontId="5" fillId="0" borderId="38" xfId="5" applyNumberFormat="1" applyFont="1" applyBorder="1" applyAlignment="1">
      <alignment horizontal="center" vertical="top" wrapText="1"/>
    </xf>
    <xf numFmtId="166" fontId="5" fillId="0" borderId="24" xfId="5" applyNumberFormat="1" applyFont="1" applyBorder="1" applyAlignment="1">
      <alignment horizontal="center" vertical="top" wrapText="1"/>
    </xf>
    <xf numFmtId="166" fontId="5" fillId="0" borderId="39" xfId="5" applyNumberFormat="1" applyFont="1" applyBorder="1" applyAlignment="1">
      <alignment horizontal="center" vertical="top" wrapText="1"/>
    </xf>
    <xf numFmtId="166" fontId="5" fillId="0" borderId="41" xfId="5" applyNumberFormat="1" applyFont="1" applyBorder="1" applyAlignment="1">
      <alignment horizontal="center" vertical="top" wrapText="1"/>
    </xf>
    <xf numFmtId="166" fontId="5" fillId="0" borderId="43" xfId="5" applyNumberFormat="1" applyFont="1" applyBorder="1" applyAlignment="1">
      <alignment horizontal="center" vertical="top" wrapText="1"/>
    </xf>
    <xf numFmtId="166" fontId="5" fillId="0" borderId="40" xfId="5" applyNumberFormat="1" applyFont="1" applyBorder="1" applyAlignment="1">
      <alignment horizontal="center" vertical="top" wrapText="1"/>
    </xf>
    <xf numFmtId="166" fontId="5" fillId="0" borderId="42" xfId="5" applyNumberFormat="1" applyFont="1" applyBorder="1" applyAlignment="1">
      <alignment horizontal="center" vertical="top" wrapText="1"/>
    </xf>
    <xf numFmtId="166" fontId="5" fillId="0" borderId="44" xfId="5" applyNumberFormat="1" applyFont="1" applyBorder="1" applyAlignment="1">
      <alignment horizontal="center" vertical="top" wrapText="1"/>
    </xf>
    <xf numFmtId="166" fontId="12" fillId="20" borderId="7" xfId="5" applyNumberFormat="1" applyFont="1" applyFill="1" applyBorder="1" applyAlignment="1">
      <alignment horizontal="center" vertical="top" wrapText="1"/>
    </xf>
    <xf numFmtId="43" fontId="5" fillId="0" borderId="7" xfId="9" applyFont="1" applyBorder="1" applyAlignment="1">
      <alignment horizontal="center" vertical="top" wrapText="1"/>
    </xf>
    <xf numFmtId="166" fontId="3" fillId="0" borderId="27" xfId="0" applyNumberFormat="1" applyFont="1" applyFill="1" applyBorder="1" applyAlignment="1">
      <alignment horizontal="center" vertical="center" wrapText="1"/>
    </xf>
    <xf numFmtId="165" fontId="6" fillId="0" borderId="27" xfId="5" applyFont="1" applyFill="1" applyBorder="1" applyAlignment="1">
      <alignment horizontal="center" vertical="center" wrapText="1"/>
    </xf>
    <xf numFmtId="164" fontId="2" fillId="0" borderId="56" xfId="6" applyFont="1" applyFill="1" applyBorder="1" applyAlignment="1">
      <alignment horizontal="center" vertical="center" wrapText="1"/>
    </xf>
    <xf numFmtId="164" fontId="2" fillId="0" borderId="30" xfId="6" applyFont="1" applyFill="1" applyBorder="1" applyAlignment="1">
      <alignment horizontal="center" vertical="center" wrapText="1"/>
    </xf>
    <xf numFmtId="164" fontId="2" fillId="0" borderId="29" xfId="6" applyFont="1" applyFill="1" applyBorder="1" applyAlignment="1">
      <alignment horizontal="center" vertical="center" wrapText="1"/>
    </xf>
    <xf numFmtId="166" fontId="2" fillId="0" borderId="56" xfId="0" applyNumberFormat="1" applyFont="1" applyFill="1" applyBorder="1" applyAlignment="1">
      <alignment horizontal="center" vertical="center" wrapText="1"/>
    </xf>
    <xf numFmtId="166" fontId="2" fillId="0" borderId="30" xfId="0" applyNumberFormat="1" applyFont="1" applyFill="1" applyBorder="1" applyAlignment="1">
      <alignment horizontal="center" vertical="center" wrapText="1"/>
    </xf>
    <xf numFmtId="166" fontId="2" fillId="0" borderId="29" xfId="0" applyNumberFormat="1" applyFont="1" applyFill="1" applyBorder="1" applyAlignment="1">
      <alignment horizontal="center" vertical="center" wrapText="1"/>
    </xf>
    <xf numFmtId="166" fontId="5" fillId="0" borderId="27" xfId="5" applyNumberFormat="1" applyFont="1" applyFill="1" applyBorder="1" applyAlignment="1">
      <alignment horizontal="center" vertical="top" wrapText="1"/>
    </xf>
    <xf numFmtId="164" fontId="6" fillId="0" borderId="27" xfId="6" applyFont="1" applyFill="1" applyBorder="1" applyAlignment="1">
      <alignment horizontal="center" vertical="center" wrapText="1"/>
    </xf>
    <xf numFmtId="0" fontId="40" fillId="0" borderId="27" xfId="0" applyFont="1" applyFill="1" applyBorder="1" applyAlignment="1">
      <alignment horizontal="center" vertical="center" wrapText="1"/>
    </xf>
    <xf numFmtId="165" fontId="5" fillId="0" borderId="27" xfId="5" applyFont="1" applyFill="1" applyBorder="1" applyAlignment="1">
      <alignment horizontal="center" vertical="top" wrapText="1"/>
    </xf>
    <xf numFmtId="165" fontId="7" fillId="0" borderId="27" xfId="5" applyFont="1" applyFill="1" applyBorder="1" applyAlignment="1">
      <alignment horizontal="center" vertical="top" wrapText="1"/>
    </xf>
    <xf numFmtId="166" fontId="5" fillId="0" borderId="27" xfId="5" applyNumberFormat="1" applyFont="1" applyFill="1" applyBorder="1" applyAlignment="1">
      <alignment horizontal="center" vertical="top"/>
    </xf>
    <xf numFmtId="164" fontId="5" fillId="0" borderId="27" xfId="6" applyFont="1" applyFill="1" applyBorder="1" applyAlignment="1">
      <alignment horizontal="center" vertical="top"/>
    </xf>
    <xf numFmtId="0" fontId="40" fillId="0" borderId="27" xfId="0" applyFont="1" applyFill="1" applyBorder="1" applyAlignment="1">
      <alignment horizontal="center" vertical="top" wrapText="1"/>
    </xf>
    <xf numFmtId="166" fontId="2" fillId="0" borderId="27" xfId="0" applyNumberFormat="1" applyFont="1" applyFill="1" applyBorder="1" applyAlignment="1">
      <alignment horizontal="center" vertical="center" wrapText="1"/>
    </xf>
    <xf numFmtId="0" fontId="6" fillId="0" borderId="27" xfId="0" applyFont="1" applyFill="1" applyBorder="1" applyAlignment="1">
      <alignment horizontal="center" vertical="center" wrapText="1"/>
    </xf>
    <xf numFmtId="165" fontId="6" fillId="0" borderId="27" xfId="0" applyNumberFormat="1" applyFont="1" applyFill="1" applyBorder="1" applyAlignment="1">
      <alignment horizontal="center" vertical="top" wrapText="1"/>
    </xf>
    <xf numFmtId="164" fontId="3" fillId="0" borderId="27" xfId="6" applyFont="1" applyFill="1" applyBorder="1" applyAlignment="1">
      <alignment horizontal="center" vertical="center" wrapText="1"/>
    </xf>
    <xf numFmtId="165" fontId="6" fillId="0" borderId="27" xfId="0" applyNumberFormat="1" applyFont="1" applyFill="1" applyBorder="1" applyAlignment="1">
      <alignment horizontal="center" vertical="center" wrapText="1"/>
    </xf>
    <xf numFmtId="165" fontId="6" fillId="0" borderId="56" xfId="0" applyNumberFormat="1" applyFont="1" applyFill="1" applyBorder="1" applyAlignment="1">
      <alignment horizontal="center" vertical="center" wrapText="1"/>
    </xf>
    <xf numFmtId="165" fontId="6" fillId="0" borderId="30" xfId="0" applyNumberFormat="1" applyFont="1" applyFill="1" applyBorder="1" applyAlignment="1">
      <alignment horizontal="center" vertical="center" wrapText="1"/>
    </xf>
    <xf numFmtId="165" fontId="6" fillId="0" borderId="29" xfId="0" applyNumberFormat="1" applyFont="1" applyFill="1" applyBorder="1" applyAlignment="1">
      <alignment horizontal="center" vertical="center" wrapText="1"/>
    </xf>
    <xf numFmtId="165" fontId="45" fillId="0" borderId="27" xfId="0" applyNumberFormat="1" applyFont="1" applyFill="1" applyBorder="1" applyAlignment="1">
      <alignment horizontal="center" vertical="center" wrapText="1"/>
    </xf>
    <xf numFmtId="165" fontId="45" fillId="0" borderId="27" xfId="0" applyNumberFormat="1" applyFont="1" applyFill="1" applyBorder="1" applyAlignment="1">
      <alignment horizontal="center" vertical="top" wrapText="1"/>
    </xf>
    <xf numFmtId="0" fontId="6" fillId="0" borderId="27" xfId="0" applyFont="1" applyFill="1" applyBorder="1" applyAlignment="1">
      <alignment horizontal="center" vertical="top" wrapText="1"/>
    </xf>
    <xf numFmtId="164" fontId="41" fillId="0" borderId="27" xfId="6" applyFont="1" applyFill="1" applyBorder="1" applyAlignment="1">
      <alignment horizontal="center" vertical="center"/>
    </xf>
    <xf numFmtId="166" fontId="5" fillId="0" borderId="28" xfId="5" applyNumberFormat="1" applyFont="1" applyFill="1" applyBorder="1" applyAlignment="1">
      <alignment horizontal="center" vertical="top"/>
    </xf>
    <xf numFmtId="166" fontId="5" fillId="0" borderId="12" xfId="5" applyNumberFormat="1" applyFont="1" applyFill="1" applyBorder="1" applyAlignment="1">
      <alignment horizontal="center" vertical="top"/>
    </xf>
    <xf numFmtId="166" fontId="5" fillId="0" borderId="20" xfId="5" applyNumberFormat="1" applyFont="1" applyFill="1" applyBorder="1" applyAlignment="1">
      <alignment horizontal="center" vertical="top"/>
    </xf>
    <xf numFmtId="165" fontId="5" fillId="0" borderId="56" xfId="0" applyNumberFormat="1" applyFont="1" applyFill="1" applyBorder="1" applyAlignment="1">
      <alignment horizontal="center" vertical="top" wrapText="1"/>
    </xf>
    <xf numFmtId="165" fontId="5" fillId="0" borderId="30" xfId="0" applyNumberFormat="1" applyFont="1" applyFill="1" applyBorder="1" applyAlignment="1">
      <alignment horizontal="center" vertical="top" wrapText="1"/>
    </xf>
    <xf numFmtId="165" fontId="5" fillId="0" borderId="29" xfId="0" applyNumberFormat="1" applyFont="1" applyFill="1" applyBorder="1" applyAlignment="1">
      <alignment horizontal="center" vertical="top" wrapText="1"/>
    </xf>
    <xf numFmtId="0" fontId="6" fillId="0" borderId="56" xfId="0" applyFont="1" applyFill="1" applyBorder="1" applyAlignment="1">
      <alignment horizontal="center" vertical="center" wrapText="1"/>
    </xf>
    <xf numFmtId="0" fontId="6" fillId="0" borderId="29" xfId="0" applyFont="1" applyFill="1" applyBorder="1" applyAlignment="1">
      <alignment horizontal="center" vertical="center" wrapText="1"/>
    </xf>
    <xf numFmtId="166" fontId="49" fillId="0" borderId="56" xfId="0" applyNumberFormat="1" applyFont="1" applyFill="1" applyBorder="1" applyAlignment="1">
      <alignment horizontal="center" vertical="center" wrapText="1"/>
    </xf>
    <xf numFmtId="166" fontId="49" fillId="0" borderId="30" xfId="0" applyNumberFormat="1" applyFont="1" applyFill="1" applyBorder="1" applyAlignment="1">
      <alignment horizontal="center" vertical="center" wrapText="1"/>
    </xf>
    <xf numFmtId="166" fontId="49" fillId="0" borderId="29" xfId="0" applyNumberFormat="1" applyFont="1" applyFill="1" applyBorder="1" applyAlignment="1">
      <alignment horizontal="center" vertical="center" wrapText="1"/>
    </xf>
    <xf numFmtId="165" fontId="45" fillId="0" borderId="28" xfId="0" applyNumberFormat="1" applyFont="1" applyFill="1" applyBorder="1" applyAlignment="1">
      <alignment horizontal="center" vertical="top" wrapText="1"/>
    </xf>
    <xf numFmtId="165" fontId="45" fillId="0" borderId="12" xfId="0" applyNumberFormat="1" applyFont="1" applyFill="1" applyBorder="1" applyAlignment="1">
      <alignment horizontal="center" vertical="top" wrapText="1"/>
    </xf>
    <xf numFmtId="165" fontId="45" fillId="0" borderId="20" xfId="0" applyNumberFormat="1" applyFont="1" applyFill="1" applyBorder="1" applyAlignment="1">
      <alignment horizontal="center" vertical="top" wrapText="1"/>
    </xf>
    <xf numFmtId="165" fontId="6" fillId="0" borderId="28" xfId="0" applyNumberFormat="1" applyFont="1" applyFill="1" applyBorder="1" applyAlignment="1">
      <alignment horizontal="center" vertical="top" wrapText="1"/>
    </xf>
    <xf numFmtId="165" fontId="6" fillId="0" borderId="12" xfId="0" applyNumberFormat="1" applyFont="1" applyFill="1" applyBorder="1" applyAlignment="1">
      <alignment horizontal="center" vertical="top" wrapText="1"/>
    </xf>
    <xf numFmtId="165" fontId="6" fillId="0" borderId="20" xfId="0" applyNumberFormat="1" applyFont="1" applyFill="1" applyBorder="1" applyAlignment="1">
      <alignment horizontal="center" vertical="top" wrapText="1"/>
    </xf>
    <xf numFmtId="164" fontId="3" fillId="0" borderId="56" xfId="6" applyFont="1" applyFill="1" applyBorder="1" applyAlignment="1">
      <alignment horizontal="center" vertical="center" wrapText="1"/>
    </xf>
    <xf numFmtId="164" fontId="3" fillId="0" borderId="29" xfId="6" applyFont="1" applyFill="1" applyBorder="1" applyAlignment="1">
      <alignment horizontal="center" vertical="center" wrapText="1"/>
    </xf>
    <xf numFmtId="165" fontId="6" fillId="0" borderId="27" xfId="5" applyFont="1" applyFill="1" applyBorder="1" applyAlignment="1">
      <alignment horizontal="center" vertical="top"/>
    </xf>
    <xf numFmtId="0" fontId="5" fillId="0" borderId="56"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40" fillId="0" borderId="56" xfId="0" applyFont="1" applyFill="1" applyBorder="1" applyAlignment="1">
      <alignment horizontal="center" vertical="center"/>
    </xf>
    <xf numFmtId="0" fontId="40" fillId="0" borderId="30" xfId="0" applyFont="1" applyFill="1" applyBorder="1" applyAlignment="1">
      <alignment horizontal="center" vertical="center"/>
    </xf>
    <xf numFmtId="0" fontId="40" fillId="0" borderId="29" xfId="0" applyFont="1" applyFill="1" applyBorder="1" applyAlignment="1">
      <alignment horizontal="center" vertical="center"/>
    </xf>
    <xf numFmtId="43" fontId="41" fillId="0" borderId="27" xfId="9" applyFont="1" applyFill="1" applyBorder="1" applyAlignment="1">
      <alignment horizontal="center" vertical="center"/>
    </xf>
    <xf numFmtId="166" fontId="6" fillId="3" borderId="1" xfId="5" applyNumberFormat="1" applyFont="1" applyFill="1" applyBorder="1" applyAlignment="1">
      <alignment horizontal="center" vertical="top"/>
    </xf>
    <xf numFmtId="166" fontId="6" fillId="3" borderId="31" xfId="5" applyNumberFormat="1" applyFont="1" applyFill="1" applyBorder="1" applyAlignment="1">
      <alignment horizontal="center" vertical="top"/>
    </xf>
    <xf numFmtId="166" fontId="6" fillId="3" borderId="2" xfId="5" applyNumberFormat="1" applyFont="1" applyFill="1" applyBorder="1" applyAlignment="1">
      <alignment horizontal="center" vertical="top"/>
    </xf>
    <xf numFmtId="166" fontId="6" fillId="10" borderId="1" xfId="5" applyNumberFormat="1" applyFont="1" applyFill="1" applyBorder="1" applyAlignment="1">
      <alignment horizontal="center" vertical="top"/>
    </xf>
    <xf numFmtId="166" fontId="6" fillId="10" borderId="31" xfId="5" applyNumberFormat="1" applyFont="1" applyFill="1" applyBorder="1" applyAlignment="1">
      <alignment horizontal="center" vertical="top"/>
    </xf>
    <xf numFmtId="166" fontId="6" fillId="10" borderId="2" xfId="5" applyNumberFormat="1" applyFont="1" applyFill="1" applyBorder="1" applyAlignment="1">
      <alignment horizontal="center" vertical="top"/>
    </xf>
    <xf numFmtId="166" fontId="6" fillId="0" borderId="0" xfId="5" applyNumberFormat="1" applyFont="1" applyAlignment="1">
      <alignment horizontal="center" vertical="top"/>
    </xf>
    <xf numFmtId="3" fontId="2" fillId="0" borderId="17"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3" fontId="2" fillId="0" borderId="26" xfId="0" applyNumberFormat="1" applyFont="1" applyBorder="1" applyAlignment="1">
      <alignment horizontal="center" vertical="center" wrapText="1"/>
    </xf>
    <xf numFmtId="0" fontId="0" fillId="11" borderId="27" xfId="0" applyFill="1" applyBorder="1" applyAlignment="1">
      <alignment horizontal="center" vertical="center"/>
    </xf>
    <xf numFmtId="165" fontId="36" fillId="11" borderId="28" xfId="0" applyNumberFormat="1" applyFont="1" applyFill="1" applyBorder="1" applyAlignment="1">
      <alignment horizontal="center" vertical="top" wrapText="1"/>
    </xf>
    <xf numFmtId="165" fontId="36" fillId="11" borderId="12" xfId="0" applyNumberFormat="1" applyFont="1" applyFill="1" applyBorder="1" applyAlignment="1">
      <alignment horizontal="center" vertical="top" wrapText="1"/>
    </xf>
    <xf numFmtId="165" fontId="36" fillId="11" borderId="20" xfId="0" applyNumberFormat="1" applyFont="1" applyFill="1" applyBorder="1" applyAlignment="1">
      <alignment horizontal="center" vertical="top" wrapText="1"/>
    </xf>
    <xf numFmtId="0" fontId="38" fillId="13" borderId="27" xfId="0" applyFont="1" applyFill="1" applyBorder="1" applyAlignment="1">
      <alignment horizontal="center"/>
    </xf>
    <xf numFmtId="0" fontId="38" fillId="13" borderId="28" xfId="0" applyFont="1" applyFill="1" applyBorder="1" applyAlignment="1">
      <alignment horizontal="center"/>
    </xf>
    <xf numFmtId="0" fontId="38" fillId="13" borderId="12" xfId="0" applyFont="1" applyFill="1" applyBorder="1" applyAlignment="1">
      <alignment horizontal="center"/>
    </xf>
    <xf numFmtId="165" fontId="6" fillId="11" borderId="27" xfId="0" applyNumberFormat="1" applyFont="1" applyFill="1" applyBorder="1" applyAlignment="1">
      <alignment horizontal="center" vertical="top" wrapText="1"/>
    </xf>
    <xf numFmtId="166" fontId="3" fillId="11" borderId="27" xfId="0" applyNumberFormat="1" applyFont="1" applyFill="1" applyBorder="1" applyAlignment="1">
      <alignment horizontal="left" vertical="top" wrapText="1"/>
    </xf>
    <xf numFmtId="0" fontId="13" fillId="11" borderId="27" xfId="0" applyFont="1" applyFill="1" applyBorder="1" applyAlignment="1">
      <alignment horizontal="center" vertical="top" wrapText="1"/>
    </xf>
    <xf numFmtId="3" fontId="3" fillId="11" borderId="27" xfId="0" applyNumberFormat="1" applyFont="1" applyFill="1" applyBorder="1" applyAlignment="1">
      <alignment horizontal="center" vertical="top" wrapText="1"/>
    </xf>
    <xf numFmtId="0" fontId="13" fillId="11" borderId="56" xfId="0" applyFont="1" applyFill="1" applyBorder="1" applyAlignment="1">
      <alignment horizontal="right" vertical="top" wrapText="1"/>
    </xf>
    <xf numFmtId="0" fontId="13" fillId="11" borderId="29" xfId="0" applyFont="1" applyFill="1" applyBorder="1" applyAlignment="1">
      <alignment horizontal="right" vertical="top" wrapText="1"/>
    </xf>
    <xf numFmtId="0" fontId="0" fillId="0" borderId="20" xfId="0" applyBorder="1" applyAlignment="1">
      <alignment horizontal="center" wrapText="1"/>
    </xf>
    <xf numFmtId="0" fontId="0" fillId="0" borderId="48" xfId="0" applyBorder="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30" xfId="0" applyBorder="1" applyAlignment="1">
      <alignment horizontal="center" wrapText="1"/>
    </xf>
    <xf numFmtId="0" fontId="0" fillId="0" borderId="29" xfId="0" applyBorder="1" applyAlignment="1">
      <alignment horizontal="center" wrapText="1"/>
    </xf>
    <xf numFmtId="0" fontId="0" fillId="8" borderId="1" xfId="0" applyFill="1" applyBorder="1" applyAlignment="1">
      <alignment horizontal="center"/>
    </xf>
    <xf numFmtId="0" fontId="0" fillId="8" borderId="2" xfId="0" applyFill="1" applyBorder="1" applyAlignment="1">
      <alignment horizontal="center"/>
    </xf>
    <xf numFmtId="0" fontId="9" fillId="3" borderId="1" xfId="0" applyFont="1" applyFill="1" applyBorder="1" applyAlignment="1">
      <alignment horizontal="center"/>
    </xf>
    <xf numFmtId="0" fontId="9" fillId="3" borderId="31" xfId="0" applyFont="1" applyFill="1" applyBorder="1" applyAlignment="1">
      <alignment horizontal="center"/>
    </xf>
    <xf numFmtId="0" fontId="9" fillId="3" borderId="2" xfId="0" applyFont="1" applyFill="1" applyBorder="1" applyAlignment="1">
      <alignment horizontal="center"/>
    </xf>
    <xf numFmtId="0" fontId="0" fillId="0" borderId="27" xfId="0" applyBorder="1" applyAlignment="1">
      <alignment horizontal="center"/>
    </xf>
    <xf numFmtId="0" fontId="0" fillId="0" borderId="27" xfId="0" applyBorder="1" applyAlignment="1">
      <alignment horizontal="center" wrapText="1"/>
    </xf>
    <xf numFmtId="0" fontId="9" fillId="0" borderId="47" xfId="0" applyFont="1" applyBorder="1" applyAlignment="1">
      <alignment horizontal="left"/>
    </xf>
    <xf numFmtId="0" fontId="9" fillId="0" borderId="0" xfId="0" applyFont="1" applyAlignment="1">
      <alignment horizontal="left"/>
    </xf>
    <xf numFmtId="1" fontId="2" fillId="0" borderId="17" xfId="0" applyNumberFormat="1" applyFont="1" applyBorder="1" applyAlignment="1">
      <alignment horizontal="center" vertical="center" wrapText="1"/>
    </xf>
    <xf numFmtId="1" fontId="2" fillId="0" borderId="26" xfId="0" applyNumberFormat="1" applyFont="1" applyBorder="1" applyAlignment="1">
      <alignment horizontal="center" vertical="center" wrapText="1"/>
    </xf>
    <xf numFmtId="165" fontId="5" fillId="0" borderId="5" xfId="0" applyNumberFormat="1" applyFont="1" applyBorder="1" applyAlignment="1">
      <alignment horizontal="center" vertical="top" wrapText="1"/>
    </xf>
    <xf numFmtId="165" fontId="14" fillId="0" borderId="6" xfId="5" applyFont="1" applyBorder="1" applyAlignment="1">
      <alignment horizontal="center" vertical="top" wrapText="1"/>
    </xf>
    <xf numFmtId="165" fontId="14" fillId="0" borderId="5" xfId="5" applyFont="1" applyBorder="1" applyAlignment="1">
      <alignment horizontal="center" vertical="top" wrapText="1"/>
    </xf>
    <xf numFmtId="165" fontId="14" fillId="0" borderId="7" xfId="5" applyFont="1" applyBorder="1" applyAlignment="1">
      <alignment horizontal="center" vertical="top" wrapText="1"/>
    </xf>
    <xf numFmtId="166" fontId="5" fillId="4" borderId="6" xfId="5" applyNumberFormat="1" applyFont="1" applyFill="1" applyBorder="1" applyAlignment="1">
      <alignment horizontal="center" vertical="top"/>
    </xf>
    <xf numFmtId="166" fontId="5" fillId="4" borderId="5" xfId="5" applyNumberFormat="1" applyFont="1" applyFill="1" applyBorder="1" applyAlignment="1">
      <alignment horizontal="center" vertical="top"/>
    </xf>
    <xf numFmtId="166" fontId="5" fillId="4" borderId="26" xfId="5" applyNumberFormat="1" applyFont="1" applyFill="1" applyBorder="1" applyAlignment="1">
      <alignment horizontal="center" vertical="top"/>
    </xf>
    <xf numFmtId="166" fontId="5" fillId="4" borderId="6" xfId="5" applyNumberFormat="1" applyFont="1" applyFill="1" applyBorder="1" applyAlignment="1">
      <alignment horizontal="center" vertical="top" wrapText="1"/>
    </xf>
    <xf numFmtId="166" fontId="5" fillId="4" borderId="5" xfId="5" applyNumberFormat="1" applyFont="1" applyFill="1" applyBorder="1" applyAlignment="1">
      <alignment horizontal="center" vertical="top" wrapText="1"/>
    </xf>
    <xf numFmtId="166" fontId="5" fillId="4" borderId="26" xfId="5" applyNumberFormat="1" applyFont="1" applyFill="1" applyBorder="1" applyAlignment="1">
      <alignment horizontal="center" vertical="top" wrapText="1"/>
    </xf>
    <xf numFmtId="165" fontId="5" fillId="0" borderId="31" xfId="5" applyFont="1" applyBorder="1" applyAlignment="1">
      <alignment horizontal="center" vertical="top" wrapText="1"/>
    </xf>
    <xf numFmtId="165" fontId="14" fillId="3" borderId="6" xfId="5" applyFont="1" applyFill="1" applyBorder="1" applyAlignment="1">
      <alignment horizontal="center" vertical="top" wrapText="1"/>
    </xf>
    <xf numFmtId="165" fontId="14" fillId="3" borderId="5" xfId="5" applyFont="1" applyFill="1" applyBorder="1" applyAlignment="1">
      <alignment horizontal="center" vertical="top" wrapText="1"/>
    </xf>
    <xf numFmtId="165" fontId="14" fillId="3" borderId="7" xfId="5" applyFont="1" applyFill="1" applyBorder="1" applyAlignment="1">
      <alignment horizontal="center" vertical="top" wrapText="1"/>
    </xf>
    <xf numFmtId="171" fontId="5" fillId="0" borderId="0" xfId="5" applyNumberFormat="1" applyFont="1" applyAlignment="1">
      <alignment horizontal="left" vertical="top" wrapText="1"/>
    </xf>
    <xf numFmtId="166" fontId="5" fillId="0" borderId="7" xfId="5" applyNumberFormat="1" applyFont="1" applyBorder="1" applyAlignment="1">
      <alignment horizontal="center" vertical="top" wrapText="1"/>
    </xf>
  </cellXfs>
  <cellStyles count="12">
    <cellStyle name="Comma" xfId="6" builtinId="3"/>
    <cellStyle name="Comma 2" xfId="9"/>
    <cellStyle name="Comma 3" xfId="10"/>
    <cellStyle name="Custom - Style8 10" xfId="8"/>
    <cellStyle name="Normal" xfId="0" builtinId="0"/>
    <cellStyle name="Normal 2" xfId="2"/>
    <cellStyle name="Normal 3" xfId="4"/>
    <cellStyle name="Normal 3 2" xfId="7"/>
    <cellStyle name="Normal 3 3" xfId="11"/>
    <cellStyle name="Normal_WIL-PHIV-N2+N5-32looms" xfId="5"/>
    <cellStyle name="Percent" xfId="1" builtinId="5"/>
    <cellStyle name="Percent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B88"/>
  <sheetViews>
    <sheetView workbookViewId="0">
      <pane ySplit="5" topLeftCell="A6" activePane="bottomLeft" state="frozen"/>
      <selection activeCell="B1" sqref="B1"/>
      <selection pane="bottomLeft" activeCell="A8" sqref="A8"/>
    </sheetView>
  </sheetViews>
  <sheetFormatPr defaultColWidth="9.109375" defaultRowHeight="13.2" x14ac:dyDescent="0.3"/>
  <cols>
    <col min="1" max="2" width="0.44140625" style="13" customWidth="1"/>
    <col min="3" max="3" width="15.88671875" style="13" customWidth="1"/>
    <col min="4" max="4" width="5.44140625" style="7" customWidth="1"/>
    <col min="5" max="5" width="33" style="8" customWidth="1"/>
    <col min="6" max="6" width="20.88671875" style="9" customWidth="1"/>
    <col min="7" max="7" width="7.44140625" style="10" bestFit="1" customWidth="1"/>
    <col min="8" max="9" width="15.33203125" style="11" customWidth="1"/>
    <col min="10" max="10" width="28.109375" style="14" bestFit="1" customWidth="1"/>
    <col min="11" max="11" width="20.6640625" style="14" customWidth="1"/>
    <col min="12" max="12" width="13.109375" style="14" customWidth="1"/>
    <col min="13" max="13" width="16.44140625" style="14" bestFit="1" customWidth="1"/>
    <col min="14" max="15" width="16.44140625" style="14" customWidth="1"/>
    <col min="16" max="19" width="13.109375" style="14" customWidth="1"/>
    <col min="20" max="25" width="7.44140625" style="14" customWidth="1"/>
    <col min="26" max="26" width="16.5546875" style="12" customWidth="1"/>
    <col min="27" max="27" width="10.109375" style="12" customWidth="1"/>
    <col min="28" max="30" width="11.5546875" style="15" customWidth="1"/>
    <col min="31" max="31" width="13.88671875" style="15" bestFit="1" customWidth="1"/>
    <col min="32" max="37" width="10.5546875" style="13" customWidth="1"/>
    <col min="38" max="38" width="11.6640625" style="13" customWidth="1"/>
    <col min="39" max="39" width="10.5546875" style="13" customWidth="1"/>
    <col min="40" max="40" width="18.109375" style="13" bestFit="1" customWidth="1"/>
    <col min="41" max="41" width="22.109375" style="78" bestFit="1" customWidth="1"/>
    <col min="42" max="47" width="10.5546875" style="13" customWidth="1"/>
    <col min="48" max="48" width="16" style="12" bestFit="1" customWidth="1"/>
    <col min="49" max="49" width="13.33203125" style="13" bestFit="1" customWidth="1"/>
    <col min="50" max="50" width="9.109375" style="13"/>
    <col min="51" max="51" width="39.109375" style="13" customWidth="1"/>
    <col min="52" max="52" width="12.5546875" style="13" bestFit="1" customWidth="1"/>
    <col min="53" max="53" width="4.109375" style="13" bestFit="1" customWidth="1"/>
    <col min="54" max="54" width="36.44140625" style="163" customWidth="1"/>
    <col min="55" max="16384" width="9.109375" style="13"/>
  </cols>
  <sheetData>
    <row r="1" spans="3:54" x14ac:dyDescent="0.3">
      <c r="H1" s="11" t="s">
        <v>179</v>
      </c>
      <c r="AO1" s="13"/>
    </row>
    <row r="2" spans="3:54" ht="17.25" customHeight="1" x14ac:dyDescent="0.3">
      <c r="E2" s="18" t="s">
        <v>91</v>
      </c>
      <c r="G2" s="16"/>
      <c r="AM2" s="13">
        <f>100-67.17</f>
        <v>32.83</v>
      </c>
      <c r="AO2" s="13"/>
    </row>
    <row r="3" spans="3:54" ht="19.649999999999999" customHeight="1" thickBot="1" x14ac:dyDescent="0.35">
      <c r="E3" s="1211" t="s">
        <v>151</v>
      </c>
      <c r="F3" s="1211"/>
      <c r="G3" s="1211"/>
      <c r="H3" s="1211"/>
      <c r="I3" s="1211"/>
      <c r="J3" s="1211"/>
      <c r="K3" s="1211"/>
      <c r="L3" s="1211"/>
      <c r="M3" s="1211"/>
      <c r="N3" s="1211"/>
      <c r="O3" s="1211"/>
      <c r="P3" s="1211"/>
      <c r="Q3" s="1211"/>
      <c r="R3" s="1211"/>
      <c r="S3" s="1211"/>
      <c r="T3" s="1211"/>
      <c r="U3" s="1211"/>
      <c r="V3" s="1211"/>
      <c r="W3" s="1211"/>
      <c r="X3" s="1211"/>
      <c r="Y3" s="1211"/>
      <c r="Z3" s="1211"/>
      <c r="AM3" s="13">
        <f>100-AM2</f>
        <v>67.17</v>
      </c>
      <c r="AO3" s="13"/>
    </row>
    <row r="4" spans="3:54" ht="72.75" customHeight="1" thickBot="1" x14ac:dyDescent="0.35">
      <c r="C4" s="19" t="s">
        <v>763</v>
      </c>
      <c r="D4" s="19"/>
      <c r="E4" s="1219" t="s">
        <v>121</v>
      </c>
      <c r="F4" s="1220"/>
      <c r="G4" s="1221" t="s">
        <v>313</v>
      </c>
      <c r="H4" s="1221" t="s">
        <v>117</v>
      </c>
      <c r="I4" s="1223" t="s">
        <v>315</v>
      </c>
      <c r="J4" s="1208" t="s">
        <v>148</v>
      </c>
      <c r="K4" s="1208" t="s">
        <v>120</v>
      </c>
      <c r="L4" s="1208" t="s">
        <v>149</v>
      </c>
      <c r="M4" s="1221" t="s">
        <v>150</v>
      </c>
      <c r="N4" s="245"/>
      <c r="O4" s="245"/>
      <c r="P4" s="1208" t="s">
        <v>166</v>
      </c>
      <c r="Q4" s="1208" t="s">
        <v>167</v>
      </c>
      <c r="R4" s="1208" t="s">
        <v>168</v>
      </c>
      <c r="S4" s="1208" t="s">
        <v>169</v>
      </c>
      <c r="T4" s="1208" t="s">
        <v>152</v>
      </c>
      <c r="U4" s="1208" t="s">
        <v>153</v>
      </c>
      <c r="V4" s="1208" t="s">
        <v>154</v>
      </c>
      <c r="W4" s="1208" t="s">
        <v>155</v>
      </c>
      <c r="X4" s="213" t="s">
        <v>339</v>
      </c>
      <c r="Y4" s="1208" t="s">
        <v>156</v>
      </c>
      <c r="Z4" s="1214" t="s">
        <v>118</v>
      </c>
      <c r="AA4" s="1212" t="s">
        <v>119</v>
      </c>
      <c r="AB4" s="1212" t="s">
        <v>158</v>
      </c>
      <c r="AC4" s="1212" t="s">
        <v>173</v>
      </c>
      <c r="AD4" s="1214" t="s">
        <v>122</v>
      </c>
      <c r="AE4" s="1214" t="s">
        <v>172</v>
      </c>
      <c r="AF4" s="1208" t="s">
        <v>123</v>
      </c>
      <c r="AG4" s="1208" t="s">
        <v>125</v>
      </c>
      <c r="AH4" s="1208" t="s">
        <v>126</v>
      </c>
      <c r="AI4" s="1208" t="s">
        <v>127</v>
      </c>
      <c r="AJ4" s="1208" t="s">
        <v>128</v>
      </c>
      <c r="AK4" s="1208" t="s">
        <v>171</v>
      </c>
      <c r="AL4" s="1208" t="s">
        <v>162</v>
      </c>
      <c r="AM4" s="1208" t="s">
        <v>0</v>
      </c>
      <c r="AN4" s="1208" t="s">
        <v>157</v>
      </c>
      <c r="AO4" s="1208" t="s">
        <v>163</v>
      </c>
      <c r="AP4" s="1208" t="s">
        <v>420</v>
      </c>
      <c r="AQ4" s="1208" t="s">
        <v>164</v>
      </c>
      <c r="AR4" s="1208" t="s">
        <v>159</v>
      </c>
      <c r="AS4" s="1208" t="s">
        <v>160</v>
      </c>
      <c r="AT4" s="1208" t="s">
        <v>161</v>
      </c>
      <c r="AU4" s="1208" t="s">
        <v>165</v>
      </c>
      <c r="AV4" s="20"/>
    </row>
    <row r="5" spans="3:54" ht="19.649999999999999" customHeight="1" thickBot="1" x14ac:dyDescent="0.35">
      <c r="D5" s="19"/>
      <c r="E5" s="214" t="s">
        <v>1</v>
      </c>
      <c r="F5" s="60" t="s">
        <v>2</v>
      </c>
      <c r="G5" s="1222"/>
      <c r="H5" s="1222"/>
      <c r="I5" s="1224"/>
      <c r="J5" s="1209"/>
      <c r="K5" s="1209"/>
      <c r="L5" s="1209"/>
      <c r="M5" s="1222"/>
      <c r="N5" s="246"/>
      <c r="O5" s="246"/>
      <c r="P5" s="1209"/>
      <c r="Q5" s="1209"/>
      <c r="R5" s="1209"/>
      <c r="S5" s="1209"/>
      <c r="T5" s="1209"/>
      <c r="U5" s="1209"/>
      <c r="V5" s="1209"/>
      <c r="W5" s="1209"/>
      <c r="X5" s="197"/>
      <c r="Y5" s="1209"/>
      <c r="Z5" s="1215"/>
      <c r="AA5" s="1213"/>
      <c r="AB5" s="1213"/>
      <c r="AC5" s="1213"/>
      <c r="AD5" s="1215"/>
      <c r="AE5" s="1215"/>
      <c r="AF5" s="1209"/>
      <c r="AG5" s="1209"/>
      <c r="AH5" s="1209"/>
      <c r="AI5" s="1209"/>
      <c r="AJ5" s="1209"/>
      <c r="AK5" s="1209"/>
      <c r="AL5" s="1209"/>
      <c r="AM5" s="1209"/>
      <c r="AN5" s="1209"/>
      <c r="AO5" s="1209"/>
      <c r="AP5" s="1209"/>
      <c r="AQ5" s="1209"/>
      <c r="AR5" s="1209"/>
      <c r="AS5" s="1209"/>
      <c r="AT5" s="1209"/>
      <c r="AU5" s="1209"/>
      <c r="AV5" s="20"/>
      <c r="BB5" s="186" t="s">
        <v>320</v>
      </c>
    </row>
    <row r="6" spans="3:54" s="17" customFormat="1" ht="13.8" thickBot="1" x14ac:dyDescent="0.35">
      <c r="D6" s="21">
        <v>1</v>
      </c>
      <c r="E6" s="22">
        <f>+D6+1</f>
        <v>2</v>
      </c>
      <c r="F6" s="23">
        <f>+E6+1</f>
        <v>3</v>
      </c>
      <c r="G6" s="22">
        <f>+F6+1</f>
        <v>4</v>
      </c>
      <c r="H6" s="22">
        <f>+G6+1</f>
        <v>5</v>
      </c>
      <c r="I6" s="22" t="s">
        <v>314</v>
      </c>
      <c r="J6" s="22">
        <f>+H6+1</f>
        <v>6</v>
      </c>
      <c r="K6" s="22">
        <f t="shared" ref="K6:AU6" si="0">+J6+1</f>
        <v>7</v>
      </c>
      <c r="L6" s="22">
        <f t="shared" si="0"/>
        <v>8</v>
      </c>
      <c r="M6" s="22">
        <f t="shared" si="0"/>
        <v>9</v>
      </c>
      <c r="N6" s="22"/>
      <c r="O6" s="22"/>
      <c r="P6" s="22">
        <f>+M6+1</f>
        <v>10</v>
      </c>
      <c r="Q6" s="22">
        <f t="shared" si="0"/>
        <v>11</v>
      </c>
      <c r="R6" s="22">
        <f t="shared" si="0"/>
        <v>12</v>
      </c>
      <c r="S6" s="22">
        <f t="shared" si="0"/>
        <v>13</v>
      </c>
      <c r="T6" s="22">
        <f t="shared" si="0"/>
        <v>14</v>
      </c>
      <c r="U6" s="22">
        <f t="shared" si="0"/>
        <v>15</v>
      </c>
      <c r="V6" s="22">
        <f t="shared" si="0"/>
        <v>16</v>
      </c>
      <c r="W6" s="22">
        <f t="shared" si="0"/>
        <v>17</v>
      </c>
      <c r="X6" s="22" t="s">
        <v>338</v>
      </c>
      <c r="Y6" s="22">
        <f>+W6+1</f>
        <v>18</v>
      </c>
      <c r="Z6" s="22">
        <f>+Y6+1</f>
        <v>19</v>
      </c>
      <c r="AA6" s="22">
        <f t="shared" si="0"/>
        <v>20</v>
      </c>
      <c r="AB6" s="22">
        <f t="shared" si="0"/>
        <v>21</v>
      </c>
      <c r="AC6" s="22">
        <f t="shared" si="0"/>
        <v>22</v>
      </c>
      <c r="AD6" s="22">
        <f t="shared" si="0"/>
        <v>23</v>
      </c>
      <c r="AE6" s="24">
        <f t="shared" si="0"/>
        <v>24</v>
      </c>
      <c r="AF6" s="24">
        <f t="shared" si="0"/>
        <v>25</v>
      </c>
      <c r="AG6" s="22">
        <f t="shared" si="0"/>
        <v>26</v>
      </c>
      <c r="AH6" s="22">
        <f t="shared" si="0"/>
        <v>27</v>
      </c>
      <c r="AI6" s="22">
        <f t="shared" si="0"/>
        <v>28</v>
      </c>
      <c r="AJ6" s="22">
        <f t="shared" si="0"/>
        <v>29</v>
      </c>
      <c r="AK6" s="22">
        <f t="shared" si="0"/>
        <v>30</v>
      </c>
      <c r="AL6" s="22">
        <f t="shared" si="0"/>
        <v>31</v>
      </c>
      <c r="AM6" s="22">
        <f t="shared" si="0"/>
        <v>32</v>
      </c>
      <c r="AN6" s="22">
        <f t="shared" si="0"/>
        <v>33</v>
      </c>
      <c r="AO6" s="22">
        <f t="shared" si="0"/>
        <v>34</v>
      </c>
      <c r="AP6" s="22">
        <f t="shared" si="0"/>
        <v>35</v>
      </c>
      <c r="AQ6" s="22">
        <f t="shared" si="0"/>
        <v>36</v>
      </c>
      <c r="AR6" s="22">
        <f t="shared" si="0"/>
        <v>37</v>
      </c>
      <c r="AS6" s="22">
        <f t="shared" si="0"/>
        <v>38</v>
      </c>
      <c r="AT6" s="22">
        <f t="shared" si="0"/>
        <v>39</v>
      </c>
      <c r="AU6" s="22">
        <f t="shared" si="0"/>
        <v>40</v>
      </c>
      <c r="AV6" s="25">
        <v>0.15</v>
      </c>
      <c r="AW6" s="25">
        <v>0.1</v>
      </c>
      <c r="BB6" s="187" t="s">
        <v>316</v>
      </c>
    </row>
    <row r="7" spans="3:54" x14ac:dyDescent="0.3">
      <c r="D7" s="26"/>
      <c r="E7" s="27"/>
      <c r="F7" s="28"/>
      <c r="G7" s="29"/>
      <c r="H7" s="30"/>
      <c r="I7" s="30"/>
      <c r="J7" s="33"/>
      <c r="K7" s="33"/>
      <c r="L7" s="33"/>
      <c r="M7" s="33"/>
      <c r="N7" s="33"/>
      <c r="O7" s="33"/>
      <c r="P7" s="33"/>
      <c r="Q7" s="33"/>
      <c r="R7" s="33"/>
      <c r="S7" s="33"/>
      <c r="T7" s="33"/>
      <c r="U7" s="33"/>
      <c r="V7" s="33"/>
      <c r="W7" s="33"/>
      <c r="X7" s="33"/>
      <c r="Y7" s="33"/>
      <c r="Z7" s="31"/>
      <c r="AA7" s="31"/>
      <c r="AB7" s="32"/>
      <c r="AC7" s="32"/>
      <c r="AD7" s="73"/>
      <c r="AE7" s="59"/>
      <c r="AF7" s="65"/>
      <c r="AG7" s="66"/>
      <c r="AH7" s="66"/>
      <c r="AI7" s="66"/>
      <c r="AJ7" s="66"/>
      <c r="AK7" s="66"/>
      <c r="AL7" s="66"/>
      <c r="AM7" s="66"/>
      <c r="AN7" s="66"/>
      <c r="AO7" s="66"/>
      <c r="AP7" s="66"/>
      <c r="AQ7" s="66"/>
      <c r="AR7" s="66"/>
      <c r="AS7" s="66"/>
      <c r="AT7" s="66"/>
      <c r="AU7" s="66"/>
      <c r="AV7" s="20"/>
    </row>
    <row r="8" spans="3:54" ht="132" x14ac:dyDescent="0.3">
      <c r="C8" s="13" t="s">
        <v>341</v>
      </c>
      <c r="D8" s="34">
        <v>1</v>
      </c>
      <c r="E8" s="35" t="s">
        <v>94</v>
      </c>
      <c r="F8" s="35"/>
      <c r="G8" s="36">
        <v>2</v>
      </c>
      <c r="H8" s="36">
        <f>+'WFL P&amp;M-RR2'!I24</f>
        <v>195000000</v>
      </c>
      <c r="I8" s="36">
        <f>+'WFL P&amp;M-RR2'!W24</f>
        <v>53000000</v>
      </c>
      <c r="J8" s="35" t="s">
        <v>94</v>
      </c>
      <c r="K8" s="35"/>
      <c r="L8" s="36">
        <v>1</v>
      </c>
      <c r="M8" s="243" t="s">
        <v>650</v>
      </c>
      <c r="N8" s="243"/>
      <c r="O8" s="243"/>
      <c r="P8" s="35" t="s">
        <v>502</v>
      </c>
      <c r="Q8" s="36" t="s">
        <v>649</v>
      </c>
      <c r="R8" s="36" t="s">
        <v>649</v>
      </c>
      <c r="S8" s="36" t="s">
        <v>649</v>
      </c>
      <c r="T8" s="247">
        <v>2018</v>
      </c>
      <c r="U8" s="35" t="s">
        <v>657</v>
      </c>
      <c r="V8" s="35" t="s">
        <v>658</v>
      </c>
      <c r="W8" s="35" t="s">
        <v>659</v>
      </c>
      <c r="X8" s="35" t="s">
        <v>659</v>
      </c>
      <c r="Y8" s="35"/>
      <c r="Z8" s="36" t="s">
        <v>651</v>
      </c>
      <c r="AA8" s="36" t="s">
        <v>652</v>
      </c>
      <c r="AB8" s="252" t="s">
        <v>181</v>
      </c>
      <c r="AC8" s="252" t="s">
        <v>181</v>
      </c>
      <c r="AD8" s="34" t="s">
        <v>653</v>
      </c>
      <c r="AE8" s="34" t="s">
        <v>653</v>
      </c>
      <c r="AF8" s="36" t="s">
        <v>660</v>
      </c>
      <c r="AG8" s="70"/>
      <c r="AH8" s="36" t="s">
        <v>661</v>
      </c>
      <c r="AI8" s="250" t="s">
        <v>180</v>
      </c>
      <c r="AJ8" s="70"/>
      <c r="AK8" s="70" t="s">
        <v>656</v>
      </c>
      <c r="AL8" s="70" t="str">
        <f t="shared" ref="AL8:AL14" si="1">M8</f>
        <v>Euro 1615000</v>
      </c>
      <c r="AM8" s="253">
        <v>85.078100000000006</v>
      </c>
      <c r="AN8" s="70">
        <f>13740113.15+113766473</f>
        <v>127506586.15000001</v>
      </c>
      <c r="AO8" s="79">
        <v>43382</v>
      </c>
      <c r="AP8" s="79">
        <v>43577</v>
      </c>
      <c r="AQ8" s="70" t="s">
        <v>654</v>
      </c>
      <c r="AR8" s="70" t="s">
        <v>655</v>
      </c>
      <c r="AS8" s="70"/>
      <c r="AT8" s="70"/>
      <c r="AU8" s="70"/>
      <c r="AV8" s="55">
        <f>+H8</f>
        <v>195000000</v>
      </c>
      <c r="AW8" s="17"/>
      <c r="AY8" s="2" t="s">
        <v>134</v>
      </c>
      <c r="AZ8" s="13" t="s">
        <v>133</v>
      </c>
      <c r="BB8" s="163" t="s">
        <v>317</v>
      </c>
    </row>
    <row r="9" spans="3:54" ht="132" x14ac:dyDescent="0.3">
      <c r="C9" s="13" t="s">
        <v>340</v>
      </c>
      <c r="D9" s="34" t="s">
        <v>183</v>
      </c>
      <c r="E9" s="35" t="s">
        <v>94</v>
      </c>
      <c r="F9" s="35"/>
      <c r="G9" s="36"/>
      <c r="H9" s="36"/>
      <c r="I9" s="36"/>
      <c r="J9" s="35" t="s">
        <v>94</v>
      </c>
      <c r="K9" s="35"/>
      <c r="L9" s="36">
        <v>1</v>
      </c>
      <c r="M9" s="244" t="s">
        <v>816</v>
      </c>
      <c r="N9" s="244"/>
      <c r="O9" s="244"/>
      <c r="P9" s="35" t="s">
        <v>502</v>
      </c>
      <c r="Q9" s="36" t="s">
        <v>649</v>
      </c>
      <c r="R9" s="36" t="s">
        <v>649</v>
      </c>
      <c r="S9" s="36" t="s">
        <v>649</v>
      </c>
      <c r="T9" s="247">
        <v>2019</v>
      </c>
      <c r="U9" s="35" t="s">
        <v>662</v>
      </c>
      <c r="V9" s="35"/>
      <c r="W9" s="35"/>
      <c r="X9" s="35"/>
      <c r="Y9" s="35"/>
      <c r="Z9" s="36" t="s">
        <v>663</v>
      </c>
      <c r="AA9" s="36" t="s">
        <v>664</v>
      </c>
      <c r="AB9" s="252" t="s">
        <v>665</v>
      </c>
      <c r="AC9" s="252" t="s">
        <v>665</v>
      </c>
      <c r="AD9" s="34" t="s">
        <v>653</v>
      </c>
      <c r="AE9" s="34" t="s">
        <v>653</v>
      </c>
      <c r="AF9" s="36" t="s">
        <v>666</v>
      </c>
      <c r="AG9" s="70"/>
      <c r="AH9" s="36" t="s">
        <v>667</v>
      </c>
      <c r="AI9" s="250" t="s">
        <v>182</v>
      </c>
      <c r="AJ9" s="70"/>
      <c r="AK9" s="70"/>
      <c r="AL9" s="70" t="str">
        <f t="shared" si="1"/>
        <v>EURO 598500</v>
      </c>
      <c r="AM9" s="70">
        <v>80.75</v>
      </c>
      <c r="AN9" s="70">
        <f>4731741+38103277+4221804</f>
        <v>47056822</v>
      </c>
      <c r="AO9" s="79">
        <v>43270</v>
      </c>
      <c r="AP9" s="70"/>
      <c r="AQ9" s="70" t="s">
        <v>654</v>
      </c>
      <c r="AR9" s="70" t="s">
        <v>655</v>
      </c>
      <c r="AS9" s="70"/>
      <c r="AT9" s="70"/>
      <c r="AU9" s="70"/>
      <c r="AV9" s="55"/>
      <c r="AW9" s="17"/>
      <c r="AY9" s="76"/>
    </row>
    <row r="10" spans="3:54" ht="132" x14ac:dyDescent="0.3">
      <c r="C10" s="13" t="s">
        <v>342</v>
      </c>
      <c r="D10" s="34" t="s">
        <v>764</v>
      </c>
      <c r="E10" s="35" t="s">
        <v>94</v>
      </c>
      <c r="F10" s="35"/>
      <c r="G10" s="36"/>
      <c r="H10" s="36"/>
      <c r="I10" s="36"/>
      <c r="J10" s="35" t="s">
        <v>94</v>
      </c>
      <c r="K10" s="35"/>
      <c r="L10" s="36"/>
      <c r="M10" s="244" t="s">
        <v>788</v>
      </c>
      <c r="N10" s="244"/>
      <c r="O10" s="244"/>
      <c r="P10" s="35" t="s">
        <v>502</v>
      </c>
      <c r="Q10" s="36"/>
      <c r="R10" s="36"/>
      <c r="S10" s="36"/>
      <c r="T10" s="247"/>
      <c r="U10" s="35"/>
      <c r="V10" s="35"/>
      <c r="W10" s="35"/>
      <c r="X10" s="35"/>
      <c r="Y10" s="35"/>
      <c r="Z10" s="36"/>
      <c r="AA10" s="36"/>
      <c r="AB10" s="252"/>
      <c r="AC10" s="252"/>
      <c r="AD10" s="34"/>
      <c r="AE10" s="61"/>
      <c r="AF10" s="36"/>
      <c r="AG10" s="70"/>
      <c r="AH10" s="36"/>
      <c r="AI10" s="250"/>
      <c r="AJ10" s="70"/>
      <c r="AK10" s="70"/>
      <c r="AL10" s="70"/>
      <c r="AM10" s="70"/>
      <c r="AN10" s="70">
        <f>246102.88+1195954.56+1686152+1334236.36+6483061.85+9140624.79+806313.99+3917884.14+5523919.06</f>
        <v>30334249.629999995</v>
      </c>
      <c r="AO10" s="79" t="s">
        <v>765</v>
      </c>
      <c r="AP10" s="70"/>
      <c r="AQ10" s="70"/>
      <c r="AR10" s="70"/>
      <c r="AS10" s="70"/>
      <c r="AT10" s="70"/>
      <c r="AU10" s="70"/>
      <c r="AV10" s="55"/>
      <c r="AW10" s="17"/>
      <c r="AY10" s="76"/>
    </row>
    <row r="11" spans="3:54" ht="118.8" x14ac:dyDescent="0.3">
      <c r="C11" s="13" t="s">
        <v>350</v>
      </c>
      <c r="D11" s="34">
        <f>+D8+1</f>
        <v>2</v>
      </c>
      <c r="E11" s="35" t="s">
        <v>72</v>
      </c>
      <c r="F11" s="35"/>
      <c r="G11" s="36">
        <v>6</v>
      </c>
      <c r="H11" s="36">
        <f>+'WFL P&amp;M-RR2'!I25</f>
        <v>634400000</v>
      </c>
      <c r="I11" s="36">
        <f>+'WFL P&amp;M-RR2'!W25</f>
        <v>344400000</v>
      </c>
      <c r="J11" s="35" t="s">
        <v>72</v>
      </c>
      <c r="K11" s="35"/>
      <c r="L11" s="35">
        <v>6</v>
      </c>
      <c r="M11" s="35" t="s">
        <v>755</v>
      </c>
      <c r="N11" s="35"/>
      <c r="O11" s="35"/>
      <c r="P11" s="35" t="s">
        <v>502</v>
      </c>
      <c r="Q11" s="35"/>
      <c r="R11" s="35"/>
      <c r="S11" s="35"/>
      <c r="T11" s="35"/>
      <c r="U11" s="35" t="s">
        <v>668</v>
      </c>
      <c r="V11" s="35" t="s">
        <v>669</v>
      </c>
      <c r="W11" s="35"/>
      <c r="X11" s="35"/>
      <c r="Y11" s="35"/>
      <c r="Z11" s="36" t="s">
        <v>670</v>
      </c>
      <c r="AA11" s="36" t="s">
        <v>671</v>
      </c>
      <c r="AB11" s="37" t="s">
        <v>184</v>
      </c>
      <c r="AC11" s="37" t="s">
        <v>184</v>
      </c>
      <c r="AD11" s="34"/>
      <c r="AE11" s="61">
        <v>930013736</v>
      </c>
      <c r="AF11" s="34" t="s">
        <v>672</v>
      </c>
      <c r="AG11" s="70"/>
      <c r="AH11" s="36" t="s">
        <v>673</v>
      </c>
      <c r="AI11" s="250" t="s">
        <v>185</v>
      </c>
      <c r="AJ11" s="70"/>
      <c r="AK11" s="70"/>
      <c r="AL11" s="70" t="str">
        <f t="shared" si="1"/>
        <v>USD 3202000</v>
      </c>
      <c r="AM11" s="253">
        <v>64.112499999999997</v>
      </c>
      <c r="AN11" s="70">
        <v>19283612.600000001</v>
      </c>
      <c r="AO11" s="79">
        <v>42990</v>
      </c>
      <c r="AP11" s="70"/>
      <c r="AQ11" s="70" t="s">
        <v>654</v>
      </c>
      <c r="AR11" s="70" t="s">
        <v>655</v>
      </c>
      <c r="AS11" s="70"/>
      <c r="AT11" s="70"/>
      <c r="AU11" s="70"/>
      <c r="AV11" s="55">
        <f>+H11</f>
        <v>634400000</v>
      </c>
      <c r="AW11" s="17"/>
      <c r="AY11" s="13" t="s">
        <v>142</v>
      </c>
      <c r="AZ11" s="13" t="s">
        <v>143</v>
      </c>
      <c r="BB11" s="163" t="s">
        <v>318</v>
      </c>
    </row>
    <row r="12" spans="3:54" ht="118.8" x14ac:dyDescent="0.3">
      <c r="C12" s="13" t="s">
        <v>350</v>
      </c>
      <c r="D12" s="34" t="s">
        <v>189</v>
      </c>
      <c r="E12" s="35" t="s">
        <v>72</v>
      </c>
      <c r="F12" s="35"/>
      <c r="G12" s="36"/>
      <c r="H12" s="36"/>
      <c r="I12" s="36"/>
      <c r="J12" s="35" t="s">
        <v>72</v>
      </c>
      <c r="K12" s="35"/>
      <c r="L12" s="35"/>
      <c r="M12" s="35" t="s">
        <v>756</v>
      </c>
      <c r="N12" s="35"/>
      <c r="O12" s="35"/>
      <c r="P12" s="35" t="s">
        <v>502</v>
      </c>
      <c r="Q12" s="35"/>
      <c r="R12" s="35"/>
      <c r="S12" s="35"/>
      <c r="T12" s="35"/>
      <c r="U12" s="35" t="s">
        <v>674</v>
      </c>
      <c r="V12" s="35" t="s">
        <v>675</v>
      </c>
      <c r="W12" s="35"/>
      <c r="X12" s="35"/>
      <c r="Y12" s="35"/>
      <c r="Z12" s="36" t="s">
        <v>676</v>
      </c>
      <c r="AA12" s="36" t="s">
        <v>677</v>
      </c>
      <c r="AB12" s="37" t="s">
        <v>184</v>
      </c>
      <c r="AC12" s="37" t="s">
        <v>184</v>
      </c>
      <c r="AD12" s="34"/>
      <c r="AE12" s="61">
        <v>930013736</v>
      </c>
      <c r="AF12" s="34" t="s">
        <v>678</v>
      </c>
      <c r="AG12" s="70"/>
      <c r="AH12" s="36" t="s">
        <v>679</v>
      </c>
      <c r="AI12" s="250" t="s">
        <v>186</v>
      </c>
      <c r="AJ12" s="70"/>
      <c r="AK12" s="70"/>
      <c r="AL12" s="70" t="str">
        <f t="shared" si="1"/>
        <v>USD 3408000</v>
      </c>
      <c r="AM12" s="70">
        <v>65.69</v>
      </c>
      <c r="AN12" s="70">
        <f>177363000+115794000</f>
        <v>293157000</v>
      </c>
      <c r="AO12" s="79">
        <v>43202</v>
      </c>
      <c r="AP12" s="70"/>
      <c r="AQ12" s="70" t="s">
        <v>654</v>
      </c>
      <c r="AR12" s="70" t="s">
        <v>655</v>
      </c>
      <c r="AS12" s="70"/>
      <c r="AT12" s="70"/>
      <c r="AU12" s="70"/>
      <c r="AV12" s="55"/>
      <c r="AW12" s="17"/>
    </row>
    <row r="13" spans="3:54" ht="132" x14ac:dyDescent="0.3">
      <c r="C13" s="13" t="s">
        <v>350</v>
      </c>
      <c r="D13" s="34" t="s">
        <v>190</v>
      </c>
      <c r="E13" s="35" t="s">
        <v>72</v>
      </c>
      <c r="F13" s="35"/>
      <c r="G13" s="36"/>
      <c r="H13" s="36"/>
      <c r="I13" s="36"/>
      <c r="J13" s="35" t="s">
        <v>72</v>
      </c>
      <c r="K13" s="35"/>
      <c r="L13" s="35"/>
      <c r="M13" s="35" t="s">
        <v>754</v>
      </c>
      <c r="N13" s="35"/>
      <c r="O13" s="35"/>
      <c r="P13" s="35" t="s">
        <v>502</v>
      </c>
      <c r="Q13" s="35"/>
      <c r="R13" s="35"/>
      <c r="S13" s="35"/>
      <c r="T13" s="35"/>
      <c r="U13" s="35"/>
      <c r="V13" s="35"/>
      <c r="W13" s="35"/>
      <c r="X13" s="35"/>
      <c r="Y13" s="35"/>
      <c r="Z13" s="82" t="s">
        <v>757</v>
      </c>
      <c r="AA13" s="36" t="s">
        <v>677</v>
      </c>
      <c r="AB13" s="37" t="s">
        <v>184</v>
      </c>
      <c r="AC13" s="37"/>
      <c r="AD13" s="34"/>
      <c r="AE13" s="61">
        <v>930013736</v>
      </c>
      <c r="AF13" s="69"/>
      <c r="AG13" s="70"/>
      <c r="AH13" s="70"/>
      <c r="AI13" s="250" t="s">
        <v>187</v>
      </c>
      <c r="AJ13" s="70"/>
      <c r="AK13" s="254"/>
      <c r="AL13" s="70" t="str">
        <f t="shared" si="1"/>
        <v>USD 11390000</v>
      </c>
      <c r="AM13" s="70">
        <v>71.790000000000006</v>
      </c>
      <c r="AN13" s="70">
        <f>244965000+274524900+245294+159029208+149416527</f>
        <v>828180929</v>
      </c>
      <c r="AO13" s="79">
        <v>43354</v>
      </c>
      <c r="AP13" s="70"/>
      <c r="AQ13" s="70" t="s">
        <v>654</v>
      </c>
      <c r="AR13" s="70" t="s">
        <v>655</v>
      </c>
      <c r="AS13" s="70"/>
      <c r="AT13" s="70"/>
      <c r="AU13" s="70"/>
      <c r="AV13" s="55"/>
      <c r="AW13" s="17"/>
    </row>
    <row r="14" spans="3:54" ht="118.8" x14ac:dyDescent="0.3">
      <c r="C14" s="13" t="s">
        <v>767</v>
      </c>
      <c r="D14" s="34" t="s">
        <v>766</v>
      </c>
      <c r="E14" s="35" t="s">
        <v>72</v>
      </c>
      <c r="F14" s="35"/>
      <c r="G14" s="36"/>
      <c r="H14" s="36"/>
      <c r="I14" s="36"/>
      <c r="J14" s="35" t="s">
        <v>72</v>
      </c>
      <c r="K14" s="35"/>
      <c r="L14" s="35"/>
      <c r="M14" s="35" t="s">
        <v>768</v>
      </c>
      <c r="N14" s="35"/>
      <c r="O14" s="35"/>
      <c r="P14" s="35" t="s">
        <v>502</v>
      </c>
      <c r="Q14" s="35"/>
      <c r="R14" s="35"/>
      <c r="S14" s="35"/>
      <c r="T14" s="35"/>
      <c r="U14" s="35"/>
      <c r="V14" s="35"/>
      <c r="W14" s="35"/>
      <c r="X14" s="35"/>
      <c r="Y14" s="261"/>
      <c r="Z14" s="82"/>
      <c r="AA14" s="36"/>
      <c r="AB14" s="37"/>
      <c r="AC14" s="37"/>
      <c r="AD14" s="34"/>
      <c r="AE14" s="61"/>
      <c r="AF14" s="69"/>
      <c r="AG14" s="70"/>
      <c r="AH14" s="70"/>
      <c r="AI14" s="250"/>
      <c r="AJ14" s="70"/>
      <c r="AK14" s="254"/>
      <c r="AL14" s="259" t="str">
        <f t="shared" si="1"/>
        <v>USD 2300000</v>
      </c>
      <c r="AM14" s="259">
        <v>69.12</v>
      </c>
      <c r="AN14" s="259">
        <f>24625237.5+69422765+2908923+2415297+36779422</f>
        <v>136151644.5</v>
      </c>
      <c r="AO14" s="79" t="s">
        <v>769</v>
      </c>
      <c r="AP14" s="70"/>
      <c r="AQ14" s="70"/>
      <c r="AR14" s="70"/>
      <c r="AS14" s="70"/>
      <c r="AT14" s="70"/>
      <c r="AU14" s="70"/>
      <c r="AV14" s="55"/>
      <c r="AW14" s="17"/>
    </row>
    <row r="15" spans="3:54" ht="132" x14ac:dyDescent="0.3">
      <c r="C15" s="13" t="s">
        <v>353</v>
      </c>
      <c r="D15" s="34">
        <f>+D11+1</f>
        <v>3</v>
      </c>
      <c r="E15" s="35" t="s">
        <v>97</v>
      </c>
      <c r="F15" s="35"/>
      <c r="G15" s="38"/>
      <c r="H15" s="38">
        <f>+'WFL P&amp;M-RR2'!I26</f>
        <v>67600000</v>
      </c>
      <c r="I15" s="38">
        <f>+'WFL P&amp;M-RR2'!W26</f>
        <v>67600000</v>
      </c>
      <c r="J15" s="35" t="s">
        <v>97</v>
      </c>
      <c r="K15" s="35"/>
      <c r="L15" s="35"/>
      <c r="M15" s="259" t="s">
        <v>747</v>
      </c>
      <c r="N15" s="259"/>
      <c r="O15" s="259"/>
      <c r="P15" s="35" t="s">
        <v>502</v>
      </c>
      <c r="Q15" s="35"/>
      <c r="R15" s="35"/>
      <c r="S15" s="35"/>
      <c r="T15" s="35"/>
      <c r="U15" s="35"/>
      <c r="V15" s="35"/>
      <c r="W15" s="35"/>
      <c r="X15" s="35"/>
      <c r="Y15" s="261"/>
      <c r="Z15" s="262" t="s">
        <v>746</v>
      </c>
      <c r="AA15" s="36"/>
      <c r="AB15" s="37"/>
      <c r="AC15" s="37"/>
      <c r="AD15" s="3"/>
      <c r="AE15" s="62"/>
      <c r="AF15" s="69"/>
      <c r="AG15" s="70"/>
      <c r="AH15" s="70"/>
      <c r="AI15" s="70"/>
      <c r="AJ15" s="70"/>
      <c r="AK15" s="70"/>
      <c r="AL15" s="259" t="s">
        <v>747</v>
      </c>
      <c r="AM15" s="260">
        <v>71.45</v>
      </c>
      <c r="AN15" s="149">
        <f>675459+6176963.61</f>
        <v>6852422.6100000003</v>
      </c>
      <c r="AO15" s="79" t="s">
        <v>745</v>
      </c>
      <c r="AP15" s="70"/>
      <c r="AQ15" s="70" t="s">
        <v>654</v>
      </c>
      <c r="AR15" s="70" t="s">
        <v>655</v>
      </c>
      <c r="AS15" s="70"/>
      <c r="AT15" s="70"/>
      <c r="AU15" s="70"/>
      <c r="AV15" s="55">
        <f>+H15</f>
        <v>67600000</v>
      </c>
      <c r="AW15" s="17"/>
      <c r="AY15" s="13" t="s">
        <v>144</v>
      </c>
      <c r="AZ15" s="13" t="s">
        <v>143</v>
      </c>
      <c r="BB15" s="163" t="s">
        <v>319</v>
      </c>
    </row>
    <row r="16" spans="3:54" ht="105.6" x14ac:dyDescent="0.3">
      <c r="C16" s="13" t="s">
        <v>356</v>
      </c>
      <c r="D16" s="34">
        <f t="shared" ref="D16:D42" si="2">+D15+1</f>
        <v>4</v>
      </c>
      <c r="E16" s="35" t="s">
        <v>98</v>
      </c>
      <c r="F16" s="35"/>
      <c r="G16" s="38">
        <v>1</v>
      </c>
      <c r="H16" s="38">
        <f>+'WFL P&amp;M-RR2'!I27</f>
        <v>375000000</v>
      </c>
      <c r="I16" s="38">
        <f>+'WFL P&amp;M-RR2'!W27</f>
        <v>275000000</v>
      </c>
      <c r="J16" s="35" t="s">
        <v>98</v>
      </c>
      <c r="K16" s="35"/>
      <c r="L16" s="38">
        <v>1</v>
      </c>
      <c r="M16" s="35" t="s">
        <v>759</v>
      </c>
      <c r="N16" s="35"/>
      <c r="O16" s="35"/>
      <c r="P16" s="35" t="s">
        <v>502</v>
      </c>
      <c r="Q16" s="35"/>
      <c r="R16" s="35"/>
      <c r="S16" s="35"/>
      <c r="T16" s="248">
        <v>2019</v>
      </c>
      <c r="U16" s="35" t="s">
        <v>680</v>
      </c>
      <c r="V16" s="35"/>
      <c r="W16" s="35"/>
      <c r="X16" s="35"/>
      <c r="Y16" s="35"/>
      <c r="Z16" s="36" t="s">
        <v>681</v>
      </c>
      <c r="AA16" s="36" t="s">
        <v>682</v>
      </c>
      <c r="AB16" s="37" t="s">
        <v>683</v>
      </c>
      <c r="AC16" s="37" t="s">
        <v>683</v>
      </c>
      <c r="AD16" s="3"/>
      <c r="AE16" s="61">
        <v>930013736</v>
      </c>
      <c r="AF16" s="36" t="s">
        <v>684</v>
      </c>
      <c r="AG16" s="70"/>
      <c r="AH16" s="36" t="s">
        <v>685</v>
      </c>
      <c r="AI16" s="250" t="s">
        <v>185</v>
      </c>
      <c r="AJ16" s="70"/>
      <c r="AK16" s="70"/>
      <c r="AL16" s="70" t="str">
        <f t="shared" ref="AL16:AL23" si="3">M16</f>
        <v>Euro 817000</v>
      </c>
      <c r="AM16" s="70">
        <v>78.55</v>
      </c>
      <c r="AN16" s="70">
        <v>5356253</v>
      </c>
      <c r="AO16" s="249">
        <v>43664</v>
      </c>
      <c r="AP16" s="70"/>
      <c r="AQ16" s="70" t="s">
        <v>654</v>
      </c>
      <c r="AR16" s="70" t="s">
        <v>655</v>
      </c>
      <c r="AS16" s="70"/>
      <c r="AT16" s="70"/>
      <c r="AU16" s="70"/>
      <c r="AV16" s="55">
        <f>+H16</f>
        <v>375000000</v>
      </c>
      <c r="AW16" s="17"/>
      <c r="AY16" s="2" t="s">
        <v>18</v>
      </c>
      <c r="AZ16" s="13" t="s">
        <v>143</v>
      </c>
      <c r="BB16" s="163" t="s">
        <v>321</v>
      </c>
    </row>
    <row r="17" spans="3:54" ht="105.6" x14ac:dyDescent="0.3">
      <c r="C17" s="13" t="s">
        <v>356</v>
      </c>
      <c r="D17" s="34"/>
      <c r="E17" s="35" t="s">
        <v>98</v>
      </c>
      <c r="F17" s="35"/>
      <c r="G17" s="38"/>
      <c r="H17" s="38"/>
      <c r="I17" s="38"/>
      <c r="J17" s="35" t="s">
        <v>98</v>
      </c>
      <c r="K17" s="35"/>
      <c r="L17" s="35"/>
      <c r="M17" s="35" t="s">
        <v>760</v>
      </c>
      <c r="N17" s="35"/>
      <c r="O17" s="35"/>
      <c r="P17" s="35" t="s">
        <v>502</v>
      </c>
      <c r="Q17" s="35"/>
      <c r="R17" s="35"/>
      <c r="S17" s="35"/>
      <c r="T17" s="35"/>
      <c r="U17" s="35"/>
      <c r="V17" s="35"/>
      <c r="W17" s="35"/>
      <c r="X17" s="35"/>
      <c r="Y17" s="35"/>
      <c r="Z17" s="36" t="s">
        <v>686</v>
      </c>
      <c r="AA17" s="36" t="s">
        <v>687</v>
      </c>
      <c r="AB17" s="37" t="s">
        <v>683</v>
      </c>
      <c r="AC17" s="37" t="s">
        <v>683</v>
      </c>
      <c r="AD17" s="3"/>
      <c r="AE17" s="61">
        <v>930013736</v>
      </c>
      <c r="AF17" s="36" t="s">
        <v>692</v>
      </c>
      <c r="AG17" s="70"/>
      <c r="AH17" s="36" t="s">
        <v>693</v>
      </c>
      <c r="AI17" s="250" t="s">
        <v>186</v>
      </c>
      <c r="AJ17" s="70"/>
      <c r="AK17" s="70"/>
      <c r="AL17" s="70" t="str">
        <f t="shared" si="3"/>
        <v>Euro 668500</v>
      </c>
      <c r="AM17" s="70">
        <v>80</v>
      </c>
      <c r="AN17" s="70">
        <f>38354866</f>
        <v>38354866</v>
      </c>
      <c r="AO17" s="249">
        <v>43555</v>
      </c>
      <c r="AP17" s="70"/>
      <c r="AQ17" s="70" t="s">
        <v>654</v>
      </c>
      <c r="AR17" s="70" t="s">
        <v>655</v>
      </c>
      <c r="AS17" s="70"/>
      <c r="AT17" s="70"/>
      <c r="AU17" s="70"/>
      <c r="AV17" s="55"/>
      <c r="AW17" s="17"/>
      <c r="AY17" s="2"/>
    </row>
    <row r="18" spans="3:54" ht="132" x14ac:dyDescent="0.3">
      <c r="C18" s="13" t="s">
        <v>356</v>
      </c>
      <c r="D18" s="34"/>
      <c r="E18" s="35" t="s">
        <v>98</v>
      </c>
      <c r="F18" s="35"/>
      <c r="G18" s="38"/>
      <c r="H18" s="38"/>
      <c r="I18" s="38"/>
      <c r="J18" s="35" t="s">
        <v>98</v>
      </c>
      <c r="K18" s="35"/>
      <c r="L18" s="35"/>
      <c r="M18" s="35" t="s">
        <v>761</v>
      </c>
      <c r="N18" s="35"/>
      <c r="O18" s="35"/>
      <c r="P18" s="35" t="s">
        <v>502</v>
      </c>
      <c r="Q18" s="35"/>
      <c r="R18" s="35"/>
      <c r="S18" s="35"/>
      <c r="T18" s="35"/>
      <c r="U18" s="35"/>
      <c r="V18" s="35"/>
      <c r="W18" s="35"/>
      <c r="X18" s="35"/>
      <c r="Y18" s="35"/>
      <c r="Z18" s="36" t="s">
        <v>688</v>
      </c>
      <c r="AA18" s="36" t="s">
        <v>689</v>
      </c>
      <c r="AB18" s="37" t="s">
        <v>683</v>
      </c>
      <c r="AC18" s="37" t="s">
        <v>683</v>
      </c>
      <c r="AD18" s="3"/>
      <c r="AE18" s="61">
        <v>930013736</v>
      </c>
      <c r="AF18" s="36" t="s">
        <v>694</v>
      </c>
      <c r="AG18" s="70"/>
      <c r="AH18" s="36" t="s">
        <v>695</v>
      </c>
      <c r="AI18" s="250" t="s">
        <v>187</v>
      </c>
      <c r="AJ18" s="70"/>
      <c r="AK18" s="70"/>
      <c r="AL18" s="70" t="str">
        <f t="shared" si="3"/>
        <v>Euro 585000</v>
      </c>
      <c r="AM18" s="70">
        <v>78.55</v>
      </c>
      <c r="AN18" s="70">
        <f>54938869</f>
        <v>54938869</v>
      </c>
      <c r="AO18" s="249">
        <v>43392</v>
      </c>
      <c r="AP18" s="70"/>
      <c r="AQ18" s="70" t="s">
        <v>654</v>
      </c>
      <c r="AR18" s="70" t="s">
        <v>655</v>
      </c>
      <c r="AS18" s="70"/>
      <c r="AT18" s="70"/>
      <c r="AU18" s="70"/>
      <c r="AV18" s="55"/>
      <c r="AW18" s="17"/>
      <c r="AY18" s="2"/>
    </row>
    <row r="19" spans="3:54" ht="132" x14ac:dyDescent="0.3">
      <c r="C19" s="13" t="s">
        <v>356</v>
      </c>
      <c r="D19" s="34"/>
      <c r="E19" s="35" t="s">
        <v>98</v>
      </c>
      <c r="F19" s="35"/>
      <c r="G19" s="38"/>
      <c r="H19" s="38"/>
      <c r="I19" s="38"/>
      <c r="J19" s="35" t="s">
        <v>98</v>
      </c>
      <c r="K19" s="35"/>
      <c r="L19" s="35"/>
      <c r="M19" s="35" t="s">
        <v>762</v>
      </c>
      <c r="N19" s="35"/>
      <c r="O19" s="35"/>
      <c r="P19" s="35" t="s">
        <v>502</v>
      </c>
      <c r="Q19" s="35"/>
      <c r="R19" s="35"/>
      <c r="S19" s="35"/>
      <c r="T19" s="35"/>
      <c r="U19" s="35"/>
      <c r="V19" s="35"/>
      <c r="W19" s="35"/>
      <c r="X19" s="35"/>
      <c r="Y19" s="35"/>
      <c r="Z19" s="36" t="s">
        <v>690</v>
      </c>
      <c r="AA19" s="36" t="s">
        <v>691</v>
      </c>
      <c r="AB19" s="37" t="s">
        <v>683</v>
      </c>
      <c r="AC19" s="37" t="s">
        <v>683</v>
      </c>
      <c r="AD19" s="3"/>
      <c r="AE19" s="61">
        <v>930013736</v>
      </c>
      <c r="AF19" s="36" t="s">
        <v>696</v>
      </c>
      <c r="AG19" s="70"/>
      <c r="AH19" s="36" t="s">
        <v>697</v>
      </c>
      <c r="AI19" s="250" t="s">
        <v>188</v>
      </c>
      <c r="AJ19" s="70"/>
      <c r="AK19" s="70"/>
      <c r="AL19" s="70" t="str">
        <f t="shared" si="3"/>
        <v>Euro 649500</v>
      </c>
      <c r="AM19" s="70">
        <v>80.3</v>
      </c>
      <c r="AN19" s="70">
        <f>27588003.3+32529965.04+43995764+30726910+4596491+5231013+6319495</f>
        <v>150987641.34</v>
      </c>
      <c r="AO19" s="249">
        <v>43555</v>
      </c>
      <c r="AP19" s="70"/>
      <c r="AQ19" s="70" t="s">
        <v>654</v>
      </c>
      <c r="AR19" s="70" t="s">
        <v>655</v>
      </c>
      <c r="AS19" s="70"/>
      <c r="AT19" s="70"/>
      <c r="AU19" s="70"/>
      <c r="AV19" s="55"/>
      <c r="AW19" s="17"/>
      <c r="AY19" s="2"/>
    </row>
    <row r="20" spans="3:54" x14ac:dyDescent="0.3">
      <c r="C20" s="13" t="s">
        <v>356</v>
      </c>
      <c r="D20" s="34"/>
      <c r="E20" s="35" t="s">
        <v>98</v>
      </c>
      <c r="F20" s="35"/>
      <c r="G20" s="38"/>
      <c r="H20" s="38"/>
      <c r="I20" s="38"/>
      <c r="J20" s="35" t="s">
        <v>98</v>
      </c>
      <c r="K20" s="35"/>
      <c r="L20" s="35"/>
      <c r="M20" s="35" t="s">
        <v>770</v>
      </c>
      <c r="N20" s="35"/>
      <c r="O20" s="35"/>
      <c r="P20" s="35" t="s">
        <v>502</v>
      </c>
      <c r="Q20" s="35"/>
      <c r="R20" s="35"/>
      <c r="S20" s="35"/>
      <c r="T20" s="35"/>
      <c r="U20" s="35"/>
      <c r="V20" s="35"/>
      <c r="W20" s="35"/>
      <c r="X20" s="35"/>
      <c r="Y20" s="35"/>
      <c r="Z20" s="36">
        <v>654</v>
      </c>
      <c r="AA20" s="36"/>
      <c r="AB20" s="37"/>
      <c r="AC20" s="37"/>
      <c r="AD20" s="3"/>
      <c r="AE20" s="61"/>
      <c r="AF20" s="36"/>
      <c r="AG20" s="70"/>
      <c r="AH20" s="36"/>
      <c r="AI20" s="250"/>
      <c r="AJ20" s="70"/>
      <c r="AK20" s="70"/>
      <c r="AL20" s="70" t="str">
        <f t="shared" si="3"/>
        <v>Euro 692000</v>
      </c>
      <c r="AM20" s="70">
        <v>80.3</v>
      </c>
      <c r="AN20" s="70">
        <v>35000100</v>
      </c>
      <c r="AO20" s="249"/>
      <c r="AP20" s="70"/>
      <c r="AQ20" s="70"/>
      <c r="AR20" s="70"/>
      <c r="AS20" s="70"/>
      <c r="AT20" s="70"/>
      <c r="AU20" s="70"/>
      <c r="AV20" s="55"/>
      <c r="AW20" s="17"/>
      <c r="AY20" s="2"/>
    </row>
    <row r="21" spans="3:54" x14ac:dyDescent="0.3">
      <c r="C21" s="13" t="s">
        <v>356</v>
      </c>
      <c r="D21" s="34"/>
      <c r="E21" s="35" t="s">
        <v>98</v>
      </c>
      <c r="F21" s="35"/>
      <c r="G21" s="38"/>
      <c r="H21" s="38"/>
      <c r="I21" s="38"/>
      <c r="J21" s="35" t="s">
        <v>98</v>
      </c>
      <c r="K21" s="35"/>
      <c r="L21" s="35"/>
      <c r="M21" s="35" t="s">
        <v>771</v>
      </c>
      <c r="N21" s="35"/>
      <c r="O21" s="35"/>
      <c r="P21" s="35" t="s">
        <v>502</v>
      </c>
      <c r="Q21" s="35"/>
      <c r="R21" s="35"/>
      <c r="S21" s="35"/>
      <c r="T21" s="35"/>
      <c r="U21" s="35"/>
      <c r="V21" s="35"/>
      <c r="W21" s="35"/>
      <c r="X21" s="35"/>
      <c r="Y21" s="35"/>
      <c r="Z21" s="36">
        <v>657</v>
      </c>
      <c r="AA21" s="36"/>
      <c r="AB21" s="37"/>
      <c r="AC21" s="37"/>
      <c r="AD21" s="3"/>
      <c r="AE21" s="61"/>
      <c r="AF21" s="36"/>
      <c r="AG21" s="70"/>
      <c r="AH21" s="36"/>
      <c r="AI21" s="250"/>
      <c r="AJ21" s="70"/>
      <c r="AK21" s="70"/>
      <c r="AL21" s="70" t="str">
        <f t="shared" si="3"/>
        <v>Euro 358000</v>
      </c>
      <c r="AM21" s="70">
        <v>80.3</v>
      </c>
      <c r="AN21" s="70">
        <f>5123906+7407386+2328885+2644252</f>
        <v>17504429</v>
      </c>
      <c r="AO21" s="249"/>
      <c r="AP21" s="70"/>
      <c r="AQ21" s="70"/>
      <c r="AR21" s="70"/>
      <c r="AS21" s="70"/>
      <c r="AT21" s="70"/>
      <c r="AU21" s="70"/>
      <c r="AV21" s="55"/>
      <c r="AW21" s="17"/>
      <c r="AY21" s="2"/>
    </row>
    <row r="22" spans="3:54" x14ac:dyDescent="0.3">
      <c r="C22" s="13" t="s">
        <v>356</v>
      </c>
      <c r="D22" s="34"/>
      <c r="E22" s="35" t="s">
        <v>98</v>
      </c>
      <c r="F22" s="35"/>
      <c r="G22" s="38"/>
      <c r="H22" s="38"/>
      <c r="I22" s="38"/>
      <c r="J22" s="35" t="s">
        <v>98</v>
      </c>
      <c r="K22" s="35"/>
      <c r="L22" s="35"/>
      <c r="M22" s="35" t="s">
        <v>772</v>
      </c>
      <c r="N22" s="35"/>
      <c r="O22" s="35"/>
      <c r="P22" s="35" t="s">
        <v>502</v>
      </c>
      <c r="Q22" s="35"/>
      <c r="R22" s="35"/>
      <c r="S22" s="35"/>
      <c r="T22" s="35"/>
      <c r="U22" s="35"/>
      <c r="V22" s="35"/>
      <c r="W22" s="35"/>
      <c r="X22" s="35"/>
      <c r="Y22" s="35"/>
      <c r="Z22" s="36">
        <v>658</v>
      </c>
      <c r="AA22" s="36"/>
      <c r="AB22" s="37"/>
      <c r="AC22" s="37"/>
      <c r="AD22" s="3"/>
      <c r="AE22" s="61"/>
      <c r="AF22" s="36"/>
      <c r="AG22" s="70"/>
      <c r="AH22" s="36"/>
      <c r="AI22" s="250"/>
      <c r="AJ22" s="70"/>
      <c r="AK22" s="70"/>
      <c r="AL22" s="70" t="str">
        <f t="shared" si="3"/>
        <v>Euro 580000</v>
      </c>
      <c r="AM22" s="70">
        <v>80.3</v>
      </c>
      <c r="AN22" s="70">
        <f>30713230+3236546+2729940</f>
        <v>36679716</v>
      </c>
      <c r="AO22" s="249"/>
      <c r="AP22" s="70"/>
      <c r="AQ22" s="70"/>
      <c r="AR22" s="70"/>
      <c r="AS22" s="70"/>
      <c r="AT22" s="70"/>
      <c r="AU22" s="70"/>
      <c r="AV22" s="55"/>
      <c r="AW22" s="17"/>
      <c r="AY22" s="2"/>
    </row>
    <row r="23" spans="3:54" ht="119.4" thickBot="1" x14ac:dyDescent="0.35">
      <c r="C23" s="36" t="s">
        <v>357</v>
      </c>
      <c r="D23" s="34">
        <f>+D16+1</f>
        <v>5</v>
      </c>
      <c r="E23" s="35" t="s">
        <v>102</v>
      </c>
      <c r="F23" s="35"/>
      <c r="G23" s="40">
        <v>1</v>
      </c>
      <c r="H23" s="40">
        <f>+'WFL P&amp;M-RR2'!I28</f>
        <v>6500000</v>
      </c>
      <c r="I23" s="40">
        <f>+'WFL P&amp;M-RR2'!W28</f>
        <v>6500000</v>
      </c>
      <c r="J23" s="35" t="s">
        <v>102</v>
      </c>
      <c r="K23" s="35"/>
      <c r="L23" s="40">
        <v>1</v>
      </c>
      <c r="M23" s="35" t="s">
        <v>773</v>
      </c>
      <c r="N23" s="35"/>
      <c r="O23" s="35"/>
      <c r="P23" s="35" t="s">
        <v>502</v>
      </c>
      <c r="Q23" s="35"/>
      <c r="R23" s="35"/>
      <c r="S23" s="35"/>
      <c r="T23" s="248">
        <v>2019</v>
      </c>
      <c r="U23" s="35" t="s">
        <v>698</v>
      </c>
      <c r="V23" s="248">
        <v>505</v>
      </c>
      <c r="W23" s="35"/>
      <c r="X23" s="35"/>
      <c r="Y23" s="35"/>
      <c r="Z23" s="36" t="s">
        <v>749</v>
      </c>
      <c r="AA23" s="36"/>
      <c r="AB23" s="37"/>
      <c r="AC23" s="37"/>
      <c r="AD23" s="41"/>
      <c r="AE23" s="63"/>
      <c r="AF23" s="69"/>
      <c r="AG23" s="70"/>
      <c r="AH23" s="70"/>
      <c r="AI23" s="70"/>
      <c r="AJ23" s="70"/>
      <c r="AK23" s="70"/>
      <c r="AL23" s="70" t="str">
        <f t="shared" si="3"/>
        <v>INR 5650000</v>
      </c>
      <c r="AM23" s="70"/>
      <c r="AN23" s="70">
        <f xml:space="preserve"> 565000+5537000+115640+565000</f>
        <v>6782640</v>
      </c>
      <c r="AO23" s="79" t="s">
        <v>748</v>
      </c>
      <c r="AP23" s="70"/>
      <c r="AQ23" s="70" t="s">
        <v>654</v>
      </c>
      <c r="AR23" s="70" t="s">
        <v>655</v>
      </c>
      <c r="AS23" s="70"/>
      <c r="AT23" s="70"/>
      <c r="AU23" s="70"/>
      <c r="AV23" s="55">
        <f>+H23</f>
        <v>6500000</v>
      </c>
      <c r="AW23" s="17"/>
      <c r="AY23" s="2" t="s">
        <v>17</v>
      </c>
      <c r="AZ23" s="13" t="s">
        <v>143</v>
      </c>
      <c r="BB23" s="163" t="s">
        <v>322</v>
      </c>
    </row>
    <row r="24" spans="3:54" ht="92.4" x14ac:dyDescent="0.3">
      <c r="C24" s="13" t="s">
        <v>350</v>
      </c>
      <c r="D24" s="34">
        <f t="shared" si="2"/>
        <v>6</v>
      </c>
      <c r="E24" s="35" t="s">
        <v>114</v>
      </c>
      <c r="F24" s="35"/>
      <c r="G24" s="36" t="s">
        <v>100</v>
      </c>
      <c r="H24" s="36">
        <f>+'WFL P&amp;M-RR2'!I29</f>
        <v>785850000</v>
      </c>
      <c r="I24" s="36">
        <f>+'WFL P&amp;M-RR2'!W29</f>
        <v>485850000</v>
      </c>
      <c r="J24" s="35"/>
      <c r="K24" s="35"/>
      <c r="L24" s="35">
        <v>1</v>
      </c>
      <c r="M24" s="35" t="s">
        <v>817</v>
      </c>
      <c r="N24" s="35"/>
      <c r="O24" s="35"/>
      <c r="P24" s="35" t="s">
        <v>502</v>
      </c>
      <c r="Q24" s="35"/>
      <c r="R24" s="35"/>
      <c r="S24" s="35"/>
      <c r="T24" s="35"/>
      <c r="U24" s="35" t="s">
        <v>699</v>
      </c>
      <c r="V24" s="35" t="s">
        <v>700</v>
      </c>
      <c r="W24" s="35"/>
      <c r="X24" s="35"/>
      <c r="Y24" s="35"/>
      <c r="Z24" s="36" t="s">
        <v>701</v>
      </c>
      <c r="AA24" s="36" t="s">
        <v>702</v>
      </c>
      <c r="AB24" s="37" t="s">
        <v>184</v>
      </c>
      <c r="AC24" s="37" t="s">
        <v>184</v>
      </c>
      <c r="AD24" s="34"/>
      <c r="AE24" s="61"/>
      <c r="AF24" s="34" t="s">
        <v>703</v>
      </c>
      <c r="AG24" s="70"/>
      <c r="AH24" s="34" t="s">
        <v>704</v>
      </c>
      <c r="AI24" s="250" t="s">
        <v>705</v>
      </c>
      <c r="AJ24" s="70"/>
      <c r="AK24" s="70"/>
      <c r="AL24" s="70" t="s">
        <v>706</v>
      </c>
      <c r="AM24" s="70">
        <v>72.55</v>
      </c>
      <c r="AN24" s="70"/>
      <c r="AO24" s="249">
        <v>43340</v>
      </c>
      <c r="AP24" s="70"/>
      <c r="AQ24" s="70" t="s">
        <v>654</v>
      </c>
      <c r="AR24" s="70" t="s">
        <v>655</v>
      </c>
      <c r="AS24" s="70"/>
      <c r="AT24" s="70"/>
      <c r="AU24" s="70"/>
      <c r="AV24" s="55">
        <f>+H24</f>
        <v>785850000</v>
      </c>
      <c r="AW24" s="17"/>
      <c r="AY24" s="6" t="s">
        <v>19</v>
      </c>
      <c r="AZ24" s="13" t="s">
        <v>143</v>
      </c>
      <c r="BB24" s="163" t="s">
        <v>323</v>
      </c>
    </row>
    <row r="25" spans="3:54" ht="132" x14ac:dyDescent="0.3">
      <c r="C25" s="233" t="s">
        <v>774</v>
      </c>
      <c r="D25" s="34">
        <f t="shared" si="2"/>
        <v>7</v>
      </c>
      <c r="E25" s="35" t="s">
        <v>113</v>
      </c>
      <c r="F25" s="35"/>
      <c r="G25" s="36">
        <v>1</v>
      </c>
      <c r="H25" s="38">
        <f>+'WFL P&amp;M-RR2'!I30</f>
        <v>91000000</v>
      </c>
      <c r="I25" s="38">
        <f>+'WFL P&amp;M-RR2'!W30</f>
        <v>91000000</v>
      </c>
      <c r="J25" s="35" t="s">
        <v>707</v>
      </c>
      <c r="K25" s="35"/>
      <c r="L25" s="35">
        <v>1</v>
      </c>
      <c r="M25" s="35" t="s">
        <v>775</v>
      </c>
      <c r="N25" s="35"/>
      <c r="O25" s="35"/>
      <c r="P25" s="35" t="s">
        <v>502</v>
      </c>
      <c r="Q25" s="35"/>
      <c r="R25" s="35"/>
      <c r="S25" s="35"/>
      <c r="T25" s="35"/>
      <c r="U25" s="35"/>
      <c r="V25" s="35"/>
      <c r="W25" s="35"/>
      <c r="X25" s="35"/>
      <c r="Y25" s="35"/>
      <c r="Z25" s="36" t="s">
        <v>708</v>
      </c>
      <c r="AA25" s="36" t="s">
        <v>709</v>
      </c>
      <c r="AB25" s="37" t="s">
        <v>665</v>
      </c>
      <c r="AC25" s="37" t="s">
        <v>665</v>
      </c>
      <c r="AD25" s="34"/>
      <c r="AE25" s="61"/>
      <c r="AF25" s="34" t="s">
        <v>710</v>
      </c>
      <c r="AG25" s="70"/>
      <c r="AH25" s="34" t="s">
        <v>711</v>
      </c>
      <c r="AI25" s="250" t="s">
        <v>712</v>
      </c>
      <c r="AJ25" s="70"/>
      <c r="AK25" s="70"/>
      <c r="AL25" s="70" t="s">
        <v>750</v>
      </c>
      <c r="AM25" s="70">
        <v>80</v>
      </c>
      <c r="AN25" s="70">
        <f>12977167+16848694+41812869</f>
        <v>71638730</v>
      </c>
      <c r="AO25" s="249">
        <v>43278</v>
      </c>
      <c r="AP25" s="70"/>
      <c r="AQ25" s="70" t="s">
        <v>654</v>
      </c>
      <c r="AR25" s="70" t="s">
        <v>655</v>
      </c>
      <c r="AS25" s="70"/>
      <c r="AT25" s="70"/>
      <c r="AU25" s="70"/>
      <c r="AV25" s="55">
        <f>+H25</f>
        <v>91000000</v>
      </c>
      <c r="AW25" s="17"/>
      <c r="AY25" s="4" t="s">
        <v>70</v>
      </c>
      <c r="AZ25" s="13" t="s">
        <v>143</v>
      </c>
      <c r="BB25" s="163" t="s">
        <v>324</v>
      </c>
    </row>
    <row r="26" spans="3:54" ht="106.2" thickBot="1" x14ac:dyDescent="0.35">
      <c r="C26" s="233" t="s">
        <v>776</v>
      </c>
      <c r="D26" s="34">
        <f t="shared" si="2"/>
        <v>8</v>
      </c>
      <c r="E26" s="35" t="s">
        <v>107</v>
      </c>
      <c r="F26" s="35"/>
      <c r="G26" s="40">
        <v>1</v>
      </c>
      <c r="H26" s="40">
        <f>+'WFL P&amp;M-RR2'!I31</f>
        <v>104000000</v>
      </c>
      <c r="I26" s="40">
        <f>+'WFL P&amp;M-RR2'!W31</f>
        <v>104000000</v>
      </c>
      <c r="J26" s="35" t="s">
        <v>713</v>
      </c>
      <c r="K26" s="35"/>
      <c r="L26" s="35">
        <v>1</v>
      </c>
      <c r="M26" s="35" t="s">
        <v>777</v>
      </c>
      <c r="N26" s="35"/>
      <c r="O26" s="35"/>
      <c r="P26" s="35" t="s">
        <v>502</v>
      </c>
      <c r="Q26" s="35"/>
      <c r="R26" s="35"/>
      <c r="S26" s="35"/>
      <c r="T26" s="248">
        <v>2018</v>
      </c>
      <c r="U26" s="35" t="s">
        <v>714</v>
      </c>
      <c r="V26" s="35"/>
      <c r="W26" s="35"/>
      <c r="X26" s="35"/>
      <c r="Y26" s="35"/>
      <c r="Z26" s="36" t="s">
        <v>715</v>
      </c>
      <c r="AA26" s="36" t="s">
        <v>716</v>
      </c>
      <c r="AB26" s="37" t="s">
        <v>665</v>
      </c>
      <c r="AC26" s="37" t="s">
        <v>665</v>
      </c>
      <c r="AD26" s="41"/>
      <c r="AE26" s="63"/>
      <c r="AF26" s="34" t="s">
        <v>717</v>
      </c>
      <c r="AG26" s="70"/>
      <c r="AH26" s="34" t="s">
        <v>718</v>
      </c>
      <c r="AI26" s="250" t="s">
        <v>719</v>
      </c>
      <c r="AJ26" s="70"/>
      <c r="AK26" s="70"/>
      <c r="AL26" s="70" t="s">
        <v>720</v>
      </c>
      <c r="AM26" s="70">
        <v>80.75</v>
      </c>
      <c r="AN26" s="70">
        <f>17576055+11604180+5806500+53985015+17163720+5743106</f>
        <v>111878576</v>
      </c>
      <c r="AO26" s="249">
        <v>43424</v>
      </c>
      <c r="AP26" s="70"/>
      <c r="AQ26" s="70" t="s">
        <v>654</v>
      </c>
      <c r="AR26" s="70" t="s">
        <v>655</v>
      </c>
      <c r="AS26" s="70"/>
      <c r="AT26" s="70"/>
      <c r="AU26" s="70"/>
      <c r="AV26" s="198">
        <f>+H26</f>
        <v>104000000</v>
      </c>
      <c r="AW26" s="17"/>
      <c r="AY26" s="71" t="s">
        <v>71</v>
      </c>
      <c r="AZ26" s="13" t="s">
        <v>143</v>
      </c>
      <c r="BB26" s="163" t="s">
        <v>325</v>
      </c>
    </row>
    <row r="27" spans="3:54" ht="66" x14ac:dyDescent="0.3">
      <c r="D27" s="34">
        <f t="shared" si="2"/>
        <v>9</v>
      </c>
      <c r="E27" s="35" t="s">
        <v>75</v>
      </c>
      <c r="F27" s="35"/>
      <c r="G27" s="36" t="s">
        <v>109</v>
      </c>
      <c r="H27" s="36">
        <f>+'WFL P&amp;M-RR2'!I32</f>
        <v>30519000</v>
      </c>
      <c r="I27" s="36">
        <f>+'WFL P&amp;M-RR2'!W32</f>
        <v>450000</v>
      </c>
      <c r="J27" s="35" t="s">
        <v>721</v>
      </c>
      <c r="K27" s="35"/>
      <c r="L27" s="35">
        <v>4</v>
      </c>
      <c r="M27" s="35"/>
      <c r="N27" s="35"/>
      <c r="O27" s="35"/>
      <c r="P27" s="35" t="s">
        <v>502</v>
      </c>
      <c r="Q27" s="35"/>
      <c r="R27" s="35"/>
      <c r="S27" s="35"/>
      <c r="T27" s="35"/>
      <c r="U27" s="35"/>
      <c r="V27" s="35"/>
      <c r="W27" s="35"/>
      <c r="X27" s="35"/>
      <c r="Y27" s="35"/>
      <c r="Z27" s="36"/>
      <c r="AA27" s="36"/>
      <c r="AB27" s="37"/>
      <c r="AC27" s="37"/>
      <c r="AD27" s="34"/>
      <c r="AE27" s="61"/>
      <c r="AF27" s="34"/>
      <c r="AG27" s="70"/>
      <c r="AH27" s="250"/>
      <c r="AI27" s="250"/>
      <c r="AJ27" s="70"/>
      <c r="AK27" s="70"/>
      <c r="AL27" s="70"/>
      <c r="AM27" s="70"/>
      <c r="AN27" s="70"/>
      <c r="AO27" s="79"/>
      <c r="AP27" s="70"/>
      <c r="AQ27" s="70"/>
      <c r="AR27" s="70"/>
      <c r="AS27" s="70"/>
      <c r="AT27" s="70"/>
      <c r="AU27" s="70"/>
      <c r="AV27" s="55"/>
      <c r="AW27" s="17">
        <f t="shared" ref="AW27:AW36" si="4">+H27</f>
        <v>30519000</v>
      </c>
      <c r="AY27" s="13" t="s">
        <v>146</v>
      </c>
      <c r="AZ27" s="13" t="s">
        <v>145</v>
      </c>
    </row>
    <row r="28" spans="3:54" ht="105.6" x14ac:dyDescent="0.3">
      <c r="C28" s="14" t="s">
        <v>778</v>
      </c>
      <c r="D28" s="34">
        <f t="shared" si="2"/>
        <v>10</v>
      </c>
      <c r="E28" s="35" t="s">
        <v>82</v>
      </c>
      <c r="F28" s="35"/>
      <c r="G28" s="36">
        <v>8</v>
      </c>
      <c r="H28" s="36">
        <f>+'WFL P&amp;M-RR2'!I33</f>
        <v>135000000</v>
      </c>
      <c r="I28" s="36">
        <f>+'WFL P&amp;M-RR2'!W33</f>
        <v>35000000</v>
      </c>
      <c r="J28" s="35" t="s">
        <v>722</v>
      </c>
      <c r="K28" s="35"/>
      <c r="L28" s="35">
        <v>8</v>
      </c>
      <c r="M28" s="35" t="s">
        <v>779</v>
      </c>
      <c r="N28" s="35"/>
      <c r="O28" s="35"/>
      <c r="P28" s="35" t="s">
        <v>502</v>
      </c>
      <c r="Q28" s="35"/>
      <c r="R28" s="35"/>
      <c r="S28" s="35"/>
      <c r="T28" s="248">
        <v>2018</v>
      </c>
      <c r="U28" s="35" t="s">
        <v>723</v>
      </c>
      <c r="V28" s="35" t="s">
        <v>724</v>
      </c>
      <c r="W28" s="35"/>
      <c r="X28" s="35"/>
      <c r="Y28" s="35"/>
      <c r="Z28" s="36" t="s">
        <v>725</v>
      </c>
      <c r="AA28" s="36" t="s">
        <v>726</v>
      </c>
      <c r="AB28" s="37" t="s">
        <v>665</v>
      </c>
      <c r="AC28" s="37" t="s">
        <v>665</v>
      </c>
      <c r="AD28" s="34"/>
      <c r="AE28" s="61"/>
      <c r="AF28" s="34" t="s">
        <v>727</v>
      </c>
      <c r="AG28" s="70"/>
      <c r="AH28" s="34" t="s">
        <v>728</v>
      </c>
      <c r="AI28" s="250" t="s">
        <v>729</v>
      </c>
      <c r="AJ28" s="70"/>
      <c r="AK28" s="70"/>
      <c r="AL28" s="70" t="s">
        <v>782</v>
      </c>
      <c r="AM28" s="70">
        <v>81.8</v>
      </c>
      <c r="AN28" s="70">
        <v>52434564.490000002</v>
      </c>
      <c r="AO28" s="249">
        <v>43431</v>
      </c>
      <c r="AP28" s="70"/>
      <c r="AQ28" s="70" t="s">
        <v>654</v>
      </c>
      <c r="AR28" s="70" t="s">
        <v>655</v>
      </c>
      <c r="AS28" s="70"/>
      <c r="AT28" s="70"/>
      <c r="AU28" s="70"/>
      <c r="AV28" s="55"/>
      <c r="AW28" s="17">
        <f t="shared" si="4"/>
        <v>135000000</v>
      </c>
      <c r="AY28" s="2" t="s">
        <v>14</v>
      </c>
      <c r="AZ28" s="13" t="s">
        <v>133</v>
      </c>
      <c r="BB28" s="163" t="s">
        <v>326</v>
      </c>
    </row>
    <row r="29" spans="3:54" ht="66" x14ac:dyDescent="0.3">
      <c r="C29" s="14" t="s">
        <v>778</v>
      </c>
      <c r="D29" s="34" t="s">
        <v>780</v>
      </c>
      <c r="E29" s="35" t="s">
        <v>82</v>
      </c>
      <c r="F29" s="35"/>
      <c r="G29" s="36"/>
      <c r="H29" s="36"/>
      <c r="I29" s="36"/>
      <c r="J29" s="35" t="s">
        <v>722</v>
      </c>
      <c r="K29" s="35"/>
      <c r="L29" s="35"/>
      <c r="M29" s="35"/>
      <c r="N29" s="35"/>
      <c r="O29" s="35"/>
      <c r="P29" s="35"/>
      <c r="Q29" s="35"/>
      <c r="R29" s="35"/>
      <c r="S29" s="35"/>
      <c r="T29" s="248"/>
      <c r="U29" s="35"/>
      <c r="V29" s="35"/>
      <c r="W29" s="35"/>
      <c r="X29" s="35"/>
      <c r="Y29" s="35"/>
      <c r="Z29" s="36" t="s">
        <v>781</v>
      </c>
      <c r="AA29" s="36"/>
      <c r="AB29" s="37"/>
      <c r="AC29" s="37"/>
      <c r="AD29" s="34"/>
      <c r="AE29" s="61"/>
      <c r="AF29" s="34"/>
      <c r="AG29" s="70"/>
      <c r="AH29" s="36"/>
      <c r="AI29" s="250"/>
      <c r="AJ29" s="70"/>
      <c r="AK29" s="70"/>
      <c r="AL29" s="70" t="s">
        <v>783</v>
      </c>
      <c r="AM29" s="70"/>
      <c r="AN29" s="70">
        <v>93921277.280000001</v>
      </c>
      <c r="AO29" s="249" t="s">
        <v>784</v>
      </c>
      <c r="AP29" s="70"/>
      <c r="AQ29" s="70"/>
      <c r="AR29" s="70"/>
      <c r="AS29" s="70"/>
      <c r="AT29" s="70"/>
      <c r="AU29" s="70"/>
      <c r="AV29" s="55"/>
      <c r="AW29" s="17"/>
      <c r="AY29" s="2"/>
    </row>
    <row r="30" spans="3:54" ht="52.8" x14ac:dyDescent="0.3">
      <c r="C30" s="13" t="s">
        <v>785</v>
      </c>
      <c r="D30" s="34">
        <f>+D28+1</f>
        <v>11</v>
      </c>
      <c r="E30" s="35" t="s">
        <v>83</v>
      </c>
      <c r="F30" s="35"/>
      <c r="G30" s="40">
        <v>1</v>
      </c>
      <c r="H30" s="40">
        <f>+'WFL P&amp;M-RR2'!I34</f>
        <v>11250000</v>
      </c>
      <c r="I30" s="40">
        <f>+'WFL P&amp;M-RR2'!W34</f>
        <v>11250000</v>
      </c>
      <c r="J30" s="35" t="s">
        <v>83</v>
      </c>
      <c r="K30" s="35"/>
      <c r="L30" s="35">
        <v>1</v>
      </c>
      <c r="M30" s="35" t="s">
        <v>786</v>
      </c>
      <c r="N30" s="35"/>
      <c r="O30" s="35"/>
      <c r="P30" s="35" t="s">
        <v>502</v>
      </c>
      <c r="Q30" s="35"/>
      <c r="R30" s="35"/>
      <c r="S30" s="35"/>
      <c r="T30" s="248">
        <v>2019</v>
      </c>
      <c r="U30" s="35" t="s">
        <v>730</v>
      </c>
      <c r="V30" s="248">
        <v>2820</v>
      </c>
      <c r="W30" s="35"/>
      <c r="X30" s="35"/>
      <c r="Y30" s="35"/>
      <c r="Z30" s="36"/>
      <c r="AA30" s="36"/>
      <c r="AB30" s="37"/>
      <c r="AC30" s="37"/>
      <c r="AD30" s="41"/>
      <c r="AE30" s="63"/>
      <c r="AF30" s="69"/>
      <c r="AG30" s="70"/>
      <c r="AH30" s="70"/>
      <c r="AI30" s="70"/>
      <c r="AJ30" s="70"/>
      <c r="AK30" s="70"/>
      <c r="AL30" s="70"/>
      <c r="AM30" s="70"/>
      <c r="AN30" s="70">
        <f>360000+3168000+559520</f>
        <v>4087520</v>
      </c>
      <c r="AO30" s="79" t="s">
        <v>751</v>
      </c>
      <c r="AP30" s="70"/>
      <c r="AQ30" s="70" t="s">
        <v>654</v>
      </c>
      <c r="AR30" s="70" t="s">
        <v>655</v>
      </c>
      <c r="AS30" s="70"/>
      <c r="AT30" s="70"/>
      <c r="AU30" s="70"/>
      <c r="AV30" s="55"/>
      <c r="AW30" s="17">
        <f t="shared" si="4"/>
        <v>11250000</v>
      </c>
      <c r="AY30" s="2" t="s">
        <v>15</v>
      </c>
      <c r="AZ30" s="13" t="s">
        <v>133</v>
      </c>
      <c r="BB30" s="163" t="s">
        <v>327</v>
      </c>
    </row>
    <row r="31" spans="3:54" ht="105.6" x14ac:dyDescent="0.3">
      <c r="C31" s="13" t="s">
        <v>342</v>
      </c>
      <c r="D31" s="34">
        <f t="shared" si="2"/>
        <v>12</v>
      </c>
      <c r="E31" s="35" t="s">
        <v>84</v>
      </c>
      <c r="F31" s="35"/>
      <c r="G31" s="40">
        <v>7</v>
      </c>
      <c r="H31" s="40">
        <f>+'WFL P&amp;M-RR2'!I35</f>
        <v>58125000</v>
      </c>
      <c r="I31" s="40">
        <f>+'WFL P&amp;M-RR2'!W35</f>
        <v>125000</v>
      </c>
      <c r="J31" s="35" t="s">
        <v>84</v>
      </c>
      <c r="K31" s="35"/>
      <c r="L31" s="35">
        <v>7</v>
      </c>
      <c r="M31" s="35" t="s">
        <v>787</v>
      </c>
      <c r="N31" s="35"/>
      <c r="O31" s="35"/>
      <c r="P31" s="35" t="s">
        <v>502</v>
      </c>
      <c r="Q31" s="35"/>
      <c r="R31" s="35"/>
      <c r="S31" s="35"/>
      <c r="T31" s="251" t="s">
        <v>731</v>
      </c>
      <c r="U31" s="251">
        <v>26139</v>
      </c>
      <c r="V31" s="35" t="s">
        <v>732</v>
      </c>
      <c r="W31" s="35"/>
      <c r="X31" s="35"/>
      <c r="Y31" s="35"/>
      <c r="Z31" s="36" t="s">
        <v>733</v>
      </c>
      <c r="AA31" s="36" t="s">
        <v>734</v>
      </c>
      <c r="AB31" s="37" t="s">
        <v>735</v>
      </c>
      <c r="AC31" s="37" t="s">
        <v>735</v>
      </c>
      <c r="AD31" s="34"/>
      <c r="AE31" s="61"/>
      <c r="AF31" s="34" t="s">
        <v>736</v>
      </c>
      <c r="AG31" s="70"/>
      <c r="AH31" s="34" t="s">
        <v>737</v>
      </c>
      <c r="AI31" s="250" t="s">
        <v>738</v>
      </c>
      <c r="AJ31" s="70"/>
      <c r="AK31" s="70"/>
      <c r="AL31" s="70"/>
      <c r="AM31" s="70"/>
      <c r="AN31" s="70"/>
      <c r="AO31" s="249"/>
      <c r="AP31" s="70"/>
      <c r="AQ31" s="70" t="s">
        <v>654</v>
      </c>
      <c r="AR31" s="70" t="s">
        <v>655</v>
      </c>
      <c r="AS31" s="70"/>
      <c r="AT31" s="70"/>
      <c r="AU31" s="70"/>
      <c r="AV31" s="55"/>
      <c r="AW31" s="17">
        <f t="shared" si="4"/>
        <v>58125000</v>
      </c>
      <c r="AY31" s="2" t="s">
        <v>135</v>
      </c>
      <c r="AZ31" s="13" t="s">
        <v>133</v>
      </c>
      <c r="BB31" s="163" t="s">
        <v>328</v>
      </c>
    </row>
    <row r="32" spans="3:54" ht="39.6" x14ac:dyDescent="0.3">
      <c r="C32" s="14" t="s">
        <v>789</v>
      </c>
      <c r="D32" s="34">
        <f t="shared" si="2"/>
        <v>13</v>
      </c>
      <c r="E32" s="35" t="s">
        <v>85</v>
      </c>
      <c r="F32" s="35"/>
      <c r="G32" s="40">
        <v>1</v>
      </c>
      <c r="H32" s="40">
        <f>+'WFL P&amp;M-RR2'!I36</f>
        <v>125000000</v>
      </c>
      <c r="I32" s="40">
        <f>+'WFL P&amp;M-RR2'!W36</f>
        <v>115000000</v>
      </c>
      <c r="J32" s="35"/>
      <c r="K32" s="35"/>
      <c r="L32" s="35"/>
      <c r="M32" s="35" t="s">
        <v>790</v>
      </c>
      <c r="N32" s="35"/>
      <c r="O32" s="35"/>
      <c r="P32" s="35" t="s">
        <v>502</v>
      </c>
      <c r="Q32" s="35"/>
      <c r="R32" s="35"/>
      <c r="S32" s="35"/>
      <c r="T32" s="35"/>
      <c r="U32" s="35"/>
      <c r="V32" s="35"/>
      <c r="W32" s="35"/>
      <c r="X32" s="35"/>
      <c r="Y32" s="35"/>
      <c r="Z32" s="36"/>
      <c r="AA32" s="36"/>
      <c r="AB32" s="37"/>
      <c r="AC32" s="37"/>
      <c r="AD32" s="41"/>
      <c r="AE32" s="63"/>
      <c r="AF32" s="69"/>
      <c r="AG32" s="70"/>
      <c r="AH32" s="70"/>
      <c r="AI32" s="70"/>
      <c r="AJ32" s="70"/>
      <c r="AK32" s="70"/>
      <c r="AL32" s="70"/>
      <c r="AM32" s="70"/>
      <c r="AN32" s="70">
        <v>39127930</v>
      </c>
      <c r="AO32" s="79" t="s">
        <v>791</v>
      </c>
      <c r="AP32" s="70"/>
      <c r="AQ32" s="70" t="s">
        <v>654</v>
      </c>
      <c r="AR32" s="70" t="s">
        <v>655</v>
      </c>
      <c r="AS32" s="70"/>
      <c r="AT32" s="70"/>
      <c r="AU32" s="70"/>
      <c r="AV32" s="55"/>
      <c r="AW32" s="17">
        <f t="shared" si="4"/>
        <v>125000000</v>
      </c>
      <c r="AY32" s="2" t="s">
        <v>16</v>
      </c>
      <c r="AZ32" s="13" t="s">
        <v>133</v>
      </c>
      <c r="BB32" s="163" t="s">
        <v>329</v>
      </c>
    </row>
    <row r="33" spans="3:54" ht="39.6" x14ac:dyDescent="0.3">
      <c r="C33" s="14" t="s">
        <v>792</v>
      </c>
      <c r="D33" s="34">
        <f t="shared" si="2"/>
        <v>14</v>
      </c>
      <c r="E33" s="35" t="s">
        <v>77</v>
      </c>
      <c r="F33" s="35"/>
      <c r="G33" s="36">
        <f>2+2+1</f>
        <v>5</v>
      </c>
      <c r="H33" s="36">
        <f>+'WFL P&amp;M-RR2'!I37</f>
        <v>60750000</v>
      </c>
      <c r="I33" s="36">
        <f>+'WFL P&amp;M-RR2'!W37</f>
        <v>60750000</v>
      </c>
      <c r="J33" s="35" t="s">
        <v>77</v>
      </c>
      <c r="K33" s="35"/>
      <c r="L33" s="35">
        <v>5</v>
      </c>
      <c r="M33" s="35" t="s">
        <v>793</v>
      </c>
      <c r="N33" s="35"/>
      <c r="O33" s="35"/>
      <c r="P33" s="35" t="s">
        <v>502</v>
      </c>
      <c r="Q33" s="35"/>
      <c r="R33" s="35"/>
      <c r="S33" s="35"/>
      <c r="T33" s="35"/>
      <c r="U33" s="35"/>
      <c r="V33" s="35"/>
      <c r="W33" s="35"/>
      <c r="X33" s="35"/>
      <c r="Y33" s="35"/>
      <c r="Z33" s="36"/>
      <c r="AA33" s="36"/>
      <c r="AB33" s="37"/>
      <c r="AC33" s="37"/>
      <c r="AD33" s="34"/>
      <c r="AE33" s="61"/>
      <c r="AF33" s="34"/>
      <c r="AG33" s="70"/>
      <c r="AH33" s="34"/>
      <c r="AI33" s="250"/>
      <c r="AJ33" s="70"/>
      <c r="AK33" s="70"/>
      <c r="AL33" s="70"/>
      <c r="AM33" s="70"/>
      <c r="AN33" s="70">
        <v>8001990</v>
      </c>
      <c r="AO33" s="249" t="s">
        <v>794</v>
      </c>
      <c r="AP33" s="70"/>
      <c r="AQ33" s="70" t="s">
        <v>654</v>
      </c>
      <c r="AR33" s="70" t="s">
        <v>655</v>
      </c>
      <c r="AS33" s="70"/>
      <c r="AT33" s="70"/>
      <c r="AU33" s="70"/>
      <c r="AV33" s="55"/>
      <c r="AW33" s="17">
        <f t="shared" si="4"/>
        <v>60750000</v>
      </c>
      <c r="AY33" s="2" t="s">
        <v>136</v>
      </c>
      <c r="AZ33" s="13" t="s">
        <v>137</v>
      </c>
      <c r="BB33" s="163" t="s">
        <v>330</v>
      </c>
    </row>
    <row r="34" spans="3:54" ht="39.6" x14ac:dyDescent="0.3">
      <c r="C34" s="14" t="s">
        <v>796</v>
      </c>
      <c r="D34" s="34" t="s">
        <v>795</v>
      </c>
      <c r="E34" s="35" t="s">
        <v>77</v>
      </c>
      <c r="F34" s="35"/>
      <c r="G34" s="36"/>
      <c r="H34" s="36"/>
      <c r="I34" s="36"/>
      <c r="J34" s="35" t="s">
        <v>77</v>
      </c>
      <c r="K34" s="35"/>
      <c r="L34" s="35"/>
      <c r="M34" s="35" t="s">
        <v>797</v>
      </c>
      <c r="N34" s="35"/>
      <c r="O34" s="35"/>
      <c r="P34" s="35" t="s">
        <v>502</v>
      </c>
      <c r="Q34" s="35"/>
      <c r="R34" s="35"/>
      <c r="S34" s="35"/>
      <c r="T34" s="35"/>
      <c r="U34" s="35"/>
      <c r="V34" s="35"/>
      <c r="W34" s="35"/>
      <c r="X34" s="35"/>
      <c r="Y34" s="35"/>
      <c r="Z34" s="36"/>
      <c r="AA34" s="36"/>
      <c r="AB34" s="37"/>
      <c r="AC34" s="37"/>
      <c r="AD34" s="34"/>
      <c r="AE34" s="61"/>
      <c r="AF34" s="34"/>
      <c r="AG34" s="70"/>
      <c r="AH34" s="36"/>
      <c r="AI34" s="250"/>
      <c r="AJ34" s="70"/>
      <c r="AK34" s="70"/>
      <c r="AL34" s="70"/>
      <c r="AM34" s="70"/>
      <c r="AN34" s="70">
        <f>6337200+27883680+3168600</f>
        <v>37389480</v>
      </c>
      <c r="AO34" s="249" t="s">
        <v>798</v>
      </c>
      <c r="AP34" s="70"/>
      <c r="AQ34" s="70"/>
      <c r="AR34" s="70"/>
      <c r="AS34" s="70"/>
      <c r="AT34" s="70"/>
      <c r="AU34" s="70"/>
      <c r="AV34" s="55"/>
      <c r="AW34" s="17"/>
      <c r="AY34" s="2"/>
    </row>
    <row r="35" spans="3:54" ht="66" x14ac:dyDescent="0.3">
      <c r="C35" s="14" t="s">
        <v>799</v>
      </c>
      <c r="D35" s="34">
        <f>+D33+1</f>
        <v>15</v>
      </c>
      <c r="E35" s="35"/>
      <c r="F35" s="35" t="s">
        <v>86</v>
      </c>
      <c r="G35" s="40">
        <v>2</v>
      </c>
      <c r="H35" s="40">
        <f>+'WFL P&amp;M-RR2'!I38</f>
        <v>36000000</v>
      </c>
      <c r="I35" s="40">
        <f>+'WFL P&amp;M-RR2'!W38</f>
        <v>36000000</v>
      </c>
      <c r="J35" s="35" t="s">
        <v>86</v>
      </c>
      <c r="K35" s="35"/>
      <c r="L35" s="35">
        <v>2</v>
      </c>
      <c r="M35" s="35" t="s">
        <v>800</v>
      </c>
      <c r="N35" s="35"/>
      <c r="O35" s="35"/>
      <c r="P35" s="35" t="s">
        <v>502</v>
      </c>
      <c r="Q35" s="35"/>
      <c r="R35" s="35"/>
      <c r="S35" s="35"/>
      <c r="T35" s="251" t="s">
        <v>739</v>
      </c>
      <c r="U35" s="35" t="s">
        <v>740</v>
      </c>
      <c r="V35" s="35" t="s">
        <v>741</v>
      </c>
      <c r="W35" s="35"/>
      <c r="X35" s="35"/>
      <c r="Y35" s="35"/>
      <c r="Z35" s="35"/>
      <c r="AA35" s="36"/>
      <c r="AB35" s="37"/>
      <c r="AC35" s="37"/>
      <c r="AD35" s="34"/>
      <c r="AE35" s="61"/>
      <c r="AF35" s="69"/>
      <c r="AG35" s="70"/>
      <c r="AH35" s="70"/>
      <c r="AI35" s="70"/>
      <c r="AJ35" s="70"/>
      <c r="AK35" s="70"/>
      <c r="AL35" s="70"/>
      <c r="AM35" s="70"/>
      <c r="AN35" s="70">
        <f>1750793+1734221+436159+433792+4684953.6+18729591.4+18908569.8+4710522.2</f>
        <v>51388602</v>
      </c>
      <c r="AO35" s="79" t="s">
        <v>802</v>
      </c>
      <c r="AP35" s="70"/>
      <c r="AQ35" s="70" t="s">
        <v>654</v>
      </c>
      <c r="AR35" s="70" t="s">
        <v>655</v>
      </c>
      <c r="AS35" s="70"/>
      <c r="AT35" s="70"/>
      <c r="AU35" s="70"/>
      <c r="AV35" s="55"/>
      <c r="AW35" s="17">
        <f t="shared" si="4"/>
        <v>36000000</v>
      </c>
      <c r="AY35" s="4" t="s">
        <v>26</v>
      </c>
      <c r="AZ35" s="13" t="s">
        <v>133</v>
      </c>
      <c r="BB35" s="163" t="s">
        <v>331</v>
      </c>
    </row>
    <row r="36" spans="3:54" ht="186.75" customHeight="1" x14ac:dyDescent="0.3">
      <c r="C36" s="14" t="s">
        <v>799</v>
      </c>
      <c r="D36" s="34">
        <f t="shared" si="2"/>
        <v>16</v>
      </c>
      <c r="E36" s="35"/>
      <c r="F36" s="35" t="s">
        <v>116</v>
      </c>
      <c r="G36" s="40">
        <v>2</v>
      </c>
      <c r="H36" s="40">
        <f>+'WFL P&amp;M-RR2'!I39</f>
        <v>7200000</v>
      </c>
      <c r="I36" s="40">
        <f>+'WFL P&amp;M-RR2'!W39</f>
        <v>7200000</v>
      </c>
      <c r="J36" s="35" t="s">
        <v>116</v>
      </c>
      <c r="K36" s="35"/>
      <c r="L36" s="35">
        <v>2</v>
      </c>
      <c r="M36" s="35" t="s">
        <v>801</v>
      </c>
      <c r="N36" s="35"/>
      <c r="O36" s="35"/>
      <c r="P36" s="35" t="s">
        <v>502</v>
      </c>
      <c r="Q36" s="35"/>
      <c r="R36" s="35"/>
      <c r="S36" s="35"/>
      <c r="T36" s="35"/>
      <c r="U36" s="35"/>
      <c r="V36" s="35"/>
      <c r="W36" s="35"/>
      <c r="X36" s="35"/>
      <c r="Y36" s="35"/>
      <c r="Z36" s="36"/>
      <c r="AA36" s="36"/>
      <c r="AB36" s="37"/>
      <c r="AC36" s="37"/>
      <c r="AD36" s="34"/>
      <c r="AE36" s="61"/>
      <c r="AF36" s="69"/>
      <c r="AG36" s="70"/>
      <c r="AH36" s="70"/>
      <c r="AI36" s="70"/>
      <c r="AJ36" s="70"/>
      <c r="AK36" s="70"/>
      <c r="AL36" s="70"/>
      <c r="AM36" s="70"/>
      <c r="AN36" s="70"/>
      <c r="AO36" s="79"/>
      <c r="AP36" s="70"/>
      <c r="AQ36" s="70" t="s">
        <v>654</v>
      </c>
      <c r="AR36" s="70" t="s">
        <v>655</v>
      </c>
      <c r="AS36" s="70"/>
      <c r="AT36" s="70"/>
      <c r="AU36" s="70"/>
      <c r="AV36" s="55"/>
      <c r="AW36" s="17">
        <f t="shared" si="4"/>
        <v>7200000</v>
      </c>
      <c r="AY36" s="4" t="s">
        <v>138</v>
      </c>
      <c r="AZ36" s="13" t="s">
        <v>133</v>
      </c>
      <c r="BB36" s="163" t="s">
        <v>332</v>
      </c>
    </row>
    <row r="37" spans="3:54" ht="39.6" x14ac:dyDescent="0.3">
      <c r="C37" s="14" t="s">
        <v>803</v>
      </c>
      <c r="D37" s="34">
        <f t="shared" si="2"/>
        <v>17</v>
      </c>
      <c r="E37" s="35" t="s">
        <v>234</v>
      </c>
      <c r="F37" s="35"/>
      <c r="G37" s="36" t="s">
        <v>112</v>
      </c>
      <c r="H37" s="40">
        <f>+'WFL P&amp;M-RR2'!I40</f>
        <v>180000000</v>
      </c>
      <c r="I37" s="40">
        <f>+'WFL P&amp;M-RR2'!W40</f>
        <v>180000000</v>
      </c>
      <c r="J37" s="35"/>
      <c r="K37" s="35"/>
      <c r="L37" s="35"/>
      <c r="M37" s="35" t="s">
        <v>758</v>
      </c>
      <c r="N37" s="35"/>
      <c r="O37" s="35"/>
      <c r="P37" s="35" t="s">
        <v>502</v>
      </c>
      <c r="Q37" s="35"/>
      <c r="R37" s="35"/>
      <c r="S37" s="35"/>
      <c r="T37" s="35"/>
      <c r="U37" s="35"/>
      <c r="V37" s="35"/>
      <c r="W37" s="35"/>
      <c r="X37" s="35"/>
      <c r="Y37" s="35"/>
      <c r="Z37" s="36"/>
      <c r="AA37" s="36"/>
      <c r="AB37" s="37"/>
      <c r="AC37" s="37"/>
      <c r="AD37" s="34"/>
      <c r="AE37" s="61"/>
      <c r="AF37" s="69"/>
      <c r="AG37" s="70"/>
      <c r="AH37" s="70"/>
      <c r="AI37" s="70"/>
      <c r="AJ37" s="70"/>
      <c r="AK37" s="70"/>
      <c r="AL37" s="70"/>
      <c r="AM37" s="70"/>
      <c r="AN37" s="70">
        <f>2039500*80</f>
        <v>163160000</v>
      </c>
      <c r="AO37" s="79" t="s">
        <v>742</v>
      </c>
      <c r="AP37" s="70"/>
      <c r="AQ37" s="70" t="s">
        <v>654</v>
      </c>
      <c r="AR37" s="70" t="s">
        <v>655</v>
      </c>
      <c r="AS37" s="70"/>
      <c r="AT37" s="70"/>
      <c r="AU37" s="70"/>
      <c r="AV37" s="55">
        <f>+H37</f>
        <v>180000000</v>
      </c>
      <c r="AW37" s="17"/>
      <c r="AY37" s="2" t="s">
        <v>27</v>
      </c>
      <c r="AZ37" s="13" t="s">
        <v>133</v>
      </c>
      <c r="BB37" s="258" t="s">
        <v>743</v>
      </c>
    </row>
    <row r="38" spans="3:54" ht="52.8" x14ac:dyDescent="0.3">
      <c r="C38" s="14" t="s">
        <v>636</v>
      </c>
      <c r="D38" s="34">
        <f>+D37+1</f>
        <v>18</v>
      </c>
      <c r="E38" s="35"/>
      <c r="F38" s="35" t="s">
        <v>79</v>
      </c>
      <c r="G38" s="36" t="s">
        <v>804</v>
      </c>
      <c r="H38" s="40">
        <f>+'WFL P&amp;M-RR2'!I41</f>
        <v>7500000</v>
      </c>
      <c r="I38" s="40">
        <f>+'WFL P&amp;M-RR2'!W41</f>
        <v>7500000</v>
      </c>
      <c r="J38" s="35"/>
      <c r="K38" s="35"/>
      <c r="L38" s="35">
        <v>1</v>
      </c>
      <c r="M38" s="35" t="s">
        <v>805</v>
      </c>
      <c r="N38" s="35"/>
      <c r="O38" s="35"/>
      <c r="P38" s="35" t="s">
        <v>502</v>
      </c>
      <c r="Q38" s="35"/>
      <c r="R38" s="35"/>
      <c r="S38" s="35"/>
      <c r="T38" s="35"/>
      <c r="U38" s="35"/>
      <c r="V38" s="35"/>
      <c r="W38" s="35"/>
      <c r="X38" s="35"/>
      <c r="Y38" s="35"/>
      <c r="Z38" s="36"/>
      <c r="AA38" s="36"/>
      <c r="AB38" s="37"/>
      <c r="AC38" s="37"/>
      <c r="AD38" s="41"/>
      <c r="AE38" s="63"/>
      <c r="AF38" s="69"/>
      <c r="AG38" s="70"/>
      <c r="AH38" s="70"/>
      <c r="AI38" s="70"/>
      <c r="AJ38" s="70"/>
      <c r="AK38" s="70"/>
      <c r="AL38" s="70"/>
      <c r="AM38" s="70"/>
      <c r="AN38" s="70">
        <v>9027000</v>
      </c>
      <c r="AO38" s="79" t="s">
        <v>753</v>
      </c>
      <c r="AP38" s="70"/>
      <c r="AQ38" s="70" t="s">
        <v>654</v>
      </c>
      <c r="AR38" s="70" t="s">
        <v>655</v>
      </c>
      <c r="AS38" s="70"/>
      <c r="AT38" s="70"/>
      <c r="AU38" s="70"/>
      <c r="AV38" s="55"/>
      <c r="AW38" s="17">
        <f>+H38</f>
        <v>7500000</v>
      </c>
      <c r="AY38" s="5" t="s">
        <v>139</v>
      </c>
      <c r="AZ38" s="13" t="s">
        <v>140</v>
      </c>
      <c r="BB38" s="163" t="s">
        <v>333</v>
      </c>
    </row>
    <row r="39" spans="3:54" ht="145.19999999999999" x14ac:dyDescent="0.3">
      <c r="C39" s="13" t="s">
        <v>806</v>
      </c>
      <c r="D39" s="34">
        <f t="shared" si="2"/>
        <v>19</v>
      </c>
      <c r="E39" s="35"/>
      <c r="F39" s="35" t="s">
        <v>81</v>
      </c>
      <c r="G39" s="36" t="s">
        <v>807</v>
      </c>
      <c r="H39" s="40">
        <f>+'WFL P&amp;M-RR2'!I42</f>
        <v>25000000</v>
      </c>
      <c r="I39" s="40">
        <f>+'WFL P&amp;M-RR2'!W42</f>
        <v>25000000</v>
      </c>
      <c r="J39" s="35"/>
      <c r="K39" s="35"/>
      <c r="L39" s="35">
        <v>1</v>
      </c>
      <c r="M39" s="35" t="s">
        <v>808</v>
      </c>
      <c r="N39" s="35"/>
      <c r="O39" s="35"/>
      <c r="P39" s="35" t="s">
        <v>502</v>
      </c>
      <c r="Q39" s="35"/>
      <c r="R39" s="35"/>
      <c r="S39" s="35"/>
      <c r="T39" s="35"/>
      <c r="U39" s="35"/>
      <c r="V39" s="35"/>
      <c r="W39" s="35"/>
      <c r="X39" s="35"/>
      <c r="Y39" s="35"/>
      <c r="Z39" s="36"/>
      <c r="AA39" s="36"/>
      <c r="AB39" s="37"/>
      <c r="AC39" s="37"/>
      <c r="AD39" s="41"/>
      <c r="AE39" s="63"/>
      <c r="AF39" s="69"/>
      <c r="AG39" s="70"/>
      <c r="AH39" s="70"/>
      <c r="AI39" s="70"/>
      <c r="AJ39" s="70"/>
      <c r="AK39" s="70"/>
      <c r="AL39" s="70"/>
      <c r="AM39" s="70"/>
      <c r="AN39" s="70">
        <f>1500000+1500000+3200000+10000000+1500000</f>
        <v>17700000</v>
      </c>
      <c r="AO39" s="79" t="s">
        <v>752</v>
      </c>
      <c r="AP39" s="70"/>
      <c r="AQ39" s="70" t="s">
        <v>654</v>
      </c>
      <c r="AR39" s="70" t="s">
        <v>655</v>
      </c>
      <c r="AS39" s="70"/>
      <c r="AT39" s="70"/>
      <c r="AU39" s="70"/>
      <c r="AV39" s="55"/>
      <c r="AW39" s="17">
        <f>+H39</f>
        <v>25000000</v>
      </c>
      <c r="AY39" s="5" t="s">
        <v>141</v>
      </c>
      <c r="AZ39" s="13" t="s">
        <v>140</v>
      </c>
      <c r="BB39" s="163" t="s">
        <v>337</v>
      </c>
    </row>
    <row r="40" spans="3:54" ht="39.6" x14ac:dyDescent="0.3">
      <c r="C40" s="14" t="s">
        <v>809</v>
      </c>
      <c r="D40" s="34">
        <f t="shared" si="2"/>
        <v>20</v>
      </c>
      <c r="E40" s="35" t="s">
        <v>76</v>
      </c>
      <c r="F40" s="35"/>
      <c r="G40" s="40" t="s">
        <v>104</v>
      </c>
      <c r="H40" s="40">
        <f>+'WFL P&amp;M-RR2'!I43</f>
        <v>9375000</v>
      </c>
      <c r="I40" s="40">
        <f>+'WFL P&amp;M-RR2'!W43</f>
        <v>9375000</v>
      </c>
      <c r="J40" s="35"/>
      <c r="K40" s="35"/>
      <c r="L40" s="35"/>
      <c r="M40" s="35" t="s">
        <v>810</v>
      </c>
      <c r="N40" s="35"/>
      <c r="O40" s="35"/>
      <c r="P40" s="35" t="s">
        <v>502</v>
      </c>
      <c r="Q40" s="35"/>
      <c r="R40" s="35"/>
      <c r="S40" s="35"/>
      <c r="T40" s="35"/>
      <c r="U40" s="35"/>
      <c r="V40" s="35"/>
      <c r="W40" s="35"/>
      <c r="X40" s="35"/>
      <c r="Y40" s="35"/>
      <c r="Z40" s="36"/>
      <c r="AA40" s="36"/>
      <c r="AB40" s="37"/>
      <c r="AC40" s="37"/>
      <c r="AD40" s="41"/>
      <c r="AE40" s="63"/>
      <c r="AF40" s="69"/>
      <c r="AG40" s="70"/>
      <c r="AH40" s="70"/>
      <c r="AI40" s="70"/>
      <c r="AJ40" s="70"/>
      <c r="AK40" s="70"/>
      <c r="AL40" s="70"/>
      <c r="AM40" s="70"/>
      <c r="AN40" s="70">
        <f>1940618+5107891+13709824.36</f>
        <v>20758333.359999999</v>
      </c>
      <c r="AO40" s="79" t="s">
        <v>815</v>
      </c>
      <c r="AP40" s="70"/>
      <c r="AQ40" s="70" t="s">
        <v>654</v>
      </c>
      <c r="AR40" s="70" t="s">
        <v>655</v>
      </c>
      <c r="AS40" s="70"/>
      <c r="AT40" s="70"/>
      <c r="AU40" s="70"/>
      <c r="AV40" s="55"/>
      <c r="AW40" s="17">
        <f>+H40</f>
        <v>9375000</v>
      </c>
      <c r="AY40" s="2" t="s">
        <v>20</v>
      </c>
      <c r="AZ40" s="13" t="s">
        <v>143</v>
      </c>
      <c r="BB40" s="163" t="s">
        <v>334</v>
      </c>
    </row>
    <row r="41" spans="3:54" ht="39.6" x14ac:dyDescent="0.3">
      <c r="C41" s="14" t="s">
        <v>811</v>
      </c>
      <c r="D41" s="34">
        <f t="shared" si="2"/>
        <v>21</v>
      </c>
      <c r="E41" s="35"/>
      <c r="F41" s="35" t="s">
        <v>78</v>
      </c>
      <c r="G41" s="36">
        <v>1</v>
      </c>
      <c r="H41" s="40">
        <f>+'WFL P&amp;M-RR2'!I44</f>
        <v>30000000</v>
      </c>
      <c r="I41" s="40">
        <f>+'WFL P&amp;M-RR2'!W44</f>
        <v>30000000</v>
      </c>
      <c r="J41" s="35" t="s">
        <v>78</v>
      </c>
      <c r="K41" s="35"/>
      <c r="L41" s="35">
        <v>1</v>
      </c>
      <c r="M41" s="35" t="s">
        <v>812</v>
      </c>
      <c r="N41" s="35"/>
      <c r="O41" s="35"/>
      <c r="P41" s="35" t="s">
        <v>502</v>
      </c>
      <c r="Q41" s="35"/>
      <c r="R41" s="35"/>
      <c r="S41" s="35"/>
      <c r="T41" s="35"/>
      <c r="U41" s="35"/>
      <c r="V41" s="35"/>
      <c r="W41" s="35"/>
      <c r="X41" s="35"/>
      <c r="Y41" s="35"/>
      <c r="Z41" s="36"/>
      <c r="AA41" s="36"/>
      <c r="AB41" s="37"/>
      <c r="AC41" s="37"/>
      <c r="AD41" s="41"/>
      <c r="AE41" s="63"/>
      <c r="AF41" s="69"/>
      <c r="AG41" s="70"/>
      <c r="AH41" s="70"/>
      <c r="AI41" s="70"/>
      <c r="AJ41" s="70"/>
      <c r="AK41" s="70"/>
      <c r="AL41" s="70"/>
      <c r="AM41" s="70"/>
      <c r="AN41" s="70">
        <f>11900000+11900000+8958770+1111656+16412656</f>
        <v>50283082</v>
      </c>
      <c r="AO41" s="79" t="s">
        <v>744</v>
      </c>
      <c r="AP41" s="70"/>
      <c r="AQ41" s="70" t="s">
        <v>654</v>
      </c>
      <c r="AR41" s="70" t="s">
        <v>655</v>
      </c>
      <c r="AS41" s="70"/>
      <c r="AT41" s="70"/>
      <c r="AU41" s="70"/>
      <c r="AV41" s="55"/>
      <c r="AW41" s="17">
        <f>+H41</f>
        <v>30000000</v>
      </c>
      <c r="AY41" s="1" t="s">
        <v>29</v>
      </c>
      <c r="AZ41" s="13" t="s">
        <v>143</v>
      </c>
      <c r="BB41" s="163" t="s">
        <v>335</v>
      </c>
    </row>
    <row r="42" spans="3:54" ht="79.2" x14ac:dyDescent="0.3">
      <c r="C42" s="14" t="s">
        <v>813</v>
      </c>
      <c r="D42" s="34">
        <f t="shared" si="2"/>
        <v>22</v>
      </c>
      <c r="E42" s="35"/>
      <c r="F42" s="35" t="s">
        <v>80</v>
      </c>
      <c r="G42" s="36" t="s">
        <v>112</v>
      </c>
      <c r="H42" s="40">
        <f>+'WFL P&amp;M-RR2'!I45</f>
        <v>55000000</v>
      </c>
      <c r="I42" s="40">
        <f>+'WFL P&amp;M-RR2'!W45</f>
        <v>55000000</v>
      </c>
      <c r="J42" s="35"/>
      <c r="K42" s="35"/>
      <c r="L42" s="35">
        <v>1</v>
      </c>
      <c r="M42" s="35" t="s">
        <v>814</v>
      </c>
      <c r="N42" s="35"/>
      <c r="O42" s="35"/>
      <c r="P42" s="35" t="s">
        <v>502</v>
      </c>
      <c r="Q42" s="35"/>
      <c r="R42" s="35"/>
      <c r="S42" s="35"/>
      <c r="T42" s="35"/>
      <c r="U42" s="35"/>
      <c r="V42" s="35"/>
      <c r="W42" s="35"/>
      <c r="X42" s="35"/>
      <c r="Y42" s="35"/>
      <c r="Z42" s="36"/>
      <c r="AA42" s="36"/>
      <c r="AB42" s="37"/>
      <c r="AC42" s="37"/>
      <c r="AD42" s="41"/>
      <c r="AE42" s="63"/>
      <c r="AF42" s="69"/>
      <c r="AG42" s="70"/>
      <c r="AH42" s="70"/>
      <c r="AI42" s="70"/>
      <c r="AJ42" s="70"/>
      <c r="AK42" s="70"/>
      <c r="AL42" s="70"/>
      <c r="AM42" s="70"/>
      <c r="AN42" s="70">
        <f>863000+287000+5448080+2335960+2335960</f>
        <v>11270000</v>
      </c>
      <c r="AO42" s="79"/>
      <c r="AP42" s="70"/>
      <c r="AQ42" s="70" t="s">
        <v>654</v>
      </c>
      <c r="AR42" s="70" t="s">
        <v>655</v>
      </c>
      <c r="AS42" s="70"/>
      <c r="AT42" s="70"/>
      <c r="AU42" s="70"/>
      <c r="AV42" s="55"/>
      <c r="AW42" s="17">
        <f>+H42</f>
        <v>55000000</v>
      </c>
      <c r="AZ42" s="13" t="s">
        <v>143</v>
      </c>
      <c r="BA42" s="13" t="s">
        <v>147</v>
      </c>
      <c r="BB42" s="163" t="s">
        <v>336</v>
      </c>
    </row>
    <row r="43" spans="3:54" ht="13.8" thickBot="1" x14ac:dyDescent="0.35">
      <c r="D43" s="42"/>
      <c r="E43" s="43"/>
      <c r="F43" s="43"/>
      <c r="G43" s="44"/>
      <c r="H43" s="45"/>
      <c r="I43" s="45"/>
      <c r="J43" s="44"/>
      <c r="K43" s="44"/>
      <c r="L43" s="44"/>
      <c r="M43" s="44"/>
      <c r="N43" s="44"/>
      <c r="O43" s="44"/>
      <c r="P43" s="44"/>
      <c r="Q43" s="44"/>
      <c r="R43" s="44"/>
      <c r="S43" s="44"/>
      <c r="T43" s="44"/>
      <c r="U43" s="44"/>
      <c r="V43" s="44"/>
      <c r="W43" s="44"/>
      <c r="X43" s="44"/>
      <c r="Y43" s="44"/>
      <c r="Z43" s="44"/>
      <c r="AA43" s="44"/>
      <c r="AB43" s="83"/>
      <c r="AC43" s="83"/>
      <c r="AD43" s="74"/>
      <c r="AE43" s="72"/>
      <c r="AF43" s="255"/>
      <c r="AG43" s="256"/>
      <c r="AH43" s="256"/>
      <c r="AI43" s="256"/>
      <c r="AJ43" s="256"/>
      <c r="AK43" s="256"/>
      <c r="AL43" s="256"/>
      <c r="AM43" s="256"/>
      <c r="AN43" s="256"/>
      <c r="AO43" s="257"/>
      <c r="AP43" s="256"/>
      <c r="AQ43" s="256"/>
      <c r="AR43" s="256"/>
      <c r="AS43" s="256"/>
      <c r="AT43" s="256"/>
      <c r="AU43" s="256"/>
      <c r="AV43" s="55"/>
      <c r="AW43" s="17"/>
    </row>
    <row r="44" spans="3:54" ht="13.8" thickBot="1" x14ac:dyDescent="0.35">
      <c r="D44" s="46"/>
      <c r="E44" s="1217" t="s">
        <v>124</v>
      </c>
      <c r="F44" s="1218"/>
      <c r="G44" s="47"/>
      <c r="H44" s="48">
        <f>SUM(H7:H43)</f>
        <v>3030069000</v>
      </c>
      <c r="I44" s="48">
        <f>SUM(I7:I43)</f>
        <v>2000000000</v>
      </c>
      <c r="J44" s="52"/>
      <c r="K44" s="52"/>
      <c r="L44" s="52"/>
      <c r="M44" s="48">
        <f>SUM(M7:M43)</f>
        <v>0</v>
      </c>
      <c r="N44" s="264"/>
      <c r="O44" s="264"/>
      <c r="P44" s="52"/>
      <c r="Q44" s="52"/>
      <c r="R44" s="52"/>
      <c r="S44" s="52"/>
      <c r="T44" s="52"/>
      <c r="U44" s="52"/>
      <c r="V44" s="52"/>
      <c r="W44" s="52"/>
      <c r="X44" s="52"/>
      <c r="Y44" s="52"/>
      <c r="Z44" s="49"/>
      <c r="AA44" s="50"/>
      <c r="AB44" s="53"/>
      <c r="AC44" s="53"/>
      <c r="AD44" s="51"/>
      <c r="AE44" s="75">
        <f>SUM(AE7:AE43)</f>
        <v>6510096152</v>
      </c>
      <c r="AF44" s="67"/>
      <c r="AG44" s="68"/>
      <c r="AH44" s="68"/>
      <c r="AI44" s="68"/>
      <c r="AJ44" s="68"/>
      <c r="AK44" s="68"/>
      <c r="AL44" s="68"/>
      <c r="AM44" s="68"/>
      <c r="AN44" s="263">
        <f>SUM(AN7:AN43)</f>
        <v>2576194865.96</v>
      </c>
      <c r="AO44" s="77"/>
      <c r="AP44" s="68"/>
      <c r="AQ44" s="68"/>
      <c r="AR44" s="68"/>
      <c r="AS44" s="68"/>
      <c r="AT44" s="68"/>
      <c r="AU44" s="68"/>
      <c r="AV44" s="64">
        <f>SUM(AV8:AV43)</f>
        <v>2439350000</v>
      </c>
      <c r="AW44" s="57">
        <f>SUM(AW8:AW43)</f>
        <v>590719000</v>
      </c>
    </row>
    <row r="45" spans="3:54" ht="13.8" thickBot="1" x14ac:dyDescent="0.35">
      <c r="E45" s="9"/>
      <c r="G45" s="54"/>
      <c r="J45" s="13"/>
      <c r="K45" s="13"/>
      <c r="L45" s="13"/>
      <c r="M45" s="13"/>
      <c r="N45" s="13"/>
      <c r="O45" s="13"/>
      <c r="P45" s="13"/>
      <c r="Q45" s="13"/>
      <c r="R45" s="13"/>
      <c r="S45" s="13"/>
      <c r="T45" s="13"/>
      <c r="U45" s="13"/>
      <c r="V45" s="13"/>
      <c r="W45" s="13"/>
      <c r="X45" s="13"/>
      <c r="Y45" s="13"/>
      <c r="Z45" s="13"/>
      <c r="AA45" s="13"/>
      <c r="AV45" s="58">
        <f>+AV44+AW44</f>
        <v>3030069000</v>
      </c>
      <c r="AW45" s="17">
        <f>+AV45/2</f>
        <v>1515034500</v>
      </c>
    </row>
    <row r="46" spans="3:54" x14ac:dyDescent="0.3">
      <c r="E46" s="9"/>
      <c r="G46" s="54"/>
      <c r="J46" s="13"/>
      <c r="K46" s="13"/>
      <c r="L46" s="13"/>
      <c r="M46" s="13"/>
      <c r="N46" s="13"/>
      <c r="O46" s="13"/>
      <c r="P46" s="13"/>
      <c r="Q46" s="13"/>
      <c r="R46" s="13"/>
      <c r="S46" s="13"/>
      <c r="T46" s="13"/>
      <c r="U46" s="13"/>
      <c r="V46" s="13"/>
      <c r="W46" s="13"/>
      <c r="X46" s="13"/>
      <c r="Y46" s="13"/>
      <c r="Z46" s="13"/>
      <c r="AA46" s="13"/>
      <c r="AV46" s="7"/>
      <c r="AW46" s="17"/>
    </row>
    <row r="47" spans="3:54" x14ac:dyDescent="0.3">
      <c r="D47" s="7" t="s">
        <v>178</v>
      </c>
    </row>
    <row r="48" spans="3:54" x14ac:dyDescent="0.3">
      <c r="E48" s="1210" t="s">
        <v>132</v>
      </c>
      <c r="F48" s="1210"/>
      <c r="G48" s="1210"/>
      <c r="H48" s="1210"/>
      <c r="I48" s="1210"/>
      <c r="J48" s="1210"/>
      <c r="K48" s="1210"/>
      <c r="L48" s="1210"/>
    </row>
    <row r="49" spans="4:54" x14ac:dyDescent="0.3">
      <c r="E49" s="1210" t="s">
        <v>130</v>
      </c>
      <c r="F49" s="1210"/>
      <c r="G49" s="1210"/>
      <c r="H49" s="1210"/>
      <c r="I49" s="1210"/>
      <c r="J49" s="1210"/>
      <c r="K49" s="1210"/>
      <c r="L49" s="1210"/>
    </row>
    <row r="50" spans="4:54" x14ac:dyDescent="0.3">
      <c r="E50" s="1210" t="s">
        <v>129</v>
      </c>
      <c r="F50" s="1210"/>
      <c r="G50" s="1210"/>
      <c r="H50" s="1210"/>
      <c r="I50" s="1210"/>
      <c r="J50" s="1210"/>
      <c r="K50" s="1210"/>
      <c r="L50" s="1210"/>
    </row>
    <row r="51" spans="4:54" x14ac:dyDescent="0.3">
      <c r="E51" s="1210" t="s">
        <v>131</v>
      </c>
      <c r="F51" s="1210"/>
      <c r="G51" s="1210"/>
      <c r="H51" s="1210"/>
      <c r="I51" s="1210"/>
      <c r="J51" s="1210"/>
      <c r="K51" s="1210"/>
      <c r="L51" s="1210"/>
    </row>
    <row r="52" spans="4:54" x14ac:dyDescent="0.3">
      <c r="E52" s="1210" t="s">
        <v>170</v>
      </c>
      <c r="F52" s="1210"/>
      <c r="G52" s="1210"/>
      <c r="H52" s="1210"/>
      <c r="I52" s="1210"/>
      <c r="J52" s="1210"/>
      <c r="K52" s="1210"/>
      <c r="L52" s="1210"/>
    </row>
    <row r="53" spans="4:54" ht="28.5" customHeight="1" x14ac:dyDescent="0.3">
      <c r="E53" s="1216" t="s">
        <v>174</v>
      </c>
      <c r="F53" s="1216"/>
      <c r="G53" s="1216"/>
      <c r="H53" s="1216"/>
      <c r="I53" s="1216"/>
      <c r="J53" s="1216"/>
      <c r="K53" s="1216"/>
      <c r="L53" s="1216"/>
    </row>
    <row r="54" spans="4:54" x14ac:dyDescent="0.3">
      <c r="E54" s="1210" t="s">
        <v>176</v>
      </c>
      <c r="F54" s="1210"/>
      <c r="G54" s="1210"/>
      <c r="H54" s="1210"/>
      <c r="I54" s="1210"/>
      <c r="J54" s="1210"/>
      <c r="K54" s="1210"/>
      <c r="L54" s="1210"/>
    </row>
    <row r="55" spans="4:54" ht="12.75" customHeight="1" x14ac:dyDescent="0.3">
      <c r="D55" s="13"/>
      <c r="E55" s="1210" t="s">
        <v>175</v>
      </c>
      <c r="F55" s="1210"/>
      <c r="G55" s="1210"/>
      <c r="H55" s="1210"/>
      <c r="I55" s="1210"/>
      <c r="J55" s="1210"/>
      <c r="K55" s="1210"/>
      <c r="L55" s="1210"/>
      <c r="M55" s="13"/>
      <c r="N55" s="13"/>
      <c r="O55" s="13"/>
      <c r="P55" s="13"/>
      <c r="Q55" s="13"/>
      <c r="R55" s="13"/>
      <c r="S55" s="13"/>
      <c r="T55" s="13"/>
      <c r="U55" s="13"/>
      <c r="V55" s="13"/>
      <c r="W55" s="13"/>
      <c r="X55" s="13"/>
      <c r="Y55" s="13"/>
      <c r="Z55" s="13"/>
      <c r="AA55" s="13"/>
      <c r="AB55" s="13"/>
      <c r="AC55" s="13"/>
      <c r="AD55" s="13"/>
      <c r="AE55" s="13"/>
      <c r="AO55" s="13"/>
      <c r="AV55" s="13"/>
      <c r="BB55" s="13"/>
    </row>
    <row r="56" spans="4:54" ht="12.75" customHeight="1" x14ac:dyDescent="0.3">
      <c r="D56" s="13"/>
      <c r="E56" s="1210" t="s">
        <v>177</v>
      </c>
      <c r="F56" s="1210"/>
      <c r="G56" s="1210"/>
      <c r="H56" s="1210"/>
      <c r="I56" s="1210"/>
      <c r="J56" s="1210"/>
      <c r="K56" s="1210"/>
      <c r="L56" s="1210"/>
      <c r="M56" s="13"/>
      <c r="N56" s="13"/>
      <c r="O56" s="13"/>
      <c r="P56" s="13"/>
      <c r="Q56" s="13"/>
      <c r="R56" s="13"/>
      <c r="S56" s="13"/>
      <c r="T56" s="13"/>
      <c r="U56" s="13"/>
      <c r="V56" s="13"/>
      <c r="W56" s="13"/>
      <c r="X56" s="13"/>
      <c r="Y56" s="13"/>
      <c r="Z56" s="13"/>
      <c r="AA56" s="13"/>
      <c r="AB56" s="13"/>
      <c r="AC56" s="13"/>
      <c r="AD56" s="13"/>
      <c r="AE56" s="13"/>
      <c r="AO56" s="13"/>
      <c r="AV56" s="13"/>
      <c r="BB56" s="13"/>
    </row>
    <row r="57" spans="4:54" x14ac:dyDescent="0.3">
      <c r="D57" s="13"/>
      <c r="E57" s="1210"/>
      <c r="F57" s="1210"/>
      <c r="G57" s="1210"/>
      <c r="H57" s="1210"/>
      <c r="I57" s="1210"/>
      <c r="J57" s="1210"/>
      <c r="K57" s="1210"/>
      <c r="L57" s="1210"/>
      <c r="M57" s="13"/>
      <c r="N57" s="13"/>
      <c r="O57" s="13"/>
      <c r="P57" s="13"/>
      <c r="Q57" s="13"/>
      <c r="R57" s="13"/>
      <c r="S57" s="13"/>
      <c r="T57" s="13"/>
      <c r="U57" s="13"/>
      <c r="V57" s="13"/>
      <c r="W57" s="13"/>
      <c r="X57" s="13"/>
      <c r="Y57" s="13"/>
      <c r="Z57" s="13"/>
      <c r="AA57" s="13"/>
      <c r="AB57" s="13"/>
      <c r="AC57" s="13"/>
      <c r="AD57" s="13"/>
      <c r="AE57" s="13"/>
      <c r="AO57" s="13"/>
      <c r="AV57" s="13"/>
      <c r="BB57" s="13"/>
    </row>
    <row r="58" spans="4:54" x14ac:dyDescent="0.3">
      <c r="D58" s="13"/>
      <c r="E58" s="1210"/>
      <c r="F58" s="1210"/>
      <c r="G58" s="1210"/>
      <c r="H58" s="1210"/>
      <c r="I58" s="1210"/>
      <c r="J58" s="1210"/>
      <c r="K58" s="1210"/>
      <c r="L58" s="1210"/>
      <c r="M58" s="13"/>
      <c r="N58" s="13"/>
      <c r="O58" s="13"/>
      <c r="P58" s="13"/>
      <c r="Q58" s="13"/>
      <c r="R58" s="13"/>
      <c r="S58" s="13"/>
      <c r="T58" s="13"/>
      <c r="U58" s="13"/>
      <c r="V58" s="13"/>
      <c r="W58" s="13"/>
      <c r="X58" s="13"/>
      <c r="Y58" s="13"/>
      <c r="Z58" s="13"/>
      <c r="AA58" s="13"/>
      <c r="AB58" s="13"/>
      <c r="AC58" s="13"/>
      <c r="AD58" s="13"/>
      <c r="AE58" s="13"/>
      <c r="AO58" s="13"/>
      <c r="AV58" s="13"/>
      <c r="BB58" s="13"/>
    </row>
    <row r="59" spans="4:54" x14ac:dyDescent="0.3">
      <c r="D59" s="13"/>
      <c r="E59" s="1210"/>
      <c r="F59" s="1210"/>
      <c r="G59" s="1210"/>
      <c r="H59" s="1210"/>
      <c r="I59" s="1210"/>
      <c r="J59" s="1210"/>
      <c r="K59" s="1210"/>
      <c r="L59" s="1210"/>
      <c r="M59" s="13"/>
      <c r="N59" s="13"/>
      <c r="O59" s="13"/>
      <c r="P59" s="13"/>
      <c r="Q59" s="13"/>
      <c r="R59" s="13"/>
      <c r="S59" s="13"/>
      <c r="T59" s="13"/>
      <c r="U59" s="13"/>
      <c r="V59" s="13"/>
      <c r="W59" s="13"/>
      <c r="X59" s="13"/>
      <c r="Y59" s="13"/>
      <c r="Z59" s="13"/>
      <c r="AA59" s="13"/>
      <c r="AB59" s="13"/>
      <c r="AC59" s="13"/>
      <c r="AD59" s="13"/>
      <c r="AE59" s="13"/>
      <c r="AO59" s="13"/>
      <c r="AV59" s="13"/>
      <c r="BB59" s="13"/>
    </row>
    <row r="85" spans="6:41" s="13" customFormat="1" x14ac:dyDescent="0.3">
      <c r="F85" s="9"/>
      <c r="G85" s="54"/>
      <c r="H85" s="17"/>
      <c r="I85" s="17"/>
      <c r="AD85" s="14"/>
      <c r="AE85" s="14"/>
      <c r="AO85" s="78"/>
    </row>
    <row r="86" spans="6:41" s="13" customFormat="1" x14ac:dyDescent="0.3">
      <c r="F86" s="9"/>
      <c r="G86" s="54"/>
      <c r="H86" s="17"/>
      <c r="I86" s="17"/>
      <c r="AD86" s="14"/>
      <c r="AE86" s="14"/>
      <c r="AO86" s="78"/>
    </row>
    <row r="87" spans="6:41" s="13" customFormat="1" x14ac:dyDescent="0.3">
      <c r="F87" s="9"/>
      <c r="G87" s="54"/>
      <c r="H87" s="17"/>
      <c r="I87" s="17"/>
      <c r="AD87" s="14"/>
      <c r="AE87" s="14"/>
      <c r="AO87" s="78"/>
    </row>
    <row r="88" spans="6:41" s="13" customFormat="1" x14ac:dyDescent="0.3">
      <c r="F88" s="9"/>
      <c r="G88" s="54"/>
      <c r="H88" s="17"/>
      <c r="I88" s="17"/>
      <c r="AD88" s="14"/>
      <c r="AE88" s="14"/>
      <c r="AO88" s="78"/>
    </row>
  </sheetData>
  <mergeCells count="53">
    <mergeCell ref="Q4:Q5"/>
    <mergeCell ref="E4:F4"/>
    <mergeCell ref="G4:G5"/>
    <mergeCell ref="H4:H5"/>
    <mergeCell ref="I4:I5"/>
    <mergeCell ref="J4:J5"/>
    <mergeCell ref="K4:K5"/>
    <mergeCell ref="L4:L5"/>
    <mergeCell ref="M4:M5"/>
    <mergeCell ref="P4:P5"/>
    <mergeCell ref="W4:W5"/>
    <mergeCell ref="Y4:Y5"/>
    <mergeCell ref="Z4:Z5"/>
    <mergeCell ref="T4:T5"/>
    <mergeCell ref="R4:R5"/>
    <mergeCell ref="S4:S5"/>
    <mergeCell ref="AP4:AP5"/>
    <mergeCell ref="E53:L53"/>
    <mergeCell ref="E54:L54"/>
    <mergeCell ref="E55:L55"/>
    <mergeCell ref="E56:L56"/>
    <mergeCell ref="E44:F44"/>
    <mergeCell ref="E48:L48"/>
    <mergeCell ref="E49:L49"/>
    <mergeCell ref="E50:L50"/>
    <mergeCell ref="E51:L51"/>
    <mergeCell ref="E52:L52"/>
    <mergeCell ref="AG4:AG5"/>
    <mergeCell ref="AH4:AH5"/>
    <mergeCell ref="AI4:AI5"/>
    <mergeCell ref="AJ4:AJ5"/>
    <mergeCell ref="AK4:AK5"/>
    <mergeCell ref="E59:L59"/>
    <mergeCell ref="E3:Z3"/>
    <mergeCell ref="AM4:AM5"/>
    <mergeCell ref="AN4:AN5"/>
    <mergeCell ref="AO4:AO5"/>
    <mergeCell ref="E57:L57"/>
    <mergeCell ref="E58:L58"/>
    <mergeCell ref="AL4:AL5"/>
    <mergeCell ref="AA4:AA5"/>
    <mergeCell ref="AB4:AB5"/>
    <mergeCell ref="AC4:AC5"/>
    <mergeCell ref="AD4:AD5"/>
    <mergeCell ref="AE4:AE5"/>
    <mergeCell ref="AF4:AF5"/>
    <mergeCell ref="U4:U5"/>
    <mergeCell ref="V4:V5"/>
    <mergeCell ref="AQ4:AQ5"/>
    <mergeCell ref="AR4:AR5"/>
    <mergeCell ref="AS4:AS5"/>
    <mergeCell ref="AT4:AT5"/>
    <mergeCell ref="AU4:AU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workbookViewId="0">
      <selection activeCell="B1" sqref="B1"/>
    </sheetView>
  </sheetViews>
  <sheetFormatPr defaultRowHeight="14.4" x14ac:dyDescent="0.3"/>
  <cols>
    <col min="2" max="2" width="43.33203125" bestFit="1" customWidth="1"/>
    <col min="3" max="3" width="15.33203125" customWidth="1"/>
    <col min="4" max="4" width="48.5546875" bestFit="1" customWidth="1"/>
    <col min="5" max="5" width="15" bestFit="1" customWidth="1"/>
    <col min="6" max="7" width="13.33203125" bestFit="1" customWidth="1"/>
  </cols>
  <sheetData>
    <row r="1" spans="1:7" x14ac:dyDescent="0.3">
      <c r="A1" s="217" t="s">
        <v>1491</v>
      </c>
      <c r="B1" s="217"/>
      <c r="C1" s="1225" t="s">
        <v>1498</v>
      </c>
      <c r="D1" s="1225"/>
      <c r="E1" s="1225"/>
      <c r="F1" s="1225"/>
      <c r="G1" s="1225"/>
    </row>
    <row r="2" spans="1:7" x14ac:dyDescent="0.3">
      <c r="E2" s="841"/>
    </row>
    <row r="3" spans="1:7" x14ac:dyDescent="0.3">
      <c r="A3">
        <v>5</v>
      </c>
      <c r="B3" t="s">
        <v>1501</v>
      </c>
      <c r="D3" t="str">
        <f>'GTL Format-4 (9)'!G37</f>
        <v>2 Lots</v>
      </c>
      <c r="E3" s="841">
        <f>'GTL Format-4 (9)'!O37</f>
        <v>11330629.1</v>
      </c>
    </row>
    <row r="4" spans="1:7" x14ac:dyDescent="0.3">
      <c r="A4">
        <v>6</v>
      </c>
      <c r="B4" t="s">
        <v>1508</v>
      </c>
      <c r="D4">
        <f>'GTL Format-4 (9)'!V44</f>
        <v>0</v>
      </c>
      <c r="E4" t="str">
        <f>'GTL Format-4 (9)'!F43</f>
        <v>Over Head Travelling Clearers</v>
      </c>
    </row>
    <row r="5" spans="1:7" x14ac:dyDescent="0.3">
      <c r="A5">
        <v>8</v>
      </c>
      <c r="B5" t="s">
        <v>1504</v>
      </c>
      <c r="D5" t="str">
        <f>'GTL Format-4 (9)'!I70</f>
        <v xml:space="preserve">Peass Versa cone winder machine 24 Spindle </v>
      </c>
      <c r="E5" t="str">
        <f>'GTL Format-4 (9)'!Z68</f>
        <v>A01/INM/25 Dt.22.05.2022</v>
      </c>
    </row>
    <row r="6" spans="1:7" x14ac:dyDescent="0.3">
      <c r="A6">
        <v>9</v>
      </c>
      <c r="B6" t="s">
        <v>1503</v>
      </c>
      <c r="D6">
        <f>'GTL Format-4 (9)'!V75</f>
        <v>0</v>
      </c>
    </row>
    <row r="8" spans="1:7" x14ac:dyDescent="0.3">
      <c r="A8">
        <v>16</v>
      </c>
      <c r="B8" t="s">
        <v>1507</v>
      </c>
      <c r="D8" s="842">
        <f>'GTL Format-4 (9)'!M122</f>
        <v>8026500</v>
      </c>
    </row>
    <row r="9" spans="1:7" x14ac:dyDescent="0.3">
      <c r="A9" t="s">
        <v>1516</v>
      </c>
      <c r="B9" t="s">
        <v>1517</v>
      </c>
      <c r="D9" t="str">
        <f>'GTL Format-4 (9)'!I127</f>
        <v>Reserse osmosis plant</v>
      </c>
      <c r="E9" s="841">
        <f>'GTL Format-4 (9)'!M127</f>
        <v>1151000</v>
      </c>
      <c r="F9" s="841">
        <f>'GTL Format-4 (9)'!O127</f>
        <v>1151000</v>
      </c>
      <c r="G9" s="841">
        <f>'GTL Format-4 (9)'!AL127</f>
        <v>3016080</v>
      </c>
    </row>
    <row r="10" spans="1:7" x14ac:dyDescent="0.3">
      <c r="A10">
        <v>19</v>
      </c>
      <c r="B10" t="s">
        <v>1519</v>
      </c>
      <c r="D10">
        <f>'GTL Format-4 (9)'!U133</f>
        <v>0</v>
      </c>
    </row>
    <row r="11" spans="1:7" x14ac:dyDescent="0.3">
      <c r="A11">
        <v>20</v>
      </c>
      <c r="B11" t="s">
        <v>1518</v>
      </c>
      <c r="D11" s="842">
        <f>'GTL Format-4 (9)'!M154</f>
        <v>4874000</v>
      </c>
    </row>
    <row r="14" spans="1:7" x14ac:dyDescent="0.3">
      <c r="A14" s="217" t="s">
        <v>1492</v>
      </c>
    </row>
    <row r="15" spans="1:7" x14ac:dyDescent="0.3">
      <c r="A15" t="s">
        <v>1493</v>
      </c>
    </row>
    <row r="16" spans="1:7" x14ac:dyDescent="0.3">
      <c r="A16" t="s">
        <v>1494</v>
      </c>
    </row>
    <row r="17" spans="1:2" x14ac:dyDescent="0.3">
      <c r="A17" t="s">
        <v>1495</v>
      </c>
    </row>
    <row r="18" spans="1:2" x14ac:dyDescent="0.3">
      <c r="A18" t="s">
        <v>1496</v>
      </c>
    </row>
    <row r="19" spans="1:2" x14ac:dyDescent="0.3">
      <c r="A19" t="s">
        <v>1497</v>
      </c>
    </row>
    <row r="20" spans="1:2" x14ac:dyDescent="0.3">
      <c r="A20" t="s">
        <v>1502</v>
      </c>
    </row>
    <row r="21" spans="1:2" x14ac:dyDescent="0.3">
      <c r="A21" t="s">
        <v>1505</v>
      </c>
    </row>
    <row r="22" spans="1:2" x14ac:dyDescent="0.3">
      <c r="A22" t="s">
        <v>1506</v>
      </c>
    </row>
    <row r="23" spans="1:2" x14ac:dyDescent="0.3">
      <c r="A23" t="s">
        <v>1510</v>
      </c>
    </row>
    <row r="24" spans="1:2" ht="15" customHeight="1" x14ac:dyDescent="0.3">
      <c r="A24" t="s">
        <v>1511</v>
      </c>
    </row>
    <row r="25" spans="1:2" ht="15" thickBot="1" x14ac:dyDescent="0.35">
      <c r="A25" s="844"/>
    </row>
    <row r="29" spans="1:2" x14ac:dyDescent="0.3">
      <c r="A29" s="217" t="s">
        <v>1492</v>
      </c>
      <c r="B29" t="s">
        <v>1589</v>
      </c>
    </row>
    <row r="30" spans="1:2" x14ac:dyDescent="0.3">
      <c r="A30">
        <v>1</v>
      </c>
      <c r="B30" t="s">
        <v>1687</v>
      </c>
    </row>
    <row r="31" spans="1:2" x14ac:dyDescent="0.3">
      <c r="A31">
        <v>2</v>
      </c>
      <c r="B31" t="s">
        <v>1688</v>
      </c>
    </row>
    <row r="32" spans="1:2" x14ac:dyDescent="0.3">
      <c r="A32">
        <v>3</v>
      </c>
      <c r="B32" t="s">
        <v>1689</v>
      </c>
    </row>
    <row r="33" spans="1:3" x14ac:dyDescent="0.3">
      <c r="A33">
        <v>4</v>
      </c>
      <c r="B33" t="s">
        <v>1690</v>
      </c>
    </row>
    <row r="34" spans="1:3" x14ac:dyDescent="0.3">
      <c r="A34">
        <v>5</v>
      </c>
      <c r="B34" t="s">
        <v>1692</v>
      </c>
    </row>
    <row r="35" spans="1:3" x14ac:dyDescent="0.3">
      <c r="A35">
        <v>6</v>
      </c>
      <c r="B35" t="s">
        <v>483</v>
      </c>
      <c r="C35" t="s">
        <v>1691</v>
      </c>
    </row>
    <row r="36" spans="1:3" x14ac:dyDescent="0.3">
      <c r="A36">
        <v>7</v>
      </c>
      <c r="B36" t="s">
        <v>1693</v>
      </c>
    </row>
    <row r="40" spans="1:3" x14ac:dyDescent="0.3">
      <c r="A40" s="217" t="s">
        <v>1648</v>
      </c>
      <c r="B40" t="s">
        <v>1615</v>
      </c>
    </row>
    <row r="41" spans="1:3" x14ac:dyDescent="0.3">
      <c r="A41">
        <v>1</v>
      </c>
      <c r="B41" t="s">
        <v>1649</v>
      </c>
      <c r="C41" t="s">
        <v>1652</v>
      </c>
    </row>
    <row r="42" spans="1:3" x14ac:dyDescent="0.3">
      <c r="A42">
        <v>2</v>
      </c>
      <c r="B42" t="s">
        <v>75</v>
      </c>
    </row>
    <row r="43" spans="1:3" x14ac:dyDescent="0.3">
      <c r="A43">
        <v>3</v>
      </c>
      <c r="B43" t="s">
        <v>1650</v>
      </c>
    </row>
    <row r="44" spans="1:3" x14ac:dyDescent="0.3">
      <c r="A44">
        <v>4</v>
      </c>
      <c r="B44" t="s">
        <v>1651</v>
      </c>
    </row>
    <row r="45" spans="1:3" x14ac:dyDescent="0.3">
      <c r="A45">
        <v>5</v>
      </c>
      <c r="B45" t="s">
        <v>1477</v>
      </c>
    </row>
    <row r="46" spans="1:3" x14ac:dyDescent="0.3">
      <c r="A46">
        <v>6</v>
      </c>
      <c r="B46" t="s">
        <v>80</v>
      </c>
    </row>
    <row r="47" spans="1:3" x14ac:dyDescent="0.3">
      <c r="A47">
        <v>7</v>
      </c>
      <c r="B47" t="s">
        <v>1270</v>
      </c>
    </row>
    <row r="48" spans="1:3" x14ac:dyDescent="0.3">
      <c r="A48">
        <v>8</v>
      </c>
      <c r="B48" t="s">
        <v>1271</v>
      </c>
    </row>
    <row r="51" spans="1:3" x14ac:dyDescent="0.3">
      <c r="A51" t="s">
        <v>1686</v>
      </c>
      <c r="C51" t="s">
        <v>839</v>
      </c>
    </row>
    <row r="52" spans="1:3" x14ac:dyDescent="0.3">
      <c r="A52" t="s">
        <v>1659</v>
      </c>
      <c r="B52" t="s">
        <v>1660</v>
      </c>
      <c r="C52" t="s">
        <v>1661</v>
      </c>
    </row>
    <row r="53" spans="1:3" x14ac:dyDescent="0.3">
      <c r="B53" t="s">
        <v>1662</v>
      </c>
      <c r="C53" t="s">
        <v>1663</v>
      </c>
    </row>
    <row r="55" spans="1:3" x14ac:dyDescent="0.3">
      <c r="A55" t="s">
        <v>1664</v>
      </c>
      <c r="B55" t="s">
        <v>1665</v>
      </c>
      <c r="C55" t="s">
        <v>1666</v>
      </c>
    </row>
    <row r="56" spans="1:3" x14ac:dyDescent="0.3">
      <c r="B56" t="s">
        <v>1667</v>
      </c>
      <c r="C56" t="s">
        <v>1661</v>
      </c>
    </row>
    <row r="57" spans="1:3" x14ac:dyDescent="0.3">
      <c r="B57" t="s">
        <v>1668</v>
      </c>
    </row>
    <row r="59" spans="1:3" x14ac:dyDescent="0.3">
      <c r="A59" t="s">
        <v>1669</v>
      </c>
      <c r="B59" t="s">
        <v>1670</v>
      </c>
      <c r="C59" t="s">
        <v>1661</v>
      </c>
    </row>
    <row r="61" spans="1:3" x14ac:dyDescent="0.3">
      <c r="A61" t="s">
        <v>1671</v>
      </c>
      <c r="B61" t="s">
        <v>1672</v>
      </c>
    </row>
    <row r="63" spans="1:3" x14ac:dyDescent="0.3">
      <c r="A63" t="s">
        <v>1673</v>
      </c>
      <c r="B63" t="s">
        <v>1674</v>
      </c>
    </row>
    <row r="65" spans="1:4" x14ac:dyDescent="0.3">
      <c r="A65" t="s">
        <v>1675</v>
      </c>
      <c r="B65" t="s">
        <v>1676</v>
      </c>
    </row>
    <row r="67" spans="1:4" x14ac:dyDescent="0.3">
      <c r="A67" t="s">
        <v>1677</v>
      </c>
      <c r="B67" t="s">
        <v>1678</v>
      </c>
    </row>
    <row r="69" spans="1:4" x14ac:dyDescent="0.3">
      <c r="A69" t="s">
        <v>1681</v>
      </c>
      <c r="B69" t="s">
        <v>1679</v>
      </c>
      <c r="C69" t="s">
        <v>1680</v>
      </c>
    </row>
    <row r="71" spans="1:4" x14ac:dyDescent="0.3">
      <c r="A71" t="s">
        <v>1682</v>
      </c>
      <c r="B71" t="s">
        <v>1679</v>
      </c>
      <c r="C71" t="s">
        <v>1680</v>
      </c>
    </row>
    <row r="72" spans="1:4" x14ac:dyDescent="0.3">
      <c r="B72" t="s">
        <v>1683</v>
      </c>
    </row>
    <row r="74" spans="1:4" x14ac:dyDescent="0.3">
      <c r="A74" t="s">
        <v>1641</v>
      </c>
    </row>
    <row r="75" spans="1:4" x14ac:dyDescent="0.3">
      <c r="A75">
        <v>1</v>
      </c>
      <c r="B75" t="s">
        <v>1684</v>
      </c>
    </row>
    <row r="76" spans="1:4" x14ac:dyDescent="0.3">
      <c r="A76">
        <v>2</v>
      </c>
      <c r="B76" t="s">
        <v>1685</v>
      </c>
    </row>
    <row r="79" spans="1:4" x14ac:dyDescent="0.3">
      <c r="A79" t="s">
        <v>1719</v>
      </c>
    </row>
    <row r="80" spans="1:4" x14ac:dyDescent="0.3">
      <c r="A80" t="s">
        <v>1659</v>
      </c>
      <c r="B80" t="s">
        <v>886</v>
      </c>
      <c r="C80" t="s">
        <v>1720</v>
      </c>
      <c r="D80" t="s">
        <v>1737</v>
      </c>
    </row>
    <row r="81" spans="1:3" x14ac:dyDescent="0.3">
      <c r="B81" t="s">
        <v>1721</v>
      </c>
    </row>
    <row r="83" spans="1:3" x14ac:dyDescent="0.3">
      <c r="A83" t="s">
        <v>1664</v>
      </c>
      <c r="B83" t="s">
        <v>1721</v>
      </c>
    </row>
    <row r="85" spans="1:3" x14ac:dyDescent="0.3">
      <c r="A85" t="s">
        <v>1723</v>
      </c>
      <c r="B85" t="s">
        <v>1721</v>
      </c>
    </row>
    <row r="86" spans="1:3" x14ac:dyDescent="0.3">
      <c r="B86" t="s">
        <v>1735</v>
      </c>
    </row>
    <row r="88" spans="1:3" x14ac:dyDescent="0.3">
      <c r="A88" t="s">
        <v>1671</v>
      </c>
      <c r="B88" t="s">
        <v>1724</v>
      </c>
    </row>
    <row r="90" spans="1:3" x14ac:dyDescent="0.3">
      <c r="A90" t="s">
        <v>1675</v>
      </c>
      <c r="B90" t="s">
        <v>1726</v>
      </c>
    </row>
    <row r="91" spans="1:3" x14ac:dyDescent="0.3">
      <c r="B91" t="s">
        <v>1615</v>
      </c>
    </row>
    <row r="93" spans="1:3" x14ac:dyDescent="0.3">
      <c r="A93" t="s">
        <v>1727</v>
      </c>
      <c r="B93" t="s">
        <v>1728</v>
      </c>
      <c r="C93" t="s">
        <v>1729</v>
      </c>
    </row>
    <row r="95" spans="1:3" x14ac:dyDescent="0.3">
      <c r="A95" t="s">
        <v>1677</v>
      </c>
      <c r="B95" t="s">
        <v>1734</v>
      </c>
    </row>
    <row r="96" spans="1:3" x14ac:dyDescent="0.3">
      <c r="B96" t="s">
        <v>1730</v>
      </c>
    </row>
    <row r="97" spans="1:4" x14ac:dyDescent="0.3">
      <c r="B97" t="s">
        <v>1733</v>
      </c>
    </row>
    <row r="99" spans="1:4" x14ac:dyDescent="0.3">
      <c r="A99" t="s">
        <v>1731</v>
      </c>
      <c r="B99" t="s">
        <v>1615</v>
      </c>
      <c r="C99" t="s">
        <v>1732</v>
      </c>
      <c r="D99" t="s">
        <v>1741</v>
      </c>
    </row>
    <row r="101" spans="1:4" x14ac:dyDescent="0.3">
      <c r="A101" t="s">
        <v>1682</v>
      </c>
      <c r="B101" t="s">
        <v>1615</v>
      </c>
      <c r="C101" t="s">
        <v>1732</v>
      </c>
      <c r="D101" t="s">
        <v>1736</v>
      </c>
    </row>
    <row r="103" spans="1:4" x14ac:dyDescent="0.3">
      <c r="A103" t="s">
        <v>1713</v>
      </c>
      <c r="B103" t="s">
        <v>1740</v>
      </c>
    </row>
    <row r="105" spans="1:4" x14ac:dyDescent="0.3">
      <c r="A105" t="s">
        <v>1743</v>
      </c>
      <c r="C105" t="s">
        <v>1744</v>
      </c>
    </row>
  </sheetData>
  <mergeCells count="1">
    <mergeCell ref="C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93"/>
  <sheetViews>
    <sheetView workbookViewId="0">
      <pane xSplit="3" ySplit="6" topLeftCell="AG105" activePane="bottomRight" state="frozen"/>
      <selection pane="topRight" activeCell="D1" sqref="D1"/>
      <selection pane="bottomLeft" activeCell="A7" sqref="A7"/>
      <selection pane="bottomRight" activeCell="AO105" sqref="AO105"/>
    </sheetView>
  </sheetViews>
  <sheetFormatPr defaultColWidth="9.109375" defaultRowHeight="13.2" x14ac:dyDescent="0.3"/>
  <cols>
    <col min="1" max="3" width="7.88671875" style="13" customWidth="1"/>
    <col min="4" max="4" width="5.44140625" style="7" customWidth="1"/>
    <col min="5" max="5" width="33" style="8" customWidth="1"/>
    <col min="6" max="6" width="35.109375" style="9" customWidth="1"/>
    <col min="7" max="7" width="12" style="10" bestFit="1" customWidth="1"/>
    <col min="8" max="8" width="19.33203125" style="779" bestFit="1" customWidth="1"/>
    <col min="9" max="9" width="28.33203125" style="14" customWidth="1"/>
    <col min="10" max="10" width="30.6640625" style="14" customWidth="1"/>
    <col min="11" max="11" width="13.109375" style="14" customWidth="1"/>
    <col min="12" max="12" width="16.44140625" style="14" bestFit="1" customWidth="1"/>
    <col min="13" max="13" width="19.6640625" style="14" bestFit="1" customWidth="1"/>
    <col min="14" max="14" width="18.5546875" style="14" customWidth="1"/>
    <col min="15" max="15" width="18" style="14" bestFit="1" customWidth="1"/>
    <col min="16" max="16" width="39.109375" style="14" customWidth="1"/>
    <col min="17" max="17" width="17" style="14" customWidth="1"/>
    <col min="18" max="18" width="15.33203125" style="14" customWidth="1"/>
    <col min="19" max="19" width="16.88671875" style="14" customWidth="1"/>
    <col min="20" max="20" width="12.44140625" style="14" customWidth="1"/>
    <col min="21" max="21" width="11.88671875" style="14" bestFit="1" customWidth="1"/>
    <col min="22" max="22" width="13" style="14" customWidth="1"/>
    <col min="23" max="23" width="12" style="14" bestFit="1" customWidth="1"/>
    <col min="24" max="24" width="13.44140625" style="14" bestFit="1" customWidth="1"/>
    <col min="25" max="25" width="11.6640625" style="14" customWidth="1"/>
    <col min="26" max="26" width="22.88671875" style="12" customWidth="1"/>
    <col min="27" max="27" width="14.6640625" style="12" customWidth="1"/>
    <col min="28" max="30" width="11.5546875" style="15" customWidth="1"/>
    <col min="31" max="31" width="13.88671875" style="15" customWidth="1"/>
    <col min="32" max="32" width="14.33203125" style="13" customWidth="1"/>
    <col min="33" max="33" width="10.5546875" style="13" customWidth="1"/>
    <col min="34" max="34" width="23.109375" style="13" customWidth="1"/>
    <col min="35" max="35" width="10" style="13" customWidth="1"/>
    <col min="36" max="37" width="10.5546875" style="13" customWidth="1"/>
    <col min="38" max="38" width="23.33203125" style="778" bestFit="1" customWidth="1"/>
    <col min="39" max="39" width="13.44140625" style="13" bestFit="1" customWidth="1"/>
    <col min="40" max="40" width="18.5546875" style="778" bestFit="1" customWidth="1"/>
    <col min="41" max="41" width="11.5546875" style="78" customWidth="1"/>
    <col min="42" max="42" width="13" style="13" customWidth="1"/>
    <col min="43" max="43" width="10.5546875" style="13" customWidth="1"/>
    <col min="44" max="44" width="12.33203125" style="13" customWidth="1"/>
    <col min="45" max="46" width="10.5546875" style="13" customWidth="1"/>
    <col min="47" max="47" width="12.33203125" style="13" customWidth="1"/>
    <col min="48" max="48" width="16" style="12" bestFit="1" customWidth="1"/>
    <col min="49" max="49" width="13.33203125" style="13" bestFit="1" customWidth="1"/>
    <col min="50" max="50" width="11.109375" style="13" bestFit="1" customWidth="1"/>
    <col min="51" max="16384" width="9.109375" style="13"/>
  </cols>
  <sheetData>
    <row r="1" spans="1:54" hidden="1" x14ac:dyDescent="0.3">
      <c r="H1" s="773"/>
      <c r="AO1" s="13"/>
    </row>
    <row r="2" spans="1:54" ht="17.25" hidden="1" customHeight="1" x14ac:dyDescent="0.3">
      <c r="E2" s="85" t="s">
        <v>1181</v>
      </c>
      <c r="G2" s="16"/>
      <c r="H2" s="773"/>
      <c r="AO2" s="13"/>
    </row>
    <row r="3" spans="1:54" ht="19.649999999999999" customHeight="1" thickBot="1" x14ac:dyDescent="0.35">
      <c r="A3" s="149"/>
      <c r="B3" s="149"/>
      <c r="C3" s="149"/>
      <c r="D3" s="150"/>
      <c r="E3" s="1265" t="s">
        <v>151</v>
      </c>
      <c r="F3" s="1265"/>
      <c r="G3" s="1265"/>
      <c r="H3" s="1265"/>
      <c r="I3" s="1265"/>
      <c r="J3" s="1265"/>
      <c r="K3" s="1265"/>
      <c r="L3" s="1265"/>
      <c r="M3" s="1265"/>
      <c r="N3" s="1265"/>
      <c r="O3" s="1265"/>
      <c r="P3" s="1265"/>
      <c r="Q3" s="1265"/>
      <c r="R3" s="1265"/>
      <c r="S3" s="1265"/>
      <c r="T3" s="1265"/>
      <c r="U3" s="1265"/>
      <c r="V3" s="1265"/>
      <c r="W3" s="1265"/>
      <c r="X3" s="1265"/>
      <c r="Y3" s="1265"/>
      <c r="Z3" s="1265"/>
      <c r="AA3" s="839"/>
      <c r="AB3" s="793"/>
      <c r="AC3" s="793"/>
      <c r="AD3" s="793"/>
      <c r="AE3" s="793"/>
      <c r="AF3" s="149"/>
      <c r="AG3" s="149"/>
      <c r="AH3" s="149"/>
      <c r="AI3" s="149"/>
      <c r="AJ3" s="149"/>
      <c r="AK3" s="149"/>
      <c r="AL3" s="840"/>
      <c r="AM3" s="149"/>
      <c r="AN3" s="840"/>
      <c r="AO3" s="149"/>
      <c r="AP3" s="149"/>
      <c r="AQ3" s="149"/>
    </row>
    <row r="4" spans="1:54" ht="39" hidden="1" customHeight="1" thickBot="1" x14ac:dyDescent="0.35">
      <c r="A4" s="667"/>
      <c r="B4" s="667"/>
      <c r="C4" s="1261" t="s">
        <v>763</v>
      </c>
      <c r="D4" s="838"/>
      <c r="E4" s="1266" t="s">
        <v>121</v>
      </c>
      <c r="F4" s="1267"/>
      <c r="G4" s="1268" t="s">
        <v>313</v>
      </c>
      <c r="H4" s="1270" t="s">
        <v>117</v>
      </c>
      <c r="I4" s="1263" t="s">
        <v>148</v>
      </c>
      <c r="J4" s="1263" t="s">
        <v>120</v>
      </c>
      <c r="K4" s="1263" t="s">
        <v>149</v>
      </c>
      <c r="L4" s="1268" t="s">
        <v>819</v>
      </c>
      <c r="M4" s="1268" t="s">
        <v>150</v>
      </c>
      <c r="N4" s="1268" t="s">
        <v>1582</v>
      </c>
      <c r="O4" s="1272" t="s">
        <v>1313</v>
      </c>
      <c r="P4" s="1263" t="s">
        <v>166</v>
      </c>
      <c r="Q4" s="1263" t="s">
        <v>167</v>
      </c>
      <c r="R4" s="1263" t="s">
        <v>168</v>
      </c>
      <c r="S4" s="1263" t="s">
        <v>169</v>
      </c>
      <c r="T4" s="1277" t="s">
        <v>152</v>
      </c>
      <c r="U4" s="1277" t="s">
        <v>153</v>
      </c>
      <c r="V4" s="1263" t="s">
        <v>154</v>
      </c>
      <c r="W4" s="1263" t="s">
        <v>155</v>
      </c>
      <c r="X4" s="1263" t="s">
        <v>339</v>
      </c>
      <c r="Y4" s="1277" t="s">
        <v>156</v>
      </c>
      <c r="Z4" s="1279" t="s">
        <v>118</v>
      </c>
      <c r="AA4" s="1281" t="s">
        <v>119</v>
      </c>
      <c r="AB4" s="1281" t="s">
        <v>158</v>
      </c>
      <c r="AC4" s="1281" t="s">
        <v>173</v>
      </c>
      <c r="AD4" s="1279" t="s">
        <v>122</v>
      </c>
      <c r="AE4" s="1279" t="s">
        <v>172</v>
      </c>
      <c r="AF4" s="1263" t="s">
        <v>123</v>
      </c>
      <c r="AG4" s="1263" t="s">
        <v>125</v>
      </c>
      <c r="AH4" s="1263" t="s">
        <v>126</v>
      </c>
      <c r="AI4" s="1263" t="s">
        <v>127</v>
      </c>
      <c r="AJ4" s="1263" t="s">
        <v>128</v>
      </c>
      <c r="AK4" s="1263" t="s">
        <v>171</v>
      </c>
      <c r="AL4" s="1275" t="s">
        <v>162</v>
      </c>
      <c r="AM4" s="1263" t="s">
        <v>0</v>
      </c>
      <c r="AN4" s="1275" t="s">
        <v>157</v>
      </c>
      <c r="AO4" s="1263" t="s">
        <v>163</v>
      </c>
      <c r="AP4" s="1263" t="s">
        <v>420</v>
      </c>
      <c r="AQ4" s="1263" t="s">
        <v>164</v>
      </c>
      <c r="AR4" s="1274" t="s">
        <v>159</v>
      </c>
      <c r="AS4" s="1291" t="s">
        <v>160</v>
      </c>
      <c r="AT4" s="1274" t="s">
        <v>161</v>
      </c>
      <c r="AU4" s="1274" t="s">
        <v>165</v>
      </c>
      <c r="AV4" s="20"/>
    </row>
    <row r="5" spans="1:54" ht="43.5" customHeight="1" thickBot="1" x14ac:dyDescent="0.35">
      <c r="A5" s="667"/>
      <c r="B5" s="667"/>
      <c r="C5" s="1261"/>
      <c r="D5" s="668"/>
      <c r="E5" s="669" t="s">
        <v>1</v>
      </c>
      <c r="F5" s="670" t="s">
        <v>2</v>
      </c>
      <c r="G5" s="1269"/>
      <c r="H5" s="1271"/>
      <c r="I5" s="1264"/>
      <c r="J5" s="1264"/>
      <c r="K5" s="1264"/>
      <c r="L5" s="1269"/>
      <c r="M5" s="1269"/>
      <c r="N5" s="1269"/>
      <c r="O5" s="1273"/>
      <c r="P5" s="1264"/>
      <c r="Q5" s="1264"/>
      <c r="R5" s="1264"/>
      <c r="S5" s="1264"/>
      <c r="T5" s="1278"/>
      <c r="U5" s="1278"/>
      <c r="V5" s="1264"/>
      <c r="W5" s="1264"/>
      <c r="X5" s="1264"/>
      <c r="Y5" s="1278"/>
      <c r="Z5" s="1280"/>
      <c r="AA5" s="1282"/>
      <c r="AB5" s="1282"/>
      <c r="AC5" s="1282"/>
      <c r="AD5" s="1280"/>
      <c r="AE5" s="1280"/>
      <c r="AF5" s="1264"/>
      <c r="AG5" s="1264"/>
      <c r="AH5" s="1264"/>
      <c r="AI5" s="1264"/>
      <c r="AJ5" s="1264"/>
      <c r="AK5" s="1264"/>
      <c r="AL5" s="1276"/>
      <c r="AM5" s="1264"/>
      <c r="AN5" s="1276"/>
      <c r="AO5" s="1264"/>
      <c r="AP5" s="1264"/>
      <c r="AQ5" s="1264"/>
      <c r="AR5" s="1264"/>
      <c r="AS5" s="1278"/>
      <c r="AT5" s="1264"/>
      <c r="AU5" s="1264"/>
      <c r="AV5" s="20"/>
    </row>
    <row r="6" spans="1:54" s="17" customFormat="1" ht="24.75" customHeight="1" thickBot="1" x14ac:dyDescent="0.35">
      <c r="A6" s="671"/>
      <c r="B6" s="671"/>
      <c r="C6" s="1262"/>
      <c r="D6" s="672">
        <v>1</v>
      </c>
      <c r="E6" s="673">
        <f>+D6+1</f>
        <v>2</v>
      </c>
      <c r="F6" s="672">
        <f>+E6+1</f>
        <v>3</v>
      </c>
      <c r="G6" s="673">
        <f>+F6+1</f>
        <v>4</v>
      </c>
      <c r="H6" s="845">
        <f>+G6+1</f>
        <v>5</v>
      </c>
      <c r="I6" s="673">
        <f>+H6+1</f>
        <v>6</v>
      </c>
      <c r="J6" s="673">
        <f t="shared" ref="J6:AU6" si="0">+I6+1</f>
        <v>7</v>
      </c>
      <c r="K6" s="673">
        <f t="shared" si="0"/>
        <v>8</v>
      </c>
      <c r="L6" s="673">
        <f t="shared" si="0"/>
        <v>9</v>
      </c>
      <c r="M6" s="673"/>
      <c r="N6" s="673"/>
      <c r="O6" s="673"/>
      <c r="P6" s="673">
        <f>+L6+1</f>
        <v>10</v>
      </c>
      <c r="Q6" s="673">
        <f t="shared" si="0"/>
        <v>11</v>
      </c>
      <c r="R6" s="673">
        <f t="shared" si="0"/>
        <v>12</v>
      </c>
      <c r="S6" s="673">
        <f t="shared" si="0"/>
        <v>13</v>
      </c>
      <c r="T6" s="673">
        <f t="shared" si="0"/>
        <v>14</v>
      </c>
      <c r="U6" s="673">
        <f t="shared" si="0"/>
        <v>15</v>
      </c>
      <c r="V6" s="673">
        <f t="shared" si="0"/>
        <v>16</v>
      </c>
      <c r="W6" s="673">
        <f t="shared" si="0"/>
        <v>17</v>
      </c>
      <c r="X6" s="673" t="s">
        <v>338</v>
      </c>
      <c r="Y6" s="673">
        <f>+W6+1</f>
        <v>18</v>
      </c>
      <c r="Z6" s="673">
        <f>+Y6+1</f>
        <v>19</v>
      </c>
      <c r="AA6" s="673">
        <f t="shared" si="0"/>
        <v>20</v>
      </c>
      <c r="AB6" s="673">
        <f t="shared" si="0"/>
        <v>21</v>
      </c>
      <c r="AC6" s="673">
        <f t="shared" si="0"/>
        <v>22</v>
      </c>
      <c r="AD6" s="673">
        <f t="shared" si="0"/>
        <v>23</v>
      </c>
      <c r="AE6" s="720">
        <f t="shared" si="0"/>
        <v>24</v>
      </c>
      <c r="AF6" s="674">
        <f t="shared" si="0"/>
        <v>25</v>
      </c>
      <c r="AG6" s="673">
        <f t="shared" si="0"/>
        <v>26</v>
      </c>
      <c r="AH6" s="673">
        <f t="shared" si="0"/>
        <v>27</v>
      </c>
      <c r="AI6" s="673">
        <f t="shared" si="0"/>
        <v>28</v>
      </c>
      <c r="AJ6" s="673">
        <f t="shared" si="0"/>
        <v>29</v>
      </c>
      <c r="AK6" s="673">
        <f t="shared" si="0"/>
        <v>30</v>
      </c>
      <c r="AL6" s="774">
        <f t="shared" si="0"/>
        <v>31</v>
      </c>
      <c r="AM6" s="673">
        <f t="shared" si="0"/>
        <v>32</v>
      </c>
      <c r="AN6" s="774">
        <f>+AM6+1</f>
        <v>33</v>
      </c>
      <c r="AO6" s="673">
        <f t="shared" si="0"/>
        <v>34</v>
      </c>
      <c r="AP6" s="673">
        <f>+AO6+1</f>
        <v>35</v>
      </c>
      <c r="AQ6" s="673">
        <f t="shared" si="0"/>
        <v>36</v>
      </c>
      <c r="AR6" s="673">
        <f t="shared" si="0"/>
        <v>37</v>
      </c>
      <c r="AS6" s="673">
        <f t="shared" si="0"/>
        <v>38</v>
      </c>
      <c r="AT6" s="673">
        <f t="shared" si="0"/>
        <v>39</v>
      </c>
      <c r="AU6" s="673">
        <f t="shared" si="0"/>
        <v>40</v>
      </c>
      <c r="AV6" s="25">
        <v>0.15</v>
      </c>
      <c r="AW6" s="25">
        <v>0.1</v>
      </c>
    </row>
    <row r="7" spans="1:54" x14ac:dyDescent="0.3">
      <c r="C7" s="661"/>
      <c r="D7" s="29"/>
      <c r="E7" s="27"/>
      <c r="F7" s="28"/>
      <c r="G7" s="29"/>
      <c r="H7" s="775"/>
      <c r="I7" s="33"/>
      <c r="J7" s="33"/>
      <c r="K7" s="33"/>
      <c r="L7" s="33"/>
      <c r="M7" s="33"/>
      <c r="N7" s="33"/>
      <c r="O7" s="33"/>
      <c r="P7" s="33"/>
      <c r="Q7" s="33"/>
      <c r="R7" s="33"/>
      <c r="S7" s="33"/>
      <c r="T7" s="33"/>
      <c r="U7" s="33"/>
      <c r="V7" s="33"/>
      <c r="W7" s="33"/>
      <c r="X7" s="33"/>
      <c r="Y7" s="33"/>
      <c r="Z7" s="31"/>
      <c r="AA7" s="31"/>
      <c r="AB7" s="32"/>
      <c r="AC7" s="32"/>
      <c r="AD7" s="719"/>
      <c r="AE7" s="721"/>
      <c r="AF7" s="66"/>
      <c r="AG7" s="66"/>
      <c r="AH7" s="66"/>
      <c r="AI7" s="66"/>
      <c r="AJ7" s="66"/>
      <c r="AK7" s="66"/>
      <c r="AL7" s="787"/>
      <c r="AM7" s="66"/>
      <c r="AN7" s="787"/>
      <c r="AO7" s="66"/>
      <c r="AP7" s="66"/>
      <c r="AQ7" s="66"/>
      <c r="AR7" s="66"/>
      <c r="AS7" s="66"/>
      <c r="AT7" s="66"/>
      <c r="AU7" s="66"/>
      <c r="AV7" s="20"/>
    </row>
    <row r="8" spans="1:54" ht="63" customHeight="1" x14ac:dyDescent="0.3">
      <c r="C8" s="712" t="s">
        <v>1301</v>
      </c>
      <c r="D8" s="29">
        <v>1</v>
      </c>
      <c r="E8" s="27" t="str">
        <f>'UID application COMBINE Mc list'!B23</f>
        <v xml:space="preserve">Two-for-one Twister operating at the speed of 8000 rpm with cradle, drop wires and overfeed system. </v>
      </c>
      <c r="F8" s="28" t="s">
        <v>649</v>
      </c>
      <c r="G8" s="29">
        <f>'UID application COMBINE Mc list'!D23</f>
        <v>48</v>
      </c>
      <c r="H8" s="775">
        <f>'UID application COMBINE Mc list'!H23</f>
        <v>187920000.00000003</v>
      </c>
      <c r="I8" s="713" t="s">
        <v>1211</v>
      </c>
      <c r="J8" s="33" t="s">
        <v>649</v>
      </c>
      <c r="K8" s="33">
        <f>SUM(K10:K13)</f>
        <v>48</v>
      </c>
      <c r="L8" s="33" t="s">
        <v>347</v>
      </c>
      <c r="M8" s="717">
        <f>SUM(M10:M13)</f>
        <v>2132000</v>
      </c>
      <c r="N8" s="919">
        <v>88.1</v>
      </c>
      <c r="O8" s="919">
        <f>2132000*N8</f>
        <v>187829200</v>
      </c>
      <c r="P8" s="712" t="s">
        <v>1301</v>
      </c>
      <c r="Q8" s="33" t="s">
        <v>649</v>
      </c>
      <c r="R8" s="33" t="s">
        <v>649</v>
      </c>
      <c r="S8" s="33" t="s">
        <v>649</v>
      </c>
      <c r="T8" s="922"/>
      <c r="U8" s="33"/>
      <c r="V8" s="918"/>
      <c r="W8" s="33"/>
      <c r="X8" s="747"/>
      <c r="Y8" s="715" t="s">
        <v>379</v>
      </c>
      <c r="AG8" s="15" t="s">
        <v>1415</v>
      </c>
      <c r="AH8" s="188" t="s">
        <v>1416</v>
      </c>
      <c r="AI8" s="103" t="s">
        <v>1411</v>
      </c>
      <c r="AJ8" s="103"/>
      <c r="AK8" s="103"/>
      <c r="AM8" s="103">
        <f>AN8/99100</f>
        <v>88.01</v>
      </c>
      <c r="AN8" s="788">
        <v>8721791</v>
      </c>
      <c r="AO8" s="103" t="s">
        <v>1321</v>
      </c>
      <c r="AP8" s="103" t="s">
        <v>1308</v>
      </c>
      <c r="AQ8" s="103" t="s">
        <v>1309</v>
      </c>
      <c r="AR8" s="103" t="s">
        <v>1310</v>
      </c>
      <c r="AS8" s="716"/>
      <c r="AT8" s="716"/>
      <c r="AU8" s="103" t="s">
        <v>1311</v>
      </c>
      <c r="AV8" s="20"/>
    </row>
    <row r="9" spans="1:54" ht="63" customHeight="1" x14ac:dyDescent="0.3">
      <c r="C9" s="925"/>
      <c r="D9" s="29"/>
      <c r="E9" s="27"/>
      <c r="F9" s="28"/>
      <c r="G9" s="29"/>
      <c r="H9" s="775"/>
      <c r="I9" s="926"/>
      <c r="J9" s="33"/>
      <c r="K9" s="33"/>
      <c r="L9" s="33"/>
      <c r="M9" s="717"/>
      <c r="N9" s="919"/>
      <c r="O9" s="919"/>
      <c r="P9" s="925"/>
      <c r="Q9" s="33"/>
      <c r="R9" s="33"/>
      <c r="S9" s="33"/>
      <c r="T9" s="922"/>
      <c r="U9" s="33"/>
      <c r="V9" s="715"/>
      <c r="W9" s="33"/>
      <c r="X9" s="747"/>
      <c r="Y9" s="715"/>
      <c r="AG9" s="15" t="s">
        <v>1587</v>
      </c>
      <c r="AH9" s="858"/>
      <c r="AI9" s="103"/>
      <c r="AJ9" s="103"/>
      <c r="AK9" s="103"/>
      <c r="AM9" s="103">
        <f>AN9/198200</f>
        <v>89.6</v>
      </c>
      <c r="AN9" s="788">
        <v>17758720</v>
      </c>
      <c r="AO9" s="103" t="s">
        <v>1322</v>
      </c>
      <c r="AP9" s="103" t="s">
        <v>1308</v>
      </c>
      <c r="AQ9" s="103" t="s">
        <v>1309</v>
      </c>
      <c r="AR9" s="103" t="s">
        <v>1310</v>
      </c>
      <c r="AS9" s="103"/>
      <c r="AT9" s="103"/>
      <c r="AU9" s="103" t="s">
        <v>1311</v>
      </c>
      <c r="AV9" s="20"/>
      <c r="AW9" s="13" t="s">
        <v>1593</v>
      </c>
      <c r="AX9" s="13" t="s">
        <v>1594</v>
      </c>
    </row>
    <row r="10" spans="1:54" ht="57" customHeight="1" x14ac:dyDescent="0.3">
      <c r="C10" s="661"/>
      <c r="D10" s="29"/>
      <c r="E10" s="27"/>
      <c r="F10" s="28"/>
      <c r="G10" s="29"/>
      <c r="H10" s="775"/>
      <c r="I10" s="33"/>
      <c r="J10" s="33"/>
      <c r="K10" s="33">
        <v>16</v>
      </c>
      <c r="L10" s="33" t="s">
        <v>347</v>
      </c>
      <c r="M10" s="33">
        <f>AL10</f>
        <v>710666.67</v>
      </c>
      <c r="N10" s="921">
        <f>N8</f>
        <v>88.1</v>
      </c>
      <c r="O10" s="919">
        <f>M10*N10</f>
        <v>62609733.626999997</v>
      </c>
      <c r="P10" s="33"/>
      <c r="Q10" s="33"/>
      <c r="R10" s="33"/>
      <c r="S10" s="33"/>
      <c r="T10" s="923">
        <v>2021</v>
      </c>
      <c r="U10" s="920" t="s">
        <v>1304</v>
      </c>
      <c r="V10" s="920" t="s">
        <v>1583</v>
      </c>
      <c r="W10" s="920" t="s">
        <v>1581</v>
      </c>
      <c r="X10" s="924">
        <v>84453090</v>
      </c>
      <c r="Y10" s="33"/>
      <c r="Z10" s="32" t="s">
        <v>1303</v>
      </c>
      <c r="AA10" s="32" t="s">
        <v>1305</v>
      </c>
      <c r="AB10" s="32" t="s">
        <v>889</v>
      </c>
      <c r="AC10" s="714" t="s">
        <v>889</v>
      </c>
      <c r="AD10" s="719" t="s">
        <v>1306</v>
      </c>
      <c r="AE10" s="722" t="s">
        <v>649</v>
      </c>
      <c r="AF10" s="262" t="s">
        <v>1317</v>
      </c>
      <c r="AG10" s="1283" t="s">
        <v>1302</v>
      </c>
      <c r="AH10" s="792" t="s">
        <v>1419</v>
      </c>
      <c r="AI10" s="103" t="s">
        <v>1411</v>
      </c>
      <c r="AJ10" s="103"/>
      <c r="AK10" s="103"/>
      <c r="AL10" s="788">
        <v>710666.67</v>
      </c>
      <c r="AM10" s="103">
        <f>AN10/611566.67</f>
        <v>85.319999534964836</v>
      </c>
      <c r="AN10" s="788">
        <v>52178868</v>
      </c>
      <c r="AO10" s="103" t="s">
        <v>1323</v>
      </c>
      <c r="AP10" s="103" t="s">
        <v>1323</v>
      </c>
      <c r="AQ10" s="103" t="s">
        <v>1191</v>
      </c>
      <c r="AR10" s="103" t="s">
        <v>1310</v>
      </c>
      <c r="AS10" s="103"/>
      <c r="AT10" s="103"/>
      <c r="AU10" s="103" t="s">
        <v>1312</v>
      </c>
      <c r="AV10" s="20"/>
      <c r="AW10" s="13">
        <f>AN10</f>
        <v>52178868</v>
      </c>
      <c r="BB10" s="13" t="s">
        <v>1319</v>
      </c>
    </row>
    <row r="11" spans="1:54" ht="37.5" customHeight="1" x14ac:dyDescent="0.3">
      <c r="C11" s="661"/>
      <c r="D11" s="29"/>
      <c r="E11" s="27"/>
      <c r="F11" s="28"/>
      <c r="G11" s="29"/>
      <c r="H11" s="775"/>
      <c r="I11" s="33"/>
      <c r="J11" s="33"/>
      <c r="K11" s="33">
        <v>16</v>
      </c>
      <c r="L11" s="33" t="s">
        <v>347</v>
      </c>
      <c r="M11" s="33">
        <f>AL11</f>
        <v>710666.67</v>
      </c>
      <c r="N11" s="921">
        <f>N10</f>
        <v>88.1</v>
      </c>
      <c r="O11" s="919">
        <f>M11*N11</f>
        <v>62609733.626999997</v>
      </c>
      <c r="P11" s="33"/>
      <c r="Q11" s="33"/>
      <c r="R11" s="33"/>
      <c r="S11" s="33"/>
      <c r="T11" s="923">
        <v>2021</v>
      </c>
      <c r="U11" s="920" t="s">
        <v>1304</v>
      </c>
      <c r="V11" s="920" t="s">
        <v>1584</v>
      </c>
      <c r="W11" s="920" t="s">
        <v>1581</v>
      </c>
      <c r="X11" s="924">
        <v>84453090</v>
      </c>
      <c r="Y11" s="33"/>
      <c r="Z11" s="32" t="s">
        <v>1314</v>
      </c>
      <c r="AA11" s="718">
        <v>6183154</v>
      </c>
      <c r="AB11" s="32" t="s">
        <v>889</v>
      </c>
      <c r="AC11" s="714" t="s">
        <v>889</v>
      </c>
      <c r="AD11" s="719" t="s">
        <v>1306</v>
      </c>
      <c r="AE11" s="722" t="s">
        <v>649</v>
      </c>
      <c r="AF11" s="262" t="s">
        <v>1317</v>
      </c>
      <c r="AG11" s="1283"/>
      <c r="AH11" s="792" t="s">
        <v>1417</v>
      </c>
      <c r="AI11" s="103"/>
      <c r="AJ11" s="103"/>
      <c r="AK11" s="103"/>
      <c r="AL11" s="788">
        <v>710666.67</v>
      </c>
      <c r="AM11" s="103">
        <f>AN11/611566.67</f>
        <v>85.194999263122028</v>
      </c>
      <c r="AN11" s="788">
        <v>52102422</v>
      </c>
      <c r="AO11" s="103" t="s">
        <v>1308</v>
      </c>
      <c r="AP11" s="103" t="s">
        <v>1308</v>
      </c>
      <c r="AQ11" s="103" t="s">
        <v>1191</v>
      </c>
      <c r="AR11" s="103" t="s">
        <v>1310</v>
      </c>
      <c r="AS11" s="103"/>
      <c r="AT11" s="103"/>
      <c r="AU11" s="103" t="s">
        <v>1312</v>
      </c>
      <c r="AV11" s="20"/>
    </row>
    <row r="12" spans="1:54" ht="45" customHeight="1" x14ac:dyDescent="0.3">
      <c r="C12" s="661"/>
      <c r="D12" s="29"/>
      <c r="E12" s="27"/>
      <c r="F12" s="28"/>
      <c r="G12" s="29"/>
      <c r="H12" s="775"/>
      <c r="I12" s="33"/>
      <c r="J12" s="33"/>
      <c r="K12" s="33">
        <v>8</v>
      </c>
      <c r="L12" s="33" t="s">
        <v>347</v>
      </c>
      <c r="M12" s="33">
        <f>AL12</f>
        <v>355333.33</v>
      </c>
      <c r="N12" s="921">
        <f>N11</f>
        <v>88.1</v>
      </c>
      <c r="O12" s="919">
        <f>M12*N12</f>
        <v>31304866.373</v>
      </c>
      <c r="P12" s="33"/>
      <c r="Q12" s="33"/>
      <c r="R12" s="33"/>
      <c r="S12" s="33"/>
      <c r="T12" s="923">
        <v>2021</v>
      </c>
      <c r="U12" s="920" t="s">
        <v>1304</v>
      </c>
      <c r="V12" s="920" t="s">
        <v>1585</v>
      </c>
      <c r="W12" s="920" t="s">
        <v>1581</v>
      </c>
      <c r="X12" s="924">
        <v>84453090</v>
      </c>
      <c r="Y12" s="33"/>
      <c r="Z12" s="32" t="s">
        <v>1315</v>
      </c>
      <c r="AA12" s="718">
        <v>5916588</v>
      </c>
      <c r="AB12" s="32" t="s">
        <v>889</v>
      </c>
      <c r="AC12" s="714" t="s">
        <v>889</v>
      </c>
      <c r="AD12" s="719" t="s">
        <v>1306</v>
      </c>
      <c r="AE12" s="722" t="s">
        <v>649</v>
      </c>
      <c r="AF12" s="262" t="s">
        <v>1318</v>
      </c>
      <c r="AG12" s="1283"/>
      <c r="AH12" s="792" t="s">
        <v>1418</v>
      </c>
      <c r="AI12" s="103"/>
      <c r="AJ12" s="103"/>
      <c r="AK12" s="103"/>
      <c r="AL12" s="788">
        <v>355333.33</v>
      </c>
      <c r="AM12" s="103">
        <f>AN12/305783.33</f>
        <v>87.499998773641451</v>
      </c>
      <c r="AN12" s="788">
        <f>26756041</f>
        <v>26756041</v>
      </c>
      <c r="AO12" s="103" t="s">
        <v>1307</v>
      </c>
      <c r="AP12" s="103" t="s">
        <v>1307</v>
      </c>
      <c r="AQ12" s="103" t="s">
        <v>1191</v>
      </c>
      <c r="AR12" s="103" t="s">
        <v>1310</v>
      </c>
      <c r="AS12" s="103"/>
      <c r="AT12" s="103"/>
      <c r="AU12" s="103" t="s">
        <v>1312</v>
      </c>
      <c r="AV12" s="20"/>
    </row>
    <row r="13" spans="1:54" ht="57.75" customHeight="1" x14ac:dyDescent="0.3">
      <c r="C13" s="661"/>
      <c r="D13" s="29"/>
      <c r="E13" s="27"/>
      <c r="F13" s="28"/>
      <c r="G13" s="29"/>
      <c r="H13" s="775"/>
      <c r="I13" s="33"/>
      <c r="J13" s="33"/>
      <c r="K13" s="33">
        <v>8</v>
      </c>
      <c r="L13" s="33" t="s">
        <v>347</v>
      </c>
      <c r="M13" s="33">
        <f>AL13</f>
        <v>355333.33</v>
      </c>
      <c r="N13" s="921">
        <f>N12</f>
        <v>88.1</v>
      </c>
      <c r="O13" s="919">
        <f>M13*N13</f>
        <v>31304866.373</v>
      </c>
      <c r="P13" s="33"/>
      <c r="Q13" s="33"/>
      <c r="R13" s="33"/>
      <c r="S13" s="33"/>
      <c r="T13" s="923">
        <v>2021</v>
      </c>
      <c r="U13" s="920" t="s">
        <v>1304</v>
      </c>
      <c r="V13" s="920" t="s">
        <v>1586</v>
      </c>
      <c r="W13" s="920" t="s">
        <v>1581</v>
      </c>
      <c r="X13" s="924">
        <v>84453090</v>
      </c>
      <c r="Y13" s="33"/>
      <c r="Z13" s="32" t="s">
        <v>1316</v>
      </c>
      <c r="AA13" s="718">
        <v>5992086</v>
      </c>
      <c r="AB13" s="32" t="s">
        <v>889</v>
      </c>
      <c r="AC13" s="714" t="s">
        <v>889</v>
      </c>
      <c r="AD13" s="719" t="s">
        <v>1306</v>
      </c>
      <c r="AE13" s="722" t="s">
        <v>649</v>
      </c>
      <c r="AF13" s="262" t="s">
        <v>1320</v>
      </c>
      <c r="AG13" s="1283"/>
      <c r="AH13" s="792" t="s">
        <v>1418</v>
      </c>
      <c r="AI13" s="103"/>
      <c r="AJ13" s="103"/>
      <c r="AK13" s="103"/>
      <c r="AL13" s="788">
        <f>AL12</f>
        <v>355333.33</v>
      </c>
      <c r="AM13" s="103">
        <f>AN13/305783.33</f>
        <v>87.499998773641451</v>
      </c>
      <c r="AN13" s="788">
        <f>26756041</f>
        <v>26756041</v>
      </c>
      <c r="AO13" s="103" t="s">
        <v>1307</v>
      </c>
      <c r="AP13" s="103" t="s">
        <v>1307</v>
      </c>
      <c r="AQ13" s="103" t="s">
        <v>1191</v>
      </c>
      <c r="AR13" s="103" t="s">
        <v>1310</v>
      </c>
      <c r="AS13" s="103"/>
      <c r="AT13" s="103"/>
      <c r="AU13" s="103" t="s">
        <v>1312</v>
      </c>
      <c r="AV13" s="13"/>
    </row>
    <row r="14" spans="1:54" x14ac:dyDescent="0.3">
      <c r="C14" s="661"/>
      <c r="D14" s="29"/>
      <c r="E14" s="27"/>
      <c r="F14" s="28"/>
      <c r="G14" s="29"/>
      <c r="H14" s="775"/>
      <c r="I14" s="33"/>
      <c r="J14" s="33"/>
      <c r="K14" s="33"/>
      <c r="L14" s="33"/>
      <c r="M14" s="33"/>
      <c r="N14" s="33"/>
      <c r="O14" s="33"/>
      <c r="P14" s="33"/>
      <c r="Q14" s="33"/>
      <c r="R14" s="33"/>
      <c r="S14" s="33"/>
      <c r="T14" s="33"/>
      <c r="U14" s="33"/>
      <c r="V14" s="33"/>
      <c r="W14" s="33"/>
      <c r="X14" s="33"/>
      <c r="Y14" s="33"/>
      <c r="Z14" s="31"/>
      <c r="AA14" s="31"/>
      <c r="AB14" s="32"/>
      <c r="AC14" s="32"/>
      <c r="AD14" s="73"/>
      <c r="AE14" s="59"/>
      <c r="AF14" s="149"/>
      <c r="AG14" s="103"/>
      <c r="AI14" s="103"/>
      <c r="AJ14" s="103"/>
      <c r="AK14" s="103"/>
      <c r="AL14" s="788"/>
      <c r="AM14" s="103"/>
      <c r="AN14" s="788"/>
      <c r="AO14" s="103"/>
      <c r="AP14" s="103"/>
      <c r="AQ14" s="103"/>
      <c r="AR14" s="103"/>
      <c r="AS14" s="103"/>
      <c r="AT14" s="103"/>
      <c r="AU14" s="103"/>
      <c r="AV14" s="20"/>
    </row>
    <row r="15" spans="1:54" x14ac:dyDescent="0.3">
      <c r="C15" s="725"/>
      <c r="D15" s="726"/>
      <c r="E15" s="727"/>
      <c r="F15" s="728"/>
      <c r="G15" s="726"/>
      <c r="H15" s="760">
        <f>SUM(H8:H13)</f>
        <v>187920000.00000003</v>
      </c>
      <c r="I15" s="730"/>
      <c r="J15" s="730"/>
      <c r="K15" s="730"/>
      <c r="L15" s="730"/>
      <c r="M15" s="730"/>
      <c r="N15" s="730"/>
      <c r="O15" s="729">
        <f>SUM(O8:O13)</f>
        <v>375658400.00000006</v>
      </c>
      <c r="P15" s="730"/>
      <c r="Q15" s="730"/>
      <c r="R15" s="730"/>
      <c r="S15" s="730"/>
      <c r="T15" s="730"/>
      <c r="U15" s="730"/>
      <c r="V15" s="730"/>
      <c r="W15" s="730"/>
      <c r="X15" s="730"/>
      <c r="Y15" s="730"/>
      <c r="Z15" s="731"/>
      <c r="AA15" s="731"/>
      <c r="AB15" s="732"/>
      <c r="AC15" s="732"/>
      <c r="AD15" s="733"/>
      <c r="AE15" s="734"/>
      <c r="AF15" s="735"/>
      <c r="AG15" s="736"/>
      <c r="AH15" s="736"/>
      <c r="AI15" s="736"/>
      <c r="AJ15" s="736"/>
      <c r="AK15" s="736"/>
      <c r="AL15" s="760">
        <f>SUM(AL10:AL13)</f>
        <v>2132000</v>
      </c>
      <c r="AM15" s="736"/>
      <c r="AN15" s="760">
        <f>SUM(AN8:AN13)</f>
        <v>184273883</v>
      </c>
      <c r="AO15" s="736"/>
      <c r="AP15" s="736"/>
      <c r="AQ15" s="736"/>
      <c r="AR15" s="736"/>
      <c r="AS15" s="736"/>
      <c r="AT15" s="736"/>
      <c r="AU15" s="736"/>
      <c r="AV15" s="737"/>
      <c r="AW15" s="738"/>
    </row>
    <row r="16" spans="1:54" ht="19.5" customHeight="1" thickBot="1" x14ac:dyDescent="0.35">
      <c r="C16" s="69"/>
      <c r="D16" s="36"/>
      <c r="E16" s="35"/>
      <c r="F16" s="35"/>
      <c r="G16" s="36"/>
      <c r="H16" s="243"/>
      <c r="I16" s="35"/>
      <c r="J16" s="35"/>
      <c r="K16" s="36"/>
      <c r="L16" s="243"/>
      <c r="M16" s="243"/>
      <c r="N16" s="243"/>
      <c r="O16" s="243"/>
      <c r="P16" s="35"/>
      <c r="Q16" s="36"/>
      <c r="R16" s="36"/>
      <c r="S16" s="36"/>
      <c r="T16" s="247"/>
      <c r="U16" s="35"/>
      <c r="V16" s="35"/>
      <c r="W16" s="35"/>
      <c r="X16" s="35"/>
      <c r="Y16" s="35"/>
      <c r="Z16" s="36"/>
      <c r="AA16" s="36"/>
      <c r="AB16" s="252"/>
      <c r="AC16" s="252"/>
      <c r="AD16" s="34"/>
      <c r="AE16" s="723"/>
      <c r="AF16" s="724"/>
      <c r="AG16" s="70"/>
      <c r="AH16" s="36"/>
      <c r="AI16" s="250"/>
      <c r="AJ16" s="70"/>
      <c r="AK16" s="70"/>
      <c r="AL16" s="789"/>
      <c r="AM16" s="253"/>
      <c r="AN16" s="757"/>
      <c r="AO16" s="79"/>
      <c r="AP16" s="79"/>
      <c r="AQ16" s="70"/>
      <c r="AR16" s="70"/>
      <c r="AS16" s="70"/>
      <c r="AT16" s="70"/>
      <c r="AU16" s="70"/>
      <c r="AV16" s="55"/>
      <c r="AW16" s="17"/>
    </row>
    <row r="17" spans="3:50" ht="88.5" customHeight="1" thickBot="1" x14ac:dyDescent="0.35">
      <c r="C17" s="712" t="s">
        <v>1324</v>
      </c>
      <c r="D17" s="36">
        <v>2</v>
      </c>
      <c r="E17" s="35" t="str">
        <f>'UID application COMBINE Mc list'!B24</f>
        <v>Air Jet Loom without Build in Air Compressor with  Weft Insertion Rate (WIR) not less than 1200 mtrs per minutes without Electronic Dobby / Electronic Jacquard.</v>
      </c>
      <c r="F17" s="35" t="s">
        <v>649</v>
      </c>
      <c r="G17" s="36">
        <f>'UID application COMBINE Mc list'!D24</f>
        <v>240</v>
      </c>
      <c r="H17" s="243">
        <f>'UID application COMBINE Mc list'!H24</f>
        <v>994464000</v>
      </c>
      <c r="I17" s="119" t="str">
        <f>E17</f>
        <v>Air Jet Loom without Build in Air Compressor with  Weft Insertion Rate (WIR) not less than 1200 mtrs per minutes without Electronic Dobby / Electronic Jacquard.</v>
      </c>
      <c r="J17" s="119" t="s">
        <v>649</v>
      </c>
      <c r="K17" s="188">
        <f>SUM(K18:K25)</f>
        <v>239</v>
      </c>
      <c r="L17" s="739" t="s">
        <v>347</v>
      </c>
      <c r="M17" s="739">
        <f>SUM(M18:M25)</f>
        <v>11003824</v>
      </c>
      <c r="N17" s="739">
        <f>O17/M17</f>
        <v>87.01158480906274</v>
      </c>
      <c r="O17" s="739">
        <f>SUM(O18:O25)</f>
        <v>957460165.19999993</v>
      </c>
      <c r="P17" s="712" t="s">
        <v>1324</v>
      </c>
      <c r="Q17" s="188" t="s">
        <v>649</v>
      </c>
      <c r="R17" s="188" t="s">
        <v>649</v>
      </c>
      <c r="S17" s="188" t="s">
        <v>649</v>
      </c>
      <c r="T17" s="753"/>
      <c r="U17" s="149"/>
      <c r="V17" s="149"/>
      <c r="W17" s="149"/>
      <c r="X17" s="748">
        <v>84463090</v>
      </c>
      <c r="Y17" s="149"/>
      <c r="Z17" s="149"/>
      <c r="AA17" s="149"/>
      <c r="AB17" s="754" t="s">
        <v>888</v>
      </c>
      <c r="AC17" s="741" t="s">
        <v>888</v>
      </c>
      <c r="AD17" s="719" t="s">
        <v>1306</v>
      </c>
      <c r="AE17" s="722" t="s">
        <v>649</v>
      </c>
      <c r="AG17" s="1250" t="s">
        <v>1328</v>
      </c>
      <c r="AH17" s="188" t="s">
        <v>649</v>
      </c>
      <c r="AI17" s="188" t="s">
        <v>649</v>
      </c>
      <c r="AJ17" s="256"/>
      <c r="AK17" s="256"/>
      <c r="AL17" s="758" t="s">
        <v>1364</v>
      </c>
      <c r="AM17" s="911">
        <f>AN17/11003824</f>
        <v>85.576572017146034</v>
      </c>
      <c r="AN17" s="913">
        <f>SUM(AN18:AN25)</f>
        <v>941669537</v>
      </c>
      <c r="AO17" s="745"/>
      <c r="AP17" s="745"/>
      <c r="AQ17" s="256" t="s">
        <v>1371</v>
      </c>
      <c r="AR17" s="255" t="s">
        <v>1310</v>
      </c>
      <c r="AS17" s="256"/>
      <c r="AT17" s="256"/>
      <c r="AU17" s="256"/>
      <c r="AV17" s="55"/>
      <c r="AW17" s="17"/>
    </row>
    <row r="18" spans="3:50" ht="88.5" customHeight="1" x14ac:dyDescent="0.3">
      <c r="C18" s="750"/>
      <c r="D18" s="188"/>
      <c r="E18" s="119"/>
      <c r="F18" s="119"/>
      <c r="G18" s="188"/>
      <c r="H18" s="739"/>
      <c r="I18" s="119"/>
      <c r="J18" s="119"/>
      <c r="K18" s="188">
        <v>45</v>
      </c>
      <c r="L18" s="739" t="s">
        <v>347</v>
      </c>
      <c r="M18" s="739">
        <v>2061008</v>
      </c>
      <c r="N18" s="739">
        <v>88.45</v>
      </c>
      <c r="O18" s="755">
        <f>M18*N18</f>
        <v>182296157.59999999</v>
      </c>
      <c r="P18" s="756"/>
      <c r="Q18" s="188"/>
      <c r="R18" s="188"/>
      <c r="S18" s="188"/>
      <c r="T18" s="740"/>
      <c r="U18" s="119" t="s">
        <v>1325</v>
      </c>
      <c r="V18" s="746" t="s">
        <v>1326</v>
      </c>
      <c r="W18" s="119"/>
      <c r="X18" s="748">
        <v>84463090</v>
      </c>
      <c r="Y18" s="119"/>
      <c r="Z18" s="188" t="s">
        <v>1327</v>
      </c>
      <c r="AA18" s="188" t="s">
        <v>1348</v>
      </c>
      <c r="AB18" s="741" t="s">
        <v>888</v>
      </c>
      <c r="AC18" s="741" t="s">
        <v>888</v>
      </c>
      <c r="AD18" s="751"/>
      <c r="AE18" s="752"/>
      <c r="AF18" s="742" t="s">
        <v>1329</v>
      </c>
      <c r="AG18" s="1251"/>
      <c r="AH18" s="792" t="s">
        <v>1414</v>
      </c>
      <c r="AI18" s="743"/>
      <c r="AJ18" s="256"/>
      <c r="AK18" s="256"/>
      <c r="AL18" s="757" t="s">
        <v>1330</v>
      </c>
      <c r="AM18" s="744">
        <f>AN18/2061000</f>
        <v>86.35</v>
      </c>
      <c r="AN18" s="912">
        <v>177967350</v>
      </c>
      <c r="AO18" s="745" t="s">
        <v>1365</v>
      </c>
      <c r="AP18" s="745" t="str">
        <f>AO18</f>
        <v>27.09.2021</v>
      </c>
      <c r="AQ18" s="1226" t="s">
        <v>1371</v>
      </c>
      <c r="AR18" s="1249" t="s">
        <v>1310</v>
      </c>
      <c r="AS18" s="256"/>
      <c r="AT18" s="256"/>
      <c r="AU18" s="256" t="s">
        <v>1372</v>
      </c>
      <c r="AV18" s="55"/>
      <c r="AW18" s="17"/>
      <c r="AX18" s="13" t="s">
        <v>1334</v>
      </c>
    </row>
    <row r="19" spans="3:50" ht="52.8" x14ac:dyDescent="0.3">
      <c r="C19" s="69"/>
      <c r="D19" s="188"/>
      <c r="E19" s="119"/>
      <c r="F19" s="119"/>
      <c r="G19" s="188"/>
      <c r="H19" s="739"/>
      <c r="I19" s="119"/>
      <c r="J19" s="119"/>
      <c r="K19" s="188">
        <v>45</v>
      </c>
      <c r="L19" s="739" t="s">
        <v>347</v>
      </c>
      <c r="M19" s="739">
        <v>2061008</v>
      </c>
      <c r="N19" s="739">
        <v>88.1</v>
      </c>
      <c r="O19" s="739">
        <f t="shared" ref="O19:O25" si="1">M19*N19</f>
        <v>181574804.79999998</v>
      </c>
      <c r="P19" s="119"/>
      <c r="Q19" s="188"/>
      <c r="R19" s="188"/>
      <c r="S19" s="188"/>
      <c r="T19" s="740"/>
      <c r="U19" s="119" t="s">
        <v>1325</v>
      </c>
      <c r="V19" s="119" t="s">
        <v>1332</v>
      </c>
      <c r="W19" s="119"/>
      <c r="X19" s="748">
        <v>84463090</v>
      </c>
      <c r="Y19" s="119"/>
      <c r="Z19" s="188" t="s">
        <v>1331</v>
      </c>
      <c r="AA19" s="188" t="s">
        <v>1347</v>
      </c>
      <c r="AB19" s="741" t="s">
        <v>888</v>
      </c>
      <c r="AC19" s="741" t="s">
        <v>888</v>
      </c>
      <c r="AD19" s="116"/>
      <c r="AE19" s="742"/>
      <c r="AF19" s="742" t="s">
        <v>1333</v>
      </c>
      <c r="AG19" s="1251"/>
      <c r="AH19" s="792" t="s">
        <v>1421</v>
      </c>
      <c r="AI19" s="743"/>
      <c r="AJ19" s="256"/>
      <c r="AK19" s="256"/>
      <c r="AL19" s="757" t="s">
        <v>1330</v>
      </c>
      <c r="AM19" s="744">
        <f>AN19/2061000</f>
        <v>87.177999999999997</v>
      </c>
      <c r="AN19" s="757">
        <v>179673858</v>
      </c>
      <c r="AO19" s="745" t="s">
        <v>1366</v>
      </c>
      <c r="AP19" s="745" t="str">
        <f>AO19</f>
        <v>21.10.2021</v>
      </c>
      <c r="AQ19" s="1249"/>
      <c r="AR19" s="1249"/>
      <c r="AS19" s="256"/>
      <c r="AT19" s="256"/>
      <c r="AU19" s="256" t="s">
        <v>1372</v>
      </c>
      <c r="AV19" s="55"/>
      <c r="AW19" s="17"/>
      <c r="AX19" s="13" t="s">
        <v>1346</v>
      </c>
    </row>
    <row r="20" spans="3:50" ht="52.8" x14ac:dyDescent="0.3">
      <c r="C20" s="69"/>
      <c r="D20" s="188"/>
      <c r="E20" s="119"/>
      <c r="F20" s="119"/>
      <c r="G20" s="188"/>
      <c r="H20" s="739"/>
      <c r="I20" s="119"/>
      <c r="J20" s="119"/>
      <c r="K20" s="188">
        <v>45</v>
      </c>
      <c r="L20" s="739" t="s">
        <v>347</v>
      </c>
      <c r="M20" s="739">
        <v>2061008</v>
      </c>
      <c r="N20" s="739">
        <v>86.6</v>
      </c>
      <c r="O20" s="739">
        <f t="shared" si="1"/>
        <v>178483292.79999998</v>
      </c>
      <c r="P20" s="119"/>
      <c r="Q20" s="188"/>
      <c r="R20" s="188"/>
      <c r="S20" s="188"/>
      <c r="T20" s="740"/>
      <c r="U20" s="119" t="s">
        <v>1325</v>
      </c>
      <c r="V20" s="119" t="s">
        <v>1336</v>
      </c>
      <c r="W20" s="119"/>
      <c r="X20" s="748">
        <v>84463090</v>
      </c>
      <c r="Y20" s="119"/>
      <c r="Z20" s="188" t="s">
        <v>1335</v>
      </c>
      <c r="AA20" s="188" t="s">
        <v>1345</v>
      </c>
      <c r="AB20" s="741" t="s">
        <v>888</v>
      </c>
      <c r="AC20" s="741" t="s">
        <v>888</v>
      </c>
      <c r="AD20" s="116"/>
      <c r="AE20" s="742"/>
      <c r="AF20" s="742" t="s">
        <v>1337</v>
      </c>
      <c r="AG20" s="1251"/>
      <c r="AH20" s="792" t="s">
        <v>1420</v>
      </c>
      <c r="AI20" s="743"/>
      <c r="AJ20" s="256"/>
      <c r="AK20" s="256"/>
      <c r="AL20" s="757" t="s">
        <v>1330</v>
      </c>
      <c r="AM20" s="744">
        <f>AN20/2061000</f>
        <v>84.965000000000003</v>
      </c>
      <c r="AN20" s="757">
        <v>175112865</v>
      </c>
      <c r="AO20" s="745" t="s">
        <v>1367</v>
      </c>
      <c r="AP20" s="745" t="str">
        <f>AO20</f>
        <v>06.12.2021</v>
      </c>
      <c r="AQ20" s="1249"/>
      <c r="AR20" s="1249"/>
      <c r="AS20" s="256"/>
      <c r="AT20" s="256"/>
      <c r="AU20" s="256" t="s">
        <v>1372</v>
      </c>
      <c r="AV20" s="55"/>
      <c r="AW20" s="17"/>
      <c r="AX20" s="13" t="s">
        <v>1338</v>
      </c>
    </row>
    <row r="21" spans="3:50" ht="52.8" x14ac:dyDescent="0.3">
      <c r="C21" s="69"/>
      <c r="D21" s="188"/>
      <c r="E21" s="119"/>
      <c r="F21" s="119"/>
      <c r="G21" s="188"/>
      <c r="H21" s="739"/>
      <c r="I21" s="119"/>
      <c r="J21" s="119"/>
      <c r="K21" s="188">
        <v>30</v>
      </c>
      <c r="L21" s="739" t="s">
        <v>347</v>
      </c>
      <c r="M21" s="739">
        <v>1374000</v>
      </c>
      <c r="N21" s="749">
        <v>86.9</v>
      </c>
      <c r="O21" s="739">
        <f t="shared" si="1"/>
        <v>119400600.00000001</v>
      </c>
      <c r="P21" s="119"/>
      <c r="Q21" s="188"/>
      <c r="R21" s="188"/>
      <c r="S21" s="188"/>
      <c r="T21" s="740"/>
      <c r="U21" s="119" t="s">
        <v>1325</v>
      </c>
      <c r="V21" s="119" t="s">
        <v>1339</v>
      </c>
      <c r="W21" s="119"/>
      <c r="X21" s="748">
        <v>84463090</v>
      </c>
      <c r="Y21" s="119"/>
      <c r="Z21" s="188" t="s">
        <v>1340</v>
      </c>
      <c r="AA21" s="188" t="s">
        <v>1344</v>
      </c>
      <c r="AB21" s="741" t="s">
        <v>888</v>
      </c>
      <c r="AC21" s="741" t="s">
        <v>888</v>
      </c>
      <c r="AD21" s="116"/>
      <c r="AE21" s="742"/>
      <c r="AF21" s="742" t="s">
        <v>1341</v>
      </c>
      <c r="AG21" s="1251"/>
      <c r="AH21" s="792" t="s">
        <v>1422</v>
      </c>
      <c r="AI21" s="743"/>
      <c r="AJ21" s="256"/>
      <c r="AK21" s="256"/>
      <c r="AL21" s="757" t="s">
        <v>1342</v>
      </c>
      <c r="AM21" s="744">
        <f>AN21/1374000</f>
        <v>85.8</v>
      </c>
      <c r="AN21" s="758">
        <v>117889200</v>
      </c>
      <c r="AO21" s="745" t="s">
        <v>1370</v>
      </c>
      <c r="AP21" s="745" t="str">
        <f>AO21</f>
        <v>14.02.2022</v>
      </c>
      <c r="AQ21" s="1249"/>
      <c r="AR21" s="1249"/>
      <c r="AS21" s="256"/>
      <c r="AT21" s="256"/>
      <c r="AU21" s="256" t="s">
        <v>1372</v>
      </c>
      <c r="AV21" s="55"/>
      <c r="AW21" s="17"/>
      <c r="AX21" s="13" t="s">
        <v>1343</v>
      </c>
    </row>
    <row r="22" spans="3:50" ht="52.8" x14ac:dyDescent="0.3">
      <c r="C22" s="69"/>
      <c r="D22" s="188"/>
      <c r="E22" s="119"/>
      <c r="F22" s="119"/>
      <c r="G22" s="188"/>
      <c r="H22" s="739"/>
      <c r="I22" s="119"/>
      <c r="J22" s="119"/>
      <c r="K22" s="188">
        <v>25</v>
      </c>
      <c r="L22" s="739" t="s">
        <v>347</v>
      </c>
      <c r="M22" s="739">
        <f>K22*45800</f>
        <v>1145000</v>
      </c>
      <c r="N22" s="739">
        <v>85.85</v>
      </c>
      <c r="O22" s="739">
        <f t="shared" si="1"/>
        <v>98298250</v>
      </c>
      <c r="P22" s="119"/>
      <c r="Q22" s="188"/>
      <c r="R22" s="188"/>
      <c r="S22" s="188"/>
      <c r="T22" s="740"/>
      <c r="U22" s="119" t="s">
        <v>1325</v>
      </c>
      <c r="V22" s="119" t="s">
        <v>1361</v>
      </c>
      <c r="W22" s="119"/>
      <c r="X22" s="748">
        <v>84463090</v>
      </c>
      <c r="Y22" s="119"/>
      <c r="Z22" s="188" t="s">
        <v>1351</v>
      </c>
      <c r="AA22" s="188" t="s">
        <v>1352</v>
      </c>
      <c r="AB22" s="741" t="s">
        <v>888</v>
      </c>
      <c r="AC22" s="741" t="s">
        <v>888</v>
      </c>
      <c r="AD22" s="116"/>
      <c r="AE22" s="742"/>
      <c r="AF22" s="742" t="s">
        <v>1353</v>
      </c>
      <c r="AG22" s="1251"/>
      <c r="AH22" s="1228"/>
      <c r="AI22" s="743"/>
      <c r="AJ22" s="256"/>
      <c r="AK22" s="256"/>
      <c r="AL22" s="757" t="s">
        <v>1354</v>
      </c>
      <c r="AM22" s="1255">
        <f>AN22/2097000</f>
        <v>84.776034334763949</v>
      </c>
      <c r="AN22" s="1253">
        <v>177775344</v>
      </c>
      <c r="AO22" s="1238" t="s">
        <v>1368</v>
      </c>
      <c r="AP22" s="1238" t="str">
        <f>AO22</f>
        <v>03.01.2022</v>
      </c>
      <c r="AQ22" s="1249"/>
      <c r="AR22" s="1249"/>
      <c r="AS22" s="256"/>
      <c r="AT22" s="256"/>
      <c r="AU22" s="1226" t="s">
        <v>1372</v>
      </c>
      <c r="AV22" s="55"/>
      <c r="AW22" s="17"/>
      <c r="AX22" s="13" t="s">
        <v>1346</v>
      </c>
    </row>
    <row r="23" spans="3:50" ht="52.8" x14ac:dyDescent="0.3">
      <c r="C23" s="69"/>
      <c r="D23" s="188"/>
      <c r="E23" s="119"/>
      <c r="F23" s="119"/>
      <c r="G23" s="188"/>
      <c r="H23" s="739"/>
      <c r="I23" s="119"/>
      <c r="J23" s="119"/>
      <c r="K23" s="188">
        <v>20</v>
      </c>
      <c r="L23" s="739" t="s">
        <v>347</v>
      </c>
      <c r="M23" s="739">
        <f>K23*47600</f>
        <v>952000</v>
      </c>
      <c r="N23" s="739">
        <v>85.85</v>
      </c>
      <c r="O23" s="739">
        <f t="shared" si="1"/>
        <v>81729200</v>
      </c>
      <c r="P23" s="119"/>
      <c r="Q23" s="188"/>
      <c r="R23" s="188"/>
      <c r="S23" s="188"/>
      <c r="T23" s="740"/>
      <c r="U23" s="119" t="s">
        <v>1349</v>
      </c>
      <c r="V23" s="119" t="s">
        <v>1350</v>
      </c>
      <c r="W23" s="119"/>
      <c r="X23" s="748">
        <v>84463090</v>
      </c>
      <c r="Y23" s="119"/>
      <c r="Z23" s="188" t="s">
        <v>1351</v>
      </c>
      <c r="AA23" s="188" t="s">
        <v>1352</v>
      </c>
      <c r="AB23" s="741" t="s">
        <v>888</v>
      </c>
      <c r="AC23" s="741" t="s">
        <v>888</v>
      </c>
      <c r="AD23" s="116"/>
      <c r="AE23" s="742"/>
      <c r="AF23" s="742" t="s">
        <v>1353</v>
      </c>
      <c r="AG23" s="1251"/>
      <c r="AH23" s="1229"/>
      <c r="AI23" s="743"/>
      <c r="AJ23" s="256"/>
      <c r="AK23" s="256"/>
      <c r="AL23" s="757" t="s">
        <v>1355</v>
      </c>
      <c r="AM23" s="1256"/>
      <c r="AN23" s="1254"/>
      <c r="AO23" s="1239"/>
      <c r="AP23" s="1239"/>
      <c r="AQ23" s="1249"/>
      <c r="AR23" s="1249"/>
      <c r="AS23" s="256"/>
      <c r="AT23" s="256"/>
      <c r="AU23" s="1227"/>
      <c r="AV23" s="55"/>
      <c r="AW23" s="17"/>
      <c r="AX23" s="13" t="s">
        <v>1346</v>
      </c>
    </row>
    <row r="24" spans="3:50" ht="52.8" x14ac:dyDescent="0.3">
      <c r="C24" s="69"/>
      <c r="D24" s="188"/>
      <c r="E24" s="119"/>
      <c r="F24" s="119"/>
      <c r="G24" s="188"/>
      <c r="H24" s="739"/>
      <c r="I24" s="119"/>
      <c r="J24" s="119"/>
      <c r="K24" s="188">
        <v>17</v>
      </c>
      <c r="L24" s="739" t="s">
        <v>347</v>
      </c>
      <c r="M24" s="739">
        <f>45800*K24</f>
        <v>778600</v>
      </c>
      <c r="N24" s="739">
        <v>85.7</v>
      </c>
      <c r="O24" s="739">
        <f t="shared" si="1"/>
        <v>66726020</v>
      </c>
      <c r="P24" s="119"/>
      <c r="Q24" s="188"/>
      <c r="R24" s="188"/>
      <c r="S24" s="188"/>
      <c r="T24" s="740"/>
      <c r="U24" s="119" t="s">
        <v>1325</v>
      </c>
      <c r="V24" s="119" t="s">
        <v>1362</v>
      </c>
      <c r="W24" s="119"/>
      <c r="X24" s="748">
        <v>84463090</v>
      </c>
      <c r="Y24" s="119"/>
      <c r="Z24" s="188" t="s">
        <v>1360</v>
      </c>
      <c r="AA24" s="188" t="s">
        <v>1356</v>
      </c>
      <c r="AB24" s="741" t="s">
        <v>888</v>
      </c>
      <c r="AC24" s="741" t="s">
        <v>888</v>
      </c>
      <c r="AD24" s="116"/>
      <c r="AE24" s="742"/>
      <c r="AF24" s="742" t="s">
        <v>1359</v>
      </c>
      <c r="AG24" s="1251"/>
      <c r="AH24" s="1228"/>
      <c r="AI24" s="743"/>
      <c r="AJ24" s="256"/>
      <c r="AK24" s="256"/>
      <c r="AL24" s="757" t="s">
        <v>1357</v>
      </c>
      <c r="AM24" s="1255">
        <f>AN24/1349800</f>
        <v>83.902000296340205</v>
      </c>
      <c r="AN24" s="1257">
        <v>113250920</v>
      </c>
      <c r="AO24" s="1247" t="s">
        <v>1369</v>
      </c>
      <c r="AP24" s="1238" t="str">
        <f>AO24</f>
        <v>04.03.2022</v>
      </c>
      <c r="AQ24" s="1249"/>
      <c r="AR24" s="1249"/>
      <c r="AS24" s="256"/>
      <c r="AT24" s="256"/>
      <c r="AU24" s="1226" t="s">
        <v>1372</v>
      </c>
      <c r="AV24" s="55"/>
      <c r="AW24" s="17"/>
      <c r="AX24" s="13" t="s">
        <v>1346</v>
      </c>
    </row>
    <row r="25" spans="3:50" ht="52.8" x14ac:dyDescent="0.3">
      <c r="C25" s="69"/>
      <c r="D25" s="188"/>
      <c r="E25" s="119"/>
      <c r="F25" s="119"/>
      <c r="G25" s="188"/>
      <c r="H25" s="739"/>
      <c r="I25" s="119"/>
      <c r="J25" s="119"/>
      <c r="K25" s="188">
        <v>12</v>
      </c>
      <c r="L25" s="739" t="s">
        <v>347</v>
      </c>
      <c r="M25" s="739">
        <f>47600*K25</f>
        <v>571200</v>
      </c>
      <c r="N25" s="739">
        <f>N24</f>
        <v>85.7</v>
      </c>
      <c r="O25" s="739">
        <f t="shared" si="1"/>
        <v>48951840</v>
      </c>
      <c r="P25" s="119"/>
      <c r="Q25" s="188"/>
      <c r="R25" s="188"/>
      <c r="S25" s="188"/>
      <c r="T25" s="740"/>
      <c r="U25" s="119" t="s">
        <v>1349</v>
      </c>
      <c r="V25" s="119" t="s">
        <v>1363</v>
      </c>
      <c r="W25" s="119"/>
      <c r="X25" s="748">
        <v>84463090</v>
      </c>
      <c r="Y25" s="119"/>
      <c r="Z25" s="188" t="s">
        <v>1360</v>
      </c>
      <c r="AA25" s="188" t="s">
        <v>1356</v>
      </c>
      <c r="AB25" s="741" t="s">
        <v>888</v>
      </c>
      <c r="AC25" s="741" t="s">
        <v>888</v>
      </c>
      <c r="AD25" s="116"/>
      <c r="AE25" s="742"/>
      <c r="AF25" s="742" t="s">
        <v>1359</v>
      </c>
      <c r="AG25" s="1252"/>
      <c r="AH25" s="1244"/>
      <c r="AI25" s="743"/>
      <c r="AJ25" s="256"/>
      <c r="AK25" s="256"/>
      <c r="AL25" s="757" t="s">
        <v>1358</v>
      </c>
      <c r="AM25" s="1256"/>
      <c r="AN25" s="1258"/>
      <c r="AO25" s="1248"/>
      <c r="AP25" s="1239"/>
      <c r="AQ25" s="1227"/>
      <c r="AR25" s="1227"/>
      <c r="AS25" s="256"/>
      <c r="AT25" s="256"/>
      <c r="AU25" s="1227"/>
      <c r="AV25" s="55"/>
      <c r="AW25" s="17"/>
      <c r="AX25" s="13" t="s">
        <v>1346</v>
      </c>
    </row>
    <row r="26" spans="3:50" x14ac:dyDescent="0.3">
      <c r="C26" s="730"/>
      <c r="D26" s="730"/>
      <c r="E26" s="730"/>
      <c r="F26" s="730"/>
      <c r="G26" s="730"/>
      <c r="H26" s="759">
        <f>H17</f>
        <v>994464000</v>
      </c>
      <c r="I26" s="730"/>
      <c r="J26" s="730"/>
      <c r="K26" s="730"/>
      <c r="L26" s="730"/>
      <c r="M26" s="730">
        <f>M17</f>
        <v>11003824</v>
      </c>
      <c r="N26" s="730"/>
      <c r="O26" s="730">
        <f>O17</f>
        <v>957460165.19999993</v>
      </c>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59"/>
      <c r="AM26" s="730"/>
      <c r="AN26" s="759">
        <f>AN17</f>
        <v>941669537</v>
      </c>
      <c r="AO26" s="730"/>
      <c r="AP26" s="730"/>
      <c r="AQ26" s="730"/>
      <c r="AR26" s="730"/>
      <c r="AS26" s="730"/>
      <c r="AT26" s="730"/>
      <c r="AU26" s="730"/>
      <c r="AV26" s="730"/>
      <c r="AW26" s="730"/>
    </row>
    <row r="27" spans="3:50" x14ac:dyDescent="0.3">
      <c r="C27" s="69"/>
      <c r="D27" s="188"/>
      <c r="E27" s="119"/>
      <c r="F27" s="119"/>
      <c r="G27" s="188"/>
      <c r="H27" s="739"/>
      <c r="I27" s="119"/>
      <c r="J27" s="119"/>
      <c r="K27" s="188"/>
      <c r="L27" s="739"/>
      <c r="M27" s="739"/>
      <c r="N27" s="739"/>
      <c r="O27" s="739"/>
      <c r="P27" s="119"/>
      <c r="Q27" s="188"/>
      <c r="R27" s="188"/>
      <c r="S27" s="188"/>
      <c r="T27" s="740"/>
      <c r="U27" s="119"/>
      <c r="V27" s="119"/>
      <c r="W27" s="119"/>
      <c r="X27" s="119"/>
      <c r="Y27" s="119"/>
      <c r="Z27" s="188"/>
      <c r="AA27" s="188"/>
      <c r="AB27" s="741"/>
      <c r="AC27" s="741"/>
      <c r="AD27" s="116"/>
      <c r="AE27" s="742"/>
      <c r="AF27" s="742"/>
      <c r="AG27" s="256"/>
      <c r="AH27" s="188"/>
      <c r="AI27" s="743"/>
      <c r="AJ27" s="256"/>
      <c r="AK27" s="256"/>
      <c r="AL27" s="757"/>
      <c r="AM27" s="744"/>
      <c r="AN27" s="757"/>
      <c r="AO27" s="745"/>
      <c r="AP27" s="745"/>
      <c r="AQ27" s="256"/>
      <c r="AR27" s="256"/>
      <c r="AS27" s="256"/>
      <c r="AT27" s="256"/>
      <c r="AU27" s="256"/>
      <c r="AV27" s="55"/>
      <c r="AW27" s="17"/>
    </row>
    <row r="28" spans="3:50" ht="26.4" x14ac:dyDescent="0.3">
      <c r="C28" s="69"/>
      <c r="D28" s="188">
        <v>3</v>
      </c>
      <c r="E28" s="119" t="str">
        <f>'UID application COMBINE Mc list'!B25</f>
        <v>Ultrasonic cleaning machines for Reed</v>
      </c>
      <c r="F28" s="119"/>
      <c r="G28" s="188">
        <f>'UID application COMBINE Mc list'!D25</f>
        <v>1</v>
      </c>
      <c r="H28" s="739">
        <f>'UID application COMBINE Mc list'!H25</f>
        <v>8100000.0000000009</v>
      </c>
      <c r="I28" s="119" t="s">
        <v>649</v>
      </c>
      <c r="J28" s="119"/>
      <c r="K28" s="188">
        <v>0</v>
      </c>
      <c r="L28" s="739"/>
      <c r="M28" s="739"/>
      <c r="N28" s="739"/>
      <c r="O28" s="739"/>
      <c r="P28" s="119"/>
      <c r="Q28" s="188"/>
      <c r="R28" s="188"/>
      <c r="S28" s="188"/>
      <c r="T28" s="740"/>
      <c r="U28" s="119"/>
      <c r="V28" s="119"/>
      <c r="W28" s="119"/>
      <c r="X28" s="119"/>
      <c r="Y28" s="119"/>
      <c r="Z28" s="188"/>
      <c r="AA28" s="188"/>
      <c r="AB28" s="741"/>
      <c r="AC28" s="741"/>
      <c r="AD28" s="116"/>
      <c r="AE28" s="742"/>
      <c r="AF28" s="742"/>
      <c r="AG28" s="256"/>
      <c r="AH28" s="188"/>
      <c r="AI28" s="743"/>
      <c r="AJ28" s="256"/>
      <c r="AK28" s="256"/>
      <c r="AL28" s="757"/>
      <c r="AM28" s="744"/>
      <c r="AN28" s="757"/>
      <c r="AO28" s="745"/>
      <c r="AP28" s="745"/>
      <c r="AQ28" s="256"/>
      <c r="AR28" s="256"/>
      <c r="AS28" s="256"/>
      <c r="AT28" s="256"/>
      <c r="AU28" s="256"/>
      <c r="AV28" s="55"/>
      <c r="AW28" s="17"/>
    </row>
    <row r="29" spans="3:50" x14ac:dyDescent="0.3">
      <c r="C29" s="69"/>
      <c r="D29" s="188"/>
      <c r="E29" s="119"/>
      <c r="F29" s="119"/>
      <c r="G29" s="188"/>
      <c r="H29" s="739"/>
      <c r="I29" s="119"/>
      <c r="J29" s="119"/>
      <c r="K29" s="188"/>
      <c r="L29" s="739"/>
      <c r="M29" s="739"/>
      <c r="N29" s="739"/>
      <c r="O29" s="739"/>
      <c r="P29" s="119"/>
      <c r="Q29" s="188"/>
      <c r="R29" s="188"/>
      <c r="S29" s="188"/>
      <c r="T29" s="740"/>
      <c r="U29" s="119"/>
      <c r="V29" s="119"/>
      <c r="W29" s="119"/>
      <c r="X29" s="119"/>
      <c r="Y29" s="119"/>
      <c r="Z29" s="188"/>
      <c r="AA29" s="188"/>
      <c r="AB29" s="741"/>
      <c r="AC29" s="741"/>
      <c r="AD29" s="116"/>
      <c r="AE29" s="742"/>
      <c r="AF29" s="742"/>
      <c r="AG29" s="256"/>
      <c r="AH29" s="188"/>
      <c r="AI29" s="743"/>
      <c r="AJ29" s="256"/>
      <c r="AK29" s="256"/>
      <c r="AL29" s="757"/>
      <c r="AM29" s="744"/>
      <c r="AN29" s="757"/>
      <c r="AO29" s="745"/>
      <c r="AP29" s="745"/>
      <c r="AQ29" s="256"/>
      <c r="AR29" s="256"/>
      <c r="AS29" s="256"/>
      <c r="AT29" s="256"/>
      <c r="AU29" s="256"/>
      <c r="AV29" s="55"/>
      <c r="AW29" s="17"/>
    </row>
    <row r="30" spans="3:50" x14ac:dyDescent="0.3">
      <c r="C30" s="761"/>
      <c r="D30" s="762"/>
      <c r="E30" s="763"/>
      <c r="F30" s="763"/>
      <c r="G30" s="762"/>
      <c r="H30" s="764">
        <f>H28</f>
        <v>8100000.0000000009</v>
      </c>
      <c r="I30" s="763"/>
      <c r="J30" s="763"/>
      <c r="K30" s="762"/>
      <c r="L30" s="764"/>
      <c r="M30" s="762">
        <f>M28</f>
        <v>0</v>
      </c>
      <c r="N30" s="764"/>
      <c r="O30" s="762">
        <f>O28</f>
        <v>0</v>
      </c>
      <c r="P30" s="763"/>
      <c r="Q30" s="762"/>
      <c r="R30" s="762"/>
      <c r="S30" s="762"/>
      <c r="T30" s="765"/>
      <c r="U30" s="763"/>
      <c r="V30" s="763"/>
      <c r="W30" s="763"/>
      <c r="X30" s="763"/>
      <c r="Y30" s="763"/>
      <c r="Z30" s="762"/>
      <c r="AA30" s="762"/>
      <c r="AB30" s="766"/>
      <c r="AC30" s="766"/>
      <c r="AD30" s="767"/>
      <c r="AE30" s="768"/>
      <c r="AF30" s="768"/>
      <c r="AG30" s="769"/>
      <c r="AH30" s="762"/>
      <c r="AI30" s="770"/>
      <c r="AJ30" s="769"/>
      <c r="AK30" s="769"/>
      <c r="AL30" s="790"/>
      <c r="AM30" s="771"/>
      <c r="AN30" s="764">
        <f>AN28</f>
        <v>0</v>
      </c>
      <c r="AO30" s="772"/>
      <c r="AP30" s="772"/>
      <c r="AQ30" s="769"/>
      <c r="AR30" s="769"/>
      <c r="AS30" s="769"/>
      <c r="AT30" s="769"/>
      <c r="AU30" s="769"/>
      <c r="AV30" s="55"/>
      <c r="AW30" s="17"/>
    </row>
    <row r="31" spans="3:50" x14ac:dyDescent="0.3">
      <c r="C31" s="69"/>
      <c r="D31" s="188"/>
      <c r="E31" s="119"/>
      <c r="F31" s="119"/>
      <c r="G31" s="188"/>
      <c r="H31" s="739"/>
      <c r="I31" s="119"/>
      <c r="J31" s="119"/>
      <c r="K31" s="188"/>
      <c r="L31" s="739"/>
      <c r="M31" s="739"/>
      <c r="N31" s="739"/>
      <c r="O31" s="739"/>
      <c r="P31" s="119"/>
      <c r="Q31" s="188"/>
      <c r="R31" s="188"/>
      <c r="S31" s="188"/>
      <c r="T31" s="740"/>
      <c r="U31" s="119"/>
      <c r="V31" s="119"/>
      <c r="W31" s="119"/>
      <c r="X31" s="119"/>
      <c r="Y31" s="119"/>
      <c r="Z31" s="188"/>
      <c r="AA31" s="188"/>
      <c r="AB31" s="741"/>
      <c r="AC31" s="741"/>
      <c r="AD31" s="116"/>
      <c r="AE31" s="742"/>
      <c r="AF31" s="742"/>
      <c r="AG31" s="256"/>
      <c r="AH31" s="188"/>
      <c r="AI31" s="743"/>
      <c r="AJ31" s="256"/>
      <c r="AK31" s="256"/>
      <c r="AL31" s="757"/>
      <c r="AM31" s="744"/>
      <c r="AN31" s="757"/>
      <c r="AO31" s="745"/>
      <c r="AP31" s="745"/>
      <c r="AQ31" s="256"/>
      <c r="AR31" s="256"/>
      <c r="AS31" s="256"/>
      <c r="AT31" s="256"/>
      <c r="AU31" s="256"/>
      <c r="AV31" s="55"/>
      <c r="AW31" s="17"/>
    </row>
    <row r="32" spans="3:50" ht="38.25" customHeight="1" x14ac:dyDescent="0.3">
      <c r="C32" s="712" t="s">
        <v>1373</v>
      </c>
      <c r="D32" s="188">
        <v>4</v>
      </c>
      <c r="E32" s="119" t="str">
        <f>'UID application COMBINE Mc list'!B26</f>
        <v xml:space="preserve">Automatic Drawing in/Warp reaching, Tying and Leasing-in machine </v>
      </c>
      <c r="F32" s="119"/>
      <c r="G32" s="188">
        <f>'UID application COMBINE Mc list'!D26</f>
        <v>4</v>
      </c>
      <c r="H32" s="739">
        <f>'UID application COMBINE Mc list'!H26</f>
        <v>57600000</v>
      </c>
      <c r="I32" s="780" t="str">
        <f>E32</f>
        <v xml:space="preserve">Automatic Drawing in/Warp reaching, Tying and Leasing-in machine </v>
      </c>
      <c r="J32" s="119"/>
      <c r="K32" s="188">
        <v>1</v>
      </c>
      <c r="L32" s="739"/>
      <c r="M32" s="739">
        <v>515000</v>
      </c>
      <c r="N32" s="739">
        <v>82.4</v>
      </c>
      <c r="O32" s="739">
        <f>M32*N32</f>
        <v>42436000</v>
      </c>
      <c r="P32" s="119" t="s">
        <v>1375</v>
      </c>
      <c r="Q32" s="1228" t="s">
        <v>649</v>
      </c>
      <c r="R32" s="1228" t="s">
        <v>649</v>
      </c>
      <c r="S32" s="1228" t="s">
        <v>649</v>
      </c>
      <c r="T32" s="740"/>
      <c r="U32" s="119" t="s">
        <v>1376</v>
      </c>
      <c r="V32" s="119" t="s">
        <v>1378</v>
      </c>
      <c r="W32" s="119"/>
      <c r="X32" s="781">
        <v>84481900</v>
      </c>
      <c r="Y32" s="119"/>
      <c r="Z32" s="188" t="s">
        <v>1380</v>
      </c>
      <c r="AA32" s="1228" t="s">
        <v>1382</v>
      </c>
      <c r="AB32" s="741" t="s">
        <v>1229</v>
      </c>
      <c r="AC32" s="741" t="s">
        <v>1229</v>
      </c>
      <c r="AD32" s="116" t="s">
        <v>653</v>
      </c>
      <c r="AE32" s="742" t="s">
        <v>649</v>
      </c>
      <c r="AF32" s="1259" t="s">
        <v>1383</v>
      </c>
      <c r="AG32" s="1245" t="s">
        <v>1381</v>
      </c>
      <c r="AH32" s="188"/>
      <c r="AI32" s="743" t="s">
        <v>502</v>
      </c>
      <c r="AJ32" s="256"/>
      <c r="AK32" s="256"/>
      <c r="AL32" s="1253" t="s">
        <v>1384</v>
      </c>
      <c r="AM32" s="744">
        <f>AN32/62000</f>
        <v>81.762903225806454</v>
      </c>
      <c r="AN32" s="782">
        <v>5069300</v>
      </c>
      <c r="AO32" s="745" t="s">
        <v>1385</v>
      </c>
      <c r="AP32" s="745">
        <v>44432</v>
      </c>
      <c r="AQ32" s="256" t="s">
        <v>1371</v>
      </c>
      <c r="AR32" s="256"/>
      <c r="AS32" s="256"/>
      <c r="AT32" s="256"/>
      <c r="AU32" s="256" t="s">
        <v>1311</v>
      </c>
      <c r="AV32" s="55"/>
      <c r="AW32" s="17"/>
    </row>
    <row r="33" spans="2:49" ht="79.2" x14ac:dyDescent="0.3">
      <c r="C33" s="69"/>
      <c r="D33" s="188"/>
      <c r="E33" s="119"/>
      <c r="F33" s="119"/>
      <c r="G33" s="188"/>
      <c r="H33" s="739"/>
      <c r="I33" s="780" t="s">
        <v>1374</v>
      </c>
      <c r="J33" s="780"/>
      <c r="K33" s="188">
        <v>3</v>
      </c>
      <c r="L33" s="739"/>
      <c r="M33" s="739">
        <f>35000*3</f>
        <v>105000</v>
      </c>
      <c r="N33" s="739">
        <v>82.4</v>
      </c>
      <c r="O33" s="739">
        <f>M33*N33</f>
        <v>8652000</v>
      </c>
      <c r="P33" s="119" t="s">
        <v>1375</v>
      </c>
      <c r="Q33" s="1229"/>
      <c r="R33" s="1229"/>
      <c r="S33" s="1229"/>
      <c r="T33" s="740"/>
      <c r="U33" s="119" t="s">
        <v>1377</v>
      </c>
      <c r="V33" s="119" t="s">
        <v>1379</v>
      </c>
      <c r="W33" s="119"/>
      <c r="X33" s="781">
        <v>84481900</v>
      </c>
      <c r="Y33" s="119"/>
      <c r="Z33" s="188" t="s">
        <v>1380</v>
      </c>
      <c r="AA33" s="1229"/>
      <c r="AB33" s="741" t="s">
        <v>1229</v>
      </c>
      <c r="AC33" s="741" t="s">
        <v>1229</v>
      </c>
      <c r="AD33" s="116" t="s">
        <v>653</v>
      </c>
      <c r="AE33" s="742" t="s">
        <v>649</v>
      </c>
      <c r="AF33" s="1260"/>
      <c r="AG33" s="1246"/>
      <c r="AH33" s="188"/>
      <c r="AI33" s="743" t="s">
        <v>1411</v>
      </c>
      <c r="AJ33" s="256"/>
      <c r="AK33" s="256"/>
      <c r="AL33" s="1254"/>
      <c r="AM33" s="744">
        <f>AN33/558000</f>
        <v>81.430000000000007</v>
      </c>
      <c r="AN33" s="757">
        <v>45437940</v>
      </c>
      <c r="AO33" s="745" t="s">
        <v>1386</v>
      </c>
      <c r="AP33" s="745">
        <v>44432</v>
      </c>
      <c r="AQ33" s="256" t="s">
        <v>1371</v>
      </c>
      <c r="AR33" s="256"/>
      <c r="AS33" s="256"/>
      <c r="AT33" s="256"/>
      <c r="AU33" s="256" t="s">
        <v>1372</v>
      </c>
      <c r="AV33" s="55"/>
      <c r="AW33" s="17"/>
    </row>
    <row r="34" spans="2:49" x14ac:dyDescent="0.3">
      <c r="C34" s="69"/>
      <c r="D34" s="188"/>
      <c r="E34" s="119"/>
      <c r="F34" s="119"/>
      <c r="G34" s="188"/>
      <c r="H34" s="739"/>
      <c r="I34" s="119"/>
      <c r="J34" s="119"/>
      <c r="K34" s="188"/>
      <c r="L34" s="739"/>
      <c r="M34" s="739"/>
      <c r="N34" s="739"/>
      <c r="O34" s="739"/>
      <c r="P34" s="119"/>
      <c r="Q34" s="188"/>
      <c r="R34" s="188"/>
      <c r="S34" s="188"/>
      <c r="T34" s="740"/>
      <c r="U34" s="119"/>
      <c r="V34" s="119"/>
      <c r="W34" s="119"/>
      <c r="X34" s="119"/>
      <c r="Y34" s="119"/>
      <c r="Z34" s="188"/>
      <c r="AA34" s="188"/>
      <c r="AB34" s="741"/>
      <c r="AC34" s="741"/>
      <c r="AD34" s="116"/>
      <c r="AE34" s="742"/>
      <c r="AF34" s="742"/>
      <c r="AG34" s="256"/>
      <c r="AH34" s="188"/>
      <c r="AI34" s="743"/>
      <c r="AJ34" s="256"/>
      <c r="AK34" s="256"/>
      <c r="AL34" s="757"/>
      <c r="AM34" s="744"/>
      <c r="AN34" s="757"/>
      <c r="AO34" s="745"/>
      <c r="AP34" s="745"/>
      <c r="AQ34" s="256"/>
      <c r="AR34" s="256"/>
      <c r="AS34" s="256"/>
      <c r="AT34" s="256"/>
      <c r="AU34" s="256"/>
      <c r="AV34" s="55"/>
      <c r="AW34" s="17"/>
    </row>
    <row r="35" spans="2:49" x14ac:dyDescent="0.3">
      <c r="C35" s="761"/>
      <c r="D35" s="762"/>
      <c r="E35" s="763"/>
      <c r="F35" s="763"/>
      <c r="G35" s="762"/>
      <c r="H35" s="764">
        <f>H33+H32</f>
        <v>57600000</v>
      </c>
      <c r="I35" s="763"/>
      <c r="J35" s="763"/>
      <c r="K35" s="762"/>
      <c r="L35" s="764"/>
      <c r="M35" s="764"/>
      <c r="N35" s="764"/>
      <c r="O35" s="764">
        <f>O33+O32</f>
        <v>51088000</v>
      </c>
      <c r="P35" s="763"/>
      <c r="Q35" s="762"/>
      <c r="R35" s="762"/>
      <c r="S35" s="762"/>
      <c r="T35" s="765"/>
      <c r="U35" s="763"/>
      <c r="V35" s="763"/>
      <c r="W35" s="763"/>
      <c r="X35" s="763"/>
      <c r="Y35" s="763"/>
      <c r="Z35" s="762"/>
      <c r="AA35" s="762"/>
      <c r="AB35" s="766"/>
      <c r="AC35" s="766"/>
      <c r="AD35" s="767"/>
      <c r="AE35" s="768"/>
      <c r="AF35" s="768"/>
      <c r="AG35" s="769"/>
      <c r="AH35" s="762"/>
      <c r="AI35" s="770"/>
      <c r="AJ35" s="769"/>
      <c r="AK35" s="769"/>
      <c r="AL35" s="790"/>
      <c r="AM35" s="771"/>
      <c r="AN35" s="764">
        <f>AN33+AN32</f>
        <v>50507240</v>
      </c>
      <c r="AO35" s="772"/>
      <c r="AP35" s="772"/>
      <c r="AQ35" s="769"/>
      <c r="AR35" s="769"/>
      <c r="AS35" s="769"/>
      <c r="AT35" s="769"/>
      <c r="AU35" s="769"/>
      <c r="AV35" s="55"/>
      <c r="AW35" s="17"/>
    </row>
    <row r="36" spans="2:49" x14ac:dyDescent="0.3">
      <c r="C36" s="69"/>
      <c r="D36" s="188"/>
      <c r="E36" s="119"/>
      <c r="F36" s="119"/>
      <c r="G36" s="188"/>
      <c r="H36" s="739"/>
      <c r="I36" s="119"/>
      <c r="J36" s="119"/>
      <c r="K36" s="188"/>
      <c r="L36" s="739"/>
      <c r="M36" s="739"/>
      <c r="N36" s="739"/>
      <c r="O36" s="739"/>
      <c r="P36" s="119"/>
      <c r="Q36" s="188"/>
      <c r="R36" s="188"/>
      <c r="S36" s="188"/>
      <c r="T36" s="740"/>
      <c r="U36" s="119"/>
      <c r="V36" s="119"/>
      <c r="W36" s="119"/>
      <c r="X36" s="119"/>
      <c r="Y36" s="119"/>
      <c r="Z36" s="188"/>
      <c r="AA36" s="188"/>
      <c r="AB36" s="741"/>
      <c r="AC36" s="741"/>
      <c r="AD36" s="116"/>
      <c r="AE36" s="742"/>
      <c r="AF36" s="742"/>
      <c r="AG36" s="256"/>
      <c r="AH36" s="188"/>
      <c r="AI36" s="743"/>
      <c r="AJ36" s="256"/>
      <c r="AK36" s="256"/>
      <c r="AL36" s="757"/>
      <c r="AM36" s="744"/>
      <c r="AN36" s="757"/>
      <c r="AO36" s="745"/>
      <c r="AP36" s="745"/>
      <c r="AQ36" s="256"/>
      <c r="AR36" s="256"/>
      <c r="AS36" s="256"/>
      <c r="AT36" s="256"/>
      <c r="AU36" s="256"/>
      <c r="AV36" s="55"/>
      <c r="AW36" s="17"/>
    </row>
    <row r="37" spans="2:49" ht="26.4" x14ac:dyDescent="0.3">
      <c r="C37" s="69" t="s">
        <v>1387</v>
      </c>
      <c r="D37" s="188">
        <v>5</v>
      </c>
      <c r="E37" s="119" t="str">
        <f>'UID application COMBINE Mc list'!B27</f>
        <v>Battery operated trolley for Beam gaiting</v>
      </c>
      <c r="F37" s="119"/>
      <c r="G37" s="783" t="str">
        <f>'UID application COMBINE Mc list'!D27</f>
        <v>2 Lots</v>
      </c>
      <c r="H37" s="739">
        <f>'UID application COMBINE Mc list'!H27</f>
        <v>45900000</v>
      </c>
      <c r="I37" s="746" t="s">
        <v>1231</v>
      </c>
      <c r="J37" s="119"/>
      <c r="K37" s="188" t="s">
        <v>1388</v>
      </c>
      <c r="L37" s="739"/>
      <c r="M37" s="739">
        <v>128611</v>
      </c>
      <c r="N37" s="739">
        <v>88.1</v>
      </c>
      <c r="O37" s="739">
        <f>M37*N37</f>
        <v>11330629.1</v>
      </c>
      <c r="P37" s="119" t="s">
        <v>1387</v>
      </c>
      <c r="Q37" s="188" t="s">
        <v>649</v>
      </c>
      <c r="R37" s="188" t="s">
        <v>649</v>
      </c>
      <c r="S37" s="188" t="s">
        <v>649</v>
      </c>
      <c r="T37" s="740"/>
      <c r="U37" s="119"/>
      <c r="V37" s="119"/>
      <c r="W37" s="119"/>
      <c r="X37" s="119"/>
      <c r="Y37" s="119"/>
      <c r="Z37" s="188"/>
      <c r="AA37" s="188"/>
      <c r="AB37" s="741"/>
      <c r="AC37" s="741"/>
      <c r="AD37" s="116"/>
      <c r="AE37" s="742"/>
      <c r="AF37" s="742"/>
      <c r="AG37" s="256"/>
      <c r="AH37" s="188"/>
      <c r="AI37" s="743"/>
      <c r="AJ37" s="256"/>
      <c r="AK37" s="256"/>
      <c r="AL37" s="757">
        <v>128611</v>
      </c>
      <c r="AM37" s="744">
        <f>AN37/AL37</f>
        <v>86.350001166307706</v>
      </c>
      <c r="AN37" s="757">
        <v>11105560</v>
      </c>
      <c r="AO37" s="785" t="str">
        <f>AO38</f>
        <v>27.09.2021</v>
      </c>
      <c r="AP37" s="745" t="str">
        <f>AO37</f>
        <v>27.09.2021</v>
      </c>
      <c r="AQ37" s="256" t="s">
        <v>1371</v>
      </c>
      <c r="AR37" s="256"/>
      <c r="AS37" s="256"/>
      <c r="AT37" s="256"/>
      <c r="AU37" s="256"/>
      <c r="AV37" s="55"/>
      <c r="AW37" s="17"/>
    </row>
    <row r="38" spans="2:49" ht="39.6" x14ac:dyDescent="0.3">
      <c r="C38" s="69"/>
      <c r="D38" s="188"/>
      <c r="E38" s="119"/>
      <c r="F38" s="119"/>
      <c r="G38" s="188"/>
      <c r="H38" s="739"/>
      <c r="I38" s="746" t="s">
        <v>1231</v>
      </c>
      <c r="J38" s="119"/>
      <c r="K38" s="188" t="s">
        <v>1389</v>
      </c>
      <c r="L38" s="739" t="s">
        <v>347</v>
      </c>
      <c r="M38" s="739">
        <f>2*(25346+1156.75)</f>
        <v>53005.5</v>
      </c>
      <c r="N38" s="739">
        <v>88.1</v>
      </c>
      <c r="O38" s="739">
        <f>M38*N38</f>
        <v>4669784.55</v>
      </c>
      <c r="P38" s="1292" t="s">
        <v>1387</v>
      </c>
      <c r="Q38" s="188"/>
      <c r="R38" s="188"/>
      <c r="S38" s="188"/>
      <c r="T38" s="740"/>
      <c r="U38" s="119" t="s">
        <v>1390</v>
      </c>
      <c r="V38" s="119" t="s">
        <v>1392</v>
      </c>
      <c r="W38" s="1294" t="s">
        <v>1394</v>
      </c>
      <c r="X38" s="781">
        <v>84271090</v>
      </c>
      <c r="Y38" s="119"/>
      <c r="Z38" s="1228" t="s">
        <v>1397</v>
      </c>
      <c r="AA38" s="1228" t="s">
        <v>1398</v>
      </c>
      <c r="AB38" s="1296" t="s">
        <v>1396</v>
      </c>
      <c r="AC38" s="1296" t="s">
        <v>1399</v>
      </c>
      <c r="AD38" s="1228" t="s">
        <v>653</v>
      </c>
      <c r="AE38" s="1240" t="s">
        <v>649</v>
      </c>
      <c r="AF38" s="1242" t="s">
        <v>1400</v>
      </c>
      <c r="AG38" s="1245" t="s">
        <v>1395</v>
      </c>
      <c r="AH38" s="1228" t="s">
        <v>1414</v>
      </c>
      <c r="AI38" s="1230" t="s">
        <v>1413</v>
      </c>
      <c r="AJ38" s="256"/>
      <c r="AK38" s="256"/>
      <c r="AL38" s="1232">
        <v>128611</v>
      </c>
      <c r="AM38" s="1234">
        <f>AN38/AL38</f>
        <v>86.350001166307706</v>
      </c>
      <c r="AN38" s="1232">
        <v>11105560</v>
      </c>
      <c r="AO38" s="1236" t="s">
        <v>1365</v>
      </c>
      <c r="AP38" s="1238" t="str">
        <f>AO38</f>
        <v>27.09.2021</v>
      </c>
      <c r="AQ38" s="1226" t="s">
        <v>1371</v>
      </c>
      <c r="AR38" s="256"/>
      <c r="AS38" s="256"/>
      <c r="AT38" s="256"/>
      <c r="AU38" s="256"/>
      <c r="AV38" s="55"/>
      <c r="AW38" s="17"/>
    </row>
    <row r="39" spans="2:49" ht="52.8" x14ac:dyDescent="0.3">
      <c r="C39" s="69"/>
      <c r="D39" s="188"/>
      <c r="E39" s="119"/>
      <c r="F39" s="119"/>
      <c r="G39" s="188"/>
      <c r="H39" s="739"/>
      <c r="I39" s="746" t="s">
        <v>1231</v>
      </c>
      <c r="J39" s="119"/>
      <c r="K39" s="188" t="s">
        <v>1389</v>
      </c>
      <c r="L39" s="739" t="s">
        <v>347</v>
      </c>
      <c r="M39" s="739">
        <f>2*(36646+1156.75)</f>
        <v>75605.5</v>
      </c>
      <c r="N39" s="739">
        <v>88.1</v>
      </c>
      <c r="O39" s="739">
        <f>M39*N39</f>
        <v>6660844.5499999998</v>
      </c>
      <c r="P39" s="1293"/>
      <c r="Q39" s="188"/>
      <c r="R39" s="188"/>
      <c r="S39" s="188"/>
      <c r="T39" s="740"/>
      <c r="U39" s="119" t="s">
        <v>1391</v>
      </c>
      <c r="V39" s="119" t="s">
        <v>1393</v>
      </c>
      <c r="W39" s="1295"/>
      <c r="X39" s="781">
        <v>84271010</v>
      </c>
      <c r="Y39" s="119"/>
      <c r="Z39" s="1229"/>
      <c r="AA39" s="1229"/>
      <c r="AB39" s="1297"/>
      <c r="AC39" s="1297"/>
      <c r="AD39" s="1229"/>
      <c r="AE39" s="1241"/>
      <c r="AF39" s="1243"/>
      <c r="AG39" s="1246"/>
      <c r="AH39" s="1229"/>
      <c r="AI39" s="1231"/>
      <c r="AJ39" s="256"/>
      <c r="AK39" s="256"/>
      <c r="AL39" s="1233"/>
      <c r="AM39" s="1235"/>
      <c r="AN39" s="1233"/>
      <c r="AO39" s="1237"/>
      <c r="AP39" s="1239"/>
      <c r="AQ39" s="1227"/>
      <c r="AR39" s="256"/>
      <c r="AS39" s="256"/>
      <c r="AT39" s="256"/>
      <c r="AU39" s="256"/>
      <c r="AV39" s="55"/>
      <c r="AW39" s="17"/>
    </row>
    <row r="40" spans="2:49" x14ac:dyDescent="0.3">
      <c r="C40" s="69"/>
      <c r="D40" s="188"/>
      <c r="E40" s="119"/>
      <c r="F40" s="119"/>
      <c r="G40" s="188"/>
      <c r="H40" s="739"/>
      <c r="I40" s="119"/>
      <c r="J40" s="119"/>
      <c r="K40" s="188"/>
      <c r="L40" s="739"/>
      <c r="M40" s="739"/>
      <c r="N40" s="739"/>
      <c r="O40" s="739"/>
      <c r="P40" s="119"/>
      <c r="Q40" s="188"/>
      <c r="R40" s="188"/>
      <c r="S40" s="188"/>
      <c r="T40" s="740"/>
      <c r="U40" s="119"/>
      <c r="V40" s="119"/>
      <c r="W40" s="119"/>
      <c r="X40" s="119"/>
      <c r="Y40" s="119"/>
      <c r="Z40" s="188"/>
      <c r="AA40" s="188"/>
      <c r="AB40" s="741"/>
      <c r="AC40" s="741"/>
      <c r="AD40" s="116"/>
      <c r="AE40" s="742"/>
      <c r="AF40" s="742"/>
      <c r="AG40" s="256"/>
      <c r="AH40" s="188"/>
      <c r="AI40" s="743"/>
      <c r="AJ40" s="256"/>
      <c r="AK40" s="256"/>
      <c r="AL40" s="757"/>
      <c r="AM40" s="744"/>
      <c r="AN40" s="757"/>
      <c r="AO40" s="745"/>
      <c r="AP40" s="745"/>
      <c r="AQ40" s="256"/>
      <c r="AR40" s="256"/>
      <c r="AS40" s="256"/>
      <c r="AT40" s="256"/>
      <c r="AU40" s="256"/>
      <c r="AV40" s="55"/>
      <c r="AW40" s="17"/>
    </row>
    <row r="41" spans="2:49" x14ac:dyDescent="0.3">
      <c r="B41" s="786"/>
      <c r="C41" s="761"/>
      <c r="D41" s="762"/>
      <c r="E41" s="763"/>
      <c r="F41" s="763"/>
      <c r="G41" s="762"/>
      <c r="H41" s="764">
        <f>H37</f>
        <v>45900000</v>
      </c>
      <c r="I41" s="763"/>
      <c r="J41" s="763"/>
      <c r="K41" s="762"/>
      <c r="L41" s="764"/>
      <c r="M41" s="764"/>
      <c r="N41" s="764"/>
      <c r="O41" s="764">
        <f>O37</f>
        <v>11330629.1</v>
      </c>
      <c r="P41" s="763"/>
      <c r="Q41" s="762"/>
      <c r="R41" s="762"/>
      <c r="S41" s="762"/>
      <c r="T41" s="765"/>
      <c r="U41" s="763"/>
      <c r="V41" s="763"/>
      <c r="W41" s="763"/>
      <c r="X41" s="763"/>
      <c r="Y41" s="763"/>
      <c r="Z41" s="762"/>
      <c r="AA41" s="762"/>
      <c r="AB41" s="766"/>
      <c r="AC41" s="766"/>
      <c r="AD41" s="767"/>
      <c r="AE41" s="768"/>
      <c r="AF41" s="768"/>
      <c r="AG41" s="769"/>
      <c r="AH41" s="762"/>
      <c r="AI41" s="770"/>
      <c r="AJ41" s="769"/>
      <c r="AK41" s="769"/>
      <c r="AL41" s="790"/>
      <c r="AM41" s="771"/>
      <c r="AN41" s="790">
        <f>AN37</f>
        <v>11105560</v>
      </c>
      <c r="AO41" s="772"/>
      <c r="AP41" s="772"/>
      <c r="AQ41" s="769"/>
      <c r="AR41" s="769"/>
      <c r="AS41" s="769"/>
      <c r="AT41" s="769"/>
      <c r="AU41" s="769"/>
      <c r="AV41" s="55"/>
      <c r="AW41" s="17"/>
    </row>
    <row r="42" spans="2:49" x14ac:dyDescent="0.3">
      <c r="C42" s="69"/>
      <c r="D42" s="188"/>
      <c r="E42" s="119"/>
      <c r="F42" s="119"/>
      <c r="G42" s="188"/>
      <c r="H42" s="739"/>
      <c r="I42" s="119"/>
      <c r="J42" s="119"/>
      <c r="K42" s="188"/>
      <c r="L42" s="739"/>
      <c r="M42" s="739"/>
      <c r="N42" s="739"/>
      <c r="O42" s="739"/>
      <c r="P42" s="119"/>
      <c r="Q42" s="188"/>
      <c r="R42" s="188"/>
      <c r="S42" s="188"/>
      <c r="T42" s="740"/>
      <c r="U42" s="119"/>
      <c r="V42" s="119"/>
      <c r="W42" s="119"/>
      <c r="X42" s="119"/>
      <c r="Y42" s="119"/>
      <c r="Z42" s="188"/>
      <c r="AA42" s="188"/>
      <c r="AB42" s="741"/>
      <c r="AC42" s="741"/>
      <c r="AD42" s="116"/>
      <c r="AE42" s="742"/>
      <c r="AF42" s="742"/>
      <c r="AG42" s="256"/>
      <c r="AH42" s="188"/>
      <c r="AI42" s="743"/>
      <c r="AJ42" s="256"/>
      <c r="AK42" s="256"/>
      <c r="AL42" s="757"/>
      <c r="AM42" s="744"/>
      <c r="AN42" s="757"/>
      <c r="AO42" s="745"/>
      <c r="AP42" s="745"/>
      <c r="AQ42" s="256"/>
      <c r="AR42" s="256"/>
      <c r="AS42" s="256"/>
      <c r="AT42" s="256"/>
      <c r="AU42" s="256"/>
      <c r="AV42" s="55"/>
      <c r="AW42" s="17"/>
    </row>
    <row r="43" spans="2:49" ht="132" x14ac:dyDescent="0.3">
      <c r="C43" s="69" t="s">
        <v>1479</v>
      </c>
      <c r="D43" s="188">
        <v>6</v>
      </c>
      <c r="E43" s="119"/>
      <c r="F43" s="780" t="str">
        <f>'UID application COMBINE Mc list'!B28</f>
        <v>Over Head Travelling Clearers</v>
      </c>
      <c r="G43" s="188" t="str">
        <f>'UID application COMBINE Mc list'!D28</f>
        <v>35 Sets</v>
      </c>
      <c r="H43" s="739">
        <f>'UID application COMBINE Mc list'!H28</f>
        <v>35536000</v>
      </c>
      <c r="I43" s="119" t="s">
        <v>1480</v>
      </c>
      <c r="J43" s="119" t="s">
        <v>649</v>
      </c>
      <c r="K43" s="188">
        <f>SUM(K44:K50)</f>
        <v>37</v>
      </c>
      <c r="L43" s="739"/>
      <c r="M43" s="739">
        <f>SUM(M44:M49)</f>
        <v>15078495</v>
      </c>
      <c r="N43" s="739"/>
      <c r="O43" s="739"/>
      <c r="P43" s="119"/>
      <c r="Q43" s="188"/>
      <c r="R43" s="188"/>
      <c r="S43" s="188"/>
      <c r="T43" s="740"/>
      <c r="U43" s="119"/>
      <c r="V43" s="119"/>
      <c r="W43" s="119"/>
      <c r="X43" s="119"/>
      <c r="Y43" s="119"/>
      <c r="Z43" s="188"/>
      <c r="AA43" s="188"/>
      <c r="AB43" s="741"/>
      <c r="AC43" s="741"/>
      <c r="AD43" s="116"/>
      <c r="AE43" s="742"/>
      <c r="AF43" s="742"/>
      <c r="AG43" s="256"/>
      <c r="AH43" s="188"/>
      <c r="AI43" s="743"/>
      <c r="AJ43" s="256"/>
      <c r="AK43" s="256"/>
      <c r="AL43" s="757"/>
      <c r="AM43" s="744"/>
      <c r="AN43" s="757"/>
      <c r="AO43" s="745"/>
      <c r="AP43" s="745"/>
      <c r="AQ43" s="256"/>
      <c r="AR43" s="256"/>
      <c r="AS43" s="256"/>
      <c r="AT43" s="256"/>
      <c r="AU43" s="256"/>
      <c r="AV43" s="55"/>
      <c r="AW43" s="17"/>
    </row>
    <row r="44" spans="2:49" ht="37.5" customHeight="1" x14ac:dyDescent="0.3">
      <c r="C44" s="69"/>
      <c r="D44" s="188"/>
      <c r="E44" s="119"/>
      <c r="F44" s="828" t="s">
        <v>1235</v>
      </c>
      <c r="G44" s="188"/>
      <c r="H44" s="739"/>
      <c r="I44" s="119"/>
      <c r="J44" s="119"/>
      <c r="K44" s="188">
        <v>9</v>
      </c>
      <c r="L44" s="739" t="s">
        <v>359</v>
      </c>
      <c r="M44" s="739">
        <f>6832800-341640</f>
        <v>6491160</v>
      </c>
      <c r="N44" s="739"/>
      <c r="O44" s="739"/>
      <c r="P44" s="119"/>
      <c r="Q44" s="188"/>
      <c r="R44" s="188"/>
      <c r="S44" s="188"/>
      <c r="T44" s="740"/>
      <c r="U44" s="119" t="s">
        <v>1488</v>
      </c>
      <c r="V44" s="830"/>
      <c r="W44" s="119"/>
      <c r="X44" s="781">
        <v>84481190</v>
      </c>
      <c r="Y44" s="119"/>
      <c r="Z44" s="794" t="s">
        <v>1481</v>
      </c>
      <c r="AA44" s="188"/>
      <c r="AB44" s="741"/>
      <c r="AC44" s="741"/>
      <c r="AD44" s="116"/>
      <c r="AE44" s="742"/>
      <c r="AF44" s="742"/>
      <c r="AG44" s="256"/>
      <c r="AH44" s="188"/>
      <c r="AI44" s="743"/>
      <c r="AJ44" s="256"/>
      <c r="AK44" s="256"/>
      <c r="AL44" s="757">
        <v>7659569</v>
      </c>
      <c r="AM44" s="744"/>
      <c r="AN44" s="757">
        <v>572470</v>
      </c>
      <c r="AO44" s="256" t="s">
        <v>1562</v>
      </c>
      <c r="AP44" s="256"/>
      <c r="AQ44" s="256"/>
      <c r="AR44" s="256"/>
      <c r="AS44" s="256"/>
      <c r="AT44" s="256"/>
      <c r="AU44" s="256"/>
      <c r="AV44" s="55"/>
      <c r="AW44" s="17"/>
    </row>
    <row r="45" spans="2:49" ht="36" customHeight="1" x14ac:dyDescent="0.3">
      <c r="C45" s="69"/>
      <c r="D45" s="188"/>
      <c r="E45" s="119"/>
      <c r="F45" s="828" t="s">
        <v>1235</v>
      </c>
      <c r="G45" s="188"/>
      <c r="H45" s="739"/>
      <c r="I45" s="119"/>
      <c r="J45" s="119"/>
      <c r="K45" s="188">
        <v>5</v>
      </c>
      <c r="L45" s="739" t="s">
        <v>359</v>
      </c>
      <c r="M45" s="739">
        <f>1387400+1498600+428600-165730</f>
        <v>3148870</v>
      </c>
      <c r="N45" s="739"/>
      <c r="O45" s="739"/>
      <c r="P45" s="119"/>
      <c r="Q45" s="188"/>
      <c r="R45" s="188"/>
      <c r="S45" s="188"/>
      <c r="T45" s="740"/>
      <c r="U45" s="119" t="s">
        <v>1488</v>
      </c>
      <c r="V45" s="830"/>
      <c r="W45" s="119"/>
      <c r="X45" s="781">
        <v>84481190</v>
      </c>
      <c r="Y45" s="119"/>
      <c r="Z45" s="794" t="s">
        <v>1482</v>
      </c>
      <c r="AA45" s="188"/>
      <c r="AB45" s="741"/>
      <c r="AC45" s="741"/>
      <c r="AD45" s="116"/>
      <c r="AE45" s="742"/>
      <c r="AF45" s="742"/>
      <c r="AG45" s="256"/>
      <c r="AH45" s="188"/>
      <c r="AI45" s="743"/>
      <c r="AJ45" s="256"/>
      <c r="AK45" s="256"/>
      <c r="AL45" s="757">
        <v>3715667</v>
      </c>
      <c r="AM45" s="744"/>
      <c r="AN45" s="757">
        <v>964000</v>
      </c>
      <c r="AO45" s="256" t="s">
        <v>1563</v>
      </c>
      <c r="AP45" s="256"/>
      <c r="AQ45" s="256"/>
      <c r="AR45" s="256"/>
      <c r="AS45" s="256"/>
      <c r="AT45" s="256"/>
      <c r="AU45" s="256"/>
      <c r="AV45" s="55"/>
      <c r="AW45" s="17"/>
    </row>
    <row r="46" spans="2:49" ht="40.5" customHeight="1" x14ac:dyDescent="0.3">
      <c r="C46" s="69"/>
      <c r="D46" s="188"/>
      <c r="E46" s="119"/>
      <c r="F46" s="828" t="s">
        <v>1235</v>
      </c>
      <c r="G46" s="188"/>
      <c r="H46" s="739"/>
      <c r="I46" s="119"/>
      <c r="J46" s="119"/>
      <c r="K46" s="188">
        <v>8</v>
      </c>
      <c r="L46" s="739" t="s">
        <v>359</v>
      </c>
      <c r="M46" s="739">
        <f>1101200+944000-102260</f>
        <v>1942940</v>
      </c>
      <c r="N46" s="739"/>
      <c r="O46" s="739"/>
      <c r="P46" s="119"/>
      <c r="Q46" s="188"/>
      <c r="R46" s="188"/>
      <c r="S46" s="188"/>
      <c r="T46" s="740"/>
      <c r="U46" s="119" t="s">
        <v>1488</v>
      </c>
      <c r="V46" s="119" t="s">
        <v>1489</v>
      </c>
      <c r="W46" s="119"/>
      <c r="X46" s="781">
        <v>84481190</v>
      </c>
      <c r="Y46" s="119"/>
      <c r="Z46" s="795" t="s">
        <v>1545</v>
      </c>
      <c r="AA46" s="188"/>
      <c r="AB46" s="741"/>
      <c r="AC46" s="741"/>
      <c r="AD46" s="116"/>
      <c r="AE46" s="742"/>
      <c r="AF46" s="742"/>
      <c r="AG46" s="256"/>
      <c r="AH46" s="188"/>
      <c r="AI46" s="743"/>
      <c r="AJ46" s="256"/>
      <c r="AK46" s="256"/>
      <c r="AL46" s="757">
        <v>2292669</v>
      </c>
      <c r="AM46" s="744"/>
      <c r="AN46" s="757">
        <v>5844919</v>
      </c>
      <c r="AO46" s="256" t="s">
        <v>1323</v>
      </c>
      <c r="AP46" s="256"/>
      <c r="AQ46" s="256"/>
      <c r="AR46" s="256"/>
      <c r="AS46" s="256"/>
      <c r="AT46" s="256"/>
      <c r="AU46" s="256"/>
      <c r="AV46" s="55"/>
      <c r="AW46" s="17"/>
    </row>
    <row r="47" spans="2:49" ht="42" customHeight="1" x14ac:dyDescent="0.3">
      <c r="C47" s="69"/>
      <c r="D47" s="188"/>
      <c r="E47" s="119"/>
      <c r="F47" s="828" t="s">
        <v>1235</v>
      </c>
      <c r="G47" s="188"/>
      <c r="H47" s="739"/>
      <c r="I47" s="119"/>
      <c r="J47" s="119"/>
      <c r="K47" s="188">
        <v>7</v>
      </c>
      <c r="L47" s="739" t="s">
        <v>359</v>
      </c>
      <c r="M47" s="739">
        <f>1101200+131400+131800+112700-73855</f>
        <v>1403245</v>
      </c>
      <c r="N47" s="739"/>
      <c r="O47" s="739"/>
      <c r="P47" s="119"/>
      <c r="Q47" s="188"/>
      <c r="R47" s="188"/>
      <c r="S47" s="188"/>
      <c r="T47" s="740"/>
      <c r="U47" s="119" t="s">
        <v>1488</v>
      </c>
      <c r="V47" s="119" t="s">
        <v>1490</v>
      </c>
      <c r="W47" s="119"/>
      <c r="X47" s="781">
        <v>84481190</v>
      </c>
      <c r="Y47" s="119"/>
      <c r="Z47" s="795" t="s">
        <v>1483</v>
      </c>
      <c r="AA47" s="188"/>
      <c r="AB47" s="741"/>
      <c r="AC47" s="741"/>
      <c r="AD47" s="116"/>
      <c r="AE47" s="742"/>
      <c r="AF47" s="742"/>
      <c r="AG47" s="256"/>
      <c r="AH47" s="188"/>
      <c r="AI47" s="743"/>
      <c r="AJ47" s="256"/>
      <c r="AK47" s="256"/>
      <c r="AL47" s="837">
        <v>1655829</v>
      </c>
      <c r="AM47" s="744"/>
      <c r="AN47" s="757">
        <v>7010453</v>
      </c>
      <c r="AO47" s="256" t="s">
        <v>1367</v>
      </c>
      <c r="AP47" s="256"/>
      <c r="AQ47" s="256"/>
      <c r="AR47" s="256"/>
      <c r="AS47" s="256"/>
      <c r="AT47" s="256"/>
      <c r="AU47" s="256"/>
      <c r="AV47" s="55"/>
      <c r="AW47" s="17"/>
    </row>
    <row r="48" spans="2:49" ht="42" customHeight="1" x14ac:dyDescent="0.3">
      <c r="C48" s="69"/>
      <c r="D48" s="188"/>
      <c r="E48" s="119"/>
      <c r="F48" s="828" t="s">
        <v>1235</v>
      </c>
      <c r="G48" s="188"/>
      <c r="H48" s="739"/>
      <c r="I48" s="119"/>
      <c r="J48" s="119"/>
      <c r="K48" s="188">
        <v>4</v>
      </c>
      <c r="L48" s="739" t="s">
        <v>359</v>
      </c>
      <c r="M48" s="739">
        <f>1101200-55060</f>
        <v>1046140</v>
      </c>
      <c r="N48" s="739"/>
      <c r="O48" s="739"/>
      <c r="P48" s="119"/>
      <c r="Q48" s="188"/>
      <c r="R48" s="188"/>
      <c r="S48" s="188"/>
      <c r="T48" s="740"/>
      <c r="U48" s="119" t="s">
        <v>1488</v>
      </c>
      <c r="V48" s="119" t="s">
        <v>1487</v>
      </c>
      <c r="W48" s="119"/>
      <c r="X48" s="781">
        <v>84481190</v>
      </c>
      <c r="Y48" s="119"/>
      <c r="Z48" s="795" t="s">
        <v>1484</v>
      </c>
      <c r="AA48" s="188"/>
      <c r="AB48" s="741"/>
      <c r="AC48" s="741"/>
      <c r="AD48" s="116"/>
      <c r="AE48" s="742"/>
      <c r="AF48" s="742"/>
      <c r="AG48" s="256"/>
      <c r="AH48" s="188"/>
      <c r="AI48" s="743"/>
      <c r="AJ48" s="256"/>
      <c r="AK48" s="256"/>
      <c r="AL48" s="757">
        <v>1234445</v>
      </c>
      <c r="AM48" s="744"/>
      <c r="AN48" s="757">
        <v>3400782</v>
      </c>
      <c r="AO48" s="256" t="s">
        <v>1549</v>
      </c>
      <c r="AP48" s="256"/>
      <c r="AQ48" s="256"/>
      <c r="AR48" s="256"/>
      <c r="AS48" s="256"/>
      <c r="AT48" s="256"/>
      <c r="AU48" s="256"/>
      <c r="AV48" s="55"/>
      <c r="AW48" s="17"/>
    </row>
    <row r="49" spans="2:49" ht="33" customHeight="1" x14ac:dyDescent="0.3">
      <c r="C49" s="69"/>
      <c r="D49" s="188"/>
      <c r="E49" s="119"/>
      <c r="F49" s="828" t="s">
        <v>1235</v>
      </c>
      <c r="G49" s="188"/>
      <c r="H49" s="739"/>
      <c r="I49" s="119"/>
      <c r="J49" s="119"/>
      <c r="K49" s="188">
        <v>4</v>
      </c>
      <c r="L49" s="739" t="s">
        <v>359</v>
      </c>
      <c r="M49" s="739">
        <f>1101200-55060</f>
        <v>1046140</v>
      </c>
      <c r="N49" s="739"/>
      <c r="O49" s="739"/>
      <c r="P49" s="119"/>
      <c r="Q49" s="188"/>
      <c r="R49" s="188"/>
      <c r="S49" s="188"/>
      <c r="T49" s="836"/>
      <c r="U49" s="119" t="s">
        <v>1488</v>
      </c>
      <c r="V49" s="119" t="s">
        <v>1486</v>
      </c>
      <c r="W49" s="119"/>
      <c r="X49" s="781">
        <v>84481190</v>
      </c>
      <c r="Y49" s="119"/>
      <c r="Z49" s="795" t="s">
        <v>1485</v>
      </c>
      <c r="AA49" s="188"/>
      <c r="AB49" s="741"/>
      <c r="AC49" s="741"/>
      <c r="AD49" s="116"/>
      <c r="AE49" s="742"/>
      <c r="AF49" s="742"/>
      <c r="AG49" s="256"/>
      <c r="AH49" s="188"/>
      <c r="AI49" s="743"/>
      <c r="AJ49" s="256"/>
      <c r="AK49" s="256"/>
      <c r="AL49" s="757">
        <v>1234445</v>
      </c>
      <c r="AM49" s="744"/>
      <c r="AN49" s="256"/>
      <c r="AO49" s="256"/>
      <c r="AP49" s="256"/>
      <c r="AQ49" s="256"/>
      <c r="AR49" s="256"/>
      <c r="AS49" s="256"/>
      <c r="AT49" s="256"/>
      <c r="AU49" s="256"/>
      <c r="AV49" s="55"/>
      <c r="AW49" s="17"/>
    </row>
    <row r="50" spans="2:49" x14ac:dyDescent="0.3">
      <c r="C50" s="69"/>
      <c r="D50" s="188"/>
      <c r="E50" s="119"/>
      <c r="F50" s="780"/>
      <c r="G50" s="188"/>
      <c r="H50" s="739"/>
      <c r="I50" s="119"/>
      <c r="J50" s="119"/>
      <c r="K50" s="188"/>
      <c r="L50" s="739"/>
      <c r="M50" s="739"/>
      <c r="N50" s="739"/>
      <c r="O50" s="739"/>
      <c r="P50" s="119"/>
      <c r="Q50" s="188"/>
      <c r="R50" s="188"/>
      <c r="S50" s="188"/>
      <c r="T50" s="740"/>
      <c r="U50" s="119"/>
      <c r="V50" s="119"/>
      <c r="W50" s="119"/>
      <c r="X50" s="119"/>
      <c r="Y50" s="119"/>
      <c r="Z50" s="188"/>
      <c r="AA50" s="188"/>
      <c r="AB50" s="741"/>
      <c r="AC50" s="741"/>
      <c r="AD50" s="116"/>
      <c r="AE50" s="742"/>
      <c r="AF50" s="742"/>
      <c r="AG50" s="256"/>
      <c r="AH50" s="188"/>
      <c r="AI50" s="743"/>
      <c r="AJ50" s="256"/>
      <c r="AK50" s="256"/>
      <c r="AL50" s="915">
        <f>SUM(AL44:AL49)</f>
        <v>17792624</v>
      </c>
      <c r="AM50" s="916"/>
      <c r="AN50" s="915">
        <f>SUM(AN44:AN49)</f>
        <v>17792624</v>
      </c>
      <c r="AO50" s="745"/>
      <c r="AP50" s="745"/>
      <c r="AQ50" s="256"/>
      <c r="AR50" s="256"/>
      <c r="AS50" s="256"/>
      <c r="AT50" s="256"/>
      <c r="AU50" s="256"/>
      <c r="AV50" s="55"/>
      <c r="AW50" s="17"/>
    </row>
    <row r="51" spans="2:49" x14ac:dyDescent="0.3">
      <c r="C51" s="69"/>
      <c r="D51" s="188"/>
      <c r="E51" s="119"/>
      <c r="F51" s="780"/>
      <c r="G51" s="188"/>
      <c r="H51" s="739"/>
      <c r="I51" s="119"/>
      <c r="J51" s="119"/>
      <c r="K51" s="188"/>
      <c r="L51" s="739"/>
      <c r="M51" s="739"/>
      <c r="N51" s="739"/>
      <c r="O51" s="739"/>
      <c r="P51" s="119"/>
      <c r="Q51" s="188"/>
      <c r="R51" s="188"/>
      <c r="S51" s="188"/>
      <c r="T51" s="740"/>
      <c r="U51" s="119"/>
      <c r="V51" s="119"/>
      <c r="W51" s="119"/>
      <c r="X51" s="119"/>
      <c r="Y51" s="119"/>
      <c r="Z51" s="188"/>
      <c r="AA51" s="188"/>
      <c r="AB51" s="741"/>
      <c r="AC51" s="741"/>
      <c r="AD51" s="116"/>
      <c r="AE51" s="742"/>
      <c r="AF51" s="742"/>
      <c r="AG51" s="256"/>
      <c r="AH51" s="188"/>
      <c r="AI51" s="743"/>
      <c r="AJ51" s="256"/>
      <c r="AK51" s="256"/>
      <c r="AL51" s="757"/>
      <c r="AM51" s="744"/>
      <c r="AN51" s="757"/>
      <c r="AO51" s="745"/>
      <c r="AP51" s="745"/>
      <c r="AQ51" s="256"/>
      <c r="AR51" s="256"/>
      <c r="AS51" s="256"/>
      <c r="AT51" s="256"/>
      <c r="AU51" s="256"/>
      <c r="AV51" s="55"/>
      <c r="AW51" s="17"/>
    </row>
    <row r="52" spans="2:49" x14ac:dyDescent="0.3">
      <c r="C52" s="69"/>
      <c r="D52" s="188"/>
      <c r="E52" s="119"/>
      <c r="F52" s="780"/>
      <c r="G52" s="188"/>
      <c r="H52" s="739"/>
      <c r="I52" s="119"/>
      <c r="J52" s="119"/>
      <c r="K52" s="188"/>
      <c r="L52" s="739"/>
      <c r="M52" s="739"/>
      <c r="N52" s="739"/>
      <c r="O52" s="739"/>
      <c r="P52" s="119"/>
      <c r="Q52" s="188"/>
      <c r="R52" s="188"/>
      <c r="S52" s="188"/>
      <c r="T52" s="740"/>
      <c r="U52" s="119"/>
      <c r="V52" s="119"/>
      <c r="W52" s="119"/>
      <c r="X52" s="119"/>
      <c r="Y52" s="119"/>
      <c r="Z52" s="188"/>
      <c r="AA52" s="188"/>
      <c r="AB52" s="741"/>
      <c r="AC52" s="741"/>
      <c r="AD52" s="116"/>
      <c r="AE52" s="742"/>
      <c r="AF52" s="742"/>
      <c r="AG52" s="256"/>
      <c r="AH52" s="188"/>
      <c r="AI52" s="743"/>
      <c r="AJ52" s="256"/>
      <c r="AK52" s="256"/>
      <c r="AL52" s="757"/>
      <c r="AM52" s="744"/>
      <c r="AN52" s="757"/>
      <c r="AO52" s="745"/>
      <c r="AP52" s="745"/>
      <c r="AQ52" s="256"/>
      <c r="AR52" s="256"/>
      <c r="AS52" s="256"/>
      <c r="AT52" s="256"/>
      <c r="AU52" s="256"/>
      <c r="AV52" s="55"/>
      <c r="AW52" s="17"/>
    </row>
    <row r="53" spans="2:49" x14ac:dyDescent="0.3">
      <c r="C53" s="69"/>
      <c r="D53" s="188"/>
      <c r="E53" s="119"/>
      <c r="F53" s="780"/>
      <c r="G53" s="188"/>
      <c r="H53" s="739"/>
      <c r="I53" s="119"/>
      <c r="J53" s="119"/>
      <c r="K53" s="188"/>
      <c r="L53" s="739"/>
      <c r="M53" s="739"/>
      <c r="N53" s="739"/>
      <c r="O53" s="739"/>
      <c r="P53" s="119"/>
      <c r="Q53" s="188"/>
      <c r="R53" s="188"/>
      <c r="S53" s="188"/>
      <c r="T53" s="740"/>
      <c r="U53" s="119"/>
      <c r="V53" s="119"/>
      <c r="W53" s="119"/>
      <c r="X53" s="119"/>
      <c r="Y53" s="119"/>
      <c r="Z53" s="188"/>
      <c r="AA53" s="188"/>
      <c r="AB53" s="741"/>
      <c r="AC53" s="741"/>
      <c r="AD53" s="116"/>
      <c r="AE53" s="742"/>
      <c r="AF53" s="742"/>
      <c r="AG53" s="256"/>
      <c r="AH53" s="188"/>
      <c r="AI53" s="743"/>
      <c r="AJ53" s="256"/>
      <c r="AK53" s="256"/>
      <c r="AL53" s="757"/>
      <c r="AM53" s="744"/>
      <c r="AN53" s="757"/>
      <c r="AO53" s="745"/>
      <c r="AP53" s="745"/>
      <c r="AQ53" s="256"/>
      <c r="AR53" s="256"/>
      <c r="AS53" s="256"/>
      <c r="AT53" s="256"/>
      <c r="AU53" s="256"/>
      <c r="AV53" s="55"/>
      <c r="AW53" s="17"/>
    </row>
    <row r="54" spans="2:49" x14ac:dyDescent="0.3">
      <c r="C54" s="69"/>
      <c r="D54" s="188"/>
      <c r="E54" s="119"/>
      <c r="F54" s="119"/>
      <c r="G54" s="188"/>
      <c r="H54" s="739"/>
      <c r="I54" s="119"/>
      <c r="J54" s="119"/>
      <c r="K54" s="188"/>
      <c r="L54" s="739"/>
      <c r="M54" s="739"/>
      <c r="N54" s="739"/>
      <c r="O54" s="739"/>
      <c r="P54" s="119"/>
      <c r="Q54" s="188"/>
      <c r="R54" s="188"/>
      <c r="S54" s="188"/>
      <c r="T54" s="740"/>
      <c r="U54" s="119"/>
      <c r="V54" s="119"/>
      <c r="W54" s="119"/>
      <c r="X54" s="119"/>
      <c r="Y54" s="119"/>
      <c r="Z54" s="188"/>
      <c r="AA54" s="188"/>
      <c r="AB54" s="741"/>
      <c r="AC54" s="741"/>
      <c r="AD54" s="116"/>
      <c r="AE54" s="742"/>
      <c r="AF54" s="742"/>
      <c r="AG54" s="256"/>
      <c r="AH54" s="188"/>
      <c r="AI54" s="743"/>
      <c r="AJ54" s="256"/>
      <c r="AK54" s="256"/>
      <c r="AL54" s="757"/>
      <c r="AM54" s="744"/>
      <c r="AN54" s="757"/>
      <c r="AO54" s="745"/>
      <c r="AP54" s="745"/>
      <c r="AQ54" s="256"/>
      <c r="AR54" s="256"/>
      <c r="AS54" s="256"/>
      <c r="AT54" s="256"/>
      <c r="AU54" s="256"/>
      <c r="AV54" s="55"/>
      <c r="AW54" s="17"/>
    </row>
    <row r="55" spans="2:49" ht="52.8" x14ac:dyDescent="0.3">
      <c r="C55" s="69" t="s">
        <v>483</v>
      </c>
      <c r="D55" s="188">
        <v>7</v>
      </c>
      <c r="E55" s="119"/>
      <c r="F55" s="119" t="str">
        <f>'UID application COMBINE Mc list'!B29</f>
        <v>Air Compressor I5 H.P. and above with inbuilt invertors and air driers for Air Jet Looms only</v>
      </c>
      <c r="G55" s="188">
        <f>'UID application COMBINE Mc list'!D29</f>
        <v>2</v>
      </c>
      <c r="H55" s="739">
        <f>'UID application COMBINE Mc list'!H29</f>
        <v>35640000</v>
      </c>
      <c r="I55" s="119" t="str">
        <f>F55</f>
        <v>Air Compressor I5 H.P. and above with inbuilt invertors and air driers for Air Jet Looms only</v>
      </c>
      <c r="J55" s="119"/>
      <c r="K55" s="188">
        <v>2</v>
      </c>
      <c r="L55" s="739" t="s">
        <v>347</v>
      </c>
      <c r="M55" s="739">
        <v>392000</v>
      </c>
      <c r="N55" s="739">
        <v>88.1</v>
      </c>
      <c r="O55" s="739">
        <f>M55*N55</f>
        <v>34535200</v>
      </c>
      <c r="P55" s="119" t="s">
        <v>1403</v>
      </c>
      <c r="Q55" s="188" t="s">
        <v>649</v>
      </c>
      <c r="R55" s="188" t="s">
        <v>649</v>
      </c>
      <c r="S55" s="188" t="s">
        <v>649</v>
      </c>
      <c r="T55" s="740"/>
      <c r="U55" s="119" t="s">
        <v>1401</v>
      </c>
      <c r="V55" s="119" t="s">
        <v>1402</v>
      </c>
      <c r="W55" s="119"/>
      <c r="X55" s="119">
        <v>84144090</v>
      </c>
      <c r="Y55" s="119"/>
      <c r="Z55" s="188" t="s">
        <v>1404</v>
      </c>
      <c r="AA55" s="188" t="s">
        <v>1407</v>
      </c>
      <c r="AB55" s="741" t="s">
        <v>1243</v>
      </c>
      <c r="AC55" s="741" t="s">
        <v>1243</v>
      </c>
      <c r="AD55" s="116" t="s">
        <v>649</v>
      </c>
      <c r="AE55" s="742" t="s">
        <v>649</v>
      </c>
      <c r="AF55" s="742" t="s">
        <v>1406</v>
      </c>
      <c r="AG55" s="149"/>
      <c r="AH55" s="188" t="s">
        <v>1410</v>
      </c>
      <c r="AI55" s="743" t="s">
        <v>1411</v>
      </c>
      <c r="AJ55" s="256"/>
      <c r="AK55" s="256"/>
      <c r="AL55" s="256"/>
      <c r="AM55" s="744">
        <f>AN55/39200</f>
        <v>88.45</v>
      </c>
      <c r="AN55" s="757">
        <v>3467240</v>
      </c>
      <c r="AO55" s="745" t="s">
        <v>1408</v>
      </c>
      <c r="AP55" s="745" t="s">
        <v>1409</v>
      </c>
      <c r="AQ55" s="256" t="s">
        <v>1309</v>
      </c>
      <c r="AR55" s="256" t="s">
        <v>1310</v>
      </c>
      <c r="AS55" s="256"/>
      <c r="AT55" s="256"/>
      <c r="AU55" s="256"/>
      <c r="AV55" s="55"/>
      <c r="AW55" s="17"/>
    </row>
    <row r="56" spans="2:49" ht="52.8" x14ac:dyDescent="0.3">
      <c r="C56" s="69"/>
      <c r="D56" s="188"/>
      <c r="E56" s="119"/>
      <c r="F56" s="119"/>
      <c r="G56" s="188"/>
      <c r="H56" s="739"/>
      <c r="I56" s="119"/>
      <c r="J56" s="119"/>
      <c r="K56" s="188"/>
      <c r="L56" s="739"/>
      <c r="M56" s="739"/>
      <c r="N56" s="739"/>
      <c r="O56" s="739"/>
      <c r="P56" s="119"/>
      <c r="Q56" s="188"/>
      <c r="R56" s="188"/>
      <c r="S56" s="188"/>
      <c r="T56" s="740"/>
      <c r="U56" s="119"/>
      <c r="V56" s="119"/>
      <c r="W56" s="119"/>
      <c r="X56" s="119"/>
      <c r="Y56" s="119"/>
      <c r="Z56" s="188"/>
      <c r="AA56" s="188"/>
      <c r="AB56" s="741"/>
      <c r="AC56" s="741"/>
      <c r="AD56" s="784"/>
      <c r="AE56" s="724"/>
      <c r="AF56" s="724"/>
      <c r="AG56" s="793" t="s">
        <v>1405</v>
      </c>
      <c r="AH56" s="724" t="s">
        <v>1412</v>
      </c>
      <c r="AI56" s="262" t="s">
        <v>1413</v>
      </c>
      <c r="AJ56" s="256"/>
      <c r="AK56" s="256"/>
      <c r="AL56" s="256"/>
      <c r="AM56" s="744">
        <f>AN56/352800</f>
        <v>86.58</v>
      </c>
      <c r="AN56" s="757">
        <v>30545424</v>
      </c>
      <c r="AO56" s="745" t="s">
        <v>1409</v>
      </c>
      <c r="AP56" s="745" t="s">
        <v>1409</v>
      </c>
      <c r="AQ56" s="256" t="s">
        <v>1371</v>
      </c>
      <c r="AR56" s="256" t="s">
        <v>1310</v>
      </c>
      <c r="AS56" s="256"/>
      <c r="AT56" s="256"/>
      <c r="AU56" s="256"/>
      <c r="AV56" s="55"/>
      <c r="AW56" s="17"/>
    </row>
    <row r="57" spans="2:49" x14ac:dyDescent="0.3">
      <c r="C57" s="69"/>
      <c r="D57" s="188"/>
      <c r="E57" s="119"/>
      <c r="F57" s="119"/>
      <c r="G57" s="188"/>
      <c r="H57" s="739"/>
      <c r="I57" s="119"/>
      <c r="J57" s="119"/>
      <c r="K57" s="188"/>
      <c r="L57" s="739"/>
      <c r="M57" s="739"/>
      <c r="N57" s="739"/>
      <c r="O57" s="739"/>
      <c r="P57" s="119"/>
      <c r="Q57" s="188"/>
      <c r="R57" s="188"/>
      <c r="S57" s="188"/>
      <c r="T57" s="740"/>
      <c r="U57" s="119"/>
      <c r="V57" s="119"/>
      <c r="W57" s="119"/>
      <c r="X57" s="119"/>
      <c r="Y57" s="119"/>
      <c r="Z57" s="188"/>
      <c r="AA57" s="188"/>
      <c r="AB57" s="741"/>
      <c r="AC57" s="741"/>
      <c r="AD57" s="116"/>
      <c r="AE57" s="742"/>
      <c r="AF57" s="742"/>
      <c r="AG57" s="256"/>
      <c r="AH57" s="188"/>
      <c r="AI57" s="743"/>
      <c r="AJ57" s="256"/>
      <c r="AK57" s="256"/>
      <c r="AL57" s="256"/>
      <c r="AM57" s="744"/>
      <c r="AN57" s="757"/>
      <c r="AO57" s="745"/>
      <c r="AP57" s="745"/>
      <c r="AQ57" s="256"/>
      <c r="AR57" s="256"/>
      <c r="AS57" s="256"/>
      <c r="AT57" s="256"/>
      <c r="AU57" s="256"/>
      <c r="AV57" s="55"/>
      <c r="AW57" s="17"/>
    </row>
    <row r="58" spans="2:49" x14ac:dyDescent="0.3">
      <c r="B58" s="786"/>
      <c r="C58" s="761"/>
      <c r="D58" s="762"/>
      <c r="E58" s="763"/>
      <c r="F58" s="763"/>
      <c r="G58" s="762"/>
      <c r="H58" s="790">
        <f>H56+H55</f>
        <v>35640000</v>
      </c>
      <c r="I58" s="763"/>
      <c r="J58" s="763"/>
      <c r="K58" s="762"/>
      <c r="L58" s="764"/>
      <c r="M58" s="764"/>
      <c r="N58" s="764"/>
      <c r="O58" s="790">
        <f>O56+O55</f>
        <v>34535200</v>
      </c>
      <c r="P58" s="763"/>
      <c r="Q58" s="762"/>
      <c r="R58" s="762"/>
      <c r="S58" s="762"/>
      <c r="T58" s="765"/>
      <c r="U58" s="763"/>
      <c r="V58" s="763"/>
      <c r="W58" s="763"/>
      <c r="X58" s="763"/>
      <c r="Y58" s="763"/>
      <c r="Z58" s="762"/>
      <c r="AA58" s="762"/>
      <c r="AB58" s="766"/>
      <c r="AC58" s="766"/>
      <c r="AD58" s="767"/>
      <c r="AE58" s="768"/>
      <c r="AF58" s="768"/>
      <c r="AG58" s="769"/>
      <c r="AH58" s="762"/>
      <c r="AI58" s="770"/>
      <c r="AJ58" s="769"/>
      <c r="AK58" s="769"/>
      <c r="AL58" s="790">
        <f>AL56+AL55</f>
        <v>0</v>
      </c>
      <c r="AM58" s="771"/>
      <c r="AN58" s="790">
        <f>AN56+AN55</f>
        <v>34012664</v>
      </c>
      <c r="AO58" s="772"/>
      <c r="AP58" s="772"/>
      <c r="AQ58" s="769"/>
      <c r="AR58" s="769"/>
      <c r="AS58" s="769"/>
      <c r="AT58" s="769"/>
      <c r="AU58" s="769"/>
      <c r="AV58" s="55"/>
      <c r="AW58" s="17"/>
    </row>
    <row r="59" spans="2:49" x14ac:dyDescent="0.3">
      <c r="C59" s="69"/>
      <c r="D59" s="188"/>
      <c r="E59" s="119"/>
      <c r="F59" s="119"/>
      <c r="G59" s="188"/>
      <c r="H59" s="739"/>
      <c r="I59" s="119"/>
      <c r="J59" s="119"/>
      <c r="K59" s="188"/>
      <c r="L59" s="739"/>
      <c r="M59" s="739"/>
      <c r="N59" s="739"/>
      <c r="O59" s="739"/>
      <c r="P59" s="119"/>
      <c r="Q59" s="188"/>
      <c r="R59" s="188"/>
      <c r="S59" s="188"/>
      <c r="T59" s="740"/>
      <c r="U59" s="119"/>
      <c r="V59" s="119"/>
      <c r="W59" s="119"/>
      <c r="X59" s="119"/>
      <c r="Y59" s="119"/>
      <c r="Z59" s="188"/>
      <c r="AA59" s="188"/>
      <c r="AB59" s="741"/>
      <c r="AC59" s="741"/>
      <c r="AD59" s="116"/>
      <c r="AE59" s="742"/>
      <c r="AF59" s="742"/>
      <c r="AG59" s="256"/>
      <c r="AH59" s="188"/>
      <c r="AI59" s="743"/>
      <c r="AJ59" s="256"/>
      <c r="AK59" s="256"/>
      <c r="AL59" s="757"/>
      <c r="AM59" s="744"/>
      <c r="AN59" s="757"/>
      <c r="AO59" s="745"/>
      <c r="AP59" s="745"/>
      <c r="AQ59" s="256"/>
      <c r="AR59" s="256"/>
      <c r="AS59" s="256"/>
      <c r="AT59" s="256"/>
      <c r="AU59" s="256"/>
      <c r="AV59" s="55"/>
      <c r="AW59" s="17"/>
    </row>
    <row r="60" spans="2:49" ht="97.5" customHeight="1" x14ac:dyDescent="0.3">
      <c r="C60" s="712" t="s">
        <v>1423</v>
      </c>
      <c r="D60" s="188">
        <v>8</v>
      </c>
      <c r="E60" s="119"/>
      <c r="F60" s="119" t="str">
        <f>'UID application COMBINE Mc list'!C30</f>
        <v>PLC based Precision Package Winder with online tension control having capability to process 2000 dtex and having speed of 1200 mtrs per minute.</v>
      </c>
      <c r="G60" s="188">
        <f>'UID application COMBINE Mc list'!D30</f>
        <v>13</v>
      </c>
      <c r="H60" s="739">
        <f>'UID application COMBINE Mc list'!H30</f>
        <v>71880000</v>
      </c>
      <c r="I60" s="119" t="str">
        <f>F60</f>
        <v>PLC based Precision Package Winder with online tension control having capability to process 2000 dtex and having speed of 1200 mtrs per minute.</v>
      </c>
      <c r="J60" s="119" t="s">
        <v>649</v>
      </c>
      <c r="K60" s="188">
        <f>SUM(K61:K70)</f>
        <v>10</v>
      </c>
      <c r="L60" s="739"/>
      <c r="M60" s="739">
        <f>SUM(M61:M70)</f>
        <v>63600000</v>
      </c>
      <c r="N60" s="739"/>
      <c r="O60" s="739"/>
      <c r="P60" s="712" t="s">
        <v>1423</v>
      </c>
      <c r="Q60" s="188" t="s">
        <v>649</v>
      </c>
      <c r="R60" s="188" t="s">
        <v>649</v>
      </c>
      <c r="S60" s="188" t="s">
        <v>649</v>
      </c>
      <c r="T60" s="740"/>
      <c r="U60" s="119" t="s">
        <v>1434</v>
      </c>
      <c r="V60" s="119"/>
      <c r="W60" s="119"/>
      <c r="X60" s="119"/>
      <c r="Y60" s="119"/>
      <c r="Z60" s="188"/>
      <c r="AA60" s="188"/>
      <c r="AB60" s="741"/>
      <c r="AC60" s="741"/>
      <c r="AD60" s="116"/>
      <c r="AE60" s="742"/>
      <c r="AF60" s="742"/>
      <c r="AG60" s="256"/>
      <c r="AH60" s="188"/>
      <c r="AI60" s="743"/>
      <c r="AJ60" s="256"/>
      <c r="AK60" s="256"/>
      <c r="AL60" s="739">
        <f>SUM(AL61:AL70)</f>
        <v>75034080</v>
      </c>
      <c r="AM60" s="744"/>
      <c r="AN60" s="739">
        <f>SUM(AN61:AN72)</f>
        <v>75035919</v>
      </c>
      <c r="AO60" s="745"/>
      <c r="AP60" s="745"/>
      <c r="AQ60" s="256"/>
      <c r="AR60" s="256"/>
      <c r="AS60" s="256"/>
      <c r="AT60" s="256"/>
      <c r="AU60" s="256"/>
      <c r="AV60" s="55"/>
      <c r="AW60" s="17"/>
    </row>
    <row r="61" spans="2:49" ht="35.25" customHeight="1" x14ac:dyDescent="0.3">
      <c r="C61" s="69"/>
      <c r="D61" s="188"/>
      <c r="E61" s="119"/>
      <c r="F61" s="119"/>
      <c r="G61" s="188"/>
      <c r="H61" s="739"/>
      <c r="I61" s="119" t="s">
        <v>1244</v>
      </c>
      <c r="J61" s="119"/>
      <c r="K61" s="188">
        <v>1</v>
      </c>
      <c r="L61" s="739" t="s">
        <v>359</v>
      </c>
      <c r="M61" s="798">
        <v>6960000</v>
      </c>
      <c r="N61" s="739"/>
      <c r="O61" s="739"/>
      <c r="P61" s="1288" t="s">
        <v>1423</v>
      </c>
      <c r="Q61" s="188"/>
      <c r="R61" s="188"/>
      <c r="S61" s="188"/>
      <c r="T61" s="740"/>
      <c r="U61" s="746" t="s">
        <v>1435</v>
      </c>
      <c r="V61" s="119" t="s">
        <v>1436</v>
      </c>
      <c r="W61" s="119"/>
      <c r="X61" s="803">
        <v>84459000</v>
      </c>
      <c r="Y61" s="119"/>
      <c r="Z61" s="794" t="s">
        <v>1424</v>
      </c>
      <c r="AA61" s="188"/>
      <c r="AB61" s="741"/>
      <c r="AC61" s="741"/>
      <c r="AD61" s="116"/>
      <c r="AE61" s="742"/>
      <c r="AF61" s="742"/>
      <c r="AG61" s="256"/>
      <c r="AH61" s="188"/>
      <c r="AI61" s="743"/>
      <c r="AJ61" s="256"/>
      <c r="AK61" s="256"/>
      <c r="AL61" s="757">
        <v>8212800</v>
      </c>
      <c r="AM61" s="744"/>
      <c r="AN61" s="757">
        <v>8212800</v>
      </c>
      <c r="AO61" s="745" t="s">
        <v>1323</v>
      </c>
      <c r="AP61" s="745"/>
      <c r="AQ61" s="256"/>
      <c r="AR61" s="256"/>
      <c r="AS61" s="256"/>
      <c r="AT61" s="256"/>
      <c r="AU61" s="256"/>
      <c r="AV61" s="55"/>
      <c r="AW61" s="17"/>
    </row>
    <row r="62" spans="2:49" ht="30" customHeight="1" x14ac:dyDescent="0.3">
      <c r="C62" s="69"/>
      <c r="D62" s="188"/>
      <c r="E62" s="119"/>
      <c r="F62" s="119"/>
      <c r="G62" s="188"/>
      <c r="H62" s="739"/>
      <c r="I62" s="119" t="s">
        <v>1244</v>
      </c>
      <c r="J62" s="119"/>
      <c r="K62" s="188">
        <v>1</v>
      </c>
      <c r="L62" s="739"/>
      <c r="M62" s="798">
        <v>6960000</v>
      </c>
      <c r="N62" s="739"/>
      <c r="O62" s="739"/>
      <c r="P62" s="1289"/>
      <c r="Q62" s="188"/>
      <c r="R62" s="188"/>
      <c r="S62" s="188"/>
      <c r="T62" s="740"/>
      <c r="U62" s="746" t="s">
        <v>1435</v>
      </c>
      <c r="V62" s="119" t="s">
        <v>1437</v>
      </c>
      <c r="W62" s="119"/>
      <c r="X62" s="803">
        <v>84459000</v>
      </c>
      <c r="Y62" s="119"/>
      <c r="Z62" s="794" t="s">
        <v>1425</v>
      </c>
      <c r="AA62" s="188"/>
      <c r="AB62" s="741"/>
      <c r="AC62" s="741"/>
      <c r="AD62" s="116"/>
      <c r="AE62" s="742"/>
      <c r="AF62" s="742"/>
      <c r="AG62" s="256"/>
      <c r="AH62" s="188"/>
      <c r="AI62" s="743"/>
      <c r="AJ62" s="256"/>
      <c r="AK62" s="256"/>
      <c r="AL62" s="757">
        <v>8212800</v>
      </c>
      <c r="AM62" s="744"/>
      <c r="AN62" s="757">
        <v>8212800</v>
      </c>
      <c r="AO62" s="745" t="s">
        <v>1546</v>
      </c>
      <c r="AP62" s="745"/>
      <c r="AQ62" s="256"/>
      <c r="AR62" s="256"/>
      <c r="AS62" s="256"/>
      <c r="AT62" s="256"/>
      <c r="AU62" s="256"/>
      <c r="AV62" s="55"/>
      <c r="AW62" s="17"/>
    </row>
    <row r="63" spans="2:49" ht="30" customHeight="1" x14ac:dyDescent="0.3">
      <c r="C63" s="69"/>
      <c r="D63" s="188"/>
      <c r="E63" s="119"/>
      <c r="F63" s="119"/>
      <c r="G63" s="188"/>
      <c r="H63" s="739"/>
      <c r="I63" s="119" t="s">
        <v>1244</v>
      </c>
      <c r="J63" s="119"/>
      <c r="K63" s="188">
        <v>1</v>
      </c>
      <c r="L63" s="739"/>
      <c r="M63" s="798">
        <v>6960000</v>
      </c>
      <c r="N63" s="739"/>
      <c r="O63" s="739"/>
      <c r="P63" s="1289"/>
      <c r="Q63" s="188"/>
      <c r="R63" s="188"/>
      <c r="S63" s="188"/>
      <c r="T63" s="740"/>
      <c r="U63" s="746" t="s">
        <v>1435</v>
      </c>
      <c r="V63" s="119" t="s">
        <v>1438</v>
      </c>
      <c r="W63" s="119"/>
      <c r="X63" s="803">
        <v>84459000</v>
      </c>
      <c r="Y63" s="119"/>
      <c r="Z63" s="794" t="s">
        <v>1426</v>
      </c>
      <c r="AA63" s="188"/>
      <c r="AB63" s="741"/>
      <c r="AC63" s="741"/>
      <c r="AD63" s="116"/>
      <c r="AE63" s="742"/>
      <c r="AF63" s="742"/>
      <c r="AG63" s="256"/>
      <c r="AH63" s="188"/>
      <c r="AI63" s="743"/>
      <c r="AJ63" s="256"/>
      <c r="AK63" s="256"/>
      <c r="AL63" s="757">
        <v>8212800</v>
      </c>
      <c r="AM63" s="744"/>
      <c r="AN63" s="757">
        <v>8212800</v>
      </c>
      <c r="AO63" s="745" t="s">
        <v>1547</v>
      </c>
      <c r="AP63" s="745"/>
      <c r="AQ63" s="256"/>
      <c r="AR63" s="256"/>
      <c r="AS63" s="256"/>
      <c r="AT63" s="256"/>
      <c r="AU63" s="256"/>
      <c r="AV63" s="55"/>
      <c r="AW63" s="17"/>
    </row>
    <row r="64" spans="2:49" ht="30" customHeight="1" x14ac:dyDescent="0.3">
      <c r="C64" s="69"/>
      <c r="D64" s="188"/>
      <c r="E64" s="119"/>
      <c r="F64" s="119"/>
      <c r="G64" s="188"/>
      <c r="H64" s="739"/>
      <c r="I64" s="119" t="s">
        <v>1244</v>
      </c>
      <c r="J64" s="119"/>
      <c r="K64" s="188">
        <v>1</v>
      </c>
      <c r="L64" s="739"/>
      <c r="M64" s="797">
        <v>6960000</v>
      </c>
      <c r="N64" s="739"/>
      <c r="O64" s="739"/>
      <c r="P64" s="1289"/>
      <c r="Q64" s="188"/>
      <c r="R64" s="188"/>
      <c r="S64" s="188"/>
      <c r="T64" s="740"/>
      <c r="U64" s="746" t="s">
        <v>1435</v>
      </c>
      <c r="V64" s="119" t="s">
        <v>1439</v>
      </c>
      <c r="W64" s="119"/>
      <c r="X64" s="803">
        <v>84459000</v>
      </c>
      <c r="Y64" s="119"/>
      <c r="Z64" s="794" t="s">
        <v>1427</v>
      </c>
      <c r="AA64" s="188"/>
      <c r="AB64" s="741"/>
      <c r="AC64" s="741"/>
      <c r="AD64" s="116"/>
      <c r="AE64" s="742"/>
      <c r="AF64" s="742"/>
      <c r="AG64" s="256"/>
      <c r="AH64" s="188"/>
      <c r="AI64" s="743"/>
      <c r="AJ64" s="256"/>
      <c r="AK64" s="256"/>
      <c r="AL64" s="757">
        <v>8212800</v>
      </c>
      <c r="AM64" s="744"/>
      <c r="AN64" s="757">
        <v>8212800</v>
      </c>
      <c r="AO64" s="745" t="s">
        <v>1549</v>
      </c>
      <c r="AP64" s="745"/>
      <c r="AQ64" s="256"/>
      <c r="AR64" s="256"/>
      <c r="AS64" s="256"/>
      <c r="AT64" s="256"/>
      <c r="AU64" s="256"/>
      <c r="AV64" s="55"/>
      <c r="AW64" s="17"/>
    </row>
    <row r="65" spans="3:49" ht="32.25" customHeight="1" x14ac:dyDescent="0.3">
      <c r="C65" s="69"/>
      <c r="D65" s="188"/>
      <c r="E65" s="119"/>
      <c r="F65" s="119"/>
      <c r="G65" s="188"/>
      <c r="H65" s="739"/>
      <c r="I65" s="119" t="s">
        <v>1244</v>
      </c>
      <c r="J65" s="119"/>
      <c r="K65" s="188">
        <v>1</v>
      </c>
      <c r="L65" s="739"/>
      <c r="M65" s="798">
        <v>6960000</v>
      </c>
      <c r="N65" s="739"/>
      <c r="O65" s="739"/>
      <c r="P65" s="1289"/>
      <c r="Q65" s="188"/>
      <c r="R65" s="188"/>
      <c r="S65" s="188"/>
      <c r="T65" s="740"/>
      <c r="U65" s="746" t="s">
        <v>1435</v>
      </c>
      <c r="V65" s="119" t="s">
        <v>1440</v>
      </c>
      <c r="W65" s="119"/>
      <c r="X65" s="803">
        <v>84459000</v>
      </c>
      <c r="Y65" s="119"/>
      <c r="Z65" s="794" t="s">
        <v>1428</v>
      </c>
      <c r="AA65" s="188"/>
      <c r="AB65" s="741"/>
      <c r="AC65" s="741"/>
      <c r="AD65" s="116"/>
      <c r="AE65" s="742"/>
      <c r="AF65" s="742"/>
      <c r="AG65" s="256"/>
      <c r="AH65" s="188"/>
      <c r="AI65" s="743"/>
      <c r="AJ65" s="256"/>
      <c r="AK65" s="256"/>
      <c r="AL65" s="757">
        <v>8212800</v>
      </c>
      <c r="AM65" s="744"/>
      <c r="AN65" s="757">
        <v>8212800</v>
      </c>
      <c r="AO65" s="745" t="s">
        <v>1550</v>
      </c>
      <c r="AP65" s="745"/>
      <c r="AQ65" s="256"/>
      <c r="AR65" s="256"/>
      <c r="AS65" s="256"/>
      <c r="AT65" s="256"/>
      <c r="AU65" s="256"/>
      <c r="AV65" s="55"/>
      <c r="AW65" s="17"/>
    </row>
    <row r="66" spans="3:49" ht="35.25" customHeight="1" x14ac:dyDescent="0.3">
      <c r="C66" s="69"/>
      <c r="D66" s="188"/>
      <c r="E66" s="119"/>
      <c r="F66" s="119"/>
      <c r="G66" s="188"/>
      <c r="H66" s="739"/>
      <c r="I66" s="119" t="s">
        <v>1244</v>
      </c>
      <c r="J66" s="119"/>
      <c r="K66" s="188">
        <v>1</v>
      </c>
      <c r="L66" s="739"/>
      <c r="M66" s="798">
        <v>6960000</v>
      </c>
      <c r="N66" s="739"/>
      <c r="O66" s="739"/>
      <c r="P66" s="1289"/>
      <c r="Q66" s="188"/>
      <c r="R66" s="188"/>
      <c r="S66" s="188"/>
      <c r="T66" s="740"/>
      <c r="U66" s="746" t="s">
        <v>1435</v>
      </c>
      <c r="V66" s="119" t="s">
        <v>1441</v>
      </c>
      <c r="W66" s="119"/>
      <c r="X66" s="803">
        <v>84459000</v>
      </c>
      <c r="Y66" s="119"/>
      <c r="Z66" s="795" t="s">
        <v>1429</v>
      </c>
      <c r="AA66" s="188"/>
      <c r="AB66" s="741"/>
      <c r="AC66" s="741"/>
      <c r="AD66" s="116"/>
      <c r="AE66" s="742"/>
      <c r="AF66" s="742"/>
      <c r="AG66" s="256"/>
      <c r="AH66" s="188"/>
      <c r="AI66" s="743"/>
      <c r="AJ66" s="256"/>
      <c r="AK66" s="256"/>
      <c r="AL66" s="757">
        <v>8212800</v>
      </c>
      <c r="AM66" s="744"/>
      <c r="AN66" s="914">
        <v>2688000</v>
      </c>
      <c r="AO66" s="745" t="s">
        <v>1564</v>
      </c>
      <c r="AP66" s="745"/>
      <c r="AQ66" s="256"/>
      <c r="AR66" s="256"/>
      <c r="AS66" s="256"/>
      <c r="AT66" s="256"/>
      <c r="AU66" s="256"/>
      <c r="AV66" s="55"/>
      <c r="AW66" s="17"/>
    </row>
    <row r="67" spans="3:49" ht="41.25" customHeight="1" x14ac:dyDescent="0.3">
      <c r="C67" s="69"/>
      <c r="D67" s="188"/>
      <c r="E67" s="119"/>
      <c r="F67" s="119"/>
      <c r="G67" s="188"/>
      <c r="H67" s="739"/>
      <c r="I67" s="119" t="s">
        <v>1244</v>
      </c>
      <c r="J67" s="119"/>
      <c r="K67" s="188">
        <v>1</v>
      </c>
      <c r="L67" s="739"/>
      <c r="M67" s="798">
        <v>6960000</v>
      </c>
      <c r="N67" s="739"/>
      <c r="O67" s="739"/>
      <c r="P67" s="1289"/>
      <c r="Q67" s="188"/>
      <c r="R67" s="188"/>
      <c r="S67" s="188"/>
      <c r="T67" s="740"/>
      <c r="U67" s="746" t="s">
        <v>1435</v>
      </c>
      <c r="V67" s="119" t="s">
        <v>1442</v>
      </c>
      <c r="W67" s="119"/>
      <c r="X67" s="803">
        <v>84459000</v>
      </c>
      <c r="Y67" s="119"/>
      <c r="Z67" s="794" t="s">
        <v>1431</v>
      </c>
      <c r="AA67" s="188"/>
      <c r="AB67" s="741"/>
      <c r="AC67" s="741"/>
      <c r="AD67" s="116"/>
      <c r="AE67" s="742"/>
      <c r="AF67" s="742"/>
      <c r="AG67" s="256"/>
      <c r="AH67" s="188"/>
      <c r="AI67" s="743"/>
      <c r="AJ67" s="256"/>
      <c r="AK67" s="256"/>
      <c r="AL67" s="757">
        <f>8212800-6960</f>
        <v>8205840</v>
      </c>
      <c r="AM67" s="744"/>
      <c r="AN67" s="757">
        <v>7540800</v>
      </c>
      <c r="AO67" s="745" t="s">
        <v>1565</v>
      </c>
      <c r="AP67" s="745"/>
      <c r="AQ67" s="256"/>
      <c r="AR67" s="256"/>
      <c r="AS67" s="256"/>
      <c r="AT67" s="256"/>
      <c r="AU67" s="256"/>
      <c r="AV67" s="55"/>
      <c r="AW67" s="17"/>
    </row>
    <row r="68" spans="3:49" ht="36.75" customHeight="1" x14ac:dyDescent="0.3">
      <c r="C68" s="69"/>
      <c r="D68" s="188"/>
      <c r="E68" s="119"/>
      <c r="F68" s="119"/>
      <c r="G68" s="188"/>
      <c r="H68" s="739"/>
      <c r="I68" s="119" t="s">
        <v>1244</v>
      </c>
      <c r="J68" s="119"/>
      <c r="K68" s="188">
        <v>1</v>
      </c>
      <c r="L68" s="739"/>
      <c r="M68" s="798">
        <v>6960000</v>
      </c>
      <c r="N68" s="739"/>
      <c r="O68" s="739"/>
      <c r="P68" s="1289"/>
      <c r="Q68" s="188"/>
      <c r="R68" s="188"/>
      <c r="S68" s="188"/>
      <c r="T68" s="740"/>
      <c r="U68" s="746" t="s">
        <v>1435</v>
      </c>
      <c r="V68" s="830"/>
      <c r="W68" s="119"/>
      <c r="X68" s="803">
        <v>84459000</v>
      </c>
      <c r="Y68" s="119"/>
      <c r="Z68" s="804" t="s">
        <v>1444</v>
      </c>
      <c r="AA68" s="188"/>
      <c r="AB68" s="741"/>
      <c r="AC68" s="741"/>
      <c r="AD68" s="116"/>
      <c r="AE68" s="742"/>
      <c r="AF68" s="742"/>
      <c r="AG68" s="256"/>
      <c r="AH68" s="188"/>
      <c r="AI68" s="743"/>
      <c r="AJ68" s="256"/>
      <c r="AK68" s="256"/>
      <c r="AL68" s="757">
        <v>8212800</v>
      </c>
      <c r="AM68" s="744"/>
      <c r="AN68" s="757">
        <v>45289</v>
      </c>
      <c r="AO68" s="745" t="s">
        <v>1369</v>
      </c>
      <c r="AP68" s="745"/>
      <c r="AQ68" s="256"/>
      <c r="AR68" s="256"/>
      <c r="AS68" s="256"/>
      <c r="AT68" s="256"/>
      <c r="AU68" s="256"/>
      <c r="AV68" s="55"/>
      <c r="AW68" s="17"/>
    </row>
    <row r="69" spans="3:49" ht="35.25" customHeight="1" x14ac:dyDescent="0.3">
      <c r="C69" s="69"/>
      <c r="D69" s="188"/>
      <c r="E69" s="119"/>
      <c r="F69" s="119"/>
      <c r="G69" s="188"/>
      <c r="H69" s="739"/>
      <c r="I69" s="119" t="s">
        <v>1244</v>
      </c>
      <c r="J69" s="119"/>
      <c r="K69" s="188">
        <v>1</v>
      </c>
      <c r="L69" s="739"/>
      <c r="M69" s="799">
        <v>6960000</v>
      </c>
      <c r="N69" s="739"/>
      <c r="O69" s="739"/>
      <c r="P69" s="1289"/>
      <c r="Q69" s="188"/>
      <c r="R69" s="188"/>
      <c r="S69" s="188"/>
      <c r="T69" s="740"/>
      <c r="U69" s="746" t="s">
        <v>1435</v>
      </c>
      <c r="V69" s="119" t="s">
        <v>1443</v>
      </c>
      <c r="W69" s="119"/>
      <c r="X69" s="803">
        <v>84459000</v>
      </c>
      <c r="Y69" s="119"/>
      <c r="Z69" s="796" t="s">
        <v>1430</v>
      </c>
      <c r="AA69" s="188"/>
      <c r="AB69" s="741"/>
      <c r="AC69" s="741"/>
      <c r="AD69" s="116"/>
      <c r="AE69" s="742"/>
      <c r="AF69" s="742"/>
      <c r="AG69" s="256"/>
      <c r="AH69" s="188"/>
      <c r="AI69" s="743"/>
      <c r="AJ69" s="256"/>
      <c r="AK69" s="256"/>
      <c r="AL69" s="757">
        <f>8212800-6960</f>
        <v>8205840</v>
      </c>
      <c r="AM69" s="744"/>
      <c r="AN69" s="757">
        <v>15081600</v>
      </c>
      <c r="AO69" s="745" t="s">
        <v>1566</v>
      </c>
      <c r="AP69" s="745"/>
      <c r="AQ69" s="256"/>
      <c r="AR69" s="256"/>
      <c r="AS69" s="256"/>
      <c r="AT69" s="256"/>
      <c r="AU69" s="256"/>
      <c r="AV69" s="55"/>
      <c r="AW69" s="17"/>
    </row>
    <row r="70" spans="3:49" ht="39" customHeight="1" x14ac:dyDescent="0.3">
      <c r="C70" s="69"/>
      <c r="D70" s="188"/>
      <c r="E70" s="119"/>
      <c r="F70" s="119"/>
      <c r="G70" s="188"/>
      <c r="H70" s="739"/>
      <c r="I70" s="780" t="s">
        <v>1433</v>
      </c>
      <c r="J70" s="119"/>
      <c r="K70" s="188">
        <v>1</v>
      </c>
      <c r="L70" s="739"/>
      <c r="M70" s="797">
        <v>960000</v>
      </c>
      <c r="N70" s="739"/>
      <c r="O70" s="739"/>
      <c r="P70" s="1290"/>
      <c r="Q70" s="188"/>
      <c r="R70" s="188"/>
      <c r="S70" s="188"/>
      <c r="T70" s="740"/>
      <c r="U70" s="746" t="s">
        <v>1434</v>
      </c>
      <c r="V70" s="119">
        <v>4997</v>
      </c>
      <c r="W70" s="119"/>
      <c r="X70" s="803">
        <v>84459000</v>
      </c>
      <c r="Y70" s="119"/>
      <c r="Z70" s="794" t="s">
        <v>1432</v>
      </c>
      <c r="AA70" s="188"/>
      <c r="AB70" s="741"/>
      <c r="AC70" s="741"/>
      <c r="AD70" s="116"/>
      <c r="AE70" s="742"/>
      <c r="AF70" s="742"/>
      <c r="AG70" s="256"/>
      <c r="AH70" s="188"/>
      <c r="AI70" s="743"/>
      <c r="AJ70" s="256"/>
      <c r="AK70" s="256"/>
      <c r="AL70" s="757">
        <v>1132800</v>
      </c>
      <c r="AM70" s="744"/>
      <c r="AN70" s="757">
        <v>1132800</v>
      </c>
      <c r="AO70" s="745" t="s">
        <v>1548</v>
      </c>
      <c r="AP70" s="745"/>
      <c r="AQ70" s="256"/>
      <c r="AR70" s="256"/>
      <c r="AS70" s="256"/>
      <c r="AT70" s="256"/>
      <c r="AU70" s="256"/>
      <c r="AV70" s="55"/>
      <c r="AW70" s="17"/>
    </row>
    <row r="71" spans="3:49" ht="39" customHeight="1" x14ac:dyDescent="0.3">
      <c r="C71" s="69"/>
      <c r="D71" s="188"/>
      <c r="E71" s="119"/>
      <c r="F71" s="119"/>
      <c r="G71" s="188"/>
      <c r="H71" s="739"/>
      <c r="I71" s="780"/>
      <c r="J71" s="119"/>
      <c r="K71" s="188"/>
      <c r="L71" s="739"/>
      <c r="M71" s="800"/>
      <c r="N71" s="739"/>
      <c r="O71" s="739"/>
      <c r="P71" s="801"/>
      <c r="Q71" s="188"/>
      <c r="R71" s="188"/>
      <c r="S71" s="188"/>
      <c r="T71" s="740"/>
      <c r="U71" s="746"/>
      <c r="V71" s="119"/>
      <c r="W71" s="119"/>
      <c r="X71" s="803"/>
      <c r="Y71" s="119"/>
      <c r="Z71" s="802"/>
      <c r="AA71" s="188"/>
      <c r="AB71" s="741"/>
      <c r="AC71" s="741"/>
      <c r="AD71" s="116"/>
      <c r="AE71" s="742"/>
      <c r="AF71" s="742"/>
      <c r="AG71" s="256"/>
      <c r="AH71" s="188"/>
      <c r="AI71" s="743"/>
      <c r="AJ71" s="256"/>
      <c r="AK71" s="256"/>
      <c r="AL71" s="757"/>
      <c r="AM71" s="744"/>
      <c r="AN71" s="757">
        <v>7035140</v>
      </c>
      <c r="AO71" s="745" t="s">
        <v>1567</v>
      </c>
      <c r="AP71" s="745"/>
      <c r="AQ71" s="256"/>
      <c r="AR71" s="256"/>
      <c r="AS71" s="256"/>
      <c r="AT71" s="256"/>
      <c r="AU71" s="256"/>
      <c r="AV71" s="55"/>
      <c r="AW71" s="17"/>
    </row>
    <row r="72" spans="3:49" ht="39" customHeight="1" x14ac:dyDescent="0.3">
      <c r="C72" s="69"/>
      <c r="D72" s="188"/>
      <c r="E72" s="119"/>
      <c r="F72" s="119"/>
      <c r="G72" s="188"/>
      <c r="H72" s="739"/>
      <c r="I72" s="780"/>
      <c r="J72" s="119"/>
      <c r="K72" s="188"/>
      <c r="L72" s="739"/>
      <c r="M72" s="800"/>
      <c r="N72" s="739"/>
      <c r="O72" s="739"/>
      <c r="P72" s="801"/>
      <c r="Q72" s="188"/>
      <c r="R72" s="188"/>
      <c r="S72" s="188"/>
      <c r="T72" s="740"/>
      <c r="U72" s="746"/>
      <c r="V72" s="119"/>
      <c r="W72" s="119"/>
      <c r="X72" s="119"/>
      <c r="Y72" s="119"/>
      <c r="Z72" s="802"/>
      <c r="AA72" s="188"/>
      <c r="AB72" s="741"/>
      <c r="AC72" s="741"/>
      <c r="AD72" s="116"/>
      <c r="AE72" s="742"/>
      <c r="AF72" s="742"/>
      <c r="AG72" s="256"/>
      <c r="AH72" s="188"/>
      <c r="AI72" s="743"/>
      <c r="AJ72" s="256"/>
      <c r="AK72" s="256"/>
      <c r="AL72" s="757"/>
      <c r="AM72" s="744"/>
      <c r="AN72" s="757">
        <v>448290</v>
      </c>
      <c r="AO72" s="745" t="s">
        <v>1568</v>
      </c>
      <c r="AP72" s="745"/>
      <c r="AQ72" s="256"/>
      <c r="AR72" s="256"/>
      <c r="AS72" s="256"/>
      <c r="AT72" s="256"/>
      <c r="AU72" s="256"/>
      <c r="AV72" s="55"/>
      <c r="AW72" s="17"/>
    </row>
    <row r="73" spans="3:49" ht="39" customHeight="1" x14ac:dyDescent="0.3">
      <c r="C73" s="805"/>
      <c r="D73" s="806"/>
      <c r="E73" s="807"/>
      <c r="F73" s="807"/>
      <c r="G73" s="806"/>
      <c r="H73" s="808">
        <f>H60</f>
        <v>71880000</v>
      </c>
      <c r="I73" s="809"/>
      <c r="J73" s="807"/>
      <c r="K73" s="806"/>
      <c r="L73" s="808"/>
      <c r="M73" s="808">
        <f>M60</f>
        <v>63600000</v>
      </c>
      <c r="N73" s="808"/>
      <c r="O73" s="808"/>
      <c r="P73" s="811"/>
      <c r="Q73" s="806"/>
      <c r="R73" s="806"/>
      <c r="S73" s="806"/>
      <c r="T73" s="812"/>
      <c r="U73" s="813"/>
      <c r="V73" s="807"/>
      <c r="W73" s="807"/>
      <c r="X73" s="807"/>
      <c r="Y73" s="807"/>
      <c r="Z73" s="814"/>
      <c r="AA73" s="806"/>
      <c r="AB73" s="815"/>
      <c r="AC73" s="815"/>
      <c r="AD73" s="816"/>
      <c r="AE73" s="817"/>
      <c r="AF73" s="817"/>
      <c r="AG73" s="818"/>
      <c r="AH73" s="806"/>
      <c r="AI73" s="819"/>
      <c r="AJ73" s="818"/>
      <c r="AK73" s="818"/>
      <c r="AL73" s="808">
        <f>AL60</f>
        <v>75034080</v>
      </c>
      <c r="AM73" s="820"/>
      <c r="AN73" s="808">
        <f>AN60</f>
        <v>75035919</v>
      </c>
      <c r="AO73" s="821"/>
      <c r="AP73" s="821"/>
      <c r="AQ73" s="818"/>
      <c r="AR73" s="818"/>
      <c r="AS73" s="818"/>
      <c r="AT73" s="818"/>
      <c r="AU73" s="818"/>
      <c r="AV73" s="55"/>
      <c r="AW73" s="17"/>
    </row>
    <row r="74" spans="3:49" ht="39" customHeight="1" x14ac:dyDescent="0.3">
      <c r="C74" s="69"/>
      <c r="D74" s="188"/>
      <c r="E74" s="119"/>
      <c r="F74" s="119"/>
      <c r="G74" s="188"/>
      <c r="H74" s="739"/>
      <c r="I74" s="780"/>
      <c r="J74" s="119"/>
      <c r="K74" s="188"/>
      <c r="L74" s="739"/>
      <c r="M74" s="800"/>
      <c r="N74" s="739"/>
      <c r="O74" s="739"/>
      <c r="P74" s="801"/>
      <c r="Q74" s="188"/>
      <c r="R74" s="188"/>
      <c r="S74" s="188"/>
      <c r="T74" s="740"/>
      <c r="U74" s="746"/>
      <c r="V74" s="119"/>
      <c r="W74" s="119"/>
      <c r="X74" s="119"/>
      <c r="Y74" s="119"/>
      <c r="Z74" s="802"/>
      <c r="AA74" s="188"/>
      <c r="AB74" s="741"/>
      <c r="AC74" s="741"/>
      <c r="AD74" s="116"/>
      <c r="AE74" s="742"/>
      <c r="AF74" s="742"/>
      <c r="AG74" s="256"/>
      <c r="AH74" s="188"/>
      <c r="AI74" s="743"/>
      <c r="AJ74" s="256"/>
      <c r="AK74" s="256"/>
      <c r="AL74" s="757"/>
      <c r="AM74" s="744"/>
      <c r="AN74" s="757"/>
      <c r="AO74" s="745"/>
      <c r="AP74" s="745"/>
      <c r="AQ74" s="256"/>
      <c r="AR74" s="256"/>
      <c r="AS74" s="256"/>
      <c r="AT74" s="256"/>
      <c r="AU74" s="256"/>
      <c r="AV74" s="55"/>
      <c r="AW74" s="17"/>
    </row>
    <row r="75" spans="3:49" ht="39" customHeight="1" x14ac:dyDescent="0.3">
      <c r="C75" s="712" t="s">
        <v>1445</v>
      </c>
      <c r="D75" s="188">
        <v>9</v>
      </c>
      <c r="E75" s="119"/>
      <c r="F75" s="746" t="str">
        <f>'UID application COMBINE Mc list'!C31</f>
        <v xml:space="preserve">Yarn conditioning machine. </v>
      </c>
      <c r="G75" s="827">
        <v>1</v>
      </c>
      <c r="H75" s="739">
        <f>'UID application COMBINE Mc list'!H31</f>
        <v>4500000</v>
      </c>
      <c r="I75" s="829" t="s">
        <v>1446</v>
      </c>
      <c r="J75" s="119"/>
      <c r="K75" s="188">
        <v>1</v>
      </c>
      <c r="L75" s="739" t="s">
        <v>359</v>
      </c>
      <c r="M75" s="800">
        <v>3475000</v>
      </c>
      <c r="N75" s="739"/>
      <c r="O75" s="739"/>
      <c r="P75" s="801"/>
      <c r="Q75" s="188"/>
      <c r="R75" s="188"/>
      <c r="S75" s="188"/>
      <c r="T75" s="740"/>
      <c r="U75" s="746"/>
      <c r="V75" s="830"/>
      <c r="W75" s="119"/>
      <c r="X75" s="803">
        <v>84518090</v>
      </c>
      <c r="Y75" s="119"/>
      <c r="Z75" s="794" t="s">
        <v>1447</v>
      </c>
      <c r="AA75" s="188"/>
      <c r="AB75" s="741"/>
      <c r="AC75" s="741"/>
      <c r="AD75" s="116"/>
      <c r="AE75" s="742"/>
      <c r="AF75" s="742"/>
      <c r="AG75" s="256"/>
      <c r="AH75" s="188"/>
      <c r="AI75" s="743"/>
      <c r="AJ75" s="256"/>
      <c r="AK75" s="256"/>
      <c r="AL75" s="757">
        <v>4100500</v>
      </c>
      <c r="AM75" s="744"/>
      <c r="AN75" s="757">
        <v>4428000</v>
      </c>
      <c r="AO75" s="745" t="s">
        <v>1551</v>
      </c>
      <c r="AP75" s="745"/>
      <c r="AQ75" s="256"/>
      <c r="AR75" s="256"/>
      <c r="AS75" s="256"/>
      <c r="AT75" s="256"/>
      <c r="AU75" s="256"/>
      <c r="AV75" s="55"/>
      <c r="AW75" s="17"/>
    </row>
    <row r="76" spans="3:49" ht="39" customHeight="1" x14ac:dyDescent="0.3">
      <c r="C76" s="69"/>
      <c r="D76" s="188"/>
      <c r="E76" s="119"/>
      <c r="F76" s="119"/>
      <c r="G76" s="188"/>
      <c r="H76" s="739"/>
      <c r="I76" s="780"/>
      <c r="J76" s="119"/>
      <c r="K76" s="188"/>
      <c r="L76" s="739" t="s">
        <v>359</v>
      </c>
      <c r="M76" s="800">
        <v>625000</v>
      </c>
      <c r="N76" s="739"/>
      <c r="O76" s="739"/>
      <c r="P76" s="801"/>
      <c r="Q76" s="188"/>
      <c r="R76" s="188"/>
      <c r="S76" s="188"/>
      <c r="T76" s="740"/>
      <c r="U76" s="746"/>
      <c r="V76" s="830"/>
      <c r="W76" s="119"/>
      <c r="X76" s="803">
        <v>84518090</v>
      </c>
      <c r="Y76" s="119"/>
      <c r="Z76" s="794" t="s">
        <v>1448</v>
      </c>
      <c r="AA76" s="188"/>
      <c r="AB76" s="741"/>
      <c r="AC76" s="741"/>
      <c r="AD76" s="116"/>
      <c r="AE76" s="742"/>
      <c r="AF76" s="742"/>
      <c r="AG76" s="256"/>
      <c r="AH76" s="188"/>
      <c r="AI76" s="743"/>
      <c r="AJ76" s="256"/>
      <c r="AK76" s="256"/>
      <c r="AL76" s="757">
        <v>737500</v>
      </c>
      <c r="AM76" s="744"/>
      <c r="AN76" s="757">
        <v>467936</v>
      </c>
      <c r="AO76" s="745" t="s">
        <v>1569</v>
      </c>
      <c r="AP76" s="745"/>
      <c r="AQ76" s="256"/>
      <c r="AR76" s="256"/>
      <c r="AS76" s="256"/>
      <c r="AT76" s="256"/>
      <c r="AU76" s="256"/>
      <c r="AV76" s="55"/>
      <c r="AW76" s="17"/>
    </row>
    <row r="77" spans="3:49" ht="39" customHeight="1" x14ac:dyDescent="0.3">
      <c r="C77" s="69"/>
      <c r="D77" s="188"/>
      <c r="E77" s="119"/>
      <c r="F77" s="119"/>
      <c r="G77" s="188"/>
      <c r="H77" s="739"/>
      <c r="I77" s="780"/>
      <c r="J77" s="119"/>
      <c r="K77" s="188"/>
      <c r="L77" s="739" t="s">
        <v>359</v>
      </c>
      <c r="M77" s="800">
        <v>31057</v>
      </c>
      <c r="N77" s="739"/>
      <c r="O77" s="739"/>
      <c r="P77" s="801"/>
      <c r="Q77" s="188"/>
      <c r="R77" s="188"/>
      <c r="S77" s="188"/>
      <c r="T77" s="740"/>
      <c r="U77" s="746"/>
      <c r="V77" s="830"/>
      <c r="W77" s="119"/>
      <c r="X77" s="803"/>
      <c r="Y77" s="119"/>
      <c r="Z77" s="794" t="s">
        <v>1577</v>
      </c>
      <c r="AA77" s="188"/>
      <c r="AB77" s="741"/>
      <c r="AC77" s="741"/>
      <c r="AD77" s="116"/>
      <c r="AE77" s="742"/>
      <c r="AF77" s="742"/>
      <c r="AG77" s="256"/>
      <c r="AH77" s="188"/>
      <c r="AI77" s="743"/>
      <c r="AJ77" s="256"/>
      <c r="AK77" s="256"/>
      <c r="AL77" s="757">
        <v>36647.26</v>
      </c>
      <c r="AM77" s="744"/>
      <c r="AN77" s="757"/>
      <c r="AO77" s="745"/>
      <c r="AP77" s="745"/>
      <c r="AQ77" s="256"/>
      <c r="AR77" s="256"/>
      <c r="AS77" s="256"/>
      <c r="AT77" s="256"/>
      <c r="AU77" s="256"/>
      <c r="AV77" s="55"/>
      <c r="AW77" s="17"/>
    </row>
    <row r="78" spans="3:49" ht="39" customHeight="1" x14ac:dyDescent="0.3">
      <c r="C78" s="69"/>
      <c r="D78" s="188"/>
      <c r="E78" s="119"/>
      <c r="F78" s="119"/>
      <c r="G78" s="188"/>
      <c r="H78" s="739"/>
      <c r="I78" s="780"/>
      <c r="J78" s="119"/>
      <c r="K78" s="188"/>
      <c r="L78" s="739" t="s">
        <v>359</v>
      </c>
      <c r="M78" s="800">
        <v>18889</v>
      </c>
      <c r="N78" s="739"/>
      <c r="O78" s="739"/>
      <c r="P78" s="801"/>
      <c r="Q78" s="188"/>
      <c r="R78" s="188"/>
      <c r="S78" s="188"/>
      <c r="T78" s="740"/>
      <c r="U78" s="746"/>
      <c r="V78" s="830"/>
      <c r="W78" s="119"/>
      <c r="X78" s="803"/>
      <c r="Y78" s="119"/>
      <c r="Z78" s="802"/>
      <c r="AA78" s="188"/>
      <c r="AB78" s="741"/>
      <c r="AC78" s="741"/>
      <c r="AD78" s="116"/>
      <c r="AE78" s="742"/>
      <c r="AF78" s="742"/>
      <c r="AG78" s="256"/>
      <c r="AH78" s="188"/>
      <c r="AI78" s="743"/>
      <c r="AJ78" s="256"/>
      <c r="AK78" s="256"/>
      <c r="AL78" s="757">
        <v>22289</v>
      </c>
      <c r="AM78" s="744"/>
      <c r="AN78" s="757"/>
      <c r="AO78" s="745"/>
      <c r="AP78" s="745"/>
      <c r="AQ78" s="256"/>
      <c r="AR78" s="256"/>
      <c r="AS78" s="256"/>
      <c r="AT78" s="256"/>
      <c r="AU78" s="256"/>
      <c r="AV78" s="55"/>
      <c r="AW78" s="17"/>
    </row>
    <row r="79" spans="3:49" ht="22.5" customHeight="1" x14ac:dyDescent="0.3">
      <c r="C79" s="69"/>
      <c r="D79" s="188"/>
      <c r="E79" s="119"/>
      <c r="F79" s="119"/>
      <c r="G79" s="188"/>
      <c r="H79" s="739"/>
      <c r="I79" s="780"/>
      <c r="J79" s="119"/>
      <c r="K79" s="188"/>
      <c r="L79" s="739"/>
      <c r="M79" s="800"/>
      <c r="N79" s="739"/>
      <c r="O79" s="739"/>
      <c r="P79" s="801"/>
      <c r="Q79" s="188"/>
      <c r="R79" s="188"/>
      <c r="S79" s="188"/>
      <c r="T79" s="740"/>
      <c r="U79" s="746"/>
      <c r="V79" s="119"/>
      <c r="W79" s="119"/>
      <c r="X79" s="119"/>
      <c r="Y79" s="119"/>
      <c r="Z79" s="802"/>
      <c r="AA79" s="188"/>
      <c r="AB79" s="741"/>
      <c r="AC79" s="741"/>
      <c r="AD79" s="116"/>
      <c r="AE79" s="742"/>
      <c r="AF79" s="742"/>
      <c r="AG79" s="256"/>
      <c r="AH79" s="188"/>
      <c r="AI79" s="743"/>
      <c r="AJ79" s="256"/>
      <c r="AK79" s="256"/>
      <c r="AL79" s="757"/>
      <c r="AM79" s="744"/>
      <c r="AN79" s="757">
        <f>622+378</f>
        <v>1000</v>
      </c>
      <c r="AO79" s="745" t="s">
        <v>1578</v>
      </c>
      <c r="AP79" s="745"/>
      <c r="AQ79" s="256"/>
      <c r="AR79" s="256"/>
      <c r="AS79" s="256"/>
      <c r="AT79" s="256"/>
      <c r="AU79" s="256"/>
      <c r="AV79" s="55"/>
      <c r="AW79" s="17"/>
    </row>
    <row r="80" spans="3:49" ht="24" customHeight="1" x14ac:dyDescent="0.3">
      <c r="C80" s="805"/>
      <c r="D80" s="806"/>
      <c r="E80" s="807"/>
      <c r="F80" s="807"/>
      <c r="G80" s="806"/>
      <c r="H80" s="808">
        <f>H75</f>
        <v>4500000</v>
      </c>
      <c r="I80" s="809"/>
      <c r="J80" s="807"/>
      <c r="K80" s="806"/>
      <c r="L80" s="808"/>
      <c r="M80" s="810">
        <f>M75+M76+M77+M78</f>
        <v>4149946</v>
      </c>
      <c r="N80" s="808"/>
      <c r="O80" s="808"/>
      <c r="P80" s="811"/>
      <c r="Q80" s="806"/>
      <c r="R80" s="806"/>
      <c r="S80" s="806"/>
      <c r="T80" s="812"/>
      <c r="U80" s="813"/>
      <c r="V80" s="807"/>
      <c r="W80" s="807"/>
      <c r="X80" s="807"/>
      <c r="Y80" s="807"/>
      <c r="Z80" s="814"/>
      <c r="AA80" s="806"/>
      <c r="AB80" s="815"/>
      <c r="AC80" s="815"/>
      <c r="AD80" s="816"/>
      <c r="AE80" s="817"/>
      <c r="AF80" s="817"/>
      <c r="AG80" s="818"/>
      <c r="AH80" s="806"/>
      <c r="AI80" s="819"/>
      <c r="AJ80" s="818"/>
      <c r="AK80" s="818"/>
      <c r="AL80" s="810">
        <f>AL75+AL76+AL77+AL78+AL79</f>
        <v>4896936.26</v>
      </c>
      <c r="AM80" s="820"/>
      <c r="AN80" s="810">
        <f>AN75+AN76+AN77+AN78+AN79</f>
        <v>4896936</v>
      </c>
      <c r="AO80" s="821"/>
      <c r="AP80" s="821"/>
      <c r="AQ80" s="818"/>
      <c r="AR80" s="256"/>
      <c r="AS80" s="256"/>
      <c r="AT80" s="256"/>
      <c r="AU80" s="256"/>
      <c r="AV80" s="55"/>
      <c r="AW80" s="17"/>
    </row>
    <row r="81" spans="3:49" ht="39" customHeight="1" x14ac:dyDescent="0.3">
      <c r="C81" s="69"/>
      <c r="D81" s="188"/>
      <c r="E81" s="119"/>
      <c r="F81" s="119"/>
      <c r="G81" s="188"/>
      <c r="H81" s="739"/>
      <c r="I81" s="780"/>
      <c r="J81" s="119"/>
      <c r="K81" s="188"/>
      <c r="L81" s="739"/>
      <c r="M81" s="800"/>
      <c r="N81" s="739"/>
      <c r="O81" s="739"/>
      <c r="P81" s="801"/>
      <c r="Q81" s="188"/>
      <c r="R81" s="188"/>
      <c r="S81" s="188"/>
      <c r="T81" s="740"/>
      <c r="U81" s="746"/>
      <c r="V81" s="119"/>
      <c r="W81" s="119"/>
      <c r="X81" s="119"/>
      <c r="Y81" s="119"/>
      <c r="Z81" s="802"/>
      <c r="AA81" s="188"/>
      <c r="AB81" s="741"/>
      <c r="AC81" s="741"/>
      <c r="AD81" s="116"/>
      <c r="AE81" s="742"/>
      <c r="AF81" s="742"/>
      <c r="AG81" s="256"/>
      <c r="AH81" s="188"/>
      <c r="AI81" s="743"/>
      <c r="AJ81" s="256"/>
      <c r="AK81" s="256"/>
      <c r="AL81" s="757"/>
      <c r="AM81" s="744"/>
      <c r="AN81" s="757"/>
      <c r="AO81" s="745"/>
      <c r="AP81" s="745"/>
      <c r="AQ81" s="256"/>
      <c r="AR81" s="256"/>
      <c r="AS81" s="256"/>
      <c r="AT81" s="256"/>
      <c r="AU81" s="256"/>
      <c r="AV81" s="55"/>
      <c r="AW81" s="17"/>
    </row>
    <row r="82" spans="3:49" ht="55.5" customHeight="1" x14ac:dyDescent="0.3">
      <c r="C82" s="712" t="s">
        <v>1252</v>
      </c>
      <c r="D82" s="188">
        <v>10</v>
      </c>
      <c r="E82" s="119"/>
      <c r="F82" s="119" t="str">
        <f>'UID application COMBINE Mc list'!C32</f>
        <v>Testing Equipments in Quality Control Lab accredited by National Accrediation Board for Lab (NABL) India and set up in the textile &amp; jute unit.</v>
      </c>
      <c r="G82" s="188" t="s">
        <v>1193</v>
      </c>
      <c r="H82" s="739">
        <f>'UID application COMBINE Mc list'!H32</f>
        <v>1000000</v>
      </c>
      <c r="I82" s="780" t="str">
        <f>F82</f>
        <v>Testing Equipments in Quality Control Lab accredited by National Accrediation Board for Lab (NABL) India and set up in the textile &amp; jute unit.</v>
      </c>
      <c r="J82" s="119"/>
      <c r="K82" s="188" t="s">
        <v>1193</v>
      </c>
      <c r="L82" s="739" t="s">
        <v>359</v>
      </c>
      <c r="M82" s="800">
        <v>413705</v>
      </c>
      <c r="N82" s="739"/>
      <c r="O82" s="739"/>
      <c r="P82" s="801"/>
      <c r="Q82" s="188"/>
      <c r="R82" s="188"/>
      <c r="S82" s="188"/>
      <c r="T82" s="740"/>
      <c r="U82" s="746"/>
      <c r="V82" s="119"/>
      <c r="W82" s="119"/>
      <c r="X82" s="746" t="s">
        <v>1450</v>
      </c>
      <c r="Y82" s="119"/>
      <c r="Z82" s="794" t="s">
        <v>1449</v>
      </c>
      <c r="AA82" s="188"/>
      <c r="AB82" s="741"/>
      <c r="AC82" s="741"/>
      <c r="AD82" s="116"/>
      <c r="AE82" s="742"/>
      <c r="AF82" s="742"/>
      <c r="AG82" s="256"/>
      <c r="AH82" s="188"/>
      <c r="AI82" s="743"/>
      <c r="AJ82" s="256"/>
      <c r="AK82" s="256"/>
      <c r="AL82" s="757">
        <v>505872</v>
      </c>
      <c r="AM82" s="744"/>
      <c r="AN82" s="757">
        <v>513884</v>
      </c>
      <c r="AO82" s="745" t="s">
        <v>1549</v>
      </c>
      <c r="AP82" s="745"/>
      <c r="AQ82" s="256"/>
      <c r="AR82" s="256"/>
      <c r="AS82" s="256"/>
      <c r="AT82" s="256"/>
      <c r="AU82" s="256"/>
      <c r="AV82" s="55"/>
      <c r="AW82" s="17"/>
    </row>
    <row r="83" spans="3:49" ht="15.75" customHeight="1" x14ac:dyDescent="0.3">
      <c r="C83" s="69"/>
      <c r="D83" s="188"/>
      <c r="E83" s="119"/>
      <c r="F83" s="119"/>
      <c r="G83" s="188"/>
      <c r="H83" s="739"/>
      <c r="I83" s="780"/>
      <c r="J83" s="119"/>
      <c r="K83" s="188"/>
      <c r="L83" s="739"/>
      <c r="M83" s="800"/>
      <c r="N83" s="739"/>
      <c r="O83" s="739"/>
      <c r="P83" s="801"/>
      <c r="Q83" s="188"/>
      <c r="R83" s="188"/>
      <c r="S83" s="188"/>
      <c r="T83" s="740"/>
      <c r="U83" s="746"/>
      <c r="V83" s="119"/>
      <c r="W83" s="119"/>
      <c r="X83" s="119"/>
      <c r="Y83" s="119"/>
      <c r="Z83" s="802"/>
      <c r="AA83" s="188"/>
      <c r="AB83" s="741"/>
      <c r="AC83" s="741"/>
      <c r="AD83" s="116"/>
      <c r="AE83" s="742"/>
      <c r="AF83" s="742"/>
      <c r="AG83" s="256"/>
      <c r="AH83" s="188"/>
      <c r="AI83" s="743"/>
      <c r="AJ83" s="256"/>
      <c r="AK83" s="256"/>
      <c r="AL83" s="757"/>
      <c r="AM83" s="744"/>
      <c r="AN83" s="757"/>
      <c r="AO83" s="745"/>
      <c r="AP83" s="745"/>
      <c r="AQ83" s="256"/>
      <c r="AR83" s="256"/>
      <c r="AS83" s="256"/>
      <c r="AT83" s="256"/>
      <c r="AU83" s="256"/>
      <c r="AV83" s="55"/>
      <c r="AW83" s="17"/>
    </row>
    <row r="84" spans="3:49" ht="18.75" customHeight="1" x14ac:dyDescent="0.3">
      <c r="C84" s="805"/>
      <c r="D84" s="806"/>
      <c r="E84" s="807"/>
      <c r="F84" s="807"/>
      <c r="G84" s="806"/>
      <c r="H84" s="808">
        <f>H82</f>
        <v>1000000</v>
      </c>
      <c r="I84" s="809"/>
      <c r="J84" s="807"/>
      <c r="K84" s="806"/>
      <c r="L84" s="808"/>
      <c r="M84" s="808">
        <f>M82</f>
        <v>413705</v>
      </c>
      <c r="N84" s="808"/>
      <c r="O84" s="808"/>
      <c r="P84" s="811"/>
      <c r="Q84" s="806"/>
      <c r="R84" s="806"/>
      <c r="S84" s="806"/>
      <c r="T84" s="812"/>
      <c r="U84" s="813"/>
      <c r="V84" s="807"/>
      <c r="W84" s="807"/>
      <c r="X84" s="807"/>
      <c r="Y84" s="807"/>
      <c r="Z84" s="814"/>
      <c r="AA84" s="806"/>
      <c r="AB84" s="815"/>
      <c r="AC84" s="815"/>
      <c r="AD84" s="816"/>
      <c r="AE84" s="817"/>
      <c r="AF84" s="817"/>
      <c r="AG84" s="818"/>
      <c r="AH84" s="806"/>
      <c r="AI84" s="819"/>
      <c r="AJ84" s="818"/>
      <c r="AK84" s="818"/>
      <c r="AL84" s="808">
        <f>AL82</f>
        <v>505872</v>
      </c>
      <c r="AM84" s="820"/>
      <c r="AN84" s="808">
        <f>AN82</f>
        <v>513884</v>
      </c>
      <c r="AO84" s="821"/>
      <c r="AP84" s="821"/>
      <c r="AQ84" s="818"/>
      <c r="AR84" s="256"/>
      <c r="AS84" s="256"/>
      <c r="AT84" s="256"/>
      <c r="AU84" s="256"/>
      <c r="AV84" s="55"/>
      <c r="AW84" s="17"/>
    </row>
    <row r="85" spans="3:49" ht="39" customHeight="1" x14ac:dyDescent="0.3">
      <c r="C85" s="69"/>
      <c r="D85" s="188"/>
      <c r="E85" s="119"/>
      <c r="F85" s="119"/>
      <c r="G85" s="188"/>
      <c r="H85" s="739"/>
      <c r="I85" s="780"/>
      <c r="J85" s="119"/>
      <c r="K85" s="188"/>
      <c r="L85" s="739"/>
      <c r="M85" s="800"/>
      <c r="N85" s="739"/>
      <c r="O85" s="739"/>
      <c r="P85" s="801"/>
      <c r="Q85" s="188"/>
      <c r="R85" s="188"/>
      <c r="S85" s="188"/>
      <c r="T85" s="740"/>
      <c r="U85" s="746"/>
      <c r="V85" s="119"/>
      <c r="W85" s="119"/>
      <c r="X85" s="119"/>
      <c r="Y85" s="119"/>
      <c r="Z85" s="802"/>
      <c r="AA85" s="188"/>
      <c r="AB85" s="741"/>
      <c r="AC85" s="741"/>
      <c r="AD85" s="116"/>
      <c r="AE85" s="742"/>
      <c r="AF85" s="742"/>
      <c r="AG85" s="256"/>
      <c r="AH85" s="188"/>
      <c r="AI85" s="743"/>
      <c r="AJ85" s="256"/>
      <c r="AK85" s="256"/>
      <c r="AL85" s="757"/>
      <c r="AM85" s="744"/>
      <c r="AN85" s="757"/>
      <c r="AO85" s="745"/>
      <c r="AP85" s="745"/>
      <c r="AQ85" s="256"/>
      <c r="AR85" s="256"/>
      <c r="AS85" s="256"/>
      <c r="AT85" s="256"/>
      <c r="AU85" s="256"/>
      <c r="AV85" s="55"/>
      <c r="AW85" s="17"/>
    </row>
    <row r="86" spans="3:49" ht="67.5" customHeight="1" x14ac:dyDescent="0.3">
      <c r="C86" s="712" t="s">
        <v>1451</v>
      </c>
      <c r="D86" s="188">
        <v>11</v>
      </c>
      <c r="E86" s="119"/>
      <c r="F86" s="119" t="str">
        <f>'UID application COMBINE Mc list'!C33</f>
        <v>Direct Beam warper with minimum 300 ends creel capacity and minimum speed of 1000 mtrs per minutes.</v>
      </c>
      <c r="G86" s="188">
        <v>4</v>
      </c>
      <c r="H86" s="739">
        <f>'UID application COMBINE Mc list'!H33</f>
        <v>34800000</v>
      </c>
      <c r="I86" s="119" t="s">
        <v>1452</v>
      </c>
      <c r="J86" s="119"/>
      <c r="K86" s="188">
        <f>SUM(K87:K90)</f>
        <v>4</v>
      </c>
      <c r="L86" s="739" t="s">
        <v>359</v>
      </c>
      <c r="M86" s="188">
        <f>SUM(M87:M90)</f>
        <v>34800000</v>
      </c>
      <c r="N86" s="739"/>
      <c r="O86" s="739"/>
      <c r="P86" s="801"/>
      <c r="Q86" s="188"/>
      <c r="R86" s="188"/>
      <c r="S86" s="188"/>
      <c r="T86" s="740"/>
      <c r="U86" s="746"/>
      <c r="V86" s="746"/>
      <c r="W86" s="746"/>
      <c r="X86" s="803">
        <v>84459000</v>
      </c>
      <c r="Y86" s="119"/>
      <c r="Z86" s="802"/>
      <c r="AA86" s="188"/>
      <c r="AB86" s="741"/>
      <c r="AC86" s="741"/>
      <c r="AD86" s="116"/>
      <c r="AE86" s="742"/>
      <c r="AF86" s="742"/>
      <c r="AG86" s="256"/>
      <c r="AH86" s="188"/>
      <c r="AI86" s="743"/>
      <c r="AJ86" s="256"/>
      <c r="AK86" s="256"/>
      <c r="AL86" s="188">
        <f>SUM(AL87:AL93)</f>
        <v>41091364</v>
      </c>
      <c r="AM86" s="744"/>
      <c r="AN86" s="188">
        <f>SUM(AN87:AN93)</f>
        <v>41942532</v>
      </c>
      <c r="AO86" s="745"/>
      <c r="AP86" s="745"/>
      <c r="AQ86" s="256"/>
      <c r="AR86" s="256"/>
      <c r="AS86" s="256"/>
      <c r="AT86" s="256"/>
      <c r="AU86" s="256"/>
      <c r="AV86" s="55"/>
      <c r="AW86" s="17"/>
    </row>
    <row r="87" spans="3:49" ht="39" customHeight="1" x14ac:dyDescent="0.3">
      <c r="C87" s="750"/>
      <c r="D87" s="188"/>
      <c r="E87" s="119"/>
      <c r="F87" s="119"/>
      <c r="G87" s="188"/>
      <c r="H87" s="739"/>
      <c r="I87" s="780"/>
      <c r="J87" s="119"/>
      <c r="K87" s="188">
        <v>1</v>
      </c>
      <c r="L87" s="739" t="s">
        <v>359</v>
      </c>
      <c r="M87" s="798">
        <v>8700000</v>
      </c>
      <c r="N87" s="739"/>
      <c r="O87" s="739"/>
      <c r="P87" s="801"/>
      <c r="Q87" s="188"/>
      <c r="R87" s="188"/>
      <c r="S87" s="188"/>
      <c r="T87" s="740"/>
      <c r="U87" s="746" t="s">
        <v>1453</v>
      </c>
      <c r="V87" s="803">
        <v>549</v>
      </c>
      <c r="W87" s="746"/>
      <c r="X87" s="803">
        <v>84459000</v>
      </c>
      <c r="Y87" s="119"/>
      <c r="Z87" s="795" t="s">
        <v>1457</v>
      </c>
      <c r="AA87" s="188"/>
      <c r="AB87" s="741"/>
      <c r="AC87" s="741"/>
      <c r="AD87" s="116"/>
      <c r="AE87" s="742"/>
      <c r="AF87" s="742"/>
      <c r="AG87" s="256"/>
      <c r="AH87" s="188"/>
      <c r="AI87" s="743"/>
      <c r="AJ87" s="256"/>
      <c r="AK87" s="256"/>
      <c r="AL87" s="757">
        <v>10271266</v>
      </c>
      <c r="AM87" s="744"/>
      <c r="AN87" s="757"/>
      <c r="AO87" s="745"/>
      <c r="AP87" s="745"/>
      <c r="AQ87" s="256"/>
      <c r="AR87" s="256"/>
      <c r="AS87" s="256"/>
      <c r="AT87" s="256"/>
      <c r="AU87" s="256"/>
      <c r="AV87" s="55"/>
      <c r="AW87" s="17"/>
    </row>
    <row r="88" spans="3:49" ht="39" customHeight="1" x14ac:dyDescent="0.3">
      <c r="C88" s="750"/>
      <c r="D88" s="188"/>
      <c r="E88" s="119"/>
      <c r="F88" s="119"/>
      <c r="G88" s="188"/>
      <c r="H88" s="739"/>
      <c r="I88" s="780"/>
      <c r="J88" s="119"/>
      <c r="K88" s="188">
        <v>1</v>
      </c>
      <c r="L88" s="739" t="s">
        <v>359</v>
      </c>
      <c r="M88" s="797">
        <v>8700000</v>
      </c>
      <c r="N88" s="739"/>
      <c r="O88" s="739"/>
      <c r="P88" s="801"/>
      <c r="Q88" s="188"/>
      <c r="R88" s="188"/>
      <c r="S88" s="188"/>
      <c r="T88" s="740"/>
      <c r="U88" s="746" t="s">
        <v>1453</v>
      </c>
      <c r="V88" s="803">
        <v>550</v>
      </c>
      <c r="W88" s="746"/>
      <c r="X88" s="803">
        <v>84459000</v>
      </c>
      <c r="Y88" s="119"/>
      <c r="Z88" s="794" t="s">
        <v>1456</v>
      </c>
      <c r="AA88" s="188"/>
      <c r="AB88" s="741"/>
      <c r="AC88" s="741"/>
      <c r="AD88" s="116"/>
      <c r="AE88" s="742"/>
      <c r="AF88" s="742"/>
      <c r="AG88" s="256"/>
      <c r="AH88" s="188"/>
      <c r="AI88" s="743"/>
      <c r="AJ88" s="256"/>
      <c r="AK88" s="256"/>
      <c r="AL88" s="757">
        <f>10271266+5000</f>
        <v>10276266</v>
      </c>
      <c r="AM88" s="744"/>
      <c r="AN88" s="914">
        <v>4000000</v>
      </c>
      <c r="AO88" s="745" t="s">
        <v>1570</v>
      </c>
      <c r="AP88" s="745"/>
      <c r="AQ88" s="256"/>
      <c r="AR88" s="256"/>
      <c r="AS88" s="256"/>
      <c r="AT88" s="256"/>
      <c r="AU88" s="256"/>
      <c r="AV88" s="55"/>
      <c r="AW88" s="17"/>
    </row>
    <row r="89" spans="3:49" ht="39" customHeight="1" x14ac:dyDescent="0.3">
      <c r="C89" s="750"/>
      <c r="D89" s="188"/>
      <c r="E89" s="119"/>
      <c r="F89" s="119"/>
      <c r="G89" s="188"/>
      <c r="H89" s="739"/>
      <c r="I89" s="780"/>
      <c r="J89" s="119"/>
      <c r="K89" s="188">
        <v>1</v>
      </c>
      <c r="L89" s="739" t="s">
        <v>359</v>
      </c>
      <c r="M89" s="797">
        <v>8700000</v>
      </c>
      <c r="N89" s="739"/>
      <c r="O89" s="739"/>
      <c r="P89" s="801"/>
      <c r="Q89" s="188"/>
      <c r="R89" s="188"/>
      <c r="S89" s="188"/>
      <c r="T89" s="740"/>
      <c r="U89" s="746" t="s">
        <v>1453</v>
      </c>
      <c r="V89" s="803">
        <v>551</v>
      </c>
      <c r="W89" s="746"/>
      <c r="X89" s="803">
        <v>84459000</v>
      </c>
      <c r="Y89" s="119"/>
      <c r="Z89" s="794" t="s">
        <v>1454</v>
      </c>
      <c r="AA89" s="188"/>
      <c r="AB89" s="741"/>
      <c r="AC89" s="741"/>
      <c r="AD89" s="116"/>
      <c r="AE89" s="742"/>
      <c r="AF89" s="742"/>
      <c r="AG89" s="256"/>
      <c r="AH89" s="188"/>
      <c r="AI89" s="743"/>
      <c r="AJ89" s="256"/>
      <c r="AK89" s="256"/>
      <c r="AL89" s="757">
        <f>10271266+5000</f>
        <v>10276266</v>
      </c>
      <c r="AM89" s="744"/>
      <c r="AN89" s="757">
        <v>10000000</v>
      </c>
      <c r="AO89" s="905" t="s">
        <v>1552</v>
      </c>
      <c r="AP89" s="745"/>
      <c r="AQ89" s="256"/>
      <c r="AR89" s="256"/>
      <c r="AS89" s="256"/>
      <c r="AT89" s="256"/>
      <c r="AU89" s="256"/>
      <c r="AV89" s="55"/>
      <c r="AW89" s="17"/>
    </row>
    <row r="90" spans="3:49" ht="39" customHeight="1" x14ac:dyDescent="0.3">
      <c r="C90" s="750"/>
      <c r="D90" s="188"/>
      <c r="E90" s="119"/>
      <c r="F90" s="119"/>
      <c r="G90" s="188"/>
      <c r="H90" s="739"/>
      <c r="I90" s="780"/>
      <c r="J90" s="119"/>
      <c r="K90" s="188">
        <v>1</v>
      </c>
      <c r="L90" s="739" t="s">
        <v>359</v>
      </c>
      <c r="M90" s="797">
        <v>8700000</v>
      </c>
      <c r="N90" s="739"/>
      <c r="O90" s="739"/>
      <c r="P90" s="801"/>
      <c r="Q90" s="188"/>
      <c r="R90" s="188"/>
      <c r="S90" s="188"/>
      <c r="T90" s="740"/>
      <c r="U90" s="746" t="s">
        <v>1453</v>
      </c>
      <c r="V90" s="803">
        <v>552</v>
      </c>
      <c r="W90" s="746"/>
      <c r="X90" s="803">
        <v>84459000</v>
      </c>
      <c r="Y90" s="119"/>
      <c r="Z90" s="794" t="s">
        <v>1455</v>
      </c>
      <c r="AA90" s="188"/>
      <c r="AB90" s="741"/>
      <c r="AC90" s="741"/>
      <c r="AD90" s="116"/>
      <c r="AE90" s="742"/>
      <c r="AF90" s="742"/>
      <c r="AG90" s="256"/>
      <c r="AH90" s="188"/>
      <c r="AI90" s="743"/>
      <c r="AJ90" s="256"/>
      <c r="AK90" s="256"/>
      <c r="AL90" s="757">
        <f>10271266-3700</f>
        <v>10267566</v>
      </c>
      <c r="AM90" s="744"/>
      <c r="AN90" s="757">
        <v>10000000</v>
      </c>
      <c r="AO90" s="905" t="s">
        <v>1552</v>
      </c>
      <c r="AP90" s="745"/>
      <c r="AQ90" s="256"/>
      <c r="AR90" s="256"/>
      <c r="AS90" s="256"/>
      <c r="AT90" s="256"/>
      <c r="AU90" s="256"/>
      <c r="AV90" s="55"/>
      <c r="AW90" s="17"/>
    </row>
    <row r="91" spans="3:49" ht="39" customHeight="1" x14ac:dyDescent="0.3">
      <c r="C91" s="750"/>
      <c r="D91" s="188"/>
      <c r="E91" s="119"/>
      <c r="F91" s="119"/>
      <c r="G91" s="188"/>
      <c r="H91" s="739"/>
      <c r="I91" s="780"/>
      <c r="J91" s="119"/>
      <c r="K91" s="188"/>
      <c r="L91" s="739"/>
      <c r="M91" s="800"/>
      <c r="N91" s="739"/>
      <c r="O91" s="739"/>
      <c r="P91" s="801"/>
      <c r="Q91" s="188"/>
      <c r="R91" s="188"/>
      <c r="S91" s="188"/>
      <c r="T91" s="740"/>
      <c r="U91" s="746"/>
      <c r="V91" s="803"/>
      <c r="W91" s="746"/>
      <c r="X91" s="803"/>
      <c r="Y91" s="119"/>
      <c r="Z91" s="802"/>
      <c r="AA91" s="188"/>
      <c r="AB91" s="741"/>
      <c r="AC91" s="741"/>
      <c r="AD91" s="116"/>
      <c r="AE91" s="742"/>
      <c r="AF91" s="742"/>
      <c r="AG91" s="256"/>
      <c r="AH91" s="188"/>
      <c r="AI91" s="743"/>
      <c r="AJ91" s="256"/>
      <c r="AK91" s="256"/>
      <c r="AL91" s="757"/>
      <c r="AM91" s="744"/>
      <c r="AN91" s="757">
        <v>9406266</v>
      </c>
      <c r="AO91" s="905" t="s">
        <v>1553</v>
      </c>
      <c r="AP91" s="745"/>
      <c r="AQ91" s="256"/>
      <c r="AR91" s="256"/>
      <c r="AS91" s="256"/>
      <c r="AT91" s="256"/>
      <c r="AU91" s="256"/>
      <c r="AV91" s="55"/>
      <c r="AW91" s="17"/>
    </row>
    <row r="92" spans="3:49" ht="39" customHeight="1" x14ac:dyDescent="0.3">
      <c r="C92" s="750"/>
      <c r="D92" s="188"/>
      <c r="E92" s="119"/>
      <c r="F92" s="119"/>
      <c r="G92" s="188"/>
      <c r="H92" s="739"/>
      <c r="I92" s="780"/>
      <c r="J92" s="119"/>
      <c r="K92" s="188"/>
      <c r="L92" s="739"/>
      <c r="M92" s="800"/>
      <c r="N92" s="739"/>
      <c r="O92" s="739"/>
      <c r="P92" s="801"/>
      <c r="Q92" s="188"/>
      <c r="R92" s="188"/>
      <c r="S92" s="188"/>
      <c r="T92" s="740"/>
      <c r="U92" s="746"/>
      <c r="V92" s="803"/>
      <c r="W92" s="746"/>
      <c r="X92" s="803"/>
      <c r="Y92" s="119"/>
      <c r="Z92" s="802"/>
      <c r="AA92" s="188"/>
      <c r="AB92" s="741"/>
      <c r="AC92" s="741"/>
      <c r="AD92" s="116"/>
      <c r="AE92" s="742"/>
      <c r="AF92" s="742"/>
      <c r="AG92" s="256"/>
      <c r="AH92" s="188"/>
      <c r="AI92" s="743"/>
      <c r="AJ92" s="256"/>
      <c r="AK92" s="256"/>
      <c r="AL92" s="757"/>
      <c r="AM92" s="744"/>
      <c r="AN92" s="757">
        <v>8536266</v>
      </c>
      <c r="AO92" s="905" t="s">
        <v>1572</v>
      </c>
      <c r="AP92" s="745"/>
      <c r="AQ92" s="256"/>
      <c r="AR92" s="256"/>
      <c r="AS92" s="256"/>
      <c r="AT92" s="256"/>
      <c r="AU92" s="256"/>
      <c r="AV92" s="55"/>
      <c r="AW92" s="17"/>
    </row>
    <row r="93" spans="3:49" ht="25.5" customHeight="1" x14ac:dyDescent="0.3">
      <c r="C93" s="750"/>
      <c r="D93" s="188"/>
      <c r="E93" s="119"/>
      <c r="F93" s="119"/>
      <c r="G93" s="188"/>
      <c r="H93" s="739"/>
      <c r="I93" s="780"/>
      <c r="J93" s="119"/>
      <c r="K93" s="188"/>
      <c r="L93" s="739"/>
      <c r="M93" s="800"/>
      <c r="N93" s="739"/>
      <c r="O93" s="739"/>
      <c r="P93" s="801"/>
      <c r="Q93" s="188"/>
      <c r="R93" s="188"/>
      <c r="S93" s="188"/>
      <c r="T93" s="740"/>
      <c r="U93" s="746"/>
      <c r="V93" s="119"/>
      <c r="W93" s="119"/>
      <c r="X93" s="119"/>
      <c r="Y93" s="119"/>
      <c r="Z93" s="802"/>
      <c r="AA93" s="188"/>
      <c r="AB93" s="741"/>
      <c r="AC93" s="741"/>
      <c r="AD93" s="116"/>
      <c r="AE93" s="742"/>
      <c r="AF93" s="742"/>
      <c r="AG93" s="256"/>
      <c r="AH93" s="188"/>
      <c r="AI93" s="743"/>
      <c r="AJ93" s="256"/>
      <c r="AK93" s="256"/>
      <c r="AL93" s="757"/>
      <c r="AM93" s="744"/>
      <c r="AN93" s="757"/>
      <c r="AO93" s="745"/>
      <c r="AP93" s="745"/>
      <c r="AQ93" s="256"/>
      <c r="AR93" s="256"/>
      <c r="AS93" s="256"/>
      <c r="AT93" s="256"/>
      <c r="AU93" s="256"/>
      <c r="AV93" s="55"/>
      <c r="AW93" s="17"/>
    </row>
    <row r="94" spans="3:49" ht="39" customHeight="1" x14ac:dyDescent="0.3">
      <c r="C94" s="831"/>
      <c r="D94" s="806"/>
      <c r="E94" s="807"/>
      <c r="F94" s="807"/>
      <c r="G94" s="806"/>
      <c r="H94" s="808">
        <f>H86</f>
        <v>34800000</v>
      </c>
      <c r="I94" s="809"/>
      <c r="J94" s="807"/>
      <c r="K94" s="806"/>
      <c r="L94" s="808"/>
      <c r="M94" s="808">
        <f>M86</f>
        <v>34800000</v>
      </c>
      <c r="N94" s="808"/>
      <c r="O94" s="808"/>
      <c r="P94" s="811"/>
      <c r="Q94" s="806"/>
      <c r="R94" s="806"/>
      <c r="S94" s="806"/>
      <c r="T94" s="812"/>
      <c r="U94" s="813"/>
      <c r="V94" s="807"/>
      <c r="W94" s="807"/>
      <c r="X94" s="807"/>
      <c r="Y94" s="807"/>
      <c r="Z94" s="814"/>
      <c r="AA94" s="806"/>
      <c r="AB94" s="815"/>
      <c r="AC94" s="815"/>
      <c r="AD94" s="816"/>
      <c r="AE94" s="817"/>
      <c r="AF94" s="817"/>
      <c r="AG94" s="818"/>
      <c r="AH94" s="806"/>
      <c r="AI94" s="819"/>
      <c r="AJ94" s="818"/>
      <c r="AK94" s="818"/>
      <c r="AL94" s="808">
        <f>AL86</f>
        <v>41091364</v>
      </c>
      <c r="AM94" s="820"/>
      <c r="AN94" s="808">
        <f>AN86</f>
        <v>41942532</v>
      </c>
      <c r="AO94" s="821"/>
      <c r="AP94" s="821"/>
      <c r="AQ94" s="818"/>
      <c r="AR94" s="256"/>
      <c r="AS94" s="256"/>
      <c r="AT94" s="256"/>
      <c r="AU94" s="256"/>
      <c r="AV94" s="55"/>
      <c r="AW94" s="17"/>
    </row>
    <row r="95" spans="3:49" ht="39" customHeight="1" x14ac:dyDescent="0.3">
      <c r="C95" s="750"/>
      <c r="D95" s="188"/>
      <c r="E95" s="119"/>
      <c r="F95" s="119"/>
      <c r="G95" s="188"/>
      <c r="H95" s="739"/>
      <c r="I95" s="780"/>
      <c r="J95" s="119"/>
      <c r="K95" s="188"/>
      <c r="L95" s="739"/>
      <c r="M95" s="800"/>
      <c r="N95" s="739"/>
      <c r="O95" s="739"/>
      <c r="P95" s="801"/>
      <c r="Q95" s="188"/>
      <c r="R95" s="188"/>
      <c r="S95" s="188"/>
      <c r="T95" s="740"/>
      <c r="U95" s="746"/>
      <c r="V95" s="119"/>
      <c r="W95" s="119"/>
      <c r="X95" s="119"/>
      <c r="Y95" s="119"/>
      <c r="Z95" s="802"/>
      <c r="AA95" s="188"/>
      <c r="AB95" s="741"/>
      <c r="AC95" s="741"/>
      <c r="AD95" s="116"/>
      <c r="AE95" s="742"/>
      <c r="AF95" s="742"/>
      <c r="AG95" s="256"/>
      <c r="AH95" s="188"/>
      <c r="AI95" s="743"/>
      <c r="AJ95" s="256"/>
      <c r="AK95" s="256"/>
      <c r="AL95" s="757"/>
      <c r="AM95" s="744"/>
      <c r="AN95" s="757"/>
      <c r="AO95" s="745"/>
      <c r="AP95" s="745"/>
      <c r="AQ95" s="256"/>
      <c r="AR95" s="256"/>
      <c r="AS95" s="256"/>
      <c r="AT95" s="256"/>
      <c r="AU95" s="256"/>
      <c r="AV95" s="55"/>
      <c r="AW95" s="17"/>
    </row>
    <row r="96" spans="3:49" ht="68.25" customHeight="1" x14ac:dyDescent="0.3">
      <c r="C96" s="750"/>
      <c r="D96" s="188">
        <v>12</v>
      </c>
      <c r="E96" s="119"/>
      <c r="F96" s="119" t="str">
        <f>'UID application COMBINE Mc list'!C34</f>
        <v>High speed multi cylinder sizing machine having minimum 12-14 cylinders for double size box and minimum speed of 40 mtrs per minutes.</v>
      </c>
      <c r="G96" s="188">
        <f>'UID application COMBINE Mc list'!D34</f>
        <v>2</v>
      </c>
      <c r="H96" s="739">
        <f>'UID application COMBINE Mc list'!H34</f>
        <v>49200000</v>
      </c>
      <c r="I96" s="829" t="s">
        <v>1458</v>
      </c>
      <c r="J96" s="119"/>
      <c r="K96" s="188">
        <f>SUM(K97:K98)</f>
        <v>2</v>
      </c>
      <c r="L96" s="739" t="s">
        <v>359</v>
      </c>
      <c r="M96" s="798">
        <f>SUM(M97:M98)</f>
        <v>49200000</v>
      </c>
      <c r="N96" s="739"/>
      <c r="O96" s="739"/>
      <c r="P96" s="801"/>
      <c r="Q96" s="188"/>
      <c r="R96" s="188"/>
      <c r="S96" s="188"/>
      <c r="T96" s="740"/>
      <c r="U96" s="746"/>
      <c r="V96" s="119"/>
      <c r="W96" s="119"/>
      <c r="X96" s="119"/>
      <c r="Y96" s="119"/>
      <c r="Z96" s="802"/>
      <c r="AA96" s="188"/>
      <c r="AB96" s="741"/>
      <c r="AC96" s="741"/>
      <c r="AD96" s="116"/>
      <c r="AE96" s="742"/>
      <c r="AF96" s="742"/>
      <c r="AG96" s="256"/>
      <c r="AH96" s="188"/>
      <c r="AI96" s="743"/>
      <c r="AJ96" s="256"/>
      <c r="AK96" s="256"/>
      <c r="AL96" s="757">
        <f>SUM(AL97:AL98)</f>
        <v>58089456</v>
      </c>
      <c r="AM96" s="744"/>
      <c r="AN96" s="757">
        <f>SUM(AN97:AN98)</f>
        <v>48627028</v>
      </c>
      <c r="AO96" s="745"/>
      <c r="AP96" s="745"/>
      <c r="AQ96" s="256"/>
      <c r="AR96" s="256"/>
      <c r="AS96" s="256"/>
      <c r="AT96" s="256"/>
      <c r="AU96" s="256"/>
      <c r="AV96" s="55"/>
      <c r="AW96" s="17"/>
    </row>
    <row r="97" spans="1:49" ht="39" customHeight="1" x14ac:dyDescent="0.3">
      <c r="C97" s="750"/>
      <c r="D97" s="188"/>
      <c r="E97" s="119"/>
      <c r="F97" s="119"/>
      <c r="G97" s="188"/>
      <c r="H97" s="739"/>
      <c r="I97" s="829" t="s">
        <v>1458</v>
      </c>
      <c r="J97" s="119"/>
      <c r="K97" s="188">
        <v>1</v>
      </c>
      <c r="L97" s="739" t="s">
        <v>359</v>
      </c>
      <c r="M97" s="798">
        <v>24600000</v>
      </c>
      <c r="N97" s="739"/>
      <c r="O97" s="739"/>
      <c r="P97" s="801"/>
      <c r="Q97" s="188"/>
      <c r="R97" s="188"/>
      <c r="S97" s="188"/>
      <c r="T97" s="740"/>
      <c r="U97" s="82" t="s">
        <v>1461</v>
      </c>
      <c r="V97" s="81">
        <v>553</v>
      </c>
      <c r="W97" s="119"/>
      <c r="X97" s="803">
        <v>84518011</v>
      </c>
      <c r="Y97" s="119"/>
      <c r="Z97" s="795" t="s">
        <v>1459</v>
      </c>
      <c r="AA97" s="188"/>
      <c r="AB97" s="741"/>
      <c r="AC97" s="741"/>
      <c r="AD97" s="116"/>
      <c r="AE97" s="742"/>
      <c r="AF97" s="742"/>
      <c r="AG97" s="256"/>
      <c r="AH97" s="188"/>
      <c r="AI97" s="743"/>
      <c r="AJ97" s="256"/>
      <c r="AK97" s="256"/>
      <c r="AL97" s="757">
        <v>29057028</v>
      </c>
      <c r="AM97" s="744"/>
      <c r="AN97" s="757">
        <v>23260000</v>
      </c>
      <c r="AO97" s="905" t="s">
        <v>1571</v>
      </c>
      <c r="AP97" s="745"/>
      <c r="AQ97" s="256"/>
      <c r="AR97" s="256"/>
      <c r="AS97" s="256"/>
      <c r="AT97" s="256"/>
      <c r="AU97" s="256"/>
      <c r="AV97" s="55"/>
      <c r="AW97" s="17"/>
    </row>
    <row r="98" spans="1:49" ht="39" customHeight="1" x14ac:dyDescent="0.3">
      <c r="C98" s="750"/>
      <c r="D98" s="188"/>
      <c r="E98" s="119"/>
      <c r="F98" s="119"/>
      <c r="G98" s="188"/>
      <c r="H98" s="739"/>
      <c r="I98" s="829" t="s">
        <v>1458</v>
      </c>
      <c r="J98" s="119"/>
      <c r="K98" s="188">
        <v>1</v>
      </c>
      <c r="L98" s="739" t="s">
        <v>359</v>
      </c>
      <c r="M98" s="798">
        <v>24600000</v>
      </c>
      <c r="N98" s="739"/>
      <c r="O98" s="739"/>
      <c r="P98" s="801"/>
      <c r="Q98" s="188"/>
      <c r="R98" s="188"/>
      <c r="S98" s="188"/>
      <c r="T98" s="740"/>
      <c r="U98" s="82" t="s">
        <v>1461</v>
      </c>
      <c r="V98" s="81">
        <v>554</v>
      </c>
      <c r="W98" s="119"/>
      <c r="X98" s="803">
        <v>84518011</v>
      </c>
      <c r="Y98" s="119"/>
      <c r="Z98" s="795" t="s">
        <v>1460</v>
      </c>
      <c r="AA98" s="188"/>
      <c r="AB98" s="741"/>
      <c r="AC98" s="741"/>
      <c r="AD98" s="116"/>
      <c r="AE98" s="742"/>
      <c r="AF98" s="742"/>
      <c r="AG98" s="256"/>
      <c r="AH98" s="188"/>
      <c r="AI98" s="743"/>
      <c r="AJ98" s="256"/>
      <c r="AK98" s="256"/>
      <c r="AL98" s="757">
        <f>29057028-24600</f>
        <v>29032428</v>
      </c>
      <c r="AM98" s="744"/>
      <c r="AN98" s="757">
        <v>25367028</v>
      </c>
      <c r="AO98" s="905" t="s">
        <v>1572</v>
      </c>
      <c r="AP98" s="745"/>
      <c r="AQ98" s="256"/>
      <c r="AR98" s="256"/>
      <c r="AS98" s="256"/>
      <c r="AT98" s="256"/>
      <c r="AU98" s="256"/>
      <c r="AV98" s="55"/>
      <c r="AW98" s="17"/>
    </row>
    <row r="99" spans="1:49" ht="18.75" customHeight="1" x14ac:dyDescent="0.3">
      <c r="C99" s="750"/>
      <c r="D99" s="188"/>
      <c r="E99" s="119"/>
      <c r="F99" s="119"/>
      <c r="G99" s="188"/>
      <c r="H99" s="739"/>
      <c r="I99" s="780"/>
      <c r="J99" s="119"/>
      <c r="K99" s="188"/>
      <c r="L99" s="739"/>
      <c r="M99" s="800"/>
      <c r="N99" s="739"/>
      <c r="O99" s="739"/>
      <c r="P99" s="801"/>
      <c r="Q99" s="188"/>
      <c r="R99" s="188"/>
      <c r="S99" s="188"/>
      <c r="T99" s="740"/>
      <c r="U99" s="746"/>
      <c r="V99" s="119"/>
      <c r="W99" s="119"/>
      <c r="X99" s="119"/>
      <c r="Y99" s="119"/>
      <c r="Z99" s="802"/>
      <c r="AA99" s="188"/>
      <c r="AB99" s="741"/>
      <c r="AC99" s="741"/>
      <c r="AD99" s="116"/>
      <c r="AE99" s="742"/>
      <c r="AF99" s="742"/>
      <c r="AG99" s="256"/>
      <c r="AH99" s="188"/>
      <c r="AI99" s="743"/>
      <c r="AJ99" s="256"/>
      <c r="AK99" s="256"/>
      <c r="AL99" s="757"/>
      <c r="AM99" s="744"/>
      <c r="AN99" s="757"/>
      <c r="AO99" s="745"/>
      <c r="AP99" s="745"/>
      <c r="AQ99" s="256"/>
      <c r="AR99" s="256"/>
      <c r="AS99" s="256"/>
      <c r="AT99" s="256"/>
      <c r="AU99" s="256"/>
      <c r="AV99" s="55"/>
      <c r="AW99" s="17"/>
    </row>
    <row r="100" spans="1:49" ht="22.5" customHeight="1" x14ac:dyDescent="0.3">
      <c r="C100" s="832"/>
      <c r="D100" s="762"/>
      <c r="E100" s="763"/>
      <c r="F100" s="763"/>
      <c r="G100" s="762"/>
      <c r="H100" s="764">
        <f>H96</f>
        <v>49200000</v>
      </c>
      <c r="I100" s="822"/>
      <c r="J100" s="763"/>
      <c r="K100" s="762"/>
      <c r="L100" s="764"/>
      <c r="M100" s="823">
        <f>M96</f>
        <v>49200000</v>
      </c>
      <c r="N100" s="764"/>
      <c r="O100" s="764"/>
      <c r="P100" s="824"/>
      <c r="Q100" s="762"/>
      <c r="R100" s="762"/>
      <c r="S100" s="762"/>
      <c r="T100" s="765"/>
      <c r="U100" s="825"/>
      <c r="V100" s="763"/>
      <c r="W100" s="763"/>
      <c r="X100" s="763"/>
      <c r="Y100" s="763"/>
      <c r="Z100" s="826"/>
      <c r="AA100" s="762"/>
      <c r="AB100" s="766"/>
      <c r="AC100" s="766"/>
      <c r="AD100" s="767"/>
      <c r="AE100" s="768"/>
      <c r="AF100" s="768"/>
      <c r="AG100" s="769"/>
      <c r="AH100" s="762"/>
      <c r="AI100" s="770"/>
      <c r="AJ100" s="769"/>
      <c r="AK100" s="769"/>
      <c r="AL100" s="823">
        <f>AL94+AL96</f>
        <v>99180820</v>
      </c>
      <c r="AM100" s="771"/>
      <c r="AN100" s="823">
        <f>AN94+AN96</f>
        <v>90569560</v>
      </c>
      <c r="AO100" s="772"/>
      <c r="AP100" s="772"/>
      <c r="AQ100" s="769"/>
      <c r="AR100" s="256"/>
      <c r="AS100" s="256"/>
      <c r="AT100" s="256"/>
      <c r="AU100" s="256"/>
      <c r="AV100" s="55"/>
      <c r="AW100" s="17"/>
    </row>
    <row r="101" spans="1:49" ht="21.75" customHeight="1" x14ac:dyDescent="0.3">
      <c r="C101" s="750"/>
      <c r="D101" s="188"/>
      <c r="E101" s="119"/>
      <c r="F101" s="119"/>
      <c r="G101" s="188"/>
      <c r="H101" s="739"/>
      <c r="I101" s="780"/>
      <c r="J101" s="119"/>
      <c r="K101" s="188"/>
      <c r="L101" s="739"/>
      <c r="M101" s="800"/>
      <c r="N101" s="739"/>
      <c r="O101" s="739"/>
      <c r="P101" s="801"/>
      <c r="Q101" s="188"/>
      <c r="R101" s="188"/>
      <c r="S101" s="188"/>
      <c r="T101" s="740"/>
      <c r="U101" s="746"/>
      <c r="V101" s="119"/>
      <c r="W101" s="119"/>
      <c r="X101" s="119"/>
      <c r="Y101" s="119"/>
      <c r="Z101" s="802"/>
      <c r="AA101" s="188"/>
      <c r="AB101" s="741"/>
      <c r="AC101" s="741"/>
      <c r="AD101" s="116"/>
      <c r="AE101" s="742"/>
      <c r="AF101" s="742"/>
      <c r="AG101" s="256"/>
      <c r="AH101" s="188"/>
      <c r="AI101" s="743"/>
      <c r="AJ101" s="256"/>
      <c r="AK101" s="256"/>
      <c r="AL101" s="757"/>
      <c r="AM101" s="744"/>
      <c r="AN101" s="757"/>
      <c r="AO101" s="745"/>
      <c r="AP101" s="745"/>
      <c r="AQ101" s="256"/>
      <c r="AR101" s="256"/>
      <c r="AS101" s="256"/>
      <c r="AT101" s="256"/>
      <c r="AU101" s="256"/>
      <c r="AV101" s="55"/>
      <c r="AW101" s="17"/>
    </row>
    <row r="102" spans="1:49" ht="39" customHeight="1" x14ac:dyDescent="0.3">
      <c r="C102" s="750"/>
      <c r="D102" s="188">
        <v>13</v>
      </c>
      <c r="E102" s="119"/>
      <c r="F102" s="830" t="str">
        <f>'UID application COMBINE Mc list'!C35</f>
        <v>On-line Loom Data Monitoring System</v>
      </c>
      <c r="G102" s="188"/>
      <c r="H102" s="739">
        <f>'UID application COMBINE Mc list'!H35</f>
        <v>2880000</v>
      </c>
      <c r="I102" s="780"/>
      <c r="J102" s="119"/>
      <c r="K102" s="188"/>
      <c r="L102" s="739"/>
      <c r="M102" s="800"/>
      <c r="N102" s="739"/>
      <c r="O102" s="739"/>
      <c r="P102" s="801"/>
      <c r="Q102" s="188"/>
      <c r="R102" s="188"/>
      <c r="S102" s="188"/>
      <c r="T102" s="740"/>
      <c r="U102" s="746"/>
      <c r="V102" s="119"/>
      <c r="W102" s="119"/>
      <c r="X102" s="119"/>
      <c r="Y102" s="119"/>
      <c r="Z102" s="802"/>
      <c r="AA102" s="188"/>
      <c r="AB102" s="741"/>
      <c r="AC102" s="741"/>
      <c r="AD102" s="116"/>
      <c r="AE102" s="742"/>
      <c r="AF102" s="742"/>
      <c r="AG102" s="256"/>
      <c r="AH102" s="188"/>
      <c r="AI102" s="743"/>
      <c r="AJ102" s="256"/>
      <c r="AK102" s="256"/>
      <c r="AL102" s="757"/>
      <c r="AM102" s="744"/>
      <c r="AN102" s="757"/>
      <c r="AO102" s="745"/>
      <c r="AP102" s="745"/>
      <c r="AQ102" s="256"/>
      <c r="AR102" s="256"/>
      <c r="AS102" s="256"/>
      <c r="AT102" s="256"/>
      <c r="AU102" s="256"/>
      <c r="AV102" s="55"/>
      <c r="AW102" s="17"/>
    </row>
    <row r="103" spans="1:49" ht="39" customHeight="1" x14ac:dyDescent="0.3">
      <c r="A103" s="869"/>
      <c r="B103" s="869"/>
      <c r="C103" s="870"/>
      <c r="D103" s="871"/>
      <c r="E103" s="872"/>
      <c r="F103" s="872"/>
      <c r="G103" s="871"/>
      <c r="H103" s="873">
        <f>H102</f>
        <v>2880000</v>
      </c>
      <c r="I103" s="846"/>
      <c r="J103" s="872"/>
      <c r="K103" s="871"/>
      <c r="L103" s="873"/>
      <c r="M103" s="873">
        <f>M102</f>
        <v>0</v>
      </c>
      <c r="N103" s="873"/>
      <c r="O103" s="873"/>
      <c r="P103" s="875"/>
      <c r="Q103" s="871"/>
      <c r="R103" s="871"/>
      <c r="S103" s="871"/>
      <c r="T103" s="876"/>
      <c r="U103" s="877"/>
      <c r="V103" s="872"/>
      <c r="W103" s="872"/>
      <c r="X103" s="872"/>
      <c r="Y103" s="872"/>
      <c r="Z103" s="878"/>
      <c r="AA103" s="871"/>
      <c r="AB103" s="879"/>
      <c r="AC103" s="879"/>
      <c r="AD103" s="880"/>
      <c r="AE103" s="881"/>
      <c r="AF103" s="881"/>
      <c r="AG103" s="882"/>
      <c r="AH103" s="871"/>
      <c r="AI103" s="883"/>
      <c r="AJ103" s="256"/>
      <c r="AK103" s="256"/>
      <c r="AL103" s="757"/>
      <c r="AM103" s="744"/>
      <c r="AN103" s="873">
        <f>AN102</f>
        <v>0</v>
      </c>
      <c r="AO103" s="745"/>
      <c r="AP103" s="745"/>
      <c r="AQ103" s="256"/>
      <c r="AR103" s="256"/>
      <c r="AS103" s="256"/>
      <c r="AT103" s="256"/>
      <c r="AU103" s="256"/>
      <c r="AV103" s="55"/>
      <c r="AW103" s="17"/>
    </row>
    <row r="104" spans="1:49" ht="39" customHeight="1" x14ac:dyDescent="0.3">
      <c r="C104" s="750"/>
      <c r="D104" s="188"/>
      <c r="E104" s="119"/>
      <c r="F104" s="119"/>
      <c r="G104" s="188"/>
      <c r="H104" s="739"/>
      <c r="I104" s="780"/>
      <c r="J104" s="119"/>
      <c r="K104" s="188"/>
      <c r="L104" s="739"/>
      <c r="M104" s="800"/>
      <c r="N104" s="739"/>
      <c r="O104" s="739"/>
      <c r="P104" s="801"/>
      <c r="Q104" s="188"/>
      <c r="R104" s="188"/>
      <c r="S104" s="188"/>
      <c r="T104" s="740"/>
      <c r="U104" s="746"/>
      <c r="V104" s="119"/>
      <c r="W104" s="119"/>
      <c r="X104" s="119"/>
      <c r="Y104" s="119"/>
      <c r="Z104" s="802"/>
      <c r="AA104" s="188"/>
      <c r="AB104" s="741"/>
      <c r="AC104" s="741"/>
      <c r="AD104" s="116"/>
      <c r="AE104" s="742"/>
      <c r="AF104" s="742"/>
      <c r="AG104" s="256"/>
      <c r="AH104" s="188"/>
      <c r="AI104" s="743"/>
      <c r="AJ104" s="256"/>
      <c r="AK104" s="256"/>
      <c r="AL104" s="757"/>
      <c r="AM104" s="744"/>
      <c r="AN104" s="757"/>
      <c r="AO104" s="745"/>
      <c r="AP104" s="745"/>
      <c r="AQ104" s="256"/>
      <c r="AR104" s="256"/>
      <c r="AS104" s="256"/>
      <c r="AT104" s="256"/>
      <c r="AU104" s="256"/>
      <c r="AV104" s="55"/>
      <c r="AW104" s="17"/>
    </row>
    <row r="105" spans="1:49" ht="63" customHeight="1" x14ac:dyDescent="0.3">
      <c r="D105" s="188">
        <v>14</v>
      </c>
      <c r="E105" s="119"/>
      <c r="F105" s="119" t="str">
        <f>'UID application COMBINE Mc list'!C36</f>
        <v>Accessories / attachments / sample machines / spares received alongwith machinery or procured from other manufacturers of the machinery under the project up to a a value of 20% of the machinery cost eligible under ATUFS mentioned at Sr. No. 12 above. (for sizing machine)</v>
      </c>
      <c r="G105" s="188"/>
      <c r="H105" s="739">
        <f>'UID application COMBINE Mc list'!H36</f>
        <v>6425000</v>
      </c>
      <c r="I105" s="780"/>
      <c r="J105" s="119"/>
      <c r="K105" s="188"/>
      <c r="L105" s="739"/>
      <c r="M105" s="800">
        <f>SUM(M106:M111)</f>
        <v>6780000</v>
      </c>
      <c r="N105" s="739"/>
      <c r="O105" s="739"/>
      <c r="P105" s="801"/>
      <c r="Q105" s="188"/>
      <c r="R105" s="188"/>
      <c r="S105" s="188"/>
      <c r="T105" s="740"/>
      <c r="U105" s="746"/>
      <c r="V105" s="119"/>
      <c r="W105" s="119"/>
      <c r="X105" s="119"/>
      <c r="Y105" s="119"/>
      <c r="Z105" s="802"/>
      <c r="AA105" s="188"/>
      <c r="AB105" s="741"/>
      <c r="AC105" s="741"/>
      <c r="AD105" s="116"/>
      <c r="AE105" s="742"/>
      <c r="AF105" s="742"/>
      <c r="AG105" s="256"/>
      <c r="AH105" s="188"/>
      <c r="AI105" s="743"/>
      <c r="AJ105" s="256"/>
      <c r="AK105" s="256"/>
      <c r="AL105" s="757"/>
      <c r="AM105" s="744"/>
      <c r="AN105" s="757"/>
      <c r="AO105" s="745"/>
      <c r="AP105" s="745"/>
      <c r="AQ105" s="256"/>
      <c r="AR105" s="256"/>
      <c r="AS105" s="256"/>
      <c r="AT105" s="256"/>
      <c r="AU105" s="256"/>
      <c r="AV105" s="55"/>
      <c r="AW105" s="17"/>
    </row>
    <row r="106" spans="1:49" ht="36" customHeight="1" x14ac:dyDescent="0.3">
      <c r="C106" s="750" t="s">
        <v>1540</v>
      </c>
      <c r="D106" s="188"/>
      <c r="E106" s="119"/>
      <c r="F106" s="119"/>
      <c r="G106" s="188"/>
      <c r="H106" s="739"/>
      <c r="I106" s="829" t="s">
        <v>1537</v>
      </c>
      <c r="J106" s="119"/>
      <c r="K106" s="188">
        <v>1</v>
      </c>
      <c r="L106" s="739" t="s">
        <v>359</v>
      </c>
      <c r="M106" s="800">
        <v>2100000</v>
      </c>
      <c r="N106" s="739"/>
      <c r="O106" s="739"/>
      <c r="P106" s="801"/>
      <c r="Q106" s="188"/>
      <c r="R106" s="188"/>
      <c r="S106" s="188"/>
      <c r="T106" s="740"/>
      <c r="U106" s="746"/>
      <c r="V106" s="119"/>
      <c r="W106" s="119"/>
      <c r="X106" s="119"/>
      <c r="Y106" s="119"/>
      <c r="Z106" s="802" t="s">
        <v>1538</v>
      </c>
      <c r="AA106" s="188"/>
      <c r="AB106" s="741"/>
      <c r="AC106" s="741"/>
      <c r="AD106" s="116"/>
      <c r="AE106" s="742"/>
      <c r="AF106" s="742"/>
      <c r="AG106" s="256"/>
      <c r="AH106" s="188"/>
      <c r="AI106" s="743"/>
      <c r="AJ106" s="256"/>
      <c r="AK106" s="256"/>
      <c r="AL106" s="757">
        <v>2490980</v>
      </c>
      <c r="AM106" s="744"/>
      <c r="AN106" s="757">
        <v>2490980</v>
      </c>
      <c r="AO106" s="745" t="s">
        <v>1367</v>
      </c>
      <c r="AP106" s="745"/>
      <c r="AQ106" s="256"/>
      <c r="AR106" s="256"/>
      <c r="AS106" s="256"/>
      <c r="AT106" s="256"/>
      <c r="AU106" s="256"/>
      <c r="AV106" s="55"/>
      <c r="AW106" s="17"/>
    </row>
    <row r="107" spans="1:49" ht="43.5" customHeight="1" x14ac:dyDescent="0.3">
      <c r="C107" s="750" t="s">
        <v>1541</v>
      </c>
      <c r="D107" s="188"/>
      <c r="E107" s="119"/>
      <c r="F107" s="119"/>
      <c r="G107" s="188"/>
      <c r="H107" s="739"/>
      <c r="I107" s="829" t="s">
        <v>1539</v>
      </c>
      <c r="J107" s="119"/>
      <c r="K107" s="188">
        <v>30</v>
      </c>
      <c r="L107" s="739" t="s">
        <v>359</v>
      </c>
      <c r="M107" s="800">
        <v>1560000</v>
      </c>
      <c r="N107" s="739"/>
      <c r="O107" s="739"/>
      <c r="P107" s="801"/>
      <c r="Q107" s="188"/>
      <c r="R107" s="188"/>
      <c r="S107" s="188"/>
      <c r="T107" s="740"/>
      <c r="U107" s="746"/>
      <c r="V107" s="119"/>
      <c r="W107" s="119"/>
      <c r="X107" s="119"/>
      <c r="Y107" s="119"/>
      <c r="Z107" s="802" t="s">
        <v>1542</v>
      </c>
      <c r="AA107" s="188"/>
      <c r="AB107" s="741"/>
      <c r="AC107" s="741"/>
      <c r="AD107" s="116"/>
      <c r="AE107" s="742"/>
      <c r="AF107" s="742"/>
      <c r="AG107" s="256"/>
      <c r="AH107" s="188"/>
      <c r="AI107" s="743"/>
      <c r="AJ107" s="256"/>
      <c r="AK107" s="256"/>
      <c r="AL107" s="757">
        <v>1840800</v>
      </c>
      <c r="AM107" s="744"/>
      <c r="AN107" s="757">
        <v>468000</v>
      </c>
      <c r="AO107" s="905" t="s">
        <v>1385</v>
      </c>
      <c r="AP107" s="745"/>
      <c r="AQ107" s="256"/>
      <c r="AR107" s="256"/>
      <c r="AS107" s="256"/>
      <c r="AT107" s="256"/>
      <c r="AU107" s="256"/>
      <c r="AV107" s="55"/>
      <c r="AW107" s="17"/>
    </row>
    <row r="108" spans="1:49" ht="45.75" customHeight="1" x14ac:dyDescent="0.3">
      <c r="C108" s="750"/>
      <c r="D108" s="188"/>
      <c r="E108" s="119"/>
      <c r="F108" s="119"/>
      <c r="G108" s="188"/>
      <c r="H108" s="739"/>
      <c r="I108" s="829" t="s">
        <v>1539</v>
      </c>
      <c r="J108" s="119"/>
      <c r="K108" s="188">
        <v>30</v>
      </c>
      <c r="L108" s="739" t="s">
        <v>359</v>
      </c>
      <c r="M108" s="800">
        <v>1560000</v>
      </c>
      <c r="N108" s="739"/>
      <c r="O108" s="739"/>
      <c r="P108" s="801"/>
      <c r="Q108" s="188"/>
      <c r="R108" s="188"/>
      <c r="S108" s="188"/>
      <c r="T108" s="740"/>
      <c r="U108" s="746"/>
      <c r="V108" s="119"/>
      <c r="W108" s="119"/>
      <c r="X108" s="119"/>
      <c r="Y108" s="119"/>
      <c r="Z108" s="802" t="s">
        <v>1543</v>
      </c>
      <c r="AA108" s="188"/>
      <c r="AB108" s="741"/>
      <c r="AC108" s="741"/>
      <c r="AD108" s="116"/>
      <c r="AE108" s="742"/>
      <c r="AF108" s="742"/>
      <c r="AG108" s="256"/>
      <c r="AH108" s="188"/>
      <c r="AI108" s="743"/>
      <c r="AJ108" s="256"/>
      <c r="AK108" s="256"/>
      <c r="AL108" s="757">
        <v>1840800</v>
      </c>
      <c r="AM108" s="744"/>
      <c r="AN108" s="757">
        <v>1723800</v>
      </c>
      <c r="AO108" s="905" t="s">
        <v>1573</v>
      </c>
      <c r="AP108" s="745"/>
      <c r="AQ108" s="256"/>
      <c r="AR108" s="256"/>
      <c r="AS108" s="256"/>
      <c r="AT108" s="256"/>
      <c r="AU108" s="256"/>
      <c r="AV108" s="55"/>
      <c r="AW108" s="17"/>
    </row>
    <row r="109" spans="1:49" ht="45.75" customHeight="1" x14ac:dyDescent="0.3">
      <c r="C109" s="750"/>
      <c r="D109" s="188"/>
      <c r="E109" s="119"/>
      <c r="F109" s="119"/>
      <c r="G109" s="188"/>
      <c r="H109" s="739"/>
      <c r="I109" s="829" t="s">
        <v>1539</v>
      </c>
      <c r="J109" s="119"/>
      <c r="K109" s="188">
        <v>30</v>
      </c>
      <c r="L109" s="739" t="s">
        <v>359</v>
      </c>
      <c r="M109" s="800">
        <v>1560000</v>
      </c>
      <c r="N109" s="739"/>
      <c r="O109" s="739"/>
      <c r="P109" s="801"/>
      <c r="Q109" s="188"/>
      <c r="R109" s="188"/>
      <c r="S109" s="188"/>
      <c r="T109" s="740"/>
      <c r="U109" s="746"/>
      <c r="V109" s="119"/>
      <c r="W109" s="119"/>
      <c r="X109" s="119"/>
      <c r="Y109" s="119"/>
      <c r="Z109" s="802" t="s">
        <v>1544</v>
      </c>
      <c r="AA109" s="188"/>
      <c r="AB109" s="741"/>
      <c r="AC109" s="741"/>
      <c r="AD109" s="116"/>
      <c r="AE109" s="742"/>
      <c r="AF109" s="742"/>
      <c r="AG109" s="256"/>
      <c r="AH109" s="188"/>
      <c r="AI109" s="743"/>
      <c r="AJ109" s="256"/>
      <c r="AK109" s="256"/>
      <c r="AL109" s="757">
        <v>1840800</v>
      </c>
      <c r="AM109" s="744"/>
      <c r="AN109" s="757">
        <v>1723800</v>
      </c>
      <c r="AO109" s="905" t="s">
        <v>1574</v>
      </c>
      <c r="AP109" s="745"/>
      <c r="AQ109" s="256"/>
      <c r="AR109" s="256"/>
      <c r="AS109" s="256"/>
      <c r="AT109" s="256"/>
      <c r="AU109" s="256"/>
      <c r="AV109" s="55"/>
      <c r="AW109" s="17"/>
    </row>
    <row r="110" spans="1:49" ht="45.75" customHeight="1" x14ac:dyDescent="0.3">
      <c r="C110" s="750"/>
      <c r="D110" s="188"/>
      <c r="E110" s="119"/>
      <c r="F110" s="119"/>
      <c r="G110" s="188"/>
      <c r="H110" s="739"/>
      <c r="I110" s="829"/>
      <c r="J110" s="119"/>
      <c r="K110" s="188"/>
      <c r="L110" s="739"/>
      <c r="M110" s="800"/>
      <c r="N110" s="739"/>
      <c r="O110" s="739"/>
      <c r="P110" s="801"/>
      <c r="Q110" s="188"/>
      <c r="R110" s="188"/>
      <c r="S110" s="188"/>
      <c r="T110" s="740"/>
      <c r="U110" s="746"/>
      <c r="V110" s="119"/>
      <c r="W110" s="119"/>
      <c r="X110" s="119"/>
      <c r="Y110" s="119"/>
      <c r="Z110" s="802"/>
      <c r="AA110" s="188"/>
      <c r="AB110" s="741"/>
      <c r="AC110" s="741"/>
      <c r="AD110" s="116"/>
      <c r="AE110" s="742"/>
      <c r="AF110" s="742"/>
      <c r="AG110" s="256"/>
      <c r="AH110" s="188"/>
      <c r="AI110" s="743"/>
      <c r="AJ110" s="256"/>
      <c r="AK110" s="256"/>
      <c r="AL110" s="757"/>
      <c r="AM110" s="744"/>
      <c r="AN110" s="757">
        <v>1443000</v>
      </c>
      <c r="AO110" s="905" t="s">
        <v>1575</v>
      </c>
      <c r="AP110" s="745"/>
      <c r="AQ110" s="256"/>
      <c r="AR110" s="256"/>
      <c r="AS110" s="256"/>
      <c r="AT110" s="256"/>
      <c r="AU110" s="256"/>
      <c r="AV110" s="55"/>
      <c r="AW110" s="17"/>
    </row>
    <row r="111" spans="1:49" ht="44.25" customHeight="1" x14ac:dyDescent="0.3">
      <c r="C111" s="750"/>
      <c r="D111" s="188"/>
      <c r="E111" s="119"/>
      <c r="F111" s="119"/>
      <c r="G111" s="188"/>
      <c r="H111" s="739"/>
      <c r="I111" s="829"/>
      <c r="J111" s="119"/>
      <c r="K111" s="188"/>
      <c r="L111" s="739"/>
      <c r="M111" s="800"/>
      <c r="N111" s="739"/>
      <c r="O111" s="739"/>
      <c r="P111" s="801"/>
      <c r="Q111" s="188"/>
      <c r="R111" s="188"/>
      <c r="S111" s="188"/>
      <c r="T111" s="740"/>
      <c r="U111" s="746"/>
      <c r="V111" s="119"/>
      <c r="W111" s="119"/>
      <c r="X111" s="119"/>
      <c r="Y111" s="119"/>
      <c r="Z111" s="802"/>
      <c r="AA111" s="188"/>
      <c r="AB111" s="741"/>
      <c r="AC111" s="741"/>
      <c r="AD111" s="116"/>
      <c r="AE111" s="742"/>
      <c r="AF111" s="742"/>
      <c r="AG111" s="256"/>
      <c r="AH111" s="188"/>
      <c r="AI111" s="743"/>
      <c r="AJ111" s="256"/>
      <c r="AK111" s="256"/>
      <c r="AL111" s="757"/>
      <c r="AM111" s="744"/>
      <c r="AN111" s="757">
        <v>163800</v>
      </c>
      <c r="AO111" s="905" t="s">
        <v>1576</v>
      </c>
      <c r="AP111" s="745"/>
      <c r="AQ111" s="256"/>
      <c r="AR111" s="256"/>
      <c r="AS111" s="256"/>
      <c r="AT111" s="256"/>
      <c r="AU111" s="256"/>
      <c r="AV111" s="55"/>
      <c r="AW111" s="17"/>
    </row>
    <row r="112" spans="1:49" s="869" customFormat="1" ht="44.25" customHeight="1" x14ac:dyDescent="0.3">
      <c r="C112" s="870"/>
      <c r="D112" s="871"/>
      <c r="E112" s="872"/>
      <c r="F112" s="872"/>
      <c r="G112" s="871"/>
      <c r="H112" s="873">
        <f>H105</f>
        <v>6425000</v>
      </c>
      <c r="I112" s="884"/>
      <c r="J112" s="872"/>
      <c r="K112" s="871"/>
      <c r="L112" s="873"/>
      <c r="M112" s="873">
        <f>M105</f>
        <v>6780000</v>
      </c>
      <c r="N112" s="873"/>
      <c r="O112" s="873"/>
      <c r="P112" s="875"/>
      <c r="Q112" s="871"/>
      <c r="R112" s="871"/>
      <c r="S112" s="871"/>
      <c r="T112" s="876"/>
      <c r="U112" s="877"/>
      <c r="V112" s="872"/>
      <c r="W112" s="872"/>
      <c r="X112" s="872"/>
      <c r="Y112" s="872"/>
      <c r="Z112" s="878"/>
      <c r="AA112" s="871"/>
      <c r="AB112" s="879"/>
      <c r="AC112" s="879"/>
      <c r="AD112" s="880"/>
      <c r="AE112" s="881"/>
      <c r="AF112" s="881"/>
      <c r="AG112" s="882"/>
      <c r="AH112" s="871"/>
      <c r="AI112" s="883"/>
      <c r="AJ112" s="882"/>
      <c r="AK112" s="882"/>
      <c r="AL112" s="885">
        <f>SUM(AL107:AL111)</f>
        <v>5522400</v>
      </c>
      <c r="AM112" s="886"/>
      <c r="AN112" s="885">
        <f>SUM(AN107:AN111)</f>
        <v>5522400</v>
      </c>
      <c r="AO112" s="887"/>
      <c r="AP112" s="887"/>
      <c r="AQ112" s="882"/>
      <c r="AR112" s="882"/>
      <c r="AS112" s="882"/>
      <c r="AT112" s="882"/>
      <c r="AU112" s="882"/>
      <c r="AV112" s="888"/>
      <c r="AW112" s="889"/>
    </row>
    <row r="113" spans="3:49" ht="39" customHeight="1" x14ac:dyDescent="0.3">
      <c r="C113" s="750"/>
      <c r="D113" s="188"/>
      <c r="E113" s="119"/>
      <c r="F113" s="119"/>
      <c r="G113" s="188"/>
      <c r="H113" s="739"/>
      <c r="I113" s="780"/>
      <c r="J113" s="119"/>
      <c r="K113" s="188"/>
      <c r="L113" s="739"/>
      <c r="M113" s="800"/>
      <c r="N113" s="739"/>
      <c r="O113" s="739"/>
      <c r="P113" s="801"/>
      <c r="Q113" s="188"/>
      <c r="R113" s="188"/>
      <c r="S113" s="188"/>
      <c r="T113" s="740"/>
      <c r="U113" s="746"/>
      <c r="V113" s="119"/>
      <c r="W113" s="119"/>
      <c r="X113" s="119"/>
      <c r="Y113" s="119"/>
      <c r="Z113" s="802"/>
      <c r="AA113" s="188"/>
      <c r="AB113" s="741"/>
      <c r="AC113" s="741"/>
      <c r="AD113" s="116"/>
      <c r="AE113" s="742"/>
      <c r="AF113" s="742"/>
      <c r="AG113" s="256"/>
      <c r="AH113" s="188"/>
      <c r="AI113" s="743"/>
      <c r="AJ113" s="256"/>
      <c r="AK113" s="256"/>
      <c r="AL113" s="757"/>
      <c r="AM113" s="744"/>
      <c r="AN113" s="757"/>
      <c r="AO113" s="745"/>
      <c r="AP113" s="745"/>
      <c r="AQ113" s="256"/>
      <c r="AR113" s="256"/>
      <c r="AS113" s="256"/>
      <c r="AT113" s="256"/>
      <c r="AU113" s="256"/>
      <c r="AV113" s="55"/>
      <c r="AW113" s="17"/>
    </row>
    <row r="114" spans="3:49" ht="67.5" customHeight="1" x14ac:dyDescent="0.3">
      <c r="C114" s="712" t="s">
        <v>1462</v>
      </c>
      <c r="D114" s="188">
        <v>15</v>
      </c>
      <c r="E114" s="119"/>
      <c r="F114" s="119" t="str">
        <f>'UID application COMBINE Mc list'!C37</f>
        <v>AC invertor driven PLC based Fabric inspection machine with fault analyzer and report generator and length measuring and cutting device.</v>
      </c>
      <c r="G114" s="188">
        <f>'UID application COMBINE Mc list'!D37</f>
        <v>12</v>
      </c>
      <c r="H114" s="739">
        <f>'UID application COMBINE Mc list'!H37</f>
        <v>7800000</v>
      </c>
      <c r="I114" s="828" t="s">
        <v>1264</v>
      </c>
      <c r="J114" s="119"/>
      <c r="K114" s="188">
        <f>SUM(K115:K118)</f>
        <v>12</v>
      </c>
      <c r="L114" s="749" t="s">
        <v>359</v>
      </c>
      <c r="M114" s="739">
        <f>SUM(M115:M118)</f>
        <v>8400000</v>
      </c>
      <c r="N114" s="739"/>
      <c r="O114" s="739"/>
      <c r="P114" s="801"/>
      <c r="Q114" s="188"/>
      <c r="R114" s="188"/>
      <c r="S114" s="188"/>
      <c r="T114" s="740"/>
      <c r="U114" s="746"/>
      <c r="V114" s="119"/>
      <c r="W114" s="119"/>
      <c r="X114" s="803">
        <v>84282011</v>
      </c>
      <c r="Y114" s="119"/>
      <c r="Z114" s="802"/>
      <c r="AA114" s="188"/>
      <c r="AB114" s="741"/>
      <c r="AC114" s="741"/>
      <c r="AD114" s="116"/>
      <c r="AE114" s="742"/>
      <c r="AF114" s="742"/>
      <c r="AG114" s="256"/>
      <c r="AH114" s="188"/>
      <c r="AI114" s="743"/>
      <c r="AJ114" s="256"/>
      <c r="AK114" s="256"/>
      <c r="AL114" s="739">
        <f>SUM(AL115:AL118)</f>
        <v>9912000</v>
      </c>
      <c r="AM114" s="757"/>
      <c r="AN114" s="739">
        <f>SUM(AN115:AN118)</f>
        <v>10032920</v>
      </c>
      <c r="AO114" s="745"/>
      <c r="AP114" s="745"/>
      <c r="AQ114" s="256"/>
      <c r="AR114" s="256"/>
      <c r="AS114" s="256"/>
      <c r="AT114" s="256"/>
      <c r="AU114" s="256"/>
      <c r="AV114" s="55"/>
      <c r="AW114" s="17"/>
    </row>
    <row r="115" spans="3:49" ht="39" customHeight="1" x14ac:dyDescent="0.3">
      <c r="C115" s="750"/>
      <c r="D115" s="188"/>
      <c r="E115" s="119"/>
      <c r="F115" s="119"/>
      <c r="G115" s="188"/>
      <c r="H115" s="739"/>
      <c r="I115" s="780"/>
      <c r="J115" s="119"/>
      <c r="K115" s="188">
        <v>3</v>
      </c>
      <c r="L115" s="749" t="s">
        <v>359</v>
      </c>
      <c r="M115" s="798">
        <v>2100000</v>
      </c>
      <c r="N115" s="739"/>
      <c r="O115" s="739"/>
      <c r="P115" s="801"/>
      <c r="Q115" s="188"/>
      <c r="R115" s="188"/>
      <c r="S115" s="188"/>
      <c r="T115" s="740"/>
      <c r="U115" s="82" t="s">
        <v>1467</v>
      </c>
      <c r="V115" s="746" t="s">
        <v>1468</v>
      </c>
      <c r="W115" s="119"/>
      <c r="X115" s="803">
        <v>84282011</v>
      </c>
      <c r="Y115" s="119"/>
      <c r="Z115" s="795" t="s">
        <v>1463</v>
      </c>
      <c r="AA115" s="188"/>
      <c r="AB115" s="741"/>
      <c r="AC115" s="741"/>
      <c r="AD115" s="116"/>
      <c r="AE115" s="742"/>
      <c r="AF115" s="742"/>
      <c r="AG115" s="256"/>
      <c r="AH115" s="188"/>
      <c r="AI115" s="743"/>
      <c r="AJ115" s="256"/>
      <c r="AK115" s="256"/>
      <c r="AL115" s="757">
        <v>2478000</v>
      </c>
      <c r="AM115" s="744"/>
      <c r="AN115" s="757">
        <v>2009260</v>
      </c>
      <c r="AO115" s="745">
        <v>44554</v>
      </c>
      <c r="AP115" s="745"/>
      <c r="AQ115" s="256"/>
      <c r="AR115" s="256"/>
      <c r="AS115" s="256"/>
      <c r="AT115" s="256"/>
      <c r="AU115" s="256"/>
      <c r="AV115" s="55"/>
      <c r="AW115" s="17"/>
    </row>
    <row r="116" spans="3:49" ht="39" customHeight="1" x14ac:dyDescent="0.3">
      <c r="C116" s="750"/>
      <c r="D116" s="188"/>
      <c r="E116" s="119"/>
      <c r="F116" s="119"/>
      <c r="G116" s="188"/>
      <c r="H116" s="739"/>
      <c r="I116" s="780"/>
      <c r="J116" s="119"/>
      <c r="K116" s="188">
        <v>3</v>
      </c>
      <c r="L116" s="749" t="s">
        <v>359</v>
      </c>
      <c r="M116" s="798">
        <v>2100000</v>
      </c>
      <c r="N116" s="739"/>
      <c r="O116" s="739"/>
      <c r="P116" s="801"/>
      <c r="Q116" s="188"/>
      <c r="R116" s="188"/>
      <c r="S116" s="188"/>
      <c r="T116" s="740"/>
      <c r="U116" s="82" t="s">
        <v>1467</v>
      </c>
      <c r="V116" s="746" t="s">
        <v>1469</v>
      </c>
      <c r="W116" s="119"/>
      <c r="X116" s="803">
        <v>84282011</v>
      </c>
      <c r="Y116" s="119"/>
      <c r="Z116" s="795" t="s">
        <v>1464</v>
      </c>
      <c r="AA116" s="188"/>
      <c r="AB116" s="741"/>
      <c r="AC116" s="741"/>
      <c r="AD116" s="116"/>
      <c r="AE116" s="742"/>
      <c r="AF116" s="742"/>
      <c r="AG116" s="256"/>
      <c r="AH116" s="188"/>
      <c r="AI116" s="743"/>
      <c r="AJ116" s="256"/>
      <c r="AK116" s="256"/>
      <c r="AL116" s="757">
        <v>2478000</v>
      </c>
      <c r="AM116" s="744"/>
      <c r="AN116" s="757">
        <v>1327400</v>
      </c>
      <c r="AO116" s="745">
        <v>44364</v>
      </c>
      <c r="AP116" s="745"/>
      <c r="AQ116" s="256"/>
      <c r="AR116" s="256"/>
      <c r="AS116" s="256"/>
      <c r="AT116" s="256"/>
      <c r="AU116" s="256"/>
      <c r="AV116" s="55"/>
      <c r="AW116" s="17"/>
    </row>
    <row r="117" spans="3:49" ht="39" customHeight="1" x14ac:dyDescent="0.3">
      <c r="C117" s="750"/>
      <c r="D117" s="188"/>
      <c r="E117" s="119"/>
      <c r="F117" s="119"/>
      <c r="G117" s="188"/>
      <c r="H117" s="739"/>
      <c r="I117" s="780"/>
      <c r="J117" s="119"/>
      <c r="K117" s="188">
        <v>3</v>
      </c>
      <c r="L117" s="749" t="s">
        <v>359</v>
      </c>
      <c r="M117" s="798">
        <v>2100000</v>
      </c>
      <c r="N117" s="739"/>
      <c r="O117" s="739"/>
      <c r="P117" s="801"/>
      <c r="Q117" s="188"/>
      <c r="R117" s="188"/>
      <c r="S117" s="188"/>
      <c r="T117" s="740"/>
      <c r="U117" s="82" t="s">
        <v>1467</v>
      </c>
      <c r="V117" s="746" t="s">
        <v>1470</v>
      </c>
      <c r="W117" s="119"/>
      <c r="X117" s="803">
        <v>84282011</v>
      </c>
      <c r="Y117" s="119"/>
      <c r="Z117" s="795" t="s">
        <v>1465</v>
      </c>
      <c r="AA117" s="188"/>
      <c r="AB117" s="741"/>
      <c r="AC117" s="741"/>
      <c r="AD117" s="116"/>
      <c r="AE117" s="742"/>
      <c r="AF117" s="742"/>
      <c r="AG117" s="256"/>
      <c r="AH117" s="188"/>
      <c r="AI117" s="743"/>
      <c r="AJ117" s="256"/>
      <c r="AK117" s="256"/>
      <c r="AL117" s="757">
        <v>2478000</v>
      </c>
      <c r="AM117" s="744"/>
      <c r="AN117" s="757">
        <v>6696260</v>
      </c>
      <c r="AO117" s="745" t="s">
        <v>1579</v>
      </c>
      <c r="AP117" s="745"/>
      <c r="AQ117" s="256"/>
      <c r="AR117" s="256"/>
      <c r="AS117" s="256"/>
      <c r="AT117" s="256"/>
      <c r="AU117" s="256"/>
      <c r="AV117" s="55"/>
      <c r="AW117" s="17"/>
    </row>
    <row r="118" spans="3:49" ht="39" customHeight="1" x14ac:dyDescent="0.3">
      <c r="C118" s="69"/>
      <c r="D118" s="188"/>
      <c r="E118" s="119"/>
      <c r="F118" s="119"/>
      <c r="G118" s="188"/>
      <c r="H118" s="739"/>
      <c r="I118" s="780"/>
      <c r="J118" s="119"/>
      <c r="K118" s="188">
        <v>3</v>
      </c>
      <c r="L118" s="749" t="s">
        <v>359</v>
      </c>
      <c r="M118" s="798">
        <v>2100000</v>
      </c>
      <c r="N118" s="739"/>
      <c r="O118" s="739"/>
      <c r="P118" s="801"/>
      <c r="Q118" s="188"/>
      <c r="R118" s="188"/>
      <c r="S118" s="188"/>
      <c r="T118" s="740"/>
      <c r="U118" s="82" t="s">
        <v>1467</v>
      </c>
      <c r="V118" s="746" t="s">
        <v>1471</v>
      </c>
      <c r="W118" s="119"/>
      <c r="X118" s="803">
        <v>84282011</v>
      </c>
      <c r="Y118" s="119"/>
      <c r="Z118" s="795" t="s">
        <v>1466</v>
      </c>
      <c r="AA118" s="188"/>
      <c r="AB118" s="741"/>
      <c r="AC118" s="741"/>
      <c r="AD118" s="116"/>
      <c r="AE118" s="742"/>
      <c r="AF118" s="742"/>
      <c r="AG118" s="256"/>
      <c r="AH118" s="188"/>
      <c r="AI118" s="743"/>
      <c r="AJ118" s="256"/>
      <c r="AK118" s="256"/>
      <c r="AL118" s="757">
        <v>2478000</v>
      </c>
      <c r="AM118" s="744"/>
      <c r="AN118" s="757"/>
      <c r="AO118" s="745"/>
      <c r="AP118" s="745"/>
      <c r="AQ118" s="256"/>
      <c r="AR118" s="256"/>
      <c r="AS118" s="256"/>
      <c r="AT118" s="256"/>
      <c r="AU118" s="256"/>
      <c r="AV118" s="55"/>
      <c r="AW118" s="17"/>
    </row>
    <row r="119" spans="3:49" ht="17.25" customHeight="1" x14ac:dyDescent="0.3">
      <c r="C119" s="69"/>
      <c r="D119" s="188"/>
      <c r="E119" s="119"/>
      <c r="F119" s="119"/>
      <c r="G119" s="188"/>
      <c r="H119" s="739"/>
      <c r="I119" s="780"/>
      <c r="J119" s="119"/>
      <c r="K119" s="188"/>
      <c r="L119" s="739"/>
      <c r="M119" s="800"/>
      <c r="N119" s="739"/>
      <c r="O119" s="739"/>
      <c r="P119" s="801"/>
      <c r="Q119" s="188"/>
      <c r="R119" s="188"/>
      <c r="S119" s="188"/>
      <c r="T119" s="740"/>
      <c r="U119" s="82"/>
      <c r="V119" s="119"/>
      <c r="W119" s="119"/>
      <c r="X119" s="119"/>
      <c r="Y119" s="119"/>
      <c r="Z119" s="802"/>
      <c r="AA119" s="188"/>
      <c r="AB119" s="741"/>
      <c r="AC119" s="741"/>
      <c r="AD119" s="116"/>
      <c r="AE119" s="742"/>
      <c r="AF119" s="742"/>
      <c r="AG119" s="256"/>
      <c r="AH119" s="188"/>
      <c r="AI119" s="743"/>
      <c r="AJ119" s="256"/>
      <c r="AK119" s="256"/>
      <c r="AL119" s="757"/>
      <c r="AM119" s="744"/>
      <c r="AN119" s="757"/>
      <c r="AO119" s="745"/>
      <c r="AP119" s="745"/>
      <c r="AQ119" s="256"/>
      <c r="AR119" s="256"/>
      <c r="AS119" s="256"/>
      <c r="AT119" s="256"/>
      <c r="AU119" s="256"/>
      <c r="AV119" s="55"/>
      <c r="AW119" s="17"/>
    </row>
    <row r="120" spans="3:49" ht="21" customHeight="1" x14ac:dyDescent="0.3">
      <c r="C120" s="761"/>
      <c r="D120" s="762"/>
      <c r="E120" s="763"/>
      <c r="F120" s="763"/>
      <c r="G120" s="762"/>
      <c r="H120" s="764">
        <f>H114</f>
        <v>7800000</v>
      </c>
      <c r="I120" s="822"/>
      <c r="J120" s="763"/>
      <c r="K120" s="762"/>
      <c r="L120" s="764"/>
      <c r="M120" s="764">
        <f>M114</f>
        <v>8400000</v>
      </c>
      <c r="N120" s="764"/>
      <c r="O120" s="764"/>
      <c r="P120" s="824"/>
      <c r="Q120" s="762"/>
      <c r="R120" s="762"/>
      <c r="S120" s="762"/>
      <c r="T120" s="765"/>
      <c r="U120" s="833"/>
      <c r="V120" s="763"/>
      <c r="W120" s="763"/>
      <c r="X120" s="763"/>
      <c r="Y120" s="763"/>
      <c r="Z120" s="826"/>
      <c r="AA120" s="762"/>
      <c r="AB120" s="766"/>
      <c r="AC120" s="766"/>
      <c r="AD120" s="767"/>
      <c r="AE120" s="768"/>
      <c r="AF120" s="768"/>
      <c r="AG120" s="769"/>
      <c r="AH120" s="762"/>
      <c r="AI120" s="770"/>
      <c r="AJ120" s="769"/>
      <c r="AK120" s="769"/>
      <c r="AL120" s="764">
        <f>AL114</f>
        <v>9912000</v>
      </c>
      <c r="AM120" s="771"/>
      <c r="AN120" s="764">
        <f>AN114</f>
        <v>10032920</v>
      </c>
      <c r="AO120" s="772"/>
      <c r="AP120" s="772"/>
      <c r="AQ120" s="769"/>
      <c r="AR120" s="256"/>
      <c r="AS120" s="256"/>
      <c r="AT120" s="256"/>
      <c r="AU120" s="256"/>
      <c r="AV120" s="55"/>
      <c r="AW120" s="17"/>
    </row>
    <row r="121" spans="3:49" ht="24.75" customHeight="1" x14ac:dyDescent="0.3">
      <c r="C121" s="69"/>
      <c r="D121" s="188"/>
      <c r="E121" s="119"/>
      <c r="F121" s="119"/>
      <c r="G121" s="188"/>
      <c r="H121" s="739"/>
      <c r="I121" s="780"/>
      <c r="J121" s="119"/>
      <c r="K121" s="188"/>
      <c r="L121" s="739"/>
      <c r="M121" s="800"/>
      <c r="N121" s="739"/>
      <c r="O121" s="739"/>
      <c r="P121" s="801"/>
      <c r="Q121" s="188"/>
      <c r="R121" s="188"/>
      <c r="S121" s="188"/>
      <c r="T121" s="740"/>
      <c r="U121" s="82"/>
      <c r="V121" s="119"/>
      <c r="W121" s="119"/>
      <c r="X121" s="119"/>
      <c r="Y121" s="119"/>
      <c r="Z121" s="802"/>
      <c r="AA121" s="188"/>
      <c r="AB121" s="741"/>
      <c r="AC121" s="741"/>
      <c r="AD121" s="116"/>
      <c r="AE121" s="742"/>
      <c r="AF121" s="742"/>
      <c r="AG121" s="256"/>
      <c r="AH121" s="188"/>
      <c r="AI121" s="743"/>
      <c r="AJ121" s="256"/>
      <c r="AK121" s="256"/>
      <c r="AL121" s="757"/>
      <c r="AM121" s="744"/>
      <c r="AN121" s="757"/>
      <c r="AO121" s="745"/>
      <c r="AP121" s="745"/>
      <c r="AQ121" s="256"/>
      <c r="AR121" s="256"/>
      <c r="AS121" s="256"/>
      <c r="AT121" s="256"/>
      <c r="AU121" s="256"/>
      <c r="AV121" s="55"/>
      <c r="AW121" s="17"/>
    </row>
    <row r="122" spans="3:49" ht="120" customHeight="1" x14ac:dyDescent="0.3">
      <c r="C122" s="69"/>
      <c r="D122" s="188">
        <v>16</v>
      </c>
      <c r="E122" s="119"/>
      <c r="F122" s="119" t="str">
        <f>'UID application COMBINE Mc list'!C38</f>
        <v>Accessories / attachments / sample machines / spares received alongwith machinery or procured from other manufacturers of the machinery under the project up to a a value of 20% of the machinery cost eligible under ATUFS mentioned at Sr. No. 7 above. (for Air compressor)</v>
      </c>
      <c r="G122" s="188" t="str">
        <f>'UID application COMBINE Mc list'!D38</f>
        <v>7 Set</v>
      </c>
      <c r="H122" s="739">
        <f>'UID application COMBINE Mc list'!H38</f>
        <v>3700000</v>
      </c>
      <c r="I122" s="780"/>
      <c r="J122" s="119"/>
      <c r="K122" s="188"/>
      <c r="L122" s="739"/>
      <c r="M122" s="800">
        <f>M123+M124</f>
        <v>8026500</v>
      </c>
      <c r="N122" s="739"/>
      <c r="O122" s="739"/>
      <c r="P122" s="801"/>
      <c r="Q122" s="188"/>
      <c r="R122" s="188"/>
      <c r="S122" s="188"/>
      <c r="T122" s="740"/>
      <c r="U122" s="82"/>
      <c r="V122" s="119"/>
      <c r="W122" s="119"/>
      <c r="X122" s="119"/>
      <c r="Y122" s="119"/>
      <c r="Z122" s="802"/>
      <c r="AA122" s="188"/>
      <c r="AB122" s="741"/>
      <c r="AC122" s="741"/>
      <c r="AD122" s="116"/>
      <c r="AE122" s="742"/>
      <c r="AF122" s="742"/>
      <c r="AG122" s="256"/>
      <c r="AH122" s="188"/>
      <c r="AI122" s="743"/>
      <c r="AJ122" s="256"/>
      <c r="AK122" s="256"/>
      <c r="AL122" s="757">
        <f>AL123+AL124</f>
        <v>8193270</v>
      </c>
      <c r="AM122" s="744"/>
      <c r="AN122" s="757">
        <f>AN123+AN124</f>
        <v>8193720</v>
      </c>
      <c r="AO122" s="745"/>
      <c r="AP122" s="745"/>
      <c r="AQ122" s="256"/>
      <c r="AR122" s="256"/>
      <c r="AS122" s="256"/>
      <c r="AT122" s="256"/>
      <c r="AU122" s="256"/>
      <c r="AV122" s="55"/>
      <c r="AW122" s="17"/>
    </row>
    <row r="123" spans="3:49" ht="39" customHeight="1" x14ac:dyDescent="0.3">
      <c r="C123" s="69" t="s">
        <v>1580</v>
      </c>
      <c r="D123" s="188"/>
      <c r="E123" s="119"/>
      <c r="F123" s="119"/>
      <c r="G123" s="188"/>
      <c r="H123" s="739"/>
      <c r="I123" s="780" t="s">
        <v>1475</v>
      </c>
      <c r="J123" s="119"/>
      <c r="K123" s="188">
        <v>1</v>
      </c>
      <c r="L123" s="739" t="s">
        <v>359</v>
      </c>
      <c r="M123" s="800">
        <v>926500</v>
      </c>
      <c r="N123" s="739"/>
      <c r="O123" s="739"/>
      <c r="P123" s="801"/>
      <c r="Q123" s="188"/>
      <c r="R123" s="188"/>
      <c r="S123" s="188"/>
      <c r="T123" s="740"/>
      <c r="U123" s="82"/>
      <c r="V123" s="119"/>
      <c r="W123" s="119"/>
      <c r="X123" s="119"/>
      <c r="Y123" s="119"/>
      <c r="Z123" s="802" t="s">
        <v>1476</v>
      </c>
      <c r="AA123" s="188"/>
      <c r="AB123" s="741"/>
      <c r="AC123" s="741"/>
      <c r="AD123" s="116"/>
      <c r="AE123" s="742"/>
      <c r="AF123" s="742"/>
      <c r="AG123" s="256"/>
      <c r="AH123" s="188"/>
      <c r="AI123" s="743"/>
      <c r="AJ123" s="256"/>
      <c r="AK123" s="256"/>
      <c r="AL123" s="917">
        <v>1093270</v>
      </c>
      <c r="AM123" s="744"/>
      <c r="AN123" s="757">
        <v>1093720</v>
      </c>
      <c r="AO123" s="745">
        <v>44796</v>
      </c>
      <c r="AP123" s="745"/>
      <c r="AQ123" s="256"/>
      <c r="AR123" s="256"/>
      <c r="AS123" s="256"/>
      <c r="AT123" s="256"/>
      <c r="AU123" s="256"/>
      <c r="AV123" s="55"/>
      <c r="AW123" s="17"/>
    </row>
    <row r="124" spans="3:49" s="948" customFormat="1" ht="39" customHeight="1" x14ac:dyDescent="0.3">
      <c r="C124" s="928" t="s">
        <v>370</v>
      </c>
      <c r="D124" s="929"/>
      <c r="E124" s="830"/>
      <c r="F124" s="830"/>
      <c r="G124" s="929"/>
      <c r="H124" s="930"/>
      <c r="I124" s="931" t="s">
        <v>1477</v>
      </c>
      <c r="J124" s="830"/>
      <c r="K124" s="929">
        <v>4</v>
      </c>
      <c r="L124" s="930" t="s">
        <v>359</v>
      </c>
      <c r="M124" s="932">
        <v>7100000</v>
      </c>
      <c r="N124" s="930"/>
      <c r="O124" s="930"/>
      <c r="P124" s="933"/>
      <c r="Q124" s="929"/>
      <c r="R124" s="929"/>
      <c r="S124" s="929"/>
      <c r="T124" s="836"/>
      <c r="U124" s="934"/>
      <c r="V124" s="830"/>
      <c r="W124" s="830"/>
      <c r="X124" s="830"/>
      <c r="Y124" s="830"/>
      <c r="Z124" s="935" t="s">
        <v>1478</v>
      </c>
      <c r="AA124" s="929"/>
      <c r="AB124" s="936"/>
      <c r="AC124" s="936"/>
      <c r="AD124" s="937"/>
      <c r="AE124" s="938"/>
      <c r="AF124" s="938"/>
      <c r="AG124" s="939"/>
      <c r="AH124" s="929"/>
      <c r="AI124" s="940"/>
      <c r="AJ124" s="939"/>
      <c r="AK124" s="939"/>
      <c r="AL124" s="941">
        <v>7100000</v>
      </c>
      <c r="AM124" s="942"/>
      <c r="AN124" s="943">
        <v>7100000</v>
      </c>
      <c r="AO124" s="944" t="s">
        <v>1554</v>
      </c>
      <c r="AP124" s="945"/>
      <c r="AQ124" s="939"/>
      <c r="AR124" s="939"/>
      <c r="AS124" s="939"/>
      <c r="AT124" s="939"/>
      <c r="AU124" s="939"/>
      <c r="AV124" s="946"/>
      <c r="AW124" s="947" t="s">
        <v>1588</v>
      </c>
    </row>
    <row r="125" spans="3:49" ht="21.75" customHeight="1" x14ac:dyDescent="0.3">
      <c r="C125" s="761"/>
      <c r="D125" s="762"/>
      <c r="E125" s="763"/>
      <c r="F125" s="763"/>
      <c r="G125" s="762"/>
      <c r="H125" s="764">
        <f>H122</f>
        <v>3700000</v>
      </c>
      <c r="I125" s="822"/>
      <c r="J125" s="763"/>
      <c r="K125" s="762"/>
      <c r="L125" s="764"/>
      <c r="M125" s="764">
        <f>M122</f>
        <v>8026500</v>
      </c>
      <c r="N125" s="764"/>
      <c r="O125" s="764"/>
      <c r="P125" s="824"/>
      <c r="Q125" s="762"/>
      <c r="R125" s="762"/>
      <c r="S125" s="762"/>
      <c r="T125" s="765"/>
      <c r="U125" s="833"/>
      <c r="V125" s="763"/>
      <c r="W125" s="763"/>
      <c r="X125" s="763"/>
      <c r="Y125" s="763"/>
      <c r="Z125" s="826"/>
      <c r="AA125" s="762"/>
      <c r="AB125" s="766"/>
      <c r="AC125" s="766"/>
      <c r="AD125" s="767"/>
      <c r="AE125" s="768"/>
      <c r="AF125" s="768"/>
      <c r="AG125" s="769"/>
      <c r="AH125" s="762"/>
      <c r="AI125" s="770"/>
      <c r="AJ125" s="769"/>
      <c r="AK125" s="769"/>
      <c r="AL125" s="764">
        <f>AL122</f>
        <v>8193270</v>
      </c>
      <c r="AM125" s="771"/>
      <c r="AN125" s="764">
        <f>AN122</f>
        <v>8193720</v>
      </c>
      <c r="AO125" s="772"/>
      <c r="AP125" s="772"/>
      <c r="AQ125" s="769"/>
      <c r="AR125" s="256"/>
      <c r="AS125" s="256"/>
      <c r="AT125" s="256"/>
      <c r="AU125" s="256"/>
      <c r="AV125" s="55"/>
      <c r="AW125" s="17"/>
    </row>
    <row r="126" spans="3:49" ht="39" customHeight="1" x14ac:dyDescent="0.3">
      <c r="C126" s="69"/>
      <c r="D126" s="188"/>
      <c r="E126" s="119"/>
      <c r="F126" s="119"/>
      <c r="G126" s="188"/>
      <c r="H126" s="739"/>
      <c r="I126" s="780"/>
      <c r="J126" s="119"/>
      <c r="K126" s="188"/>
      <c r="L126" s="739"/>
      <c r="M126" s="800"/>
      <c r="N126" s="859"/>
      <c r="O126" s="859"/>
      <c r="P126" s="860"/>
      <c r="Q126" s="724"/>
      <c r="R126" s="188"/>
      <c r="S126" s="188"/>
      <c r="T126" s="740"/>
      <c r="U126" s="82"/>
      <c r="V126" s="119"/>
      <c r="W126" s="119"/>
      <c r="X126" s="119"/>
      <c r="Y126" s="119"/>
      <c r="Z126" s="802"/>
      <c r="AA126" s="188"/>
      <c r="AB126" s="741"/>
      <c r="AC126" s="741"/>
      <c r="AD126" s="116"/>
      <c r="AE126" s="742"/>
      <c r="AF126" s="742"/>
      <c r="AG126" s="256"/>
      <c r="AH126" s="188"/>
      <c r="AI126" s="743"/>
      <c r="AJ126" s="256"/>
      <c r="AK126" s="256"/>
      <c r="AL126" s="757"/>
      <c r="AM126" s="744"/>
      <c r="AN126" s="757"/>
      <c r="AO126" s="745"/>
      <c r="AP126" s="745"/>
      <c r="AQ126" s="256"/>
      <c r="AR126" s="256"/>
      <c r="AS126" s="256"/>
      <c r="AT126" s="256"/>
      <c r="AU126" s="256"/>
      <c r="AV126" s="55"/>
      <c r="AW126" s="17"/>
    </row>
    <row r="127" spans="3:49" ht="60.75" customHeight="1" x14ac:dyDescent="0.3">
      <c r="C127" s="69" t="s">
        <v>1514</v>
      </c>
      <c r="D127" s="188">
        <v>17</v>
      </c>
      <c r="E127" s="119"/>
      <c r="F127" s="119" t="str">
        <f>'UID application COMBINE Mc list'!C39</f>
        <v>Reverse Osmosis, Nano Filteration, Multiple stage prefabricated steel evaporator excluding civil construction.</v>
      </c>
      <c r="G127" s="188" t="str">
        <f>'UID application COMBINE Mc list'!D39</f>
        <v>1 Line</v>
      </c>
      <c r="H127" s="739">
        <f>'UID application COMBINE Mc list'!H39</f>
        <v>1000000</v>
      </c>
      <c r="I127" s="780" t="s">
        <v>1509</v>
      </c>
      <c r="J127" s="119"/>
      <c r="K127" s="188">
        <v>1</v>
      </c>
      <c r="L127" s="739" t="s">
        <v>359</v>
      </c>
      <c r="M127" s="843">
        <v>1151000</v>
      </c>
      <c r="N127" s="859"/>
      <c r="O127" s="861">
        <v>1151000</v>
      </c>
      <c r="P127" s="862" t="s">
        <v>1512</v>
      </c>
      <c r="Q127" s="724" t="s">
        <v>649</v>
      </c>
      <c r="R127" s="188" t="s">
        <v>649</v>
      </c>
      <c r="S127" s="188" t="s">
        <v>649</v>
      </c>
      <c r="T127" s="740"/>
      <c r="U127" s="82"/>
      <c r="V127" s="119"/>
      <c r="W127" s="119"/>
      <c r="X127" s="119">
        <v>84212190</v>
      </c>
      <c r="Y127" s="119"/>
      <c r="Z127" s="802" t="s">
        <v>1513</v>
      </c>
      <c r="AA127" s="188" t="s">
        <v>649</v>
      </c>
      <c r="AB127" s="741" t="s">
        <v>649</v>
      </c>
      <c r="AC127" s="741" t="s">
        <v>649</v>
      </c>
      <c r="AD127" s="741" t="s">
        <v>649</v>
      </c>
      <c r="AE127" s="741" t="s">
        <v>649</v>
      </c>
      <c r="AF127" s="741" t="s">
        <v>649</v>
      </c>
      <c r="AG127" s="741" t="s">
        <v>649</v>
      </c>
      <c r="AH127" s="741" t="s">
        <v>649</v>
      </c>
      <c r="AI127" s="741" t="s">
        <v>649</v>
      </c>
      <c r="AJ127" s="256"/>
      <c r="AK127" s="256"/>
      <c r="AL127" s="837">
        <v>3016080</v>
      </c>
      <c r="AM127" s="744"/>
      <c r="AN127" s="757">
        <v>6591780</v>
      </c>
      <c r="AO127" s="745" t="s">
        <v>1323</v>
      </c>
      <c r="AP127" s="745"/>
      <c r="AQ127" s="256"/>
      <c r="AR127" s="256"/>
      <c r="AS127" s="256"/>
      <c r="AT127" s="256"/>
      <c r="AU127" s="256"/>
      <c r="AV127" s="55"/>
      <c r="AW127" s="17"/>
    </row>
    <row r="128" spans="3:49" s="869" customFormat="1" ht="30" customHeight="1" x14ac:dyDescent="0.3">
      <c r="C128" s="890"/>
      <c r="D128" s="871"/>
      <c r="E128" s="872"/>
      <c r="F128" s="872"/>
      <c r="G128" s="871"/>
      <c r="H128" s="873">
        <f>H127</f>
        <v>1000000</v>
      </c>
      <c r="I128" s="846"/>
      <c r="J128" s="872"/>
      <c r="K128" s="871"/>
      <c r="L128" s="873"/>
      <c r="M128" s="891">
        <f>M127</f>
        <v>1151000</v>
      </c>
      <c r="N128" s="892"/>
      <c r="O128" s="893"/>
      <c r="P128" s="894"/>
      <c r="Q128" s="895"/>
      <c r="R128" s="871"/>
      <c r="S128" s="871"/>
      <c r="T128" s="876"/>
      <c r="U128" s="896"/>
      <c r="V128" s="872"/>
      <c r="W128" s="872"/>
      <c r="X128" s="872"/>
      <c r="Y128" s="872"/>
      <c r="Z128" s="878"/>
      <c r="AA128" s="871"/>
      <c r="AB128" s="879"/>
      <c r="AC128" s="879"/>
      <c r="AD128" s="879"/>
      <c r="AE128" s="897"/>
      <c r="AF128" s="897"/>
      <c r="AG128" s="879"/>
      <c r="AH128" s="879"/>
      <c r="AI128" s="879"/>
      <c r="AJ128" s="882"/>
      <c r="AK128" s="882"/>
      <c r="AL128" s="882"/>
      <c r="AM128" s="882"/>
      <c r="AN128" s="882"/>
      <c r="AO128" s="882"/>
      <c r="AP128" s="887"/>
      <c r="AQ128" s="882"/>
      <c r="AR128" s="882"/>
      <c r="AS128" s="882"/>
      <c r="AT128" s="882"/>
      <c r="AU128" s="882"/>
      <c r="AV128" s="888"/>
      <c r="AW128" s="889"/>
    </row>
    <row r="129" spans="3:49" ht="39" customHeight="1" x14ac:dyDescent="0.3">
      <c r="C129" s="69"/>
      <c r="D129" s="188"/>
      <c r="E129" s="119"/>
      <c r="F129" s="119"/>
      <c r="G129" s="188"/>
      <c r="H129" s="739"/>
      <c r="I129" s="780"/>
      <c r="J129" s="119"/>
      <c r="K129" s="188"/>
      <c r="L129" s="739"/>
      <c r="M129" s="800"/>
      <c r="N129" s="859"/>
      <c r="O129" s="859"/>
      <c r="P129" s="860"/>
      <c r="Q129" s="724"/>
      <c r="R129" s="188"/>
      <c r="S129" s="188"/>
      <c r="T129" s="740"/>
      <c r="U129" s="82"/>
      <c r="V129" s="119"/>
      <c r="W129" s="119"/>
      <c r="X129" s="119"/>
      <c r="Y129" s="119"/>
      <c r="Z129" s="802"/>
      <c r="AA129" s="188"/>
      <c r="AB129" s="741"/>
      <c r="AC129" s="741"/>
      <c r="AD129" s="116"/>
      <c r="AE129" s="742"/>
      <c r="AF129" s="742"/>
      <c r="AG129" s="256"/>
      <c r="AH129" s="188"/>
      <c r="AI129" s="743"/>
      <c r="AJ129" s="256"/>
      <c r="AK129" s="256"/>
      <c r="AL129" s="757"/>
      <c r="AM129" s="744"/>
      <c r="AN129" s="757"/>
      <c r="AO129" s="745"/>
      <c r="AP129" s="745"/>
      <c r="AQ129" s="256"/>
      <c r="AR129" s="256"/>
      <c r="AS129" s="256"/>
      <c r="AT129" s="256"/>
      <c r="AU129" s="256"/>
      <c r="AV129" s="55"/>
      <c r="AW129" s="17"/>
    </row>
    <row r="130" spans="3:49" ht="75.75" customHeight="1" x14ac:dyDescent="0.3">
      <c r="C130" s="69" t="s">
        <v>1514</v>
      </c>
      <c r="D130" s="188">
        <v>18</v>
      </c>
      <c r="E130" s="119"/>
      <c r="F130" s="119" t="str">
        <f>'UID application COMBINE Mc list'!C40</f>
        <v>Accessories / attachments / sample machines / spares received alongwith machinery or procured from other manufacturers of the machinery under the project up to a a value of 20% of the machinery cost eligible under ATUFS mentioned at Sr. No. 17 above. (for Reverse Osmosis, Nano Filteration, Multiple stage prefabricated steel evaporator excluding civil construction.)</v>
      </c>
      <c r="G130" s="188" t="str">
        <f>'UID application COMBINE Mc list'!D40</f>
        <v>2 Sets</v>
      </c>
      <c r="H130" s="739">
        <f>'UID application COMBINE Mc list'!H40</f>
        <v>700000.00000000012</v>
      </c>
      <c r="I130" s="780" t="s">
        <v>1515</v>
      </c>
      <c r="J130" s="119"/>
      <c r="K130" s="188" t="s">
        <v>977</v>
      </c>
      <c r="L130" s="739"/>
      <c r="M130" s="800">
        <v>1405000</v>
      </c>
      <c r="N130" s="859"/>
      <c r="O130" s="797">
        <v>1405000</v>
      </c>
      <c r="P130" s="862" t="s">
        <v>1512</v>
      </c>
      <c r="Q130" s="724" t="s">
        <v>649</v>
      </c>
      <c r="R130" s="188" t="s">
        <v>649</v>
      </c>
      <c r="S130" s="188" t="s">
        <v>649</v>
      </c>
      <c r="T130" s="740"/>
      <c r="U130" s="82"/>
      <c r="V130" s="119"/>
      <c r="W130" s="119"/>
      <c r="X130" s="119">
        <v>84212190</v>
      </c>
      <c r="Y130" s="119"/>
      <c r="Z130" s="802" t="s">
        <v>1513</v>
      </c>
      <c r="AA130" s="188"/>
      <c r="AB130" s="741"/>
      <c r="AC130" s="741"/>
      <c r="AD130" s="116"/>
      <c r="AE130" s="742"/>
      <c r="AF130" s="742"/>
      <c r="AG130" s="256"/>
      <c r="AH130" s="188"/>
      <c r="AI130" s="743"/>
      <c r="AJ130" s="256"/>
      <c r="AK130" s="256"/>
      <c r="AL130" s="837">
        <v>3016080</v>
      </c>
      <c r="AM130" s="744"/>
      <c r="AN130" s="757">
        <v>6591780</v>
      </c>
      <c r="AO130" s="745" t="s">
        <v>1323</v>
      </c>
      <c r="AP130" s="745"/>
      <c r="AQ130" s="256"/>
      <c r="AR130" s="256"/>
      <c r="AS130" s="256"/>
      <c r="AT130" s="256"/>
      <c r="AU130" s="256"/>
      <c r="AV130" s="55"/>
      <c r="AW130" s="17"/>
    </row>
    <row r="131" spans="3:49" s="869" customFormat="1" ht="39" customHeight="1" x14ac:dyDescent="0.3">
      <c r="C131" s="890"/>
      <c r="D131" s="871"/>
      <c r="E131" s="872"/>
      <c r="F131" s="872"/>
      <c r="G131" s="871"/>
      <c r="H131" s="899">
        <f>H130</f>
        <v>700000.00000000012</v>
      </c>
      <c r="I131" s="846"/>
      <c r="J131" s="872"/>
      <c r="K131" s="871"/>
      <c r="L131" s="873"/>
      <c r="M131" s="874">
        <f>M130</f>
        <v>1405000</v>
      </c>
      <c r="N131" s="892"/>
      <c r="O131" s="892"/>
      <c r="P131" s="898"/>
      <c r="Q131" s="895"/>
      <c r="R131" s="871"/>
      <c r="S131" s="871"/>
      <c r="T131" s="876"/>
      <c r="U131" s="877"/>
      <c r="V131" s="872"/>
      <c r="W131" s="872"/>
      <c r="X131" s="872"/>
      <c r="Y131" s="872"/>
      <c r="Z131" s="878"/>
      <c r="AA131" s="871"/>
      <c r="AB131" s="879"/>
      <c r="AC131" s="879"/>
      <c r="AD131" s="880"/>
      <c r="AE131" s="881"/>
      <c r="AF131" s="881"/>
      <c r="AG131" s="882"/>
      <c r="AH131" s="871"/>
      <c r="AI131" s="883"/>
      <c r="AJ131" s="882"/>
      <c r="AK131" s="882"/>
      <c r="AL131" s="885"/>
      <c r="AM131" s="886"/>
      <c r="AN131" s="885"/>
      <c r="AO131" s="887"/>
      <c r="AP131" s="887"/>
      <c r="AQ131" s="882"/>
      <c r="AR131" s="882"/>
      <c r="AS131" s="882"/>
      <c r="AT131" s="882"/>
      <c r="AU131" s="882"/>
      <c r="AV131" s="888"/>
      <c r="AW131" s="889"/>
    </row>
    <row r="132" spans="3:49" ht="39" customHeight="1" x14ac:dyDescent="0.3">
      <c r="C132" s="69"/>
      <c r="D132" s="188"/>
      <c r="E132" s="119"/>
      <c r="F132" s="119"/>
      <c r="G132" s="188"/>
      <c r="H132" s="739"/>
      <c r="I132" s="780"/>
      <c r="J132" s="119"/>
      <c r="K132" s="188"/>
      <c r="L132" s="739"/>
      <c r="M132" s="800"/>
      <c r="N132" s="859"/>
      <c r="O132" s="859"/>
      <c r="P132" s="860"/>
      <c r="Q132" s="724"/>
      <c r="R132" s="188"/>
      <c r="S132" s="188"/>
      <c r="T132" s="740"/>
      <c r="U132" s="746"/>
      <c r="V132" s="119"/>
      <c r="W132" s="119"/>
      <c r="X132" s="119"/>
      <c r="Y132" s="119"/>
      <c r="Z132" s="802"/>
      <c r="AA132" s="188"/>
      <c r="AB132" s="741"/>
      <c r="AC132" s="741"/>
      <c r="AD132" s="116"/>
      <c r="AE132" s="742"/>
      <c r="AF132" s="742"/>
      <c r="AG132" s="256"/>
      <c r="AH132" s="188"/>
      <c r="AI132" s="743"/>
      <c r="AJ132" s="256"/>
      <c r="AK132" s="256"/>
      <c r="AL132" s="757"/>
      <c r="AM132" s="744"/>
      <c r="AN132" s="757"/>
      <c r="AO132" s="745"/>
      <c r="AP132" s="745"/>
      <c r="AQ132" s="256"/>
      <c r="AR132" s="256"/>
      <c r="AS132" s="256"/>
      <c r="AT132" s="256"/>
      <c r="AU132" s="256"/>
      <c r="AV132" s="55"/>
      <c r="AW132" s="17"/>
    </row>
    <row r="133" spans="3:49" ht="75.75" customHeight="1" x14ac:dyDescent="0.3">
      <c r="C133" s="69" t="s">
        <v>1499</v>
      </c>
      <c r="D133" s="188">
        <v>19</v>
      </c>
      <c r="E133" s="119"/>
      <c r="F133" s="119" t="str">
        <f>'UID application COMBINE Mc list'!C41</f>
        <v>PLC based Husk / Coal fired boiler (Steam) with automatic control on combustion efficiency, O2 Monitoring Equipments, and with Electrostatic precipitator and Micro dust collector</v>
      </c>
      <c r="G133" s="188" t="str">
        <f>'UID application COMBINE Mc list'!D41</f>
        <v>1 Set</v>
      </c>
      <c r="H133" s="739">
        <f>'UID application COMBINE Mc list'!H41</f>
        <v>20000000</v>
      </c>
      <c r="I133" s="828" t="str">
        <f>F133</f>
        <v>PLC based Husk / Coal fired boiler (Steam) with automatic control on combustion efficiency, O2 Monitoring Equipments, and with Electrostatic precipitator and Micro dust collector</v>
      </c>
      <c r="J133" s="119"/>
      <c r="K133" s="188" t="s">
        <v>112</v>
      </c>
      <c r="L133" s="749" t="s">
        <v>359</v>
      </c>
      <c r="M133" s="800">
        <f>SUM(M134:M149)</f>
        <v>15845000</v>
      </c>
      <c r="N133" s="859"/>
      <c r="O133" s="797">
        <v>12125000</v>
      </c>
      <c r="P133" s="860"/>
      <c r="Q133" s="724" t="s">
        <v>649</v>
      </c>
      <c r="R133" s="188" t="s">
        <v>649</v>
      </c>
      <c r="S133" s="188" t="s">
        <v>649</v>
      </c>
      <c r="T133" s="836"/>
      <c r="U133" s="848"/>
      <c r="V133" s="830"/>
      <c r="W133" s="119"/>
      <c r="X133" s="119"/>
      <c r="Y133" s="119"/>
      <c r="Z133" s="849"/>
      <c r="AA133" s="188"/>
      <c r="AB133" s="741"/>
      <c r="AC133" s="741"/>
      <c r="AD133" s="116"/>
      <c r="AE133" s="742"/>
      <c r="AF133" s="742"/>
      <c r="AG133" s="256"/>
      <c r="AH133" s="188"/>
      <c r="AI133" s="743"/>
      <c r="AJ133" s="256"/>
      <c r="AK133" s="256"/>
      <c r="AL133" s="757"/>
      <c r="AM133" s="744"/>
      <c r="AN133" s="757"/>
      <c r="AO133" s="745"/>
      <c r="AP133" s="745"/>
      <c r="AQ133" s="256"/>
      <c r="AR133" s="256"/>
      <c r="AS133" s="256"/>
      <c r="AT133" s="256"/>
      <c r="AU133" s="256"/>
      <c r="AV133" s="55"/>
      <c r="AW133" s="17"/>
    </row>
    <row r="134" spans="3:49" ht="36" customHeight="1" x14ac:dyDescent="0.25">
      <c r="C134" s="69"/>
      <c r="D134" s="188"/>
      <c r="E134" s="119"/>
      <c r="F134" s="119"/>
      <c r="G134" s="188"/>
      <c r="H134" s="739"/>
      <c r="I134" s="828"/>
      <c r="J134" s="119"/>
      <c r="K134" s="188"/>
      <c r="L134" s="749" t="s">
        <v>359</v>
      </c>
      <c r="M134" s="854">
        <v>50000</v>
      </c>
      <c r="N134" s="859"/>
      <c r="O134" s="859"/>
      <c r="P134" s="860"/>
      <c r="Q134" s="724"/>
      <c r="R134" s="188"/>
      <c r="S134" s="188"/>
      <c r="T134" s="740"/>
      <c r="U134" s="746"/>
      <c r="V134" s="119"/>
      <c r="W134" s="119"/>
      <c r="X134" s="803">
        <v>84021200</v>
      </c>
      <c r="Y134" s="119"/>
      <c r="Z134" s="851" t="s">
        <v>1520</v>
      </c>
      <c r="AA134" s="188"/>
      <c r="AB134" s="741"/>
      <c r="AC134" s="741"/>
      <c r="AD134" s="116"/>
      <c r="AE134" s="742"/>
      <c r="AF134" s="742"/>
      <c r="AG134" s="256"/>
      <c r="AH134" s="188"/>
      <c r="AI134" s="743"/>
      <c r="AJ134" s="256"/>
      <c r="AK134" s="256"/>
      <c r="AL134" s="863">
        <v>59000</v>
      </c>
      <c r="AM134" s="744"/>
      <c r="AN134" s="757">
        <v>1212500</v>
      </c>
      <c r="AO134" s="745" t="s">
        <v>1555</v>
      </c>
      <c r="AP134" s="745"/>
      <c r="AQ134" s="256"/>
      <c r="AR134" s="256"/>
      <c r="AS134" s="256"/>
      <c r="AT134" s="256"/>
      <c r="AU134" s="256"/>
      <c r="AV134" s="55"/>
      <c r="AW134" s="17"/>
    </row>
    <row r="135" spans="3:49" ht="37.5" customHeight="1" x14ac:dyDescent="0.25">
      <c r="C135" s="69"/>
      <c r="D135" s="188"/>
      <c r="E135" s="119"/>
      <c r="F135" s="119"/>
      <c r="G135" s="188"/>
      <c r="H135" s="739"/>
      <c r="I135" s="828"/>
      <c r="J135" s="119"/>
      <c r="K135" s="188"/>
      <c r="L135" s="749" t="s">
        <v>359</v>
      </c>
      <c r="M135" s="855">
        <v>1650000</v>
      </c>
      <c r="N135" s="859"/>
      <c r="O135" s="859"/>
      <c r="P135" s="860"/>
      <c r="Q135" s="724"/>
      <c r="R135" s="188"/>
      <c r="S135" s="188"/>
      <c r="T135" s="740"/>
      <c r="U135" s="746"/>
      <c r="V135" s="119"/>
      <c r="W135" s="119"/>
      <c r="X135" s="803">
        <v>84021200</v>
      </c>
      <c r="Y135" s="119"/>
      <c r="Z135" s="852" t="s">
        <v>1521</v>
      </c>
      <c r="AA135" s="188"/>
      <c r="AB135" s="741"/>
      <c r="AC135" s="741"/>
      <c r="AD135" s="116"/>
      <c r="AE135" s="742"/>
      <c r="AF135" s="742"/>
      <c r="AG135" s="256"/>
      <c r="AH135" s="188"/>
      <c r="AI135" s="743"/>
      <c r="AJ135" s="256"/>
      <c r="AK135" s="256"/>
      <c r="AL135" s="863">
        <v>1947000</v>
      </c>
      <c r="AM135" s="744"/>
      <c r="AN135" s="757">
        <v>1212500</v>
      </c>
      <c r="AO135" s="905" t="s">
        <v>1558</v>
      </c>
      <c r="AP135" s="745"/>
      <c r="AQ135" s="256"/>
      <c r="AR135" s="256"/>
      <c r="AS135" s="256"/>
      <c r="AT135" s="256"/>
      <c r="AU135" s="256"/>
      <c r="AV135" s="55"/>
      <c r="AW135" s="17"/>
    </row>
    <row r="136" spans="3:49" ht="42.75" customHeight="1" x14ac:dyDescent="0.25">
      <c r="C136" s="69"/>
      <c r="D136" s="188"/>
      <c r="E136" s="119"/>
      <c r="F136" s="119"/>
      <c r="G136" s="188"/>
      <c r="H136" s="739"/>
      <c r="I136" s="828"/>
      <c r="J136" s="119"/>
      <c r="K136" s="188"/>
      <c r="L136" s="749" t="s">
        <v>359</v>
      </c>
      <c r="M136" s="856">
        <v>2325000</v>
      </c>
      <c r="N136" s="859"/>
      <c r="O136" s="859"/>
      <c r="P136" s="860"/>
      <c r="Q136" s="724"/>
      <c r="R136" s="188"/>
      <c r="S136" s="188"/>
      <c r="T136" s="740"/>
      <c r="U136" s="746"/>
      <c r="V136" s="119"/>
      <c r="W136" s="119"/>
      <c r="X136" s="803">
        <v>84021200</v>
      </c>
      <c r="Y136" s="119"/>
      <c r="Z136" s="852" t="s">
        <v>1522</v>
      </c>
      <c r="AA136" s="188"/>
      <c r="AB136" s="741"/>
      <c r="AC136" s="741"/>
      <c r="AD136" s="116"/>
      <c r="AE136" s="742"/>
      <c r="AF136" s="742"/>
      <c r="AG136" s="256"/>
      <c r="AH136" s="188"/>
      <c r="AI136" s="743"/>
      <c r="AJ136" s="256"/>
      <c r="AK136" s="256"/>
      <c r="AL136" s="863">
        <v>2743500</v>
      </c>
      <c r="AM136" s="744"/>
      <c r="AN136" s="757">
        <v>576000</v>
      </c>
      <c r="AO136" s="905" t="s">
        <v>1559</v>
      </c>
      <c r="AP136" s="745"/>
      <c r="AQ136" s="256"/>
      <c r="AR136" s="256"/>
      <c r="AS136" s="256"/>
      <c r="AT136" s="256"/>
      <c r="AU136" s="256"/>
      <c r="AV136" s="55"/>
      <c r="AW136" s="17"/>
    </row>
    <row r="137" spans="3:49" ht="33.75" customHeight="1" x14ac:dyDescent="0.25">
      <c r="C137" s="69"/>
      <c r="D137" s="188"/>
      <c r="E137" s="119"/>
      <c r="F137" s="119"/>
      <c r="G137" s="188"/>
      <c r="H137" s="739"/>
      <c r="I137" s="828"/>
      <c r="J137" s="119"/>
      <c r="K137" s="188"/>
      <c r="L137" s="749" t="s">
        <v>359</v>
      </c>
      <c r="M137" s="854">
        <v>1360000</v>
      </c>
      <c r="N137" s="859"/>
      <c r="O137" s="864"/>
      <c r="P137" s="860"/>
      <c r="Q137" s="866"/>
      <c r="R137" s="188"/>
      <c r="S137" s="188"/>
      <c r="T137" s="740"/>
      <c r="U137" s="746"/>
      <c r="V137" s="119"/>
      <c r="W137" s="119"/>
      <c r="X137" s="803">
        <v>84021200</v>
      </c>
      <c r="Y137" s="119"/>
      <c r="Z137" s="851" t="s">
        <v>1523</v>
      </c>
      <c r="AA137" s="188"/>
      <c r="AB137" s="741"/>
      <c r="AC137" s="741"/>
      <c r="AD137" s="116"/>
      <c r="AE137" s="742"/>
      <c r="AF137" s="742"/>
      <c r="AG137" s="256"/>
      <c r="AH137" s="188"/>
      <c r="AI137" s="743"/>
      <c r="AJ137" s="256"/>
      <c r="AK137" s="256"/>
      <c r="AL137" s="863">
        <v>1604800</v>
      </c>
      <c r="AM137" s="744"/>
      <c r="AN137" s="757">
        <v>11882500</v>
      </c>
      <c r="AO137" s="745" t="s">
        <v>1556</v>
      </c>
      <c r="AP137" s="745"/>
      <c r="AQ137" s="256"/>
      <c r="AR137" s="256"/>
      <c r="AS137" s="256"/>
      <c r="AT137" s="256"/>
      <c r="AU137" s="256"/>
      <c r="AV137" s="55"/>
      <c r="AW137" s="17"/>
    </row>
    <row r="138" spans="3:49" ht="37.5" customHeight="1" x14ac:dyDescent="0.25">
      <c r="C138" s="69"/>
      <c r="D138" s="188"/>
      <c r="E138" s="119"/>
      <c r="F138" s="119"/>
      <c r="G138" s="188"/>
      <c r="H138" s="739"/>
      <c r="I138" s="828"/>
      <c r="J138" s="119"/>
      <c r="K138" s="188"/>
      <c r="L138" s="749" t="s">
        <v>359</v>
      </c>
      <c r="M138" s="854">
        <v>1100000</v>
      </c>
      <c r="N138" s="859"/>
      <c r="O138" s="864"/>
      <c r="P138" s="860"/>
      <c r="Q138" s="866"/>
      <c r="R138" s="188"/>
      <c r="S138" s="188"/>
      <c r="T138" s="740"/>
      <c r="U138" s="746"/>
      <c r="V138" s="119"/>
      <c r="W138" s="119"/>
      <c r="X138" s="803">
        <v>84021200</v>
      </c>
      <c r="Y138" s="119"/>
      <c r="Z138" s="852" t="s">
        <v>1524</v>
      </c>
      <c r="AA138" s="188"/>
      <c r="AB138" s="741"/>
      <c r="AC138" s="741"/>
      <c r="AD138" s="116"/>
      <c r="AE138" s="742"/>
      <c r="AF138" s="742"/>
      <c r="AG138" s="256"/>
      <c r="AH138" s="188"/>
      <c r="AI138" s="743"/>
      <c r="AJ138" s="256"/>
      <c r="AK138" s="256"/>
      <c r="AL138" s="863">
        <v>1298000</v>
      </c>
      <c r="AM138" s="744"/>
      <c r="AN138" s="757">
        <v>1689600</v>
      </c>
      <c r="AO138" s="745" t="s">
        <v>1557</v>
      </c>
      <c r="AP138" s="745"/>
      <c r="AQ138" s="256"/>
      <c r="AR138" s="256"/>
      <c r="AS138" s="256"/>
      <c r="AT138" s="256"/>
      <c r="AU138" s="256"/>
      <c r="AV138" s="55"/>
      <c r="AW138" s="17"/>
    </row>
    <row r="139" spans="3:49" ht="35.25" customHeight="1" x14ac:dyDescent="0.25">
      <c r="C139" s="69"/>
      <c r="D139" s="188"/>
      <c r="E139" s="119"/>
      <c r="F139" s="119"/>
      <c r="G139" s="188"/>
      <c r="H139" s="739"/>
      <c r="I139" s="828"/>
      <c r="J139" s="119"/>
      <c r="K139" s="188"/>
      <c r="L139" s="749" t="s">
        <v>359</v>
      </c>
      <c r="M139" s="854">
        <v>1450000</v>
      </c>
      <c r="N139" s="859"/>
      <c r="O139" s="864"/>
      <c r="P139" s="860"/>
      <c r="Q139" s="866"/>
      <c r="R139" s="188"/>
      <c r="S139" s="188"/>
      <c r="T139" s="740"/>
      <c r="U139" s="746"/>
      <c r="V139" s="119"/>
      <c r="W139" s="119"/>
      <c r="X139" s="803">
        <v>84021200</v>
      </c>
      <c r="Y139" s="119"/>
      <c r="Z139" s="852" t="s">
        <v>1525</v>
      </c>
      <c r="AA139" s="188"/>
      <c r="AB139" s="741"/>
      <c r="AC139" s="741"/>
      <c r="AD139" s="116"/>
      <c r="AE139" s="742"/>
      <c r="AF139" s="742"/>
      <c r="AG139" s="256"/>
      <c r="AH139" s="188"/>
      <c r="AI139" s="743"/>
      <c r="AJ139" s="256"/>
      <c r="AK139" s="256"/>
      <c r="AL139" s="863">
        <v>1711000</v>
      </c>
      <c r="AM139" s="744"/>
      <c r="AN139" s="757"/>
      <c r="AO139" s="745"/>
      <c r="AP139" s="745"/>
      <c r="AQ139" s="256"/>
      <c r="AR139" s="256"/>
      <c r="AS139" s="256"/>
      <c r="AT139" s="256"/>
      <c r="AU139" s="256"/>
      <c r="AV139" s="55"/>
      <c r="AW139" s="17"/>
    </row>
    <row r="140" spans="3:49" ht="33.75" customHeight="1" x14ac:dyDescent="0.25">
      <c r="C140" s="69"/>
      <c r="D140" s="188"/>
      <c r="E140" s="119"/>
      <c r="F140" s="119"/>
      <c r="G140" s="188"/>
      <c r="H140" s="739"/>
      <c r="I140" s="828"/>
      <c r="J140" s="119"/>
      <c r="K140" s="188"/>
      <c r="L140" s="749" t="s">
        <v>359</v>
      </c>
      <c r="M140" s="797">
        <v>1920000</v>
      </c>
      <c r="N140" s="857"/>
      <c r="O140" s="865"/>
      <c r="P140" s="860"/>
      <c r="Q140" s="858"/>
      <c r="R140" s="188"/>
      <c r="S140" s="188"/>
      <c r="T140" s="740"/>
      <c r="U140" s="746"/>
      <c r="V140" s="119"/>
      <c r="W140" s="119"/>
      <c r="X140" s="803">
        <v>84021200</v>
      </c>
      <c r="Y140" s="119"/>
      <c r="Z140" s="852" t="s">
        <v>1526</v>
      </c>
      <c r="AA140" s="188"/>
      <c r="AB140" s="741"/>
      <c r="AC140" s="741"/>
      <c r="AD140" s="116"/>
      <c r="AE140" s="742"/>
      <c r="AF140" s="742"/>
      <c r="AG140" s="256"/>
      <c r="AH140" s="188"/>
      <c r="AI140" s="743"/>
      <c r="AJ140" s="256"/>
      <c r="AK140" s="256"/>
      <c r="AL140" s="863">
        <v>2265600</v>
      </c>
      <c r="AM140" s="744"/>
      <c r="AN140" s="757"/>
      <c r="AO140" s="745"/>
      <c r="AP140" s="745"/>
      <c r="AQ140" s="256"/>
      <c r="AR140" s="256"/>
      <c r="AS140" s="256"/>
      <c r="AT140" s="256"/>
      <c r="AU140" s="256"/>
      <c r="AV140" s="55"/>
      <c r="AW140" s="17"/>
    </row>
    <row r="141" spans="3:49" ht="39.75" customHeight="1" x14ac:dyDescent="0.25">
      <c r="C141" s="69"/>
      <c r="D141" s="188"/>
      <c r="E141" s="119"/>
      <c r="F141" s="119"/>
      <c r="G141" s="188"/>
      <c r="H141" s="739"/>
      <c r="I141" s="828"/>
      <c r="J141" s="119"/>
      <c r="K141" s="188"/>
      <c r="L141" s="749" t="s">
        <v>359</v>
      </c>
      <c r="M141" s="797">
        <v>825000</v>
      </c>
      <c r="N141" s="739"/>
      <c r="O141" s="755"/>
      <c r="P141" s="860"/>
      <c r="Q141" s="188"/>
      <c r="R141" s="188"/>
      <c r="S141" s="188"/>
      <c r="T141" s="740"/>
      <c r="U141" s="746"/>
      <c r="V141" s="119"/>
      <c r="W141" s="119"/>
      <c r="X141" s="803">
        <v>84021200</v>
      </c>
      <c r="Y141" s="119"/>
      <c r="Z141" s="853" t="s">
        <v>1527</v>
      </c>
      <c r="AA141" s="188"/>
      <c r="AB141" s="741"/>
      <c r="AC141" s="741"/>
      <c r="AD141" s="116"/>
      <c r="AE141" s="742"/>
      <c r="AF141" s="742"/>
      <c r="AG141" s="256"/>
      <c r="AH141" s="188"/>
      <c r="AI141" s="743"/>
      <c r="AJ141" s="256"/>
      <c r="AK141" s="256"/>
      <c r="AL141" s="863">
        <v>973500</v>
      </c>
      <c r="AM141" s="744"/>
      <c r="AN141" s="757"/>
      <c r="AO141" s="745"/>
      <c r="AP141" s="745"/>
      <c r="AQ141" s="256"/>
      <c r="AR141" s="256"/>
      <c r="AS141" s="256"/>
      <c r="AT141" s="256"/>
      <c r="AU141" s="256"/>
      <c r="AV141" s="55"/>
      <c r="AW141" s="17"/>
    </row>
    <row r="142" spans="3:49" ht="30" customHeight="1" x14ac:dyDescent="0.25">
      <c r="C142" s="69"/>
      <c r="D142" s="188"/>
      <c r="E142" s="119"/>
      <c r="F142" s="119"/>
      <c r="G142" s="188"/>
      <c r="H142" s="739"/>
      <c r="I142" s="828"/>
      <c r="J142" s="119"/>
      <c r="K142" s="188"/>
      <c r="L142" s="749" t="s">
        <v>359</v>
      </c>
      <c r="M142" s="797">
        <v>120000</v>
      </c>
      <c r="N142" s="739"/>
      <c r="O142" s="755"/>
      <c r="P142" s="860"/>
      <c r="Q142" s="188"/>
      <c r="R142" s="188"/>
      <c r="S142" s="188"/>
      <c r="T142" s="740"/>
      <c r="U142" s="746"/>
      <c r="V142" s="119"/>
      <c r="W142" s="119"/>
      <c r="X142" s="803">
        <v>84021200</v>
      </c>
      <c r="Y142" s="119"/>
      <c r="Z142" s="852" t="s">
        <v>1528</v>
      </c>
      <c r="AA142" s="188"/>
      <c r="AB142" s="741"/>
      <c r="AC142" s="741"/>
      <c r="AD142" s="116"/>
      <c r="AE142" s="742"/>
      <c r="AF142" s="742"/>
      <c r="AG142" s="256"/>
      <c r="AH142" s="188"/>
      <c r="AI142" s="743"/>
      <c r="AJ142" s="256"/>
      <c r="AK142" s="256"/>
      <c r="AL142" s="863">
        <v>141600</v>
      </c>
      <c r="AM142" s="744"/>
      <c r="AN142" s="757"/>
      <c r="AO142" s="745"/>
      <c r="AP142" s="745"/>
      <c r="AQ142" s="256"/>
      <c r="AR142" s="256"/>
      <c r="AS142" s="256"/>
      <c r="AT142" s="256"/>
      <c r="AU142" s="256"/>
      <c r="AV142" s="55"/>
      <c r="AW142" s="17"/>
    </row>
    <row r="143" spans="3:49" ht="33" customHeight="1" x14ac:dyDescent="0.25">
      <c r="C143" s="69"/>
      <c r="D143" s="188"/>
      <c r="E143" s="119"/>
      <c r="F143" s="119"/>
      <c r="G143" s="188"/>
      <c r="H143" s="739"/>
      <c r="I143" s="828"/>
      <c r="J143" s="119"/>
      <c r="K143" s="188"/>
      <c r="L143" s="749" t="s">
        <v>359</v>
      </c>
      <c r="M143" s="797">
        <v>230000</v>
      </c>
      <c r="N143" s="739"/>
      <c r="O143" s="755"/>
      <c r="P143" s="860"/>
      <c r="Q143" s="188"/>
      <c r="R143" s="188"/>
      <c r="S143" s="188"/>
      <c r="T143" s="740"/>
      <c r="U143" s="746"/>
      <c r="V143" s="119"/>
      <c r="W143" s="119"/>
      <c r="X143" s="803">
        <v>84021200</v>
      </c>
      <c r="Y143" s="119"/>
      <c r="Z143" s="852" t="s">
        <v>1529</v>
      </c>
      <c r="AA143" s="188"/>
      <c r="AB143" s="741"/>
      <c r="AC143" s="741"/>
      <c r="AD143" s="116"/>
      <c r="AE143" s="742"/>
      <c r="AF143" s="742"/>
      <c r="AG143" s="256"/>
      <c r="AH143" s="188"/>
      <c r="AI143" s="743"/>
      <c r="AJ143" s="256"/>
      <c r="AK143" s="256"/>
      <c r="AL143" s="863">
        <v>271400</v>
      </c>
      <c r="AM143" s="744"/>
      <c r="AN143" s="757"/>
      <c r="AO143" s="745"/>
      <c r="AP143" s="745"/>
      <c r="AQ143" s="256"/>
      <c r="AR143" s="256"/>
      <c r="AS143" s="256"/>
      <c r="AT143" s="256"/>
      <c r="AU143" s="256"/>
      <c r="AV143" s="55"/>
      <c r="AW143" s="17"/>
    </row>
    <row r="144" spans="3:49" ht="36" customHeight="1" x14ac:dyDescent="0.25">
      <c r="C144" s="69"/>
      <c r="D144" s="188"/>
      <c r="E144" s="119"/>
      <c r="F144" s="119"/>
      <c r="G144" s="188"/>
      <c r="H144" s="739"/>
      <c r="I144" s="828"/>
      <c r="J144" s="119"/>
      <c r="K144" s="188"/>
      <c r="L144" s="749" t="s">
        <v>359</v>
      </c>
      <c r="M144" s="797">
        <v>570000</v>
      </c>
      <c r="N144" s="739"/>
      <c r="O144" s="755"/>
      <c r="P144" s="860"/>
      <c r="Q144" s="188"/>
      <c r="R144" s="188"/>
      <c r="S144" s="188"/>
      <c r="T144" s="740"/>
      <c r="U144" s="746"/>
      <c r="V144" s="119"/>
      <c r="W144" s="119"/>
      <c r="X144" s="803">
        <v>84021200</v>
      </c>
      <c r="Y144" s="119"/>
      <c r="Z144" s="852" t="s">
        <v>1530</v>
      </c>
      <c r="AA144" s="188"/>
      <c r="AB144" s="741"/>
      <c r="AC144" s="741"/>
      <c r="AD144" s="116"/>
      <c r="AE144" s="742"/>
      <c r="AF144" s="742"/>
      <c r="AG144" s="256"/>
      <c r="AH144" s="188"/>
      <c r="AI144" s="743"/>
      <c r="AJ144" s="256"/>
      <c r="AK144" s="256"/>
      <c r="AL144" s="863">
        <v>672600</v>
      </c>
      <c r="AM144" s="744"/>
      <c r="AN144" s="757"/>
      <c r="AO144" s="745"/>
      <c r="AP144" s="745"/>
      <c r="AQ144" s="256"/>
      <c r="AR144" s="256"/>
      <c r="AS144" s="256"/>
      <c r="AT144" s="256"/>
      <c r="AU144" s="256"/>
      <c r="AV144" s="55"/>
      <c r="AW144" s="17"/>
    </row>
    <row r="145" spans="3:49" ht="36.75" customHeight="1" x14ac:dyDescent="0.25">
      <c r="C145" s="69"/>
      <c r="D145" s="188"/>
      <c r="E145" s="119"/>
      <c r="F145" s="119"/>
      <c r="G145" s="188"/>
      <c r="H145" s="739"/>
      <c r="I145" s="828"/>
      <c r="J145" s="119"/>
      <c r="K145" s="188"/>
      <c r="L145" s="749" t="s">
        <v>359</v>
      </c>
      <c r="M145" s="797">
        <v>1710000</v>
      </c>
      <c r="N145" s="739"/>
      <c r="O145" s="755"/>
      <c r="P145" s="860"/>
      <c r="Q145" s="188"/>
      <c r="R145" s="188"/>
      <c r="S145" s="188"/>
      <c r="T145" s="740"/>
      <c r="U145" s="746"/>
      <c r="V145" s="119"/>
      <c r="W145" s="119"/>
      <c r="X145" s="803">
        <v>84021200</v>
      </c>
      <c r="Y145" s="119"/>
      <c r="Z145" s="852" t="s">
        <v>1531</v>
      </c>
      <c r="AA145" s="188"/>
      <c r="AB145" s="741"/>
      <c r="AC145" s="741"/>
      <c r="AD145" s="116"/>
      <c r="AE145" s="742"/>
      <c r="AF145" s="742"/>
      <c r="AG145" s="256"/>
      <c r="AH145" s="188"/>
      <c r="AI145" s="743"/>
      <c r="AJ145" s="256"/>
      <c r="AK145" s="256"/>
      <c r="AL145" s="863">
        <v>2017800</v>
      </c>
      <c r="AM145" s="744"/>
      <c r="AN145" s="757"/>
      <c r="AO145" s="905"/>
      <c r="AP145" s="745"/>
      <c r="AQ145" s="256"/>
      <c r="AR145" s="256"/>
      <c r="AS145" s="256"/>
      <c r="AT145" s="256"/>
      <c r="AU145" s="256"/>
      <c r="AV145" s="55"/>
      <c r="AW145" s="17"/>
    </row>
    <row r="146" spans="3:49" ht="33.75" customHeight="1" x14ac:dyDescent="0.25">
      <c r="C146" s="69"/>
      <c r="D146" s="188"/>
      <c r="E146" s="119"/>
      <c r="F146" s="119"/>
      <c r="G146" s="188"/>
      <c r="H146" s="739"/>
      <c r="I146" s="828"/>
      <c r="J146" s="119"/>
      <c r="K146" s="188"/>
      <c r="L146" s="749" t="s">
        <v>359</v>
      </c>
      <c r="M146" s="847">
        <v>355000</v>
      </c>
      <c r="N146" s="739"/>
      <c r="O146" s="755"/>
      <c r="P146" s="860"/>
      <c r="Q146" s="188"/>
      <c r="R146" s="188"/>
      <c r="S146" s="188"/>
      <c r="T146" s="740"/>
      <c r="U146" s="746"/>
      <c r="V146" s="119"/>
      <c r="W146" s="119"/>
      <c r="X146" s="803">
        <v>84021200</v>
      </c>
      <c r="Y146" s="119"/>
      <c r="Z146" s="852" t="s">
        <v>1532</v>
      </c>
      <c r="AA146" s="188"/>
      <c r="AB146" s="741"/>
      <c r="AC146" s="741"/>
      <c r="AD146" s="116"/>
      <c r="AE146" s="742"/>
      <c r="AF146" s="742"/>
      <c r="AG146" s="256"/>
      <c r="AH146" s="188"/>
      <c r="AI146" s="743"/>
      <c r="AJ146" s="256"/>
      <c r="AK146" s="256"/>
      <c r="AL146" s="863">
        <v>418900</v>
      </c>
      <c r="AM146" s="744"/>
      <c r="AN146" s="757"/>
      <c r="AO146" s="745"/>
      <c r="AP146" s="745"/>
      <c r="AQ146" s="256"/>
      <c r="AR146" s="256"/>
      <c r="AS146" s="256"/>
      <c r="AT146" s="256"/>
      <c r="AU146" s="256"/>
      <c r="AV146" s="55"/>
      <c r="AW146" s="17"/>
    </row>
    <row r="147" spans="3:49" ht="33.75" customHeight="1" x14ac:dyDescent="0.25">
      <c r="C147" s="69"/>
      <c r="D147" s="188"/>
      <c r="E147" s="119"/>
      <c r="F147" s="119"/>
      <c r="G147" s="188"/>
      <c r="H147" s="739"/>
      <c r="I147" s="828"/>
      <c r="J147" s="119"/>
      <c r="K147" s="188"/>
      <c r="L147" s="749" t="s">
        <v>359</v>
      </c>
      <c r="M147" s="798">
        <v>230000</v>
      </c>
      <c r="N147" s="739"/>
      <c r="O147" s="755"/>
      <c r="P147" s="860"/>
      <c r="Q147" s="188"/>
      <c r="R147" s="188"/>
      <c r="S147" s="188"/>
      <c r="T147" s="740"/>
      <c r="U147" s="746"/>
      <c r="V147" s="119"/>
      <c r="W147" s="119"/>
      <c r="X147" s="803">
        <v>84021200</v>
      </c>
      <c r="Y147" s="119"/>
      <c r="Z147" s="852" t="s">
        <v>1533</v>
      </c>
      <c r="AA147" s="188"/>
      <c r="AB147" s="741"/>
      <c r="AC147" s="741"/>
      <c r="AD147" s="116"/>
      <c r="AE147" s="742"/>
      <c r="AF147" s="742"/>
      <c r="AG147" s="256"/>
      <c r="AH147" s="188"/>
      <c r="AI147" s="743"/>
      <c r="AJ147" s="256"/>
      <c r="AK147" s="256"/>
      <c r="AL147" s="863">
        <v>271400</v>
      </c>
      <c r="AM147" s="744"/>
      <c r="AN147" s="757"/>
      <c r="AO147" s="745"/>
      <c r="AP147" s="745"/>
      <c r="AQ147" s="256"/>
      <c r="AR147" s="256"/>
      <c r="AS147" s="256"/>
      <c r="AT147" s="256"/>
      <c r="AU147" s="256"/>
      <c r="AV147" s="55"/>
      <c r="AW147" s="17"/>
    </row>
    <row r="148" spans="3:49" ht="34.5" customHeight="1" x14ac:dyDescent="0.25">
      <c r="C148" s="69"/>
      <c r="D148" s="188"/>
      <c r="E148" s="119"/>
      <c r="F148" s="119"/>
      <c r="G148" s="188"/>
      <c r="H148" s="739"/>
      <c r="I148" s="828"/>
      <c r="J148" s="119"/>
      <c r="K148" s="188"/>
      <c r="L148" s="749" t="s">
        <v>359</v>
      </c>
      <c r="M148" s="798">
        <v>150000</v>
      </c>
      <c r="N148" s="739"/>
      <c r="O148" s="755"/>
      <c r="P148" s="860"/>
      <c r="Q148" s="188"/>
      <c r="R148" s="188"/>
      <c r="S148" s="188"/>
      <c r="T148" s="740"/>
      <c r="U148" s="746"/>
      <c r="V148" s="119"/>
      <c r="W148" s="119"/>
      <c r="X148" s="803">
        <v>84021200</v>
      </c>
      <c r="Y148" s="119"/>
      <c r="Z148" s="852" t="s">
        <v>1534</v>
      </c>
      <c r="AA148" s="188"/>
      <c r="AB148" s="741"/>
      <c r="AC148" s="741"/>
      <c r="AD148" s="116"/>
      <c r="AE148" s="742"/>
      <c r="AF148" s="742"/>
      <c r="AG148" s="256"/>
      <c r="AH148" s="188"/>
      <c r="AI148" s="743"/>
      <c r="AJ148" s="256"/>
      <c r="AK148" s="256"/>
      <c r="AL148" s="863">
        <v>177000</v>
      </c>
      <c r="AM148" s="744"/>
      <c r="AN148" s="757"/>
      <c r="AO148" s="745"/>
      <c r="AP148" s="745"/>
      <c r="AQ148" s="256"/>
      <c r="AR148" s="256"/>
      <c r="AS148" s="256"/>
      <c r="AT148" s="256"/>
      <c r="AU148" s="256"/>
      <c r="AV148" s="55"/>
      <c r="AW148" s="17"/>
    </row>
    <row r="149" spans="3:49" ht="34.5" customHeight="1" x14ac:dyDescent="0.3">
      <c r="C149" s="69"/>
      <c r="D149" s="188"/>
      <c r="E149" s="119"/>
      <c r="F149" s="119"/>
      <c r="G149" s="188"/>
      <c r="H149" s="739"/>
      <c r="I149" s="829" t="s">
        <v>1536</v>
      </c>
      <c r="J149" s="119"/>
      <c r="K149" s="188"/>
      <c r="L149" s="749"/>
      <c r="M149" s="867">
        <v>1800000</v>
      </c>
      <c r="N149" s="739"/>
      <c r="O149" s="755"/>
      <c r="P149" s="860"/>
      <c r="Q149" s="188"/>
      <c r="R149" s="188"/>
      <c r="S149" s="188"/>
      <c r="T149" s="740"/>
      <c r="U149" s="746"/>
      <c r="V149" s="119"/>
      <c r="W149" s="119"/>
      <c r="X149" s="803"/>
      <c r="Y149" s="850"/>
      <c r="Z149" s="1286" t="s">
        <v>1535</v>
      </c>
      <c r="AA149" s="118"/>
      <c r="AB149" s="906"/>
      <c r="AC149" s="906"/>
      <c r="AD149" s="907"/>
      <c r="AE149" s="908"/>
      <c r="AF149" s="908"/>
      <c r="AG149" s="909"/>
      <c r="AH149" s="118"/>
      <c r="AI149" s="910"/>
      <c r="AJ149" s="909"/>
      <c r="AK149" s="909"/>
      <c r="AL149" s="1284">
        <f>1800000+324000</f>
        <v>2124000</v>
      </c>
      <c r="AM149" s="744"/>
      <c r="AN149" s="757">
        <v>1908000</v>
      </c>
      <c r="AO149" s="745" t="s">
        <v>1560</v>
      </c>
      <c r="AP149" s="745"/>
      <c r="AQ149" s="256"/>
      <c r="AR149" s="256"/>
      <c r="AS149" s="256"/>
      <c r="AT149" s="256"/>
      <c r="AU149" s="256"/>
      <c r="AV149" s="55"/>
      <c r="AW149" s="17"/>
    </row>
    <row r="150" spans="3:49" ht="34.5" customHeight="1" x14ac:dyDescent="0.3">
      <c r="C150" s="69"/>
      <c r="D150" s="188"/>
      <c r="E150" s="119"/>
      <c r="F150" s="119"/>
      <c r="G150" s="188"/>
      <c r="H150" s="739"/>
      <c r="I150" s="829"/>
      <c r="J150" s="119"/>
      <c r="K150" s="188"/>
      <c r="L150" s="749"/>
      <c r="M150" s="867"/>
      <c r="N150" s="739"/>
      <c r="O150" s="755"/>
      <c r="P150" s="860"/>
      <c r="Q150" s="188"/>
      <c r="R150" s="188"/>
      <c r="S150" s="188"/>
      <c r="T150" s="740"/>
      <c r="U150" s="746"/>
      <c r="V150" s="119"/>
      <c r="W150" s="119"/>
      <c r="X150" s="803"/>
      <c r="Y150" s="850"/>
      <c r="Z150" s="1287"/>
      <c r="AA150" s="118"/>
      <c r="AB150" s="906"/>
      <c r="AC150" s="906"/>
      <c r="AD150" s="907"/>
      <c r="AE150" s="908"/>
      <c r="AF150" s="908"/>
      <c r="AG150" s="909"/>
      <c r="AH150" s="118"/>
      <c r="AI150" s="910"/>
      <c r="AJ150" s="909"/>
      <c r="AK150" s="909"/>
      <c r="AL150" s="1285"/>
      <c r="AM150" s="744"/>
      <c r="AN150" s="757">
        <v>472261</v>
      </c>
      <c r="AO150" s="745" t="s">
        <v>1561</v>
      </c>
      <c r="AP150" s="745"/>
      <c r="AQ150" s="256"/>
      <c r="AR150" s="256"/>
      <c r="AS150" s="256"/>
      <c r="AT150" s="256"/>
      <c r="AU150" s="256"/>
      <c r="AV150" s="55"/>
      <c r="AW150" s="17"/>
    </row>
    <row r="151" spans="3:49" s="869" customFormat="1" ht="34.5" customHeight="1" x14ac:dyDescent="0.25">
      <c r="C151" s="890"/>
      <c r="D151" s="871"/>
      <c r="E151" s="872"/>
      <c r="F151" s="872"/>
      <c r="G151" s="871"/>
      <c r="H151" s="873">
        <f>H133</f>
        <v>20000000</v>
      </c>
      <c r="I151" s="884"/>
      <c r="J151" s="872"/>
      <c r="K151" s="871"/>
      <c r="L151" s="899"/>
      <c r="M151" s="873">
        <f>M133</f>
        <v>15845000</v>
      </c>
      <c r="N151" s="873"/>
      <c r="O151" s="900"/>
      <c r="P151" s="898"/>
      <c r="Q151" s="871"/>
      <c r="R151" s="871"/>
      <c r="S151" s="871"/>
      <c r="T151" s="876"/>
      <c r="U151" s="877"/>
      <c r="V151" s="872"/>
      <c r="W151" s="872"/>
      <c r="X151" s="901"/>
      <c r="Y151" s="902"/>
      <c r="Z151" s="903"/>
      <c r="AA151" s="871"/>
      <c r="AB151" s="879"/>
      <c r="AC151" s="879"/>
      <c r="AD151" s="880"/>
      <c r="AE151" s="881"/>
      <c r="AF151" s="881"/>
      <c r="AG151" s="882"/>
      <c r="AH151" s="871"/>
      <c r="AI151" s="883"/>
      <c r="AJ151" s="882"/>
      <c r="AK151" s="882"/>
      <c r="AL151" s="904">
        <f>SUM(AL134:AL150)</f>
        <v>18697100</v>
      </c>
      <c r="AM151" s="886"/>
      <c r="AN151" s="904">
        <f>SUM(AN134:AN150)</f>
        <v>18953361</v>
      </c>
      <c r="AO151" s="887"/>
      <c r="AP151" s="887"/>
      <c r="AQ151" s="882"/>
      <c r="AR151" s="882"/>
      <c r="AS151" s="882"/>
      <c r="AT151" s="882"/>
      <c r="AU151" s="882"/>
      <c r="AV151" s="888"/>
      <c r="AW151" s="889"/>
    </row>
    <row r="152" spans="3:49" ht="34.5" customHeight="1" x14ac:dyDescent="0.25">
      <c r="C152" s="69"/>
      <c r="D152" s="188"/>
      <c r="E152" s="119"/>
      <c r="F152" s="119"/>
      <c r="G152" s="188"/>
      <c r="H152" s="739"/>
      <c r="I152" s="829"/>
      <c r="J152" s="119"/>
      <c r="K152" s="188"/>
      <c r="L152" s="749"/>
      <c r="M152" s="867"/>
      <c r="N152" s="739"/>
      <c r="O152" s="755"/>
      <c r="P152" s="860"/>
      <c r="Q152" s="188"/>
      <c r="R152" s="188"/>
      <c r="S152" s="188"/>
      <c r="T152" s="740"/>
      <c r="U152" s="746"/>
      <c r="V152" s="119"/>
      <c r="W152" s="119"/>
      <c r="X152" s="803"/>
      <c r="Y152" s="850"/>
      <c r="Z152" s="852"/>
      <c r="AA152" s="188"/>
      <c r="AB152" s="741"/>
      <c r="AC152" s="741"/>
      <c r="AD152" s="116"/>
      <c r="AE152" s="742"/>
      <c r="AF152" s="742"/>
      <c r="AG152" s="256"/>
      <c r="AH152" s="188"/>
      <c r="AI152" s="743"/>
      <c r="AJ152" s="256"/>
      <c r="AK152" s="256"/>
      <c r="AL152" s="868"/>
      <c r="AM152" s="744"/>
      <c r="AN152" s="757"/>
      <c r="AO152" s="745"/>
      <c r="AP152" s="745"/>
      <c r="AQ152" s="256"/>
      <c r="AR152" s="256"/>
      <c r="AS152" s="256"/>
      <c r="AT152" s="256"/>
      <c r="AU152" s="256"/>
      <c r="AV152" s="55"/>
      <c r="AW152" s="17"/>
    </row>
    <row r="153" spans="3:49" ht="39" customHeight="1" x14ac:dyDescent="0.3">
      <c r="C153" s="69"/>
      <c r="D153" s="188"/>
      <c r="E153" s="119"/>
      <c r="F153" s="119"/>
      <c r="G153" s="188"/>
      <c r="H153" s="739"/>
      <c r="I153" s="780"/>
      <c r="J153" s="119"/>
      <c r="K153" s="188"/>
      <c r="L153" s="739"/>
      <c r="M153" s="800"/>
      <c r="N153" s="739"/>
      <c r="O153" s="755"/>
      <c r="P153" s="860"/>
      <c r="Q153" s="188"/>
      <c r="R153" s="188"/>
      <c r="S153" s="188"/>
      <c r="T153" s="740"/>
      <c r="U153" s="746"/>
      <c r="V153" s="119"/>
      <c r="W153" s="119"/>
      <c r="X153" s="119"/>
      <c r="Y153" s="850"/>
      <c r="Z153" s="794"/>
      <c r="AA153" s="188"/>
      <c r="AB153" s="741"/>
      <c r="AC153" s="741"/>
      <c r="AD153" s="116"/>
      <c r="AE153" s="742"/>
      <c r="AF153" s="742"/>
      <c r="AG153" s="256"/>
      <c r="AH153" s="188"/>
      <c r="AI153" s="743"/>
      <c r="AJ153" s="256"/>
      <c r="AK153" s="256"/>
      <c r="AL153" s="757"/>
      <c r="AM153" s="744"/>
      <c r="AN153" s="757"/>
      <c r="AO153" s="745"/>
      <c r="AP153" s="745"/>
      <c r="AQ153" s="256"/>
      <c r="AR153" s="256"/>
      <c r="AS153" s="256"/>
      <c r="AT153" s="256"/>
      <c r="AU153" s="256"/>
      <c r="AV153" s="55"/>
      <c r="AW153" s="17"/>
    </row>
    <row r="154" spans="3:49" ht="39" customHeight="1" x14ac:dyDescent="0.3">
      <c r="C154" s="712" t="s">
        <v>1462</v>
      </c>
      <c r="D154" s="188">
        <v>20</v>
      </c>
      <c r="E154" s="119"/>
      <c r="F154" s="119" t="str">
        <f>'UID application COMBINE Mc list'!C42</f>
        <v>Fabric automatic reversing machine</v>
      </c>
      <c r="G154" s="188">
        <v>3</v>
      </c>
      <c r="H154" s="739">
        <f>'UID application COMBINE Mc list'!H42</f>
        <v>13200000</v>
      </c>
      <c r="I154" s="829" t="s">
        <v>1272</v>
      </c>
      <c r="J154" s="119"/>
      <c r="K154" s="188">
        <f>K155+K156</f>
        <v>2</v>
      </c>
      <c r="L154" s="739"/>
      <c r="M154" s="797">
        <f>M155+M156</f>
        <v>4874000</v>
      </c>
      <c r="N154" s="739"/>
      <c r="O154" s="749">
        <v>4874000</v>
      </c>
      <c r="P154" s="801"/>
      <c r="Q154" s="188"/>
      <c r="R154" s="188"/>
      <c r="S154" s="188"/>
      <c r="T154" s="740"/>
      <c r="U154" s="746"/>
      <c r="V154" s="119"/>
      <c r="W154" s="119"/>
      <c r="X154" s="119"/>
      <c r="Y154" s="850"/>
      <c r="Z154" s="794"/>
      <c r="AA154" s="188"/>
      <c r="AB154" s="741"/>
      <c r="AC154" s="741"/>
      <c r="AD154" s="116"/>
      <c r="AE154" s="742"/>
      <c r="AF154" s="742"/>
      <c r="AG154" s="256"/>
      <c r="AH154" s="188"/>
      <c r="AI154" s="743"/>
      <c r="AJ154" s="256"/>
      <c r="AK154" s="256"/>
      <c r="AL154" s="757">
        <f>SUM(AL155:AL156)</f>
        <v>5751320</v>
      </c>
      <c r="AM154" s="744"/>
      <c r="AN154" s="757"/>
      <c r="AO154" s="745"/>
      <c r="AP154" s="745"/>
      <c r="AQ154" s="256"/>
      <c r="AR154" s="256"/>
      <c r="AS154" s="256"/>
      <c r="AT154" s="256"/>
      <c r="AU154" s="256"/>
      <c r="AV154" s="55"/>
      <c r="AW154" s="17"/>
    </row>
    <row r="155" spans="3:49" ht="39" customHeight="1" x14ac:dyDescent="0.3">
      <c r="C155" s="69"/>
      <c r="D155" s="188"/>
      <c r="E155" s="119"/>
      <c r="F155" s="119"/>
      <c r="G155" s="188"/>
      <c r="H155" s="739"/>
      <c r="I155" s="829" t="s">
        <v>1272</v>
      </c>
      <c r="J155" s="119"/>
      <c r="K155" s="827">
        <v>1</v>
      </c>
      <c r="L155" s="749" t="s">
        <v>359</v>
      </c>
      <c r="M155" s="797">
        <v>2437000</v>
      </c>
      <c r="N155" s="739"/>
      <c r="O155" s="739"/>
      <c r="P155" s="801"/>
      <c r="Q155" s="188"/>
      <c r="R155" s="188"/>
      <c r="S155" s="188"/>
      <c r="T155" s="835">
        <v>2022</v>
      </c>
      <c r="U155" s="746"/>
      <c r="V155" s="803">
        <v>1923</v>
      </c>
      <c r="W155" s="119" t="s">
        <v>1474</v>
      </c>
      <c r="X155" s="834">
        <v>84289090</v>
      </c>
      <c r="Y155" s="119"/>
      <c r="Z155" s="794" t="s">
        <v>1472</v>
      </c>
      <c r="AA155" s="188"/>
      <c r="AB155" s="741"/>
      <c r="AC155" s="741"/>
      <c r="AD155" s="116"/>
      <c r="AE155" s="742"/>
      <c r="AF155" s="742"/>
      <c r="AG155" s="256"/>
      <c r="AH155" s="188"/>
      <c r="AI155" s="743"/>
      <c r="AJ155" s="256"/>
      <c r="AK155" s="256"/>
      <c r="AL155" s="757">
        <v>2875660</v>
      </c>
      <c r="AM155" s="744"/>
      <c r="AN155" s="757">
        <v>2437000</v>
      </c>
      <c r="AO155" s="745">
        <v>44554</v>
      </c>
      <c r="AP155" s="745"/>
      <c r="AQ155" s="256"/>
      <c r="AR155" s="256"/>
      <c r="AS155" s="256"/>
      <c r="AT155" s="256"/>
      <c r="AU155" s="256"/>
      <c r="AV155" s="55"/>
      <c r="AW155" s="17"/>
    </row>
    <row r="156" spans="3:49" ht="39" customHeight="1" x14ac:dyDescent="0.3">
      <c r="C156" s="69"/>
      <c r="D156" s="188"/>
      <c r="E156" s="119"/>
      <c r="F156" s="119"/>
      <c r="G156" s="188"/>
      <c r="H156" s="739"/>
      <c r="I156" s="829" t="s">
        <v>1272</v>
      </c>
      <c r="J156" s="119"/>
      <c r="K156" s="827">
        <v>1</v>
      </c>
      <c r="L156" s="749" t="s">
        <v>359</v>
      </c>
      <c r="M156" s="797">
        <v>2437000</v>
      </c>
      <c r="N156" s="739"/>
      <c r="O156" s="739"/>
      <c r="P156" s="801"/>
      <c r="Q156" s="188"/>
      <c r="R156" s="188"/>
      <c r="S156" s="188"/>
      <c r="T156" s="835">
        <v>2022</v>
      </c>
      <c r="U156" s="746"/>
      <c r="V156" s="803">
        <v>1924</v>
      </c>
      <c r="W156" s="119" t="s">
        <v>1474</v>
      </c>
      <c r="X156" s="834">
        <v>84289090</v>
      </c>
      <c r="Y156" s="119"/>
      <c r="Z156" s="794" t="s">
        <v>1473</v>
      </c>
      <c r="AA156" s="188"/>
      <c r="AB156" s="741"/>
      <c r="AC156" s="741"/>
      <c r="AD156" s="116"/>
      <c r="AE156" s="742"/>
      <c r="AF156" s="742"/>
      <c r="AG156" s="256"/>
      <c r="AH156" s="188"/>
      <c r="AI156" s="743"/>
      <c r="AJ156" s="256"/>
      <c r="AK156" s="256"/>
      <c r="AL156" s="757">
        <v>2875660</v>
      </c>
      <c r="AM156" s="744"/>
      <c r="AN156" s="757">
        <v>2388260</v>
      </c>
      <c r="AO156" s="745">
        <v>409891</v>
      </c>
      <c r="AP156" s="745"/>
      <c r="AQ156" s="256"/>
      <c r="AR156" s="256"/>
      <c r="AS156" s="256"/>
      <c r="AT156" s="256"/>
      <c r="AU156" s="256"/>
      <c r="AV156" s="55"/>
      <c r="AW156" s="17"/>
    </row>
    <row r="157" spans="3:49" ht="39" customHeight="1" x14ac:dyDescent="0.3">
      <c r="C157" s="69"/>
      <c r="D157" s="188"/>
      <c r="E157" s="119"/>
      <c r="F157" s="119"/>
      <c r="G157" s="188"/>
      <c r="H157" s="739"/>
      <c r="I157" s="829"/>
      <c r="J157" s="119"/>
      <c r="K157" s="827"/>
      <c r="L157" s="749"/>
      <c r="M157" s="800"/>
      <c r="N157" s="739"/>
      <c r="O157" s="739"/>
      <c r="P157" s="801"/>
      <c r="Q157" s="188"/>
      <c r="R157" s="188"/>
      <c r="S157" s="188"/>
      <c r="T157" s="835"/>
      <c r="U157" s="746"/>
      <c r="V157" s="803"/>
      <c r="W157" s="119"/>
      <c r="X157" s="834"/>
      <c r="Y157" s="119"/>
      <c r="Z157" s="802"/>
      <c r="AA157" s="188"/>
      <c r="AB157" s="741"/>
      <c r="AC157" s="741"/>
      <c r="AD157" s="116"/>
      <c r="AE157" s="742"/>
      <c r="AF157" s="742"/>
      <c r="AG157" s="256"/>
      <c r="AH157" s="188"/>
      <c r="AI157" s="743"/>
      <c r="AJ157" s="256"/>
      <c r="AK157" s="256"/>
      <c r="AL157" s="757"/>
      <c r="AM157" s="744"/>
      <c r="AN157" s="757">
        <v>1177290</v>
      </c>
      <c r="AO157" s="745">
        <v>409891</v>
      </c>
      <c r="AP157" s="745"/>
      <c r="AQ157" s="256"/>
      <c r="AR157" s="256"/>
      <c r="AS157" s="256"/>
      <c r="AT157" s="256"/>
      <c r="AU157" s="256"/>
      <c r="AV157" s="55"/>
      <c r="AW157" s="17"/>
    </row>
    <row r="158" spans="3:49" ht="39" customHeight="1" x14ac:dyDescent="0.3">
      <c r="C158" s="69"/>
      <c r="D158" s="188"/>
      <c r="E158" s="119"/>
      <c r="F158" s="119"/>
      <c r="G158" s="188"/>
      <c r="H158" s="739"/>
      <c r="I158" s="829"/>
      <c r="J158" s="119"/>
      <c r="K158" s="827"/>
      <c r="L158" s="749"/>
      <c r="M158" s="800"/>
      <c r="N158" s="739"/>
      <c r="O158" s="739"/>
      <c r="P158" s="801"/>
      <c r="Q158" s="188"/>
      <c r="R158" s="188"/>
      <c r="S158" s="188"/>
      <c r="T158" s="835"/>
      <c r="U158" s="746"/>
      <c r="V158" s="803"/>
      <c r="W158" s="119"/>
      <c r="X158" s="834"/>
      <c r="Y158" s="119"/>
      <c r="Z158" s="802"/>
      <c r="AA158" s="188"/>
      <c r="AB158" s="741"/>
      <c r="AC158" s="741"/>
      <c r="AD158" s="116"/>
      <c r="AE158" s="742"/>
      <c r="AF158" s="742"/>
      <c r="AG158" s="256"/>
      <c r="AH158" s="188"/>
      <c r="AI158" s="743"/>
      <c r="AJ158" s="256"/>
      <c r="AK158" s="256"/>
      <c r="AL158" s="757"/>
      <c r="AM158" s="744"/>
      <c r="AN158" s="757">
        <v>2437</v>
      </c>
      <c r="AO158" s="745"/>
      <c r="AP158" s="745"/>
      <c r="AQ158" s="256"/>
      <c r="AR158" s="256"/>
      <c r="AS158" s="256"/>
      <c r="AT158" s="256"/>
      <c r="AU158" s="256"/>
      <c r="AV158" s="55"/>
      <c r="AW158" s="17"/>
    </row>
    <row r="159" spans="3:49" s="869" customFormat="1" ht="39" customHeight="1" x14ac:dyDescent="0.3">
      <c r="C159" s="890"/>
      <c r="D159" s="871"/>
      <c r="E159" s="872"/>
      <c r="F159" s="872"/>
      <c r="G159" s="871"/>
      <c r="H159" s="873">
        <f>H154</f>
        <v>13200000</v>
      </c>
      <c r="I159" s="846"/>
      <c r="J159" s="872"/>
      <c r="K159" s="871"/>
      <c r="L159" s="873"/>
      <c r="M159" s="873">
        <f>M154</f>
        <v>4874000</v>
      </c>
      <c r="N159" s="873"/>
      <c r="O159" s="873"/>
      <c r="P159" s="875"/>
      <c r="Q159" s="871"/>
      <c r="R159" s="871"/>
      <c r="S159" s="871"/>
      <c r="T159" s="876"/>
      <c r="U159" s="877"/>
      <c r="V159" s="872"/>
      <c r="W159" s="872"/>
      <c r="X159" s="872"/>
      <c r="Y159" s="872"/>
      <c r="Z159" s="878"/>
      <c r="AA159" s="871"/>
      <c r="AB159" s="879"/>
      <c r="AC159" s="879"/>
      <c r="AD159" s="880"/>
      <c r="AE159" s="881"/>
      <c r="AF159" s="881"/>
      <c r="AG159" s="882"/>
      <c r="AH159" s="871"/>
      <c r="AI159" s="883"/>
      <c r="AJ159" s="882"/>
      <c r="AK159" s="882"/>
      <c r="AL159" s="885">
        <f>AL155+AL156</f>
        <v>5751320</v>
      </c>
      <c r="AM159" s="886"/>
      <c r="AN159" s="873">
        <f>AN155+AN156+AN158+AN157</f>
        <v>6004987</v>
      </c>
      <c r="AO159" s="887"/>
      <c r="AP159" s="887"/>
      <c r="AQ159" s="882"/>
      <c r="AR159" s="882"/>
      <c r="AS159" s="882"/>
      <c r="AT159" s="882"/>
      <c r="AU159" s="882"/>
      <c r="AV159" s="888"/>
      <c r="AW159" s="889"/>
    </row>
    <row r="160" spans="3:49" ht="39" customHeight="1" x14ac:dyDescent="0.3">
      <c r="C160" s="69"/>
      <c r="D160" s="188"/>
      <c r="E160" s="119"/>
      <c r="F160" s="119"/>
      <c r="G160" s="188"/>
      <c r="H160" s="739"/>
      <c r="I160" s="780"/>
      <c r="J160" s="119"/>
      <c r="K160" s="188"/>
      <c r="L160" s="739"/>
      <c r="M160" s="800"/>
      <c r="N160" s="739"/>
      <c r="O160" s="739"/>
      <c r="P160" s="801"/>
      <c r="Q160" s="188"/>
      <c r="R160" s="188"/>
      <c r="S160" s="188"/>
      <c r="T160" s="740"/>
      <c r="U160" s="746"/>
      <c r="V160" s="119"/>
      <c r="W160" s="119"/>
      <c r="X160" s="119"/>
      <c r="Y160" s="119"/>
      <c r="Z160" s="802"/>
      <c r="AA160" s="188"/>
      <c r="AB160" s="741"/>
      <c r="AC160" s="741"/>
      <c r="AD160" s="116"/>
      <c r="AE160" s="742"/>
      <c r="AF160" s="742"/>
      <c r="AG160" s="256"/>
      <c r="AH160" s="188"/>
      <c r="AI160" s="743"/>
      <c r="AJ160" s="256"/>
      <c r="AK160" s="256"/>
      <c r="AL160" s="757"/>
      <c r="AM160" s="744"/>
      <c r="AN160" s="757"/>
      <c r="AO160" s="745"/>
      <c r="AP160" s="745"/>
      <c r="AQ160" s="256"/>
      <c r="AR160" s="256"/>
      <c r="AS160" s="256"/>
      <c r="AT160" s="256"/>
      <c r="AU160" s="256"/>
      <c r="AV160" s="55"/>
      <c r="AW160" s="17"/>
    </row>
    <row r="161" spans="3:49" ht="39" customHeight="1" x14ac:dyDescent="0.3">
      <c r="C161" s="69"/>
      <c r="D161" s="188"/>
      <c r="E161" s="119"/>
      <c r="F161" s="119"/>
      <c r="G161" s="188"/>
      <c r="H161" s="739"/>
      <c r="I161" s="780"/>
      <c r="J161" s="119"/>
      <c r="K161" s="188"/>
      <c r="L161" s="739"/>
      <c r="M161" s="800"/>
      <c r="N161" s="739"/>
      <c r="O161" s="739"/>
      <c r="P161" s="801"/>
      <c r="Q161" s="188"/>
      <c r="R161" s="188"/>
      <c r="S161" s="188"/>
      <c r="T161" s="740"/>
      <c r="U161" s="746"/>
      <c r="V161" s="119"/>
      <c r="W161" s="119"/>
      <c r="X161" s="119"/>
      <c r="Y161" s="119"/>
      <c r="Z161" s="802"/>
      <c r="AA161" s="188"/>
      <c r="AB161" s="741"/>
      <c r="AC161" s="741"/>
      <c r="AD161" s="116"/>
      <c r="AE161" s="742"/>
      <c r="AF161" s="742"/>
      <c r="AG161" s="256"/>
      <c r="AH161" s="188"/>
      <c r="AI161" s="743"/>
      <c r="AJ161" s="256"/>
      <c r="AK161" s="256"/>
      <c r="AL161" s="757"/>
      <c r="AM161" s="744"/>
      <c r="AN161" s="757"/>
      <c r="AO161" s="745"/>
      <c r="AP161" s="745"/>
      <c r="AQ161" s="256"/>
      <c r="AR161" s="256"/>
      <c r="AS161" s="256"/>
      <c r="AT161" s="256"/>
      <c r="AU161" s="256"/>
      <c r="AV161" s="55"/>
      <c r="AW161" s="17"/>
    </row>
    <row r="162" spans="3:49" ht="13.8" thickBot="1" x14ac:dyDescent="0.35">
      <c r="C162" s="69"/>
      <c r="D162" s="194"/>
      <c r="E162" s="43"/>
      <c r="F162" s="43"/>
      <c r="G162" s="44"/>
      <c r="H162" s="776"/>
      <c r="I162" s="44"/>
      <c r="J162" s="44"/>
      <c r="K162" s="44"/>
      <c r="L162" s="44"/>
      <c r="M162" s="44"/>
      <c r="N162" s="44"/>
      <c r="O162" s="44"/>
      <c r="P162" s="44"/>
      <c r="Q162" s="44"/>
      <c r="R162" s="44"/>
      <c r="S162" s="44"/>
      <c r="T162" s="44"/>
      <c r="U162" s="44"/>
      <c r="V162" s="44"/>
      <c r="W162" s="44"/>
      <c r="X162" s="44"/>
      <c r="Y162" s="44"/>
      <c r="Z162" s="188"/>
      <c r="AA162" s="44"/>
      <c r="AB162" s="83"/>
      <c r="AC162" s="83"/>
      <c r="AD162" s="74"/>
      <c r="AE162" s="72"/>
      <c r="AF162" s="255"/>
      <c r="AG162" s="256"/>
      <c r="AH162" s="256"/>
      <c r="AI162" s="256"/>
      <c r="AJ162" s="256"/>
      <c r="AK162" s="256"/>
      <c r="AL162" s="757"/>
      <c r="AM162" s="256"/>
      <c r="AN162" s="757"/>
      <c r="AO162" s="257"/>
      <c r="AP162" s="256"/>
      <c r="AQ162" s="256"/>
      <c r="AR162" s="256"/>
      <c r="AS162" s="256"/>
      <c r="AT162" s="256"/>
      <c r="AU162" s="256"/>
      <c r="AV162" s="55"/>
      <c r="AW162" s="17"/>
    </row>
    <row r="163" spans="3:49" ht="13.8" thickBot="1" x14ac:dyDescent="0.35">
      <c r="C163" s="660"/>
      <c r="D163" s="47"/>
      <c r="E163" s="1217" t="s">
        <v>124</v>
      </c>
      <c r="F163" s="1218"/>
      <c r="G163" s="47"/>
      <c r="H163" s="777">
        <f>H15+H26+H30+H35+H41+H58+H73+H80+H84+H94+H100+H120</f>
        <v>1498804000</v>
      </c>
      <c r="I163" s="52"/>
      <c r="J163" s="52"/>
      <c r="K163" s="52"/>
      <c r="L163" s="48">
        <f>SUM(L7:L162)</f>
        <v>0</v>
      </c>
      <c r="M163" s="264"/>
      <c r="N163" s="264"/>
      <c r="O163" s="265">
        <f>SUM(O16:O16)</f>
        <v>0</v>
      </c>
      <c r="P163" s="52"/>
      <c r="Q163" s="52"/>
      <c r="R163" s="52"/>
      <c r="S163" s="52"/>
      <c r="T163" s="52"/>
      <c r="U163" s="52"/>
      <c r="V163" s="52"/>
      <c r="W163" s="52"/>
      <c r="X163" s="52"/>
      <c r="Y163" s="52"/>
      <c r="Z163" s="49"/>
      <c r="AA163" s="50"/>
      <c r="AB163" s="53"/>
      <c r="AC163" s="53"/>
      <c r="AD163" s="51"/>
      <c r="AE163" s="75">
        <f>SUM(AE7:AE162)</f>
        <v>0</v>
      </c>
      <c r="AF163" s="67"/>
      <c r="AG163" s="68"/>
      <c r="AH163" s="68"/>
      <c r="AI163" s="68"/>
      <c r="AJ163" s="68"/>
      <c r="AK163" s="68"/>
      <c r="AL163" s="791"/>
      <c r="AM163" s="68"/>
      <c r="AN163" s="263">
        <f>SUM(AN7:AN162)</f>
        <v>4112394678</v>
      </c>
      <c r="AO163" s="77"/>
      <c r="AP163" s="68"/>
      <c r="AQ163" s="68"/>
      <c r="AR163" s="68"/>
      <c r="AS163" s="68"/>
      <c r="AT163" s="68"/>
      <c r="AU163" s="68"/>
      <c r="AV163" s="64">
        <f>SUM(AV16:AV162)</f>
        <v>0</v>
      </c>
      <c r="AW163" s="57">
        <f>SUM(AW16:AW162)</f>
        <v>0</v>
      </c>
    </row>
    <row r="164" spans="3:49" ht="13.8" thickBot="1" x14ac:dyDescent="0.35">
      <c r="E164" s="9"/>
      <c r="G164" s="54"/>
      <c r="H164" s="773"/>
      <c r="I164" s="13"/>
      <c r="J164" s="13"/>
      <c r="K164" s="13"/>
      <c r="L164" s="13"/>
      <c r="M164" s="13"/>
      <c r="N164" s="13"/>
      <c r="O164" s="13"/>
      <c r="P164" s="13"/>
      <c r="Q164" s="13"/>
      <c r="R164" s="13"/>
      <c r="S164" s="13"/>
      <c r="T164" s="13"/>
      <c r="U164" s="13"/>
      <c r="V164" s="13"/>
      <c r="W164" s="13"/>
      <c r="X164" s="13"/>
      <c r="Y164" s="13"/>
      <c r="Z164" s="13"/>
      <c r="AA164" s="13"/>
      <c r="AV164" s="58">
        <f>+AV163+AW163</f>
        <v>0</v>
      </c>
      <c r="AW164" s="17">
        <f>+AV164/2</f>
        <v>0</v>
      </c>
    </row>
    <row r="190" spans="6:41" s="13" customFormat="1" x14ac:dyDescent="0.3">
      <c r="F190" s="9"/>
      <c r="G190" s="54"/>
      <c r="H190" s="778"/>
      <c r="AD190" s="14"/>
      <c r="AE190" s="14"/>
      <c r="AL190" s="778"/>
      <c r="AN190" s="778"/>
      <c r="AO190" s="78"/>
    </row>
    <row r="191" spans="6:41" s="13" customFormat="1" x14ac:dyDescent="0.3">
      <c r="F191" s="9"/>
      <c r="G191" s="54"/>
      <c r="H191" s="778"/>
      <c r="AD191" s="14"/>
      <c r="AE191" s="14"/>
      <c r="AL191" s="778"/>
      <c r="AN191" s="778"/>
      <c r="AO191" s="78"/>
    </row>
    <row r="192" spans="6:41" s="13" customFormat="1" x14ac:dyDescent="0.3">
      <c r="F192" s="9"/>
      <c r="G192" s="54"/>
      <c r="H192" s="778"/>
      <c r="AD192" s="14"/>
      <c r="AE192" s="14"/>
      <c r="AL192" s="778"/>
      <c r="AN192" s="778"/>
      <c r="AO192" s="78"/>
    </row>
    <row r="193" spans="6:41" s="13" customFormat="1" x14ac:dyDescent="0.3">
      <c r="F193" s="9"/>
      <c r="G193" s="54"/>
      <c r="H193" s="778"/>
      <c r="AD193" s="14"/>
      <c r="AE193" s="14"/>
      <c r="AL193" s="778"/>
      <c r="AN193" s="778"/>
      <c r="AO193" s="78"/>
    </row>
  </sheetData>
  <autoFilter ref="C4:AU26">
    <filterColumn colId="2" showButton="0"/>
  </autoFilter>
  <mergeCells count="89">
    <mergeCell ref="AG10:AG13"/>
    <mergeCell ref="AL149:AL150"/>
    <mergeCell ref="Z149:Z150"/>
    <mergeCell ref="P61:P70"/>
    <mergeCell ref="AS4:AS5"/>
    <mergeCell ref="AR18:AR25"/>
    <mergeCell ref="Q32:Q33"/>
    <mergeCell ref="R32:R33"/>
    <mergeCell ref="S32:S33"/>
    <mergeCell ref="P38:P39"/>
    <mergeCell ref="W38:W39"/>
    <mergeCell ref="AG38:AG39"/>
    <mergeCell ref="AB38:AB39"/>
    <mergeCell ref="Z38:Z39"/>
    <mergeCell ref="AA38:AA39"/>
    <mergeCell ref="AC38:AC39"/>
    <mergeCell ref="AT4:AT5"/>
    <mergeCell ref="T4:T5"/>
    <mergeCell ref="U4:U5"/>
    <mergeCell ref="V4:V5"/>
    <mergeCell ref="W4:W5"/>
    <mergeCell ref="Y4:Y5"/>
    <mergeCell ref="Z4:Z5"/>
    <mergeCell ref="AA4:AA5"/>
    <mergeCell ref="AB4:AB5"/>
    <mergeCell ref="AC4:AC5"/>
    <mergeCell ref="AD4:AD5"/>
    <mergeCell ref="AE4:AE5"/>
    <mergeCell ref="AU4:AU5"/>
    <mergeCell ref="E163:F163"/>
    <mergeCell ref="AM4:AM5"/>
    <mergeCell ref="AN4:AN5"/>
    <mergeCell ref="AO4:AO5"/>
    <mergeCell ref="AP4:AP5"/>
    <mergeCell ref="AQ4:AQ5"/>
    <mergeCell ref="AR4:AR5"/>
    <mergeCell ref="AG4:AG5"/>
    <mergeCell ref="AH4:AH5"/>
    <mergeCell ref="AI4:AI5"/>
    <mergeCell ref="AJ4:AJ5"/>
    <mergeCell ref="AK4:AK5"/>
    <mergeCell ref="AL4:AL5"/>
    <mergeCell ref="R4:R5"/>
    <mergeCell ref="AF4:AF5"/>
    <mergeCell ref="C4:C6"/>
    <mergeCell ref="S4:S5"/>
    <mergeCell ref="E3:Z3"/>
    <mergeCell ref="E4:F4"/>
    <mergeCell ref="G4:G5"/>
    <mergeCell ref="H4:H5"/>
    <mergeCell ref="I4:I5"/>
    <mergeCell ref="J4:J5"/>
    <mergeCell ref="K4:K5"/>
    <mergeCell ref="L4:L5"/>
    <mergeCell ref="M4:M5"/>
    <mergeCell ref="X4:X5"/>
    <mergeCell ref="N4:N5"/>
    <mergeCell ref="O4:O5"/>
    <mergeCell ref="P4:P5"/>
    <mergeCell ref="Q4:Q5"/>
    <mergeCell ref="AU22:AU23"/>
    <mergeCell ref="AU24:AU25"/>
    <mergeCell ref="AA32:AA33"/>
    <mergeCell ref="AG32:AG33"/>
    <mergeCell ref="AO22:AO23"/>
    <mergeCell ref="AO24:AO25"/>
    <mergeCell ref="AP22:AP23"/>
    <mergeCell ref="AP24:AP25"/>
    <mergeCell ref="AQ18:AQ25"/>
    <mergeCell ref="AG17:AG25"/>
    <mergeCell ref="AN22:AN23"/>
    <mergeCell ref="AM22:AM23"/>
    <mergeCell ref="AM24:AM25"/>
    <mergeCell ref="AN24:AN25"/>
    <mergeCell ref="AF32:AF33"/>
    <mergeCell ref="AL32:AL33"/>
    <mergeCell ref="AD38:AD39"/>
    <mergeCell ref="AE38:AE39"/>
    <mergeCell ref="AF38:AF39"/>
    <mergeCell ref="AH24:AH25"/>
    <mergeCell ref="AH22:AH23"/>
    <mergeCell ref="AQ38:AQ39"/>
    <mergeCell ref="AH38:AH39"/>
    <mergeCell ref="AI38:AI39"/>
    <mergeCell ref="AL38:AL39"/>
    <mergeCell ref="AN38:AN39"/>
    <mergeCell ref="AM38:AM39"/>
    <mergeCell ref="AO38:AO39"/>
    <mergeCell ref="AP38:AP39"/>
  </mergeCells>
  <pageMargins left="0.7" right="0.7" top="0.75" bottom="0.75" header="0.3" footer="0.3"/>
  <pageSetup orientation="portrait" r:id="rId1"/>
  <ignoredErrors>
    <ignoredError sqref="N17"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48572"/>
  <sheetViews>
    <sheetView tabSelected="1" topLeftCell="A4" zoomScaleNormal="100" workbookViewId="0">
      <pane xSplit="4" ySplit="1" topLeftCell="E5" activePane="bottomRight" state="frozen"/>
      <selection activeCell="A4" sqref="A4"/>
      <selection pane="topRight" activeCell="E4" sqref="E4"/>
      <selection pane="bottomLeft" activeCell="A5" sqref="A5"/>
      <selection pane="bottomRight" activeCell="A4" sqref="A4"/>
    </sheetView>
  </sheetViews>
  <sheetFormatPr defaultColWidth="8.109375" defaultRowHeight="20.25" customHeight="1" x14ac:dyDescent="0.3"/>
  <cols>
    <col min="1" max="1" width="1" style="13" customWidth="1"/>
    <col min="2" max="2" width="5.109375" style="13" customWidth="1"/>
    <col min="3" max="3" width="27.5546875" style="13" customWidth="1"/>
    <col min="4" max="4" width="8.109375" style="7"/>
    <col min="5" max="5" width="12.6640625" style="8" customWidth="1"/>
    <col min="6" max="6" width="25.6640625" style="9" customWidth="1"/>
    <col min="7" max="7" width="7.33203125" style="10" bestFit="1" customWidth="1"/>
    <col min="8" max="8" width="18.5546875" style="779" bestFit="1" customWidth="1"/>
    <col min="9" max="9" width="24.6640625" style="14" customWidth="1"/>
    <col min="10" max="12" width="8.109375" style="14"/>
    <col min="13" max="13" width="17.88671875" style="14" bestFit="1" customWidth="1"/>
    <col min="14" max="14" width="8.109375" style="14"/>
    <col min="15" max="15" width="17.88671875" style="14" bestFit="1" customWidth="1"/>
    <col min="16" max="23" width="8.109375" style="14"/>
    <col min="24" max="24" width="19.88671875" style="14" bestFit="1" customWidth="1"/>
    <col min="25" max="25" width="8.109375" style="14"/>
    <col min="26" max="26" width="22.6640625" style="12" customWidth="1"/>
    <col min="27" max="27" width="8.109375" style="12"/>
    <col min="28" max="31" width="8.109375" style="15"/>
    <col min="32" max="32" width="8.5546875" style="13" customWidth="1"/>
    <col min="33" max="33" width="11.109375" style="13" bestFit="1" customWidth="1"/>
    <col min="34" max="36" width="8.109375" style="13"/>
    <col min="37" max="37" width="10.109375" style="13" bestFit="1" customWidth="1"/>
    <col min="38" max="38" width="17.88671875" style="778" bestFit="1" customWidth="1"/>
    <col min="39" max="39" width="8.109375" style="13"/>
    <col min="40" max="40" width="21.6640625" style="778" customWidth="1"/>
    <col min="41" max="41" width="11.109375" style="78" customWidth="1"/>
    <col min="42" max="47" width="8.109375" style="13"/>
    <col min="48" max="48" width="8.109375" style="12"/>
    <col min="49" max="49" width="8.109375" style="13"/>
    <col min="50" max="50" width="52.109375" style="13" bestFit="1" customWidth="1"/>
    <col min="51" max="51" width="63.109375" style="13" bestFit="1" customWidth="1"/>
    <col min="52" max="52" width="8.109375" style="13"/>
    <col min="53" max="53" width="18.5546875" style="13" bestFit="1" customWidth="1"/>
    <col min="54" max="16384" width="8.109375" style="13"/>
  </cols>
  <sheetData>
    <row r="1" spans="3:57" ht="20.25" customHeight="1" x14ac:dyDescent="0.3">
      <c r="D1" s="1013"/>
      <c r="E1" s="1011"/>
      <c r="AB1" s="1012"/>
      <c r="AC1" s="1012"/>
      <c r="AD1" s="1012"/>
      <c r="AE1" s="1012"/>
    </row>
    <row r="2" spans="3:57" ht="20.25" customHeight="1" x14ac:dyDescent="0.3">
      <c r="C2" s="13" t="s">
        <v>1750</v>
      </c>
      <c r="E2" s="85" t="s">
        <v>1749</v>
      </c>
      <c r="G2" s="16"/>
      <c r="H2" s="773"/>
      <c r="AO2" s="13"/>
    </row>
    <row r="3" spans="3:57" ht="20.25" customHeight="1" x14ac:dyDescent="0.3">
      <c r="C3" s="13" t="s">
        <v>1748</v>
      </c>
      <c r="D3" s="967"/>
      <c r="E3" s="85" t="s">
        <v>1751</v>
      </c>
      <c r="G3" s="16"/>
      <c r="H3" s="773"/>
      <c r="AB3" s="966"/>
      <c r="AC3" s="966"/>
      <c r="AD3" s="966"/>
      <c r="AE3" s="966"/>
      <c r="AO3" s="13"/>
    </row>
    <row r="4" spans="3:57" s="1078" customFormat="1" ht="44.25" customHeight="1" x14ac:dyDescent="0.3">
      <c r="C4" s="1078" t="s">
        <v>1752</v>
      </c>
      <c r="D4" s="1079"/>
      <c r="E4" s="1080" t="s">
        <v>1753</v>
      </c>
      <c r="F4" s="1080"/>
      <c r="G4" s="1081"/>
      <c r="H4" s="1082"/>
      <c r="I4" s="1083"/>
      <c r="J4" s="1083"/>
      <c r="K4" s="1083"/>
      <c r="L4" s="1083"/>
      <c r="M4" s="1083"/>
      <c r="N4" s="1083"/>
      <c r="O4" s="1083"/>
      <c r="P4" s="1083"/>
      <c r="Q4" s="1083"/>
      <c r="R4" s="1083"/>
      <c r="S4" s="1083"/>
      <c r="T4" s="1083"/>
      <c r="U4" s="1083"/>
      <c r="V4" s="1083" t="s">
        <v>1784</v>
      </c>
      <c r="W4" s="1083"/>
      <c r="X4" s="1083"/>
      <c r="Y4" s="1083"/>
      <c r="Z4" s="1084" t="s">
        <v>1780</v>
      </c>
      <c r="AA4" s="1084" t="s">
        <v>1783</v>
      </c>
      <c r="AB4" s="1085"/>
      <c r="AC4" s="1085"/>
      <c r="AD4" s="1085"/>
      <c r="AE4" s="1085"/>
      <c r="AF4" s="1083" t="s">
        <v>1781</v>
      </c>
      <c r="AH4" s="1083" t="s">
        <v>1782</v>
      </c>
      <c r="AL4" s="1086">
        <f>778600+571200</f>
        <v>1349800</v>
      </c>
      <c r="AN4" s="1086" t="s">
        <v>1791</v>
      </c>
      <c r="AO4" s="1078" t="s">
        <v>1790</v>
      </c>
      <c r="AV4" s="1084"/>
    </row>
    <row r="5" spans="3:57" ht="36.75" customHeight="1" x14ac:dyDescent="0.3">
      <c r="C5" s="712" t="s">
        <v>1301</v>
      </c>
      <c r="D5" s="29">
        <v>1</v>
      </c>
      <c r="E5" s="27" t="str">
        <f>'UID application COMBINE Mc list'!B23</f>
        <v xml:space="preserve">Two-for-one Twister operating at the speed of 8000 rpm with cradle, drop wires and overfeed system. </v>
      </c>
      <c r="F5" s="28" t="s">
        <v>649</v>
      </c>
      <c r="G5" s="29">
        <f>'UID application COMBINE Mc list'!D23</f>
        <v>48</v>
      </c>
      <c r="H5" s="775">
        <f>'UID application COMBINE Mc list'!H23</f>
        <v>187920000.00000003</v>
      </c>
      <c r="I5" s="713" t="s">
        <v>1654</v>
      </c>
      <c r="J5" s="33" t="s">
        <v>649</v>
      </c>
      <c r="K5" s="747">
        <f>SUM(K7:K10)</f>
        <v>48</v>
      </c>
      <c r="L5" s="33" t="s">
        <v>347</v>
      </c>
      <c r="M5" s="717">
        <f>SUM(M7:M10)</f>
        <v>2132000</v>
      </c>
      <c r="N5" s="919">
        <v>88.1</v>
      </c>
      <c r="O5" s="919">
        <f>2132000*N5</f>
        <v>187829200</v>
      </c>
      <c r="P5" s="958" t="s">
        <v>1301</v>
      </c>
      <c r="Q5" s="33" t="s">
        <v>649</v>
      </c>
      <c r="R5" s="33" t="s">
        <v>649</v>
      </c>
      <c r="S5" s="33" t="s">
        <v>649</v>
      </c>
      <c r="T5" s="922"/>
      <c r="U5" s="33"/>
      <c r="V5" s="927"/>
      <c r="W5" s="33"/>
      <c r="X5" s="747"/>
      <c r="Y5" s="715" t="s">
        <v>379</v>
      </c>
      <c r="AG5" s="15" t="s">
        <v>1415</v>
      </c>
      <c r="AH5" s="995" t="s">
        <v>1416</v>
      </c>
      <c r="AI5" s="103" t="s">
        <v>1411</v>
      </c>
      <c r="AJ5" s="103"/>
      <c r="AK5" s="103"/>
      <c r="AL5" s="778">
        <v>99100</v>
      </c>
      <c r="AM5" s="103">
        <f>AN5/99100</f>
        <v>88.01</v>
      </c>
      <c r="AN5" s="788">
        <v>8721791</v>
      </c>
      <c r="AO5" s="103" t="s">
        <v>1321</v>
      </c>
      <c r="AP5" s="103" t="s">
        <v>1308</v>
      </c>
      <c r="AQ5" s="103" t="s">
        <v>1309</v>
      </c>
      <c r="AR5" s="103" t="s">
        <v>1310</v>
      </c>
      <c r="AS5" s="716"/>
      <c r="AT5" s="716"/>
      <c r="AU5" s="103" t="s">
        <v>1311</v>
      </c>
      <c r="AV5" s="20"/>
      <c r="AY5" s="14" t="s">
        <v>1598</v>
      </c>
      <c r="AZ5" s="1298" t="s">
        <v>1695</v>
      </c>
    </row>
    <row r="6" spans="3:57" ht="20.25" customHeight="1" x14ac:dyDescent="0.3">
      <c r="C6" s="925"/>
      <c r="D6" s="29"/>
      <c r="E6" s="27"/>
      <c r="F6" s="28"/>
      <c r="G6" s="29"/>
      <c r="H6" s="775"/>
      <c r="I6" s="926"/>
      <c r="J6" s="33"/>
      <c r="K6" s="33"/>
      <c r="L6" s="33"/>
      <c r="M6" s="717"/>
      <c r="N6" s="919"/>
      <c r="O6" s="919"/>
      <c r="P6" s="925"/>
      <c r="Q6" s="33"/>
      <c r="R6" s="33"/>
      <c r="S6" s="33"/>
      <c r="T6" s="922"/>
      <c r="U6" s="33"/>
      <c r="V6" s="33"/>
      <c r="W6" s="33"/>
      <c r="X6" s="747"/>
      <c r="Y6" s="715"/>
      <c r="AG6" s="15" t="s">
        <v>1587</v>
      </c>
      <c r="AH6" s="858"/>
      <c r="AI6" s="103"/>
      <c r="AJ6" s="103"/>
      <c r="AK6" s="103"/>
      <c r="AL6" s="778">
        <v>198200</v>
      </c>
      <c r="AM6" s="103">
        <f>AN6/198200</f>
        <v>89.6</v>
      </c>
      <c r="AN6" s="788">
        <v>17758720</v>
      </c>
      <c r="AO6" s="103" t="s">
        <v>1322</v>
      </c>
      <c r="AP6" s="103" t="s">
        <v>1308</v>
      </c>
      <c r="AQ6" s="103" t="s">
        <v>1309</v>
      </c>
      <c r="AR6" s="103" t="s">
        <v>1310</v>
      </c>
      <c r="AS6" s="103"/>
      <c r="AT6" s="103"/>
      <c r="AU6" s="103" t="s">
        <v>1311</v>
      </c>
      <c r="AV6" s="20"/>
      <c r="AY6" s="13" t="s">
        <v>1646</v>
      </c>
      <c r="AZ6" s="1298"/>
    </row>
    <row r="7" spans="3:57" ht="20.25" customHeight="1" x14ac:dyDescent="0.3">
      <c r="C7" s="661"/>
      <c r="D7" s="29"/>
      <c r="E7" s="27"/>
      <c r="F7" s="28"/>
      <c r="G7" s="29"/>
      <c r="H7" s="775"/>
      <c r="I7" s="33"/>
      <c r="J7" s="33"/>
      <c r="K7" s="747">
        <v>16</v>
      </c>
      <c r="L7" s="33" t="s">
        <v>347</v>
      </c>
      <c r="M7" s="33">
        <f>AL7</f>
        <v>710666.67</v>
      </c>
      <c r="N7" s="921">
        <f>N5</f>
        <v>88.1</v>
      </c>
      <c r="O7" s="919">
        <f>M7*N7</f>
        <v>62609733.626999997</v>
      </c>
      <c r="P7" s="33"/>
      <c r="Q7" s="33"/>
      <c r="R7" s="33"/>
      <c r="S7" s="33"/>
      <c r="T7" s="956">
        <v>2021</v>
      </c>
      <c r="U7" s="920" t="s">
        <v>1640</v>
      </c>
      <c r="V7" s="1097" t="s">
        <v>1583</v>
      </c>
      <c r="W7" s="920" t="s">
        <v>1581</v>
      </c>
      <c r="X7" s="924">
        <v>84453090</v>
      </c>
      <c r="Y7" s="33"/>
      <c r="Z7" s="1093" t="s">
        <v>1303</v>
      </c>
      <c r="AA7" s="1093" t="s">
        <v>1305</v>
      </c>
      <c r="AB7" s="950" t="s">
        <v>889</v>
      </c>
      <c r="AC7" s="714" t="s">
        <v>889</v>
      </c>
      <c r="AD7" s="719" t="s">
        <v>1306</v>
      </c>
      <c r="AE7" s="722" t="s">
        <v>649</v>
      </c>
      <c r="AF7" s="1094" t="s">
        <v>1317</v>
      </c>
      <c r="AG7" s="1283" t="s">
        <v>1302</v>
      </c>
      <c r="AH7" s="1095" t="s">
        <v>1419</v>
      </c>
      <c r="AI7" s="103" t="s">
        <v>1411</v>
      </c>
      <c r="AJ7" s="103"/>
      <c r="AK7" s="949"/>
      <c r="AL7" s="912">
        <v>710666.67</v>
      </c>
      <c r="AM7" s="103">
        <f>AN7/611566.67</f>
        <v>85.319999534964836</v>
      </c>
      <c r="AN7" s="788">
        <v>52178868</v>
      </c>
      <c r="AO7" s="103" t="s">
        <v>1323</v>
      </c>
      <c r="AP7" s="103" t="s">
        <v>1323</v>
      </c>
      <c r="AQ7" s="103" t="s">
        <v>1191</v>
      </c>
      <c r="AR7" s="103" t="s">
        <v>1310</v>
      </c>
      <c r="AS7" s="103"/>
      <c r="AT7" s="103"/>
      <c r="AU7" s="103" t="s">
        <v>1312</v>
      </c>
      <c r="AV7" s="20"/>
      <c r="AX7" s="13" t="s">
        <v>1319</v>
      </c>
      <c r="AY7" s="13">
        <f>99100/2</f>
        <v>49550</v>
      </c>
      <c r="AZ7" s="1298"/>
      <c r="BB7" s="13">
        <f>AL7*88.1</f>
        <v>62609733.626999997</v>
      </c>
    </row>
    <row r="8" spans="3:57" ht="20.25" customHeight="1" x14ac:dyDescent="0.3">
      <c r="C8" s="661"/>
      <c r="D8" s="29"/>
      <c r="E8" s="27"/>
      <c r="F8" s="28"/>
      <c r="G8" s="29"/>
      <c r="H8" s="775"/>
      <c r="I8" s="33"/>
      <c r="J8" s="33"/>
      <c r="K8" s="747">
        <v>16</v>
      </c>
      <c r="L8" s="33" t="s">
        <v>347</v>
      </c>
      <c r="M8" s="33">
        <f>AL8</f>
        <v>710666.67</v>
      </c>
      <c r="N8" s="921">
        <f>N7</f>
        <v>88.1</v>
      </c>
      <c r="O8" s="919">
        <f>M8*N8</f>
        <v>62609733.626999997</v>
      </c>
      <c r="P8" s="33"/>
      <c r="Q8" s="33"/>
      <c r="R8" s="33"/>
      <c r="S8" s="33"/>
      <c r="T8" s="956">
        <v>2021</v>
      </c>
      <c r="U8" s="920" t="s">
        <v>1640</v>
      </c>
      <c r="V8" s="1097" t="s">
        <v>1584</v>
      </c>
      <c r="W8" s="920" t="s">
        <v>1581</v>
      </c>
      <c r="X8" s="924">
        <v>84453090</v>
      </c>
      <c r="Y8" s="33"/>
      <c r="Z8" s="1093" t="s">
        <v>1590</v>
      </c>
      <c r="AA8" s="1093" t="s">
        <v>1591</v>
      </c>
      <c r="AB8" s="950" t="s">
        <v>889</v>
      </c>
      <c r="AC8" s="714" t="s">
        <v>889</v>
      </c>
      <c r="AD8" s="719" t="s">
        <v>1306</v>
      </c>
      <c r="AE8" s="722" t="s">
        <v>649</v>
      </c>
      <c r="AF8" s="1094" t="s">
        <v>1317</v>
      </c>
      <c r="AG8" s="1283"/>
      <c r="AH8" s="1095" t="s">
        <v>1417</v>
      </c>
      <c r="AI8" s="103"/>
      <c r="AJ8" s="103"/>
      <c r="AK8" s="949">
        <v>44607</v>
      </c>
      <c r="AL8" s="788">
        <v>710666.67</v>
      </c>
      <c r="AM8" s="103">
        <f>AN8/611566.67</f>
        <v>85.194999263122028</v>
      </c>
      <c r="AN8" s="788">
        <v>52102422</v>
      </c>
      <c r="AO8" s="103" t="s">
        <v>1308</v>
      </c>
      <c r="AP8" s="103" t="s">
        <v>1308</v>
      </c>
      <c r="AQ8" s="103" t="s">
        <v>1191</v>
      </c>
      <c r="AR8" s="103" t="s">
        <v>1310</v>
      </c>
      <c r="AS8" s="103"/>
      <c r="AT8" s="103"/>
      <c r="AU8" s="103" t="s">
        <v>1312</v>
      </c>
      <c r="AV8" s="20"/>
      <c r="AY8" s="13">
        <v>611566</v>
      </c>
      <c r="AZ8" s="1298"/>
      <c r="BB8" s="13">
        <f>AL8*88.1</f>
        <v>62609733.626999997</v>
      </c>
    </row>
    <row r="9" spans="3:57" ht="20.25" customHeight="1" x14ac:dyDescent="0.3">
      <c r="C9" s="661"/>
      <c r="D9" s="29"/>
      <c r="E9" s="27"/>
      <c r="F9" s="28"/>
      <c r="G9" s="29"/>
      <c r="H9" s="775"/>
      <c r="I9" s="33"/>
      <c r="J9" s="33"/>
      <c r="K9" s="747">
        <v>8</v>
      </c>
      <c r="L9" s="33" t="s">
        <v>347</v>
      </c>
      <c r="M9" s="33">
        <f>AL9</f>
        <v>355333.33</v>
      </c>
      <c r="N9" s="921">
        <f>N8</f>
        <v>88.1</v>
      </c>
      <c r="O9" s="919">
        <f>M9*N9</f>
        <v>31304866.373</v>
      </c>
      <c r="P9" s="33"/>
      <c r="Q9" s="33"/>
      <c r="R9" s="33"/>
      <c r="S9" s="33"/>
      <c r="T9" s="956">
        <v>2021</v>
      </c>
      <c r="U9" s="920" t="s">
        <v>1640</v>
      </c>
      <c r="V9" s="1097" t="s">
        <v>1586</v>
      </c>
      <c r="W9" s="920" t="s">
        <v>1581</v>
      </c>
      <c r="X9" s="924">
        <v>84453090</v>
      </c>
      <c r="Y9" s="33"/>
      <c r="Z9" s="1093" t="s">
        <v>1315</v>
      </c>
      <c r="AA9" s="1093" t="s">
        <v>1596</v>
      </c>
      <c r="AB9" s="950" t="s">
        <v>889</v>
      </c>
      <c r="AC9" s="714" t="s">
        <v>889</v>
      </c>
      <c r="AD9" s="719" t="s">
        <v>1306</v>
      </c>
      <c r="AE9" s="722" t="s">
        <v>649</v>
      </c>
      <c r="AF9" s="1094" t="s">
        <v>1318</v>
      </c>
      <c r="AG9" s="1283"/>
      <c r="AH9" s="1095" t="s">
        <v>1418</v>
      </c>
      <c r="AI9" s="103"/>
      <c r="AJ9" s="103"/>
      <c r="AK9" s="949"/>
      <c r="AL9" s="788">
        <v>355333.33</v>
      </c>
      <c r="AM9" s="103">
        <f>AN9/305783.33</f>
        <v>87.499998773641451</v>
      </c>
      <c r="AN9" s="788">
        <f>26756041</f>
        <v>26756041</v>
      </c>
      <c r="AO9" s="103" t="s">
        <v>1307</v>
      </c>
      <c r="AP9" s="103" t="s">
        <v>1307</v>
      </c>
      <c r="AQ9" s="103" t="s">
        <v>1191</v>
      </c>
      <c r="AR9" s="103" t="s">
        <v>1310</v>
      </c>
      <c r="AS9" s="103"/>
      <c r="AT9" s="103"/>
      <c r="AU9" s="103" t="s">
        <v>1312</v>
      </c>
      <c r="AV9" s="20"/>
      <c r="AZ9" s="1298"/>
      <c r="BB9" s="13">
        <f>AL9*88.1</f>
        <v>31304866.373</v>
      </c>
    </row>
    <row r="10" spans="3:57" ht="20.25" customHeight="1" x14ac:dyDescent="0.3">
      <c r="C10" s="661"/>
      <c r="D10" s="29"/>
      <c r="E10" s="27"/>
      <c r="F10" s="28"/>
      <c r="G10" s="29"/>
      <c r="H10" s="775"/>
      <c r="I10" s="33"/>
      <c r="J10" s="33"/>
      <c r="K10" s="747">
        <v>8</v>
      </c>
      <c r="L10" s="33" t="s">
        <v>347</v>
      </c>
      <c r="M10" s="33">
        <f>AL10</f>
        <v>355333.33</v>
      </c>
      <c r="N10" s="921">
        <f>N9</f>
        <v>88.1</v>
      </c>
      <c r="O10" s="919">
        <f>M10*N10</f>
        <v>31304866.373</v>
      </c>
      <c r="P10" s="33"/>
      <c r="Q10" s="33"/>
      <c r="R10" s="33"/>
      <c r="S10" s="33"/>
      <c r="T10" s="956">
        <v>2021</v>
      </c>
      <c r="U10" s="920" t="s">
        <v>1640</v>
      </c>
      <c r="V10" s="1097" t="s">
        <v>1585</v>
      </c>
      <c r="W10" s="920" t="s">
        <v>1581</v>
      </c>
      <c r="X10" s="924">
        <v>84453090</v>
      </c>
      <c r="Y10" s="33"/>
      <c r="Z10" s="1093" t="s">
        <v>1316</v>
      </c>
      <c r="AA10" s="1093" t="s">
        <v>1597</v>
      </c>
      <c r="AB10" s="950" t="s">
        <v>889</v>
      </c>
      <c r="AC10" s="714" t="s">
        <v>889</v>
      </c>
      <c r="AD10" s="719" t="s">
        <v>1306</v>
      </c>
      <c r="AE10" s="722" t="s">
        <v>649</v>
      </c>
      <c r="AF10" s="1094" t="s">
        <v>1320</v>
      </c>
      <c r="AG10" s="1283"/>
      <c r="AH10" s="1095" t="s">
        <v>1418</v>
      </c>
      <c r="AI10" s="103"/>
      <c r="AJ10" s="103"/>
      <c r="AK10" s="949"/>
      <c r="AL10" s="788">
        <f>AL9</f>
        <v>355333.33</v>
      </c>
      <c r="AM10" s="103">
        <f>AN10/305783.33</f>
        <v>87.499998773641451</v>
      </c>
      <c r="AN10" s="788">
        <f>26756041</f>
        <v>26756041</v>
      </c>
      <c r="AO10" s="103" t="s">
        <v>1307</v>
      </c>
      <c r="AP10" s="103" t="s">
        <v>1307</v>
      </c>
      <c r="AQ10" s="103" t="s">
        <v>1191</v>
      </c>
      <c r="AR10" s="103" t="s">
        <v>1310</v>
      </c>
      <c r="AS10" s="103"/>
      <c r="AT10" s="103"/>
      <c r="AU10" s="103" t="s">
        <v>1312</v>
      </c>
      <c r="AV10" s="13"/>
      <c r="AZ10" s="1298"/>
      <c r="BB10" s="13">
        <f>AL10*89</f>
        <v>31624666.370000001</v>
      </c>
    </row>
    <row r="11" spans="3:57" ht="20.25" customHeight="1" x14ac:dyDescent="0.3">
      <c r="C11" s="661"/>
      <c r="D11" s="29"/>
      <c r="E11" s="27"/>
      <c r="F11" s="28"/>
      <c r="G11" s="29"/>
      <c r="H11" s="775"/>
      <c r="I11" s="33"/>
      <c r="J11" s="33"/>
      <c r="K11" s="33"/>
      <c r="L11" s="33"/>
      <c r="M11" s="33"/>
      <c r="N11" s="33"/>
      <c r="O11" s="33"/>
      <c r="P11" s="33"/>
      <c r="Q11" s="33"/>
      <c r="R11" s="33"/>
      <c r="S11" s="33"/>
      <c r="T11" s="33"/>
      <c r="U11" s="33"/>
      <c r="V11" s="33"/>
      <c r="W11" s="33"/>
      <c r="X11" s="33"/>
      <c r="Y11" s="33"/>
      <c r="Z11" s="31"/>
      <c r="AA11" s="31"/>
      <c r="AB11" s="32"/>
      <c r="AC11" s="32"/>
      <c r="AD11" s="73"/>
      <c r="AE11" s="59"/>
      <c r="AF11" s="1096"/>
      <c r="AG11" s="103"/>
      <c r="AI11" s="103"/>
      <c r="AJ11" s="103"/>
      <c r="AK11" s="103"/>
      <c r="AL11" s="788"/>
      <c r="AM11" s="103"/>
      <c r="AN11" s="788"/>
      <c r="AO11" s="103"/>
      <c r="AP11" s="103"/>
      <c r="AQ11" s="103"/>
      <c r="AR11" s="103"/>
      <c r="AS11" s="103"/>
      <c r="AT11" s="103"/>
      <c r="AU11" s="103"/>
      <c r="AV11" s="20"/>
    </row>
    <row r="12" spans="3:57" s="683" customFormat="1" ht="20.25" customHeight="1" x14ac:dyDescent="0.3">
      <c r="C12" s="1037"/>
      <c r="D12" s="1038"/>
      <c r="E12" s="1039"/>
      <c r="F12" s="1040"/>
      <c r="G12" s="1038"/>
      <c r="H12" s="1041">
        <f>SUM(H5:H10)</f>
        <v>187920000.00000003</v>
      </c>
      <c r="I12" s="1015"/>
      <c r="J12" s="1015"/>
      <c r="K12" s="1015"/>
      <c r="L12" s="1015"/>
      <c r="M12" s="1015"/>
      <c r="N12" s="1015"/>
      <c r="O12" s="1041">
        <f>SUM(O7:O10)</f>
        <v>187829200</v>
      </c>
      <c r="P12" s="1015"/>
      <c r="Q12" s="1015"/>
      <c r="R12" s="1015"/>
      <c r="S12" s="1015"/>
      <c r="T12" s="1015"/>
      <c r="U12" s="1015"/>
      <c r="V12" s="1015"/>
      <c r="W12" s="1015"/>
      <c r="X12" s="1015"/>
      <c r="Y12" s="1015"/>
      <c r="Z12" s="1042"/>
      <c r="AA12" s="1042"/>
      <c r="AB12" s="1043"/>
      <c r="AC12" s="1043"/>
      <c r="AD12" s="1044"/>
      <c r="AE12" s="1045"/>
      <c r="AF12" s="1046"/>
      <c r="AG12" s="1047"/>
      <c r="AH12" s="1047"/>
      <c r="AI12" s="1047"/>
      <c r="AJ12" s="1047"/>
      <c r="AK12" s="1047"/>
      <c r="AL12" s="1041">
        <f>SUM(AL5:AL10)</f>
        <v>2429300</v>
      </c>
      <c r="AM12" s="1047"/>
      <c r="AN12" s="1041">
        <f>SUM(AN5:AN10)</f>
        <v>184273883</v>
      </c>
      <c r="AO12" s="1047"/>
      <c r="AP12" s="1047"/>
      <c r="AQ12" s="1047"/>
      <c r="AR12" s="1047"/>
      <c r="AS12" s="1047"/>
      <c r="AT12" s="1047"/>
      <c r="AU12" s="1047"/>
      <c r="AV12" s="1048"/>
      <c r="BA12" s="683">
        <f>H12</f>
        <v>187920000.00000003</v>
      </c>
      <c r="BB12" s="683">
        <f>SUM(BB7:BB10)</f>
        <v>188148999.99700001</v>
      </c>
      <c r="BC12" s="683">
        <f>AN12</f>
        <v>184273883</v>
      </c>
      <c r="BD12" s="683">
        <f>MIN(BA12,BB12,BC12)</f>
        <v>184273883</v>
      </c>
      <c r="BE12" s="683">
        <f>BD12*10%</f>
        <v>18427388.300000001</v>
      </c>
    </row>
    <row r="13" spans="3:57" ht="20.25" customHeight="1" thickBot="1" x14ac:dyDescent="0.35">
      <c r="C13" s="69"/>
      <c r="D13" s="36"/>
      <c r="E13" s="35"/>
      <c r="F13" s="35"/>
      <c r="G13" s="36"/>
      <c r="H13" s="243"/>
      <c r="I13" s="35"/>
      <c r="J13" s="35"/>
      <c r="K13" s="36"/>
      <c r="L13" s="243"/>
      <c r="M13" s="243"/>
      <c r="N13" s="243"/>
      <c r="O13" s="243"/>
      <c r="P13" s="35"/>
      <c r="Q13" s="36"/>
      <c r="R13" s="36"/>
      <c r="S13" s="36"/>
      <c r="T13" s="247"/>
      <c r="U13" s="35"/>
      <c r="V13" s="35"/>
      <c r="W13" s="35"/>
      <c r="X13" s="35"/>
      <c r="Y13" s="35"/>
      <c r="Z13" s="36"/>
      <c r="AA13" s="36"/>
      <c r="AB13" s="252"/>
      <c r="AC13" s="252"/>
      <c r="AD13" s="34"/>
      <c r="AE13" s="723"/>
      <c r="AF13" s="724"/>
      <c r="AG13" s="70"/>
      <c r="AH13" s="36"/>
      <c r="AI13" s="250"/>
      <c r="AJ13" s="70"/>
      <c r="AK13" s="70"/>
      <c r="AL13" s="789"/>
      <c r="AM13" s="253"/>
      <c r="AN13" s="757"/>
      <c r="AO13" s="79"/>
      <c r="AP13" s="79"/>
      <c r="AQ13" s="70"/>
      <c r="AR13" s="70"/>
      <c r="AS13" s="70"/>
      <c r="AT13" s="70"/>
      <c r="AU13" s="70"/>
      <c r="AV13" s="55"/>
      <c r="AW13" s="17"/>
    </row>
    <row r="14" spans="3:57" ht="33.75" customHeight="1" thickBot="1" x14ac:dyDescent="0.35">
      <c r="C14" s="712" t="s">
        <v>1324</v>
      </c>
      <c r="D14" s="36">
        <v>2</v>
      </c>
      <c r="E14" s="35" t="str">
        <f>'UID application COMBINE Mc list'!B24</f>
        <v>Air Jet Loom without Build in Air Compressor with  Weft Insertion Rate (WIR) not less than 1200 mtrs per minutes without Electronic Dobby / Electronic Jacquard.</v>
      </c>
      <c r="F14" s="35" t="s">
        <v>649</v>
      </c>
      <c r="G14" s="36">
        <f>'UID application COMBINE Mc list'!D24</f>
        <v>240</v>
      </c>
      <c r="H14" s="243">
        <f>'UID application COMBINE Mc list'!H24</f>
        <v>994464000</v>
      </c>
      <c r="I14" s="119" t="str">
        <f>E14</f>
        <v>Air Jet Loom without Build in Air Compressor with  Weft Insertion Rate (WIR) not less than 1200 mtrs per minutes without Electronic Dobby / Electronic Jacquard.</v>
      </c>
      <c r="J14" s="119" t="s">
        <v>649</v>
      </c>
      <c r="K14" s="188">
        <f>SUM(K15:K22)</f>
        <v>239</v>
      </c>
      <c r="L14" s="739" t="s">
        <v>347</v>
      </c>
      <c r="M14" s="739">
        <f>SUM(M15:M22)</f>
        <v>11003800</v>
      </c>
      <c r="N14" s="739">
        <f>O14/M14</f>
        <v>87.011583271233576</v>
      </c>
      <c r="O14" s="739">
        <f>SUM(O15:O22)</f>
        <v>957458060</v>
      </c>
      <c r="P14" s="712" t="s">
        <v>1324</v>
      </c>
      <c r="Q14" s="188" t="s">
        <v>649</v>
      </c>
      <c r="R14" s="188" t="s">
        <v>649</v>
      </c>
      <c r="S14" s="188" t="s">
        <v>649</v>
      </c>
      <c r="T14" s="753"/>
      <c r="U14" s="149"/>
      <c r="V14" s="149"/>
      <c r="W14" s="149"/>
      <c r="X14" s="748">
        <v>84463090</v>
      </c>
      <c r="Y14" s="149"/>
      <c r="Z14" s="149"/>
      <c r="AA14" s="149"/>
      <c r="AB14" s="754" t="s">
        <v>888</v>
      </c>
      <c r="AC14" s="741" t="s">
        <v>888</v>
      </c>
      <c r="AD14" s="719" t="s">
        <v>1306</v>
      </c>
      <c r="AE14" s="722" t="s">
        <v>649</v>
      </c>
      <c r="AG14" s="1250" t="s">
        <v>1328</v>
      </c>
      <c r="AH14" s="188" t="s">
        <v>649</v>
      </c>
      <c r="AI14" s="188" t="s">
        <v>649</v>
      </c>
      <c r="AJ14" s="256"/>
      <c r="AK14" s="256"/>
      <c r="AL14" s="758" t="s">
        <v>1605</v>
      </c>
      <c r="AM14" s="911">
        <f>AN14/11003824</f>
        <v>85.576572017146034</v>
      </c>
      <c r="AN14" s="913">
        <f>SUM(AN15:AN22)</f>
        <v>941669537</v>
      </c>
      <c r="AO14" s="745" t="s">
        <v>1746</v>
      </c>
      <c r="AP14" s="745" t="s">
        <v>1746</v>
      </c>
      <c r="AQ14" s="256" t="s">
        <v>1371</v>
      </c>
      <c r="AR14" s="255" t="s">
        <v>1310</v>
      </c>
      <c r="AS14" s="256"/>
      <c r="AT14" s="256"/>
      <c r="AU14" s="256"/>
      <c r="AV14" s="55"/>
      <c r="AW14" s="17"/>
      <c r="AY14" s="14" t="s">
        <v>1722</v>
      </c>
      <c r="AZ14" s="1298" t="s">
        <v>1696</v>
      </c>
    </row>
    <row r="15" spans="3:57" ht="20.25" customHeight="1" x14ac:dyDescent="0.3">
      <c r="C15" s="750"/>
      <c r="D15" s="188"/>
      <c r="E15" s="119"/>
      <c r="F15" s="119"/>
      <c r="G15" s="188"/>
      <c r="H15" s="739"/>
      <c r="I15" s="119"/>
      <c r="J15" s="119"/>
      <c r="K15" s="188">
        <v>45</v>
      </c>
      <c r="L15" s="739" t="s">
        <v>347</v>
      </c>
      <c r="M15" s="739">
        <v>2061000</v>
      </c>
      <c r="N15" s="739">
        <v>88.45</v>
      </c>
      <c r="O15" s="755">
        <f>M15*N15</f>
        <v>182295450</v>
      </c>
      <c r="P15" s="756"/>
      <c r="Q15" s="188"/>
      <c r="R15" s="188"/>
      <c r="S15" s="188"/>
      <c r="T15" s="740"/>
      <c r="U15" s="119" t="s">
        <v>1325</v>
      </c>
      <c r="V15" s="1000" t="s">
        <v>1595</v>
      </c>
      <c r="W15" s="119"/>
      <c r="X15" s="748">
        <v>84463090</v>
      </c>
      <c r="Y15" s="119"/>
      <c r="Z15" s="995" t="s">
        <v>1327</v>
      </c>
      <c r="AA15" s="995" t="s">
        <v>1348</v>
      </c>
      <c r="AB15" s="741" t="s">
        <v>888</v>
      </c>
      <c r="AC15" s="741" t="s">
        <v>888</v>
      </c>
      <c r="AD15" s="751"/>
      <c r="AE15" s="752"/>
      <c r="AF15" s="1004" t="s">
        <v>1329</v>
      </c>
      <c r="AG15" s="1251"/>
      <c r="AH15" s="1095" t="s">
        <v>1414</v>
      </c>
      <c r="AI15" s="743"/>
      <c r="AJ15" s="256"/>
      <c r="AK15" s="256"/>
      <c r="AL15" s="757" t="s">
        <v>1330</v>
      </c>
      <c r="AM15" s="744">
        <f>AN15/2061000</f>
        <v>86.35</v>
      </c>
      <c r="AN15" s="912">
        <v>177967350</v>
      </c>
      <c r="AO15" s="745" t="s">
        <v>1365</v>
      </c>
      <c r="AP15" s="745" t="str">
        <f>AO15</f>
        <v>27.09.2021</v>
      </c>
      <c r="AQ15" s="1226" t="s">
        <v>1371</v>
      </c>
      <c r="AR15" s="1249" t="s">
        <v>1310</v>
      </c>
      <c r="AS15" s="256"/>
      <c r="AT15" s="256"/>
      <c r="AU15" s="256" t="s">
        <v>1372</v>
      </c>
      <c r="AV15" s="55"/>
      <c r="AW15" s="17"/>
      <c r="AX15" s="13" t="s">
        <v>1334</v>
      </c>
      <c r="AY15" s="14" t="s">
        <v>1602</v>
      </c>
      <c r="AZ15" s="1298"/>
      <c r="BA15" s="13">
        <f>2061000+2061000+2061000+1374000+2097000+1349800</f>
        <v>11003800</v>
      </c>
      <c r="BB15" s="13">
        <f>2061000*88.45</f>
        <v>182295450</v>
      </c>
    </row>
    <row r="16" spans="3:57" ht="20.25" customHeight="1" x14ac:dyDescent="0.3">
      <c r="C16" s="69"/>
      <c r="D16" s="188"/>
      <c r="E16" s="119"/>
      <c r="F16" s="119"/>
      <c r="G16" s="188"/>
      <c r="H16" s="739"/>
      <c r="I16" s="119"/>
      <c r="J16" s="119"/>
      <c r="K16" s="188">
        <v>45</v>
      </c>
      <c r="L16" s="739" t="s">
        <v>347</v>
      </c>
      <c r="M16" s="739">
        <v>2061000</v>
      </c>
      <c r="N16" s="739">
        <v>88.1</v>
      </c>
      <c r="O16" s="739">
        <f t="shared" ref="O16:O21" si="0">M16*N16</f>
        <v>181574100</v>
      </c>
      <c r="P16" s="119"/>
      <c r="Q16" s="188"/>
      <c r="R16" s="188"/>
      <c r="S16" s="188"/>
      <c r="T16" s="740"/>
      <c r="U16" s="119" t="s">
        <v>1325</v>
      </c>
      <c r="V16" s="996" t="s">
        <v>1332</v>
      </c>
      <c r="W16" s="119"/>
      <c r="X16" s="748">
        <v>84463090</v>
      </c>
      <c r="Y16" s="119"/>
      <c r="Z16" s="995" t="s">
        <v>1599</v>
      </c>
      <c r="AA16" s="995" t="s">
        <v>1347</v>
      </c>
      <c r="AB16" s="741" t="s">
        <v>888</v>
      </c>
      <c r="AC16" s="741" t="s">
        <v>888</v>
      </c>
      <c r="AD16" s="116"/>
      <c r="AE16" s="742"/>
      <c r="AF16" s="1004" t="s">
        <v>1333</v>
      </c>
      <c r="AG16" s="1251"/>
      <c r="AH16" s="1095" t="s">
        <v>1421</v>
      </c>
      <c r="AI16" s="743"/>
      <c r="AJ16" s="256"/>
      <c r="AK16" s="951">
        <v>44630</v>
      </c>
      <c r="AL16" s="757" t="s">
        <v>1330</v>
      </c>
      <c r="AM16" s="744">
        <f>AN16/2061000</f>
        <v>87.177999999999997</v>
      </c>
      <c r="AN16" s="757">
        <v>179673858</v>
      </c>
      <c r="AO16" s="745" t="s">
        <v>1366</v>
      </c>
      <c r="AP16" s="745" t="str">
        <f>AO16</f>
        <v>21.10.2021</v>
      </c>
      <c r="AQ16" s="1249"/>
      <c r="AR16" s="1249"/>
      <c r="AS16" s="256"/>
      <c r="AT16" s="256"/>
      <c r="AU16" s="256" t="s">
        <v>1372</v>
      </c>
      <c r="AV16" s="55"/>
      <c r="AW16" s="17"/>
      <c r="AX16" s="13" t="s">
        <v>1346</v>
      </c>
      <c r="AY16" s="14" t="s">
        <v>1642</v>
      </c>
      <c r="AZ16" s="1298"/>
      <c r="BB16" s="13">
        <f>2061000*88.1</f>
        <v>181574100</v>
      </c>
    </row>
    <row r="17" spans="3:59" ht="20.25" customHeight="1" x14ac:dyDescent="0.3">
      <c r="C17" s="69"/>
      <c r="D17" s="188"/>
      <c r="E17" s="119"/>
      <c r="F17" s="119"/>
      <c r="G17" s="188"/>
      <c r="H17" s="739"/>
      <c r="I17" s="119"/>
      <c r="J17" s="119"/>
      <c r="K17" s="188">
        <v>45</v>
      </c>
      <c r="L17" s="739" t="s">
        <v>347</v>
      </c>
      <c r="M17" s="739">
        <v>2061000</v>
      </c>
      <c r="N17" s="739">
        <v>86.6</v>
      </c>
      <c r="O17" s="739">
        <f t="shared" si="0"/>
        <v>178482600</v>
      </c>
      <c r="P17" s="119"/>
      <c r="Q17" s="188"/>
      <c r="R17" s="188"/>
      <c r="S17" s="188"/>
      <c r="T17" s="740"/>
      <c r="U17" s="119" t="s">
        <v>1325</v>
      </c>
      <c r="V17" s="996" t="s">
        <v>1336</v>
      </c>
      <c r="W17" s="119"/>
      <c r="X17" s="748">
        <v>84463090</v>
      </c>
      <c r="Y17" s="119"/>
      <c r="Z17" s="995" t="s">
        <v>1335</v>
      </c>
      <c r="AA17" s="995" t="s">
        <v>1345</v>
      </c>
      <c r="AB17" s="741" t="s">
        <v>888</v>
      </c>
      <c r="AC17" s="741" t="s">
        <v>888</v>
      </c>
      <c r="AD17" s="116"/>
      <c r="AE17" s="742"/>
      <c r="AF17" s="1004" t="s">
        <v>1337</v>
      </c>
      <c r="AG17" s="1251"/>
      <c r="AH17" s="1095" t="s">
        <v>1420</v>
      </c>
      <c r="AI17" s="743"/>
      <c r="AJ17" s="256"/>
      <c r="AK17" s="256"/>
      <c r="AL17" s="757" t="s">
        <v>1330</v>
      </c>
      <c r="AM17" s="744">
        <f>AN17/2061000</f>
        <v>84.965000000000003</v>
      </c>
      <c r="AN17" s="757">
        <v>175112865</v>
      </c>
      <c r="AO17" s="745" t="s">
        <v>1367</v>
      </c>
      <c r="AP17" s="745" t="str">
        <f>AO17</f>
        <v>06.12.2021</v>
      </c>
      <c r="AQ17" s="1249"/>
      <c r="AR17" s="1249"/>
      <c r="AS17" s="256"/>
      <c r="AT17" s="256"/>
      <c r="AU17" s="256" t="s">
        <v>1372</v>
      </c>
      <c r="AV17" s="55"/>
      <c r="AW17" s="17"/>
      <c r="AX17" s="13" t="s">
        <v>1338</v>
      </c>
      <c r="AY17" s="14" t="s">
        <v>1603</v>
      </c>
      <c r="AZ17" s="1298"/>
      <c r="BB17" s="13">
        <f>2061000*86.6</f>
        <v>178482600</v>
      </c>
    </row>
    <row r="18" spans="3:59" ht="20.25" customHeight="1" x14ac:dyDescent="0.3">
      <c r="C18" s="69"/>
      <c r="D18" s="188"/>
      <c r="E18" s="119"/>
      <c r="F18" s="119"/>
      <c r="G18" s="188"/>
      <c r="H18" s="739"/>
      <c r="I18" s="119"/>
      <c r="J18" s="119"/>
      <c r="K18" s="188">
        <v>30</v>
      </c>
      <c r="L18" s="739" t="s">
        <v>347</v>
      </c>
      <c r="M18" s="739">
        <v>1374000</v>
      </c>
      <c r="N18" s="749">
        <v>86.9</v>
      </c>
      <c r="O18" s="739">
        <f t="shared" si="0"/>
        <v>119400600.00000001</v>
      </c>
      <c r="P18" s="119"/>
      <c r="Q18" s="188"/>
      <c r="R18" s="188"/>
      <c r="S18" s="188"/>
      <c r="T18" s="740"/>
      <c r="U18" s="119" t="s">
        <v>1325</v>
      </c>
      <c r="V18" s="996" t="s">
        <v>1339</v>
      </c>
      <c r="W18" s="119"/>
      <c r="X18" s="748">
        <v>84463090</v>
      </c>
      <c r="Y18" s="119"/>
      <c r="Z18" s="995" t="s">
        <v>1600</v>
      </c>
      <c r="AA18" s="995" t="s">
        <v>1344</v>
      </c>
      <c r="AB18" s="741" t="s">
        <v>888</v>
      </c>
      <c r="AC18" s="741" t="s">
        <v>888</v>
      </c>
      <c r="AD18" s="116"/>
      <c r="AE18" s="742"/>
      <c r="AF18" s="1004" t="s">
        <v>1341</v>
      </c>
      <c r="AG18" s="1251"/>
      <c r="AH18" s="1095" t="s">
        <v>1422</v>
      </c>
      <c r="AI18" s="743"/>
      <c r="AJ18" s="256"/>
      <c r="AK18" s="256"/>
      <c r="AL18" s="757" t="s">
        <v>1342</v>
      </c>
      <c r="AM18" s="744">
        <f>AN18/1374000</f>
        <v>85.8</v>
      </c>
      <c r="AN18" s="758">
        <v>117889200</v>
      </c>
      <c r="AO18" s="745" t="s">
        <v>1370</v>
      </c>
      <c r="AP18" s="745" t="str">
        <f>AO18</f>
        <v>14.02.2022</v>
      </c>
      <c r="AQ18" s="1249"/>
      <c r="AR18" s="1249"/>
      <c r="AS18" s="256"/>
      <c r="AT18" s="256"/>
      <c r="AU18" s="256" t="s">
        <v>1372</v>
      </c>
      <c r="AV18" s="55"/>
      <c r="AW18" s="17"/>
      <c r="AX18" s="13" t="s">
        <v>1343</v>
      </c>
      <c r="AZ18" s="1298"/>
      <c r="BB18" s="13">
        <f>1374000*86.9</f>
        <v>119400600.00000001</v>
      </c>
    </row>
    <row r="19" spans="3:59" ht="20.25" customHeight="1" x14ac:dyDescent="0.3">
      <c r="C19" s="69"/>
      <c r="D19" s="188"/>
      <c r="E19" s="119"/>
      <c r="F19" s="119"/>
      <c r="G19" s="188"/>
      <c r="H19" s="739"/>
      <c r="I19" s="119"/>
      <c r="J19" s="119"/>
      <c r="K19" s="188">
        <v>25</v>
      </c>
      <c r="L19" s="739" t="s">
        <v>347</v>
      </c>
      <c r="M19" s="739">
        <f>K19*45800</f>
        <v>1145000</v>
      </c>
      <c r="N19" s="739">
        <v>85.85</v>
      </c>
      <c r="O19" s="739">
        <f t="shared" si="0"/>
        <v>98298250</v>
      </c>
      <c r="P19" s="119"/>
      <c r="Q19" s="188"/>
      <c r="R19" s="188"/>
      <c r="S19" s="188"/>
      <c r="T19" s="740"/>
      <c r="U19" s="119" t="s">
        <v>1325</v>
      </c>
      <c r="V19" s="996" t="s">
        <v>1361</v>
      </c>
      <c r="W19" s="119"/>
      <c r="X19" s="748">
        <v>84463090</v>
      </c>
      <c r="Y19" s="119"/>
      <c r="Z19" s="995" t="s">
        <v>1351</v>
      </c>
      <c r="AA19" s="995" t="s">
        <v>1352</v>
      </c>
      <c r="AB19" s="741" t="s">
        <v>888</v>
      </c>
      <c r="AC19" s="741" t="s">
        <v>888</v>
      </c>
      <c r="AD19" s="116"/>
      <c r="AE19" s="742"/>
      <c r="AF19" s="1004" t="s">
        <v>1353</v>
      </c>
      <c r="AG19" s="1251"/>
      <c r="AH19" s="1228" t="s">
        <v>1754</v>
      </c>
      <c r="AI19" s="743"/>
      <c r="AJ19" s="256"/>
      <c r="AK19" s="256"/>
      <c r="AL19" s="757" t="s">
        <v>1354</v>
      </c>
      <c r="AM19" s="1234">
        <f>AN19/2097000</f>
        <v>84.776034334763949</v>
      </c>
      <c r="AN19" s="1253">
        <v>177775344</v>
      </c>
      <c r="AO19" s="1238" t="s">
        <v>1368</v>
      </c>
      <c r="AP19" s="1238" t="str">
        <f>AO19</f>
        <v>03.01.2022</v>
      </c>
      <c r="AQ19" s="1249"/>
      <c r="AR19" s="1249"/>
      <c r="AS19" s="256"/>
      <c r="AT19" s="256"/>
      <c r="AU19" s="1226" t="s">
        <v>1372</v>
      </c>
      <c r="AV19" s="55"/>
      <c r="AW19" s="17"/>
      <c r="AX19" s="13" t="s">
        <v>1346</v>
      </c>
      <c r="AZ19" s="1298"/>
      <c r="BB19" s="1308">
        <f>2097000*85.85</f>
        <v>180027450</v>
      </c>
    </row>
    <row r="20" spans="3:59" ht="20.25" customHeight="1" x14ac:dyDescent="0.3">
      <c r="C20" s="69"/>
      <c r="D20" s="188"/>
      <c r="E20" s="119"/>
      <c r="F20" s="119"/>
      <c r="G20" s="188"/>
      <c r="H20" s="739"/>
      <c r="I20" s="119"/>
      <c r="J20" s="119"/>
      <c r="K20" s="188">
        <v>20</v>
      </c>
      <c r="L20" s="739" t="s">
        <v>347</v>
      </c>
      <c r="M20" s="739">
        <f>K20*47600</f>
        <v>952000</v>
      </c>
      <c r="N20" s="739">
        <v>85.85</v>
      </c>
      <c r="O20" s="739">
        <f t="shared" si="0"/>
        <v>81729200</v>
      </c>
      <c r="P20" s="119"/>
      <c r="Q20" s="188"/>
      <c r="R20" s="188"/>
      <c r="S20" s="188"/>
      <c r="T20" s="740"/>
      <c r="U20" s="119" t="s">
        <v>1349</v>
      </c>
      <c r="V20" s="996" t="s">
        <v>1350</v>
      </c>
      <c r="W20" s="119"/>
      <c r="X20" s="748">
        <v>84463090</v>
      </c>
      <c r="Y20" s="119"/>
      <c r="Z20" s="995" t="s">
        <v>1351</v>
      </c>
      <c r="AA20" s="995" t="s">
        <v>1352</v>
      </c>
      <c r="AB20" s="741" t="s">
        <v>888</v>
      </c>
      <c r="AC20" s="741" t="s">
        <v>888</v>
      </c>
      <c r="AD20" s="116"/>
      <c r="AE20" s="742"/>
      <c r="AF20" s="1004" t="s">
        <v>1353</v>
      </c>
      <c r="AG20" s="1251"/>
      <c r="AH20" s="1229"/>
      <c r="AI20" s="743"/>
      <c r="AJ20" s="256"/>
      <c r="AK20" s="256"/>
      <c r="AL20" s="757" t="s">
        <v>1355</v>
      </c>
      <c r="AM20" s="1235"/>
      <c r="AN20" s="1254"/>
      <c r="AO20" s="1239"/>
      <c r="AP20" s="1239"/>
      <c r="AQ20" s="1249"/>
      <c r="AR20" s="1249"/>
      <c r="AS20" s="256"/>
      <c r="AT20" s="256"/>
      <c r="AU20" s="1227"/>
      <c r="AV20" s="55"/>
      <c r="AW20" s="17"/>
      <c r="AX20" s="13" t="s">
        <v>1346</v>
      </c>
      <c r="AZ20" s="1298"/>
      <c r="BB20" s="1308"/>
    </row>
    <row r="21" spans="3:59" ht="20.25" customHeight="1" x14ac:dyDescent="0.3">
      <c r="C21" s="69"/>
      <c r="D21" s="188"/>
      <c r="E21" s="119"/>
      <c r="F21" s="119"/>
      <c r="G21" s="188"/>
      <c r="H21" s="739"/>
      <c r="I21" s="119"/>
      <c r="J21" s="119"/>
      <c r="K21" s="188">
        <v>17</v>
      </c>
      <c r="L21" s="739" t="s">
        <v>347</v>
      </c>
      <c r="M21" s="739">
        <f>45800*K21</f>
        <v>778600</v>
      </c>
      <c r="N21" s="739">
        <v>85.7</v>
      </c>
      <c r="O21" s="739">
        <f t="shared" si="0"/>
        <v>66726020</v>
      </c>
      <c r="P21" s="119"/>
      <c r="Q21" s="188"/>
      <c r="R21" s="188"/>
      <c r="S21" s="188"/>
      <c r="T21" s="740"/>
      <c r="U21" s="119" t="s">
        <v>1325</v>
      </c>
      <c r="V21" s="996" t="s">
        <v>1362</v>
      </c>
      <c r="W21" s="119"/>
      <c r="X21" s="748">
        <v>84463090</v>
      </c>
      <c r="Y21" s="119"/>
      <c r="Z21" s="995" t="s">
        <v>1601</v>
      </c>
      <c r="AA21" s="995" t="s">
        <v>1356</v>
      </c>
      <c r="AB21" s="741" t="s">
        <v>888</v>
      </c>
      <c r="AC21" s="741" t="s">
        <v>888</v>
      </c>
      <c r="AD21" s="116"/>
      <c r="AE21" s="742"/>
      <c r="AF21" s="1004" t="s">
        <v>1359</v>
      </c>
      <c r="AG21" s="1251"/>
      <c r="AH21" s="1228" t="s">
        <v>1755</v>
      </c>
      <c r="AI21" s="743"/>
      <c r="AJ21" s="256"/>
      <c r="AK21" s="256"/>
      <c r="AL21" s="757" t="s">
        <v>1357</v>
      </c>
      <c r="AM21" s="1234">
        <f>AN21/1349800</f>
        <v>83.902000296340205</v>
      </c>
      <c r="AN21" s="1257">
        <v>113250920</v>
      </c>
      <c r="AO21" s="1247" t="s">
        <v>1369</v>
      </c>
      <c r="AP21" s="1238" t="str">
        <f>AO21</f>
        <v>04.03.2022</v>
      </c>
      <c r="AQ21" s="1249"/>
      <c r="AR21" s="1249"/>
      <c r="AS21" s="256"/>
      <c r="AT21" s="256"/>
      <c r="AU21" s="1226" t="s">
        <v>1372</v>
      </c>
      <c r="AV21" s="55"/>
      <c r="AW21" s="17"/>
      <c r="AX21" s="13" t="s">
        <v>1346</v>
      </c>
      <c r="AZ21" s="1298"/>
      <c r="BB21" s="1299">
        <f>1349800*85.7</f>
        <v>115677860</v>
      </c>
    </row>
    <row r="22" spans="3:59" ht="41.25" customHeight="1" x14ac:dyDescent="0.3">
      <c r="C22" s="69"/>
      <c r="D22" s="188"/>
      <c r="E22" s="119"/>
      <c r="F22" s="119"/>
      <c r="G22" s="188"/>
      <c r="H22" s="739"/>
      <c r="I22" s="119"/>
      <c r="J22" s="119"/>
      <c r="K22" s="188">
        <v>12</v>
      </c>
      <c r="L22" s="739" t="s">
        <v>347</v>
      </c>
      <c r="M22" s="739">
        <f>47600*K22</f>
        <v>571200</v>
      </c>
      <c r="N22" s="739">
        <f>N21</f>
        <v>85.7</v>
      </c>
      <c r="O22" s="739">
        <f>M22*N22</f>
        <v>48951840</v>
      </c>
      <c r="P22" s="119"/>
      <c r="Q22" s="188"/>
      <c r="R22" s="188"/>
      <c r="S22" s="188"/>
      <c r="T22" s="740"/>
      <c r="U22" s="119" t="s">
        <v>1349</v>
      </c>
      <c r="V22" s="996" t="s">
        <v>1363</v>
      </c>
      <c r="W22" s="119"/>
      <c r="X22" s="748">
        <v>84463090</v>
      </c>
      <c r="Y22" s="119"/>
      <c r="Z22" s="995" t="s">
        <v>1601</v>
      </c>
      <c r="AA22" s="995" t="s">
        <v>1356</v>
      </c>
      <c r="AB22" s="1002" t="s">
        <v>888</v>
      </c>
      <c r="AC22" s="1002" t="s">
        <v>888</v>
      </c>
      <c r="AD22" s="1003"/>
      <c r="AE22" s="1004"/>
      <c r="AF22" s="1004" t="s">
        <v>1359</v>
      </c>
      <c r="AG22" s="1252"/>
      <c r="AH22" s="1229"/>
      <c r="AI22" s="743"/>
      <c r="AJ22" s="256"/>
      <c r="AK22" s="256"/>
      <c r="AL22" s="757" t="s">
        <v>1358</v>
      </c>
      <c r="AM22" s="1235"/>
      <c r="AN22" s="1258"/>
      <c r="AO22" s="1248"/>
      <c r="AP22" s="1239"/>
      <c r="AQ22" s="1227"/>
      <c r="AR22" s="1227"/>
      <c r="AS22" s="256"/>
      <c r="AT22" s="256"/>
      <c r="AU22" s="1227"/>
      <c r="AV22" s="55"/>
      <c r="AW22" s="17"/>
      <c r="AX22" s="13" t="s">
        <v>1346</v>
      </c>
      <c r="AZ22" s="1298"/>
      <c r="BB22" s="1299"/>
    </row>
    <row r="23" spans="3:59" ht="20.25" customHeight="1" x14ac:dyDescent="0.3">
      <c r="C23" s="1015"/>
      <c r="D23" s="1015"/>
      <c r="E23" s="1015"/>
      <c r="F23" s="1015"/>
      <c r="G23" s="1015"/>
      <c r="H23" s="1016">
        <f>H14</f>
        <v>994464000</v>
      </c>
      <c r="I23" s="1015"/>
      <c r="J23" s="1015"/>
      <c r="K23" s="1015"/>
      <c r="L23" s="1015"/>
      <c r="M23" s="1016">
        <f>M14</f>
        <v>11003800</v>
      </c>
      <c r="N23" s="1015"/>
      <c r="O23" s="1015">
        <f>O14</f>
        <v>957458060</v>
      </c>
      <c r="P23" s="1015"/>
      <c r="Q23" s="1015"/>
      <c r="R23" s="1015"/>
      <c r="S23" s="1015"/>
      <c r="T23" s="1015"/>
      <c r="U23" s="1015"/>
      <c r="V23" s="1015"/>
      <c r="W23" s="1015"/>
      <c r="X23" s="1015"/>
      <c r="Y23" s="1015"/>
      <c r="Z23" s="1015"/>
      <c r="AA23" s="1015"/>
      <c r="AB23" s="1015"/>
      <c r="AC23" s="1015"/>
      <c r="AD23" s="1015"/>
      <c r="AE23" s="1015"/>
      <c r="AF23" s="1015"/>
      <c r="AG23" s="1015"/>
      <c r="AH23" s="1015"/>
      <c r="AI23" s="1015"/>
      <c r="AJ23" s="1015"/>
      <c r="AK23" s="1015"/>
      <c r="AL23" s="1016"/>
      <c r="AM23" s="1015"/>
      <c r="AN23" s="1016">
        <f>AN14</f>
        <v>941669537</v>
      </c>
      <c r="AO23" s="1015"/>
      <c r="AP23" s="1015"/>
      <c r="AQ23" s="1015"/>
      <c r="AR23" s="1015"/>
      <c r="AS23" s="1015"/>
      <c r="AT23" s="1015"/>
      <c r="AU23" s="1015"/>
      <c r="AV23" s="1015"/>
      <c r="AW23" s="1015"/>
      <c r="BA23" s="13">
        <f>H23</f>
        <v>994464000</v>
      </c>
      <c r="BB23" s="13">
        <f>SUM(BB13:BB22)</f>
        <v>957458060</v>
      </c>
      <c r="BC23" s="13">
        <f>AN23</f>
        <v>941669537</v>
      </c>
      <c r="BD23" s="13">
        <f>MIN(BA23,BB23,BC23)</f>
        <v>941669537</v>
      </c>
      <c r="BE23" s="686">
        <f>BD23*10%</f>
        <v>94166953.700000003</v>
      </c>
      <c r="BG23" s="13">
        <f>BA23/240*239</f>
        <v>990320400</v>
      </c>
    </row>
    <row r="24" spans="3:59" ht="20.25" customHeight="1" x14ac:dyDescent="0.3">
      <c r="C24" s="69"/>
      <c r="D24" s="188"/>
      <c r="E24" s="119"/>
      <c r="F24" s="119"/>
      <c r="G24" s="188"/>
      <c r="H24" s="739"/>
      <c r="I24" s="119"/>
      <c r="J24" s="119"/>
      <c r="K24" s="188"/>
      <c r="L24" s="739"/>
      <c r="M24" s="739"/>
      <c r="N24" s="739"/>
      <c r="O24" s="739"/>
      <c r="P24" s="119"/>
      <c r="Q24" s="188"/>
      <c r="R24" s="188"/>
      <c r="S24" s="188"/>
      <c r="T24" s="740"/>
      <c r="U24" s="119"/>
      <c r="V24" s="119"/>
      <c r="W24" s="119"/>
      <c r="X24" s="119"/>
      <c r="Y24" s="119"/>
      <c r="Z24" s="188"/>
      <c r="AA24" s="188"/>
      <c r="AB24" s="741"/>
      <c r="AC24" s="741"/>
      <c r="AD24" s="116"/>
      <c r="AE24" s="742"/>
      <c r="AF24" s="742"/>
      <c r="AG24" s="256"/>
      <c r="AH24" s="188"/>
      <c r="AI24" s="743"/>
      <c r="AJ24" s="256"/>
      <c r="AK24" s="256"/>
      <c r="AL24" s="757"/>
      <c r="AM24" s="744"/>
      <c r="AN24" s="757"/>
      <c r="AO24" s="745"/>
      <c r="AP24" s="745"/>
      <c r="AQ24" s="256"/>
      <c r="AR24" s="256"/>
      <c r="AS24" s="256"/>
      <c r="AT24" s="256"/>
      <c r="AU24" s="256"/>
      <c r="AV24" s="55"/>
      <c r="AW24" s="17"/>
    </row>
    <row r="25" spans="3:59" ht="20.25" customHeight="1" x14ac:dyDescent="0.3">
      <c r="C25" s="69"/>
      <c r="D25" s="188">
        <v>3</v>
      </c>
      <c r="E25" s="119" t="str">
        <f>'UID application COMBINE Mc list'!B25</f>
        <v>Ultrasonic cleaning machines for Reed</v>
      </c>
      <c r="F25" s="119"/>
      <c r="G25" s="188">
        <f>'UID application COMBINE Mc list'!D25</f>
        <v>1</v>
      </c>
      <c r="H25" s="739">
        <f>'UID application COMBINE Mc list'!H25</f>
        <v>8100000.0000000009</v>
      </c>
      <c r="I25" s="119" t="s">
        <v>649</v>
      </c>
      <c r="J25" s="119"/>
      <c r="K25" s="188">
        <v>0</v>
      </c>
      <c r="L25" s="739"/>
      <c r="M25" s="739"/>
      <c r="N25" s="739"/>
      <c r="O25" s="739"/>
      <c r="P25" s="119"/>
      <c r="Q25" s="188"/>
      <c r="R25" s="188"/>
      <c r="S25" s="188"/>
      <c r="T25" s="740"/>
      <c r="U25" s="119"/>
      <c r="V25" s="119"/>
      <c r="W25" s="119"/>
      <c r="X25" s="119"/>
      <c r="Y25" s="119"/>
      <c r="Z25" s="188"/>
      <c r="AA25" s="188"/>
      <c r="AB25" s="741"/>
      <c r="AC25" s="741"/>
      <c r="AD25" s="116"/>
      <c r="AE25" s="742"/>
      <c r="AF25" s="742"/>
      <c r="AG25" s="256"/>
      <c r="AH25" s="188"/>
      <c r="AI25" s="743"/>
      <c r="AJ25" s="256"/>
      <c r="AK25" s="256"/>
      <c r="AL25" s="757"/>
      <c r="AM25" s="744"/>
      <c r="AN25" s="757"/>
      <c r="AO25" s="745"/>
      <c r="AP25" s="745"/>
      <c r="AQ25" s="256"/>
      <c r="AR25" s="256"/>
      <c r="AS25" s="256"/>
      <c r="AT25" s="256"/>
      <c r="AU25" s="256"/>
      <c r="AV25" s="55"/>
      <c r="AW25" s="17"/>
    </row>
    <row r="26" spans="3:59" ht="20.25" customHeight="1" x14ac:dyDescent="0.3">
      <c r="C26" s="69"/>
      <c r="D26" s="188"/>
      <c r="E26" s="119"/>
      <c r="F26" s="119"/>
      <c r="G26" s="188"/>
      <c r="H26" s="739"/>
      <c r="I26" s="119"/>
      <c r="J26" s="119"/>
      <c r="K26" s="188"/>
      <c r="L26" s="739"/>
      <c r="M26" s="739"/>
      <c r="N26" s="739"/>
      <c r="O26" s="739"/>
      <c r="P26" s="119"/>
      <c r="Q26" s="188"/>
      <c r="R26" s="188"/>
      <c r="S26" s="188"/>
      <c r="T26" s="740"/>
      <c r="U26" s="119"/>
      <c r="V26" s="119"/>
      <c r="W26" s="119"/>
      <c r="X26" s="119"/>
      <c r="Y26" s="119"/>
      <c r="Z26" s="188"/>
      <c r="AA26" s="188"/>
      <c r="AB26" s="741"/>
      <c r="AC26" s="741"/>
      <c r="AD26" s="116"/>
      <c r="AE26" s="742"/>
      <c r="AF26" s="742"/>
      <c r="AG26" s="256"/>
      <c r="AH26" s="188"/>
      <c r="AI26" s="743"/>
      <c r="AJ26" s="256"/>
      <c r="AK26" s="256"/>
      <c r="AL26" s="757"/>
      <c r="AM26" s="744"/>
      <c r="AN26" s="757"/>
      <c r="AO26" s="745"/>
      <c r="AP26" s="745"/>
      <c r="AQ26" s="256"/>
      <c r="AR26" s="256"/>
      <c r="AS26" s="256"/>
      <c r="AT26" s="256"/>
      <c r="AU26" s="256"/>
      <c r="AV26" s="55"/>
      <c r="AW26" s="17"/>
    </row>
    <row r="27" spans="3:59" ht="20.25" customHeight="1" x14ac:dyDescent="0.3">
      <c r="C27" s="761"/>
      <c r="D27" s="762"/>
      <c r="E27" s="763"/>
      <c r="F27" s="763"/>
      <c r="G27" s="762"/>
      <c r="H27" s="764">
        <f>H25</f>
        <v>8100000.0000000009</v>
      </c>
      <c r="I27" s="763"/>
      <c r="J27" s="763"/>
      <c r="K27" s="762"/>
      <c r="L27" s="764"/>
      <c r="M27" s="762">
        <f>M25</f>
        <v>0</v>
      </c>
      <c r="N27" s="764"/>
      <c r="O27" s="762">
        <f>O25</f>
        <v>0</v>
      </c>
      <c r="P27" s="763"/>
      <c r="Q27" s="762"/>
      <c r="R27" s="762"/>
      <c r="S27" s="762"/>
      <c r="T27" s="765"/>
      <c r="U27" s="763"/>
      <c r="V27" s="763"/>
      <c r="W27" s="763"/>
      <c r="X27" s="763"/>
      <c r="Y27" s="763"/>
      <c r="Z27" s="762"/>
      <c r="AA27" s="762"/>
      <c r="AB27" s="766"/>
      <c r="AC27" s="766"/>
      <c r="AD27" s="767"/>
      <c r="AE27" s="768"/>
      <c r="AF27" s="768"/>
      <c r="AG27" s="769"/>
      <c r="AH27" s="762"/>
      <c r="AI27" s="770"/>
      <c r="AJ27" s="769"/>
      <c r="AK27" s="769"/>
      <c r="AL27" s="790"/>
      <c r="AM27" s="771"/>
      <c r="AN27" s="764">
        <f>AN25</f>
        <v>0</v>
      </c>
      <c r="AO27" s="772"/>
      <c r="AP27" s="772"/>
      <c r="AQ27" s="769"/>
      <c r="AR27" s="769"/>
      <c r="AS27" s="769"/>
      <c r="AT27" s="769"/>
      <c r="AU27" s="769"/>
      <c r="AV27" s="55"/>
      <c r="AW27" s="17"/>
    </row>
    <row r="28" spans="3:59" ht="20.25" customHeight="1" x14ac:dyDescent="0.3">
      <c r="C28" s="69"/>
      <c r="D28" s="188"/>
      <c r="E28" s="119"/>
      <c r="F28" s="119"/>
      <c r="G28" s="188"/>
      <c r="H28" s="739"/>
      <c r="I28" s="119"/>
      <c r="J28" s="119"/>
      <c r="K28" s="188"/>
      <c r="L28" s="739"/>
      <c r="M28" s="739"/>
      <c r="N28" s="739"/>
      <c r="O28" s="739"/>
      <c r="P28" s="119"/>
      <c r="Q28" s="188"/>
      <c r="R28" s="188"/>
      <c r="S28" s="188"/>
      <c r="T28" s="740"/>
      <c r="U28" s="119"/>
      <c r="V28" s="119"/>
      <c r="W28" s="119"/>
      <c r="X28" s="119"/>
      <c r="Y28" s="119"/>
      <c r="Z28" s="188"/>
      <c r="AA28" s="188"/>
      <c r="AB28" s="741"/>
      <c r="AC28" s="741"/>
      <c r="AD28" s="116"/>
      <c r="AE28" s="742"/>
      <c r="AF28" s="742"/>
      <c r="AG28" s="256"/>
      <c r="AH28" s="188"/>
      <c r="AI28" s="743"/>
      <c r="AJ28" s="256"/>
      <c r="AK28" s="256"/>
      <c r="AL28" s="757"/>
      <c r="AM28" s="744"/>
      <c r="AN28" s="757"/>
      <c r="AO28" s="745"/>
      <c r="AP28" s="745"/>
      <c r="AQ28" s="256"/>
      <c r="AR28" s="256"/>
      <c r="AS28" s="256"/>
      <c r="AT28" s="256"/>
      <c r="AU28" s="256"/>
      <c r="AV28" s="55"/>
      <c r="AW28" s="17"/>
    </row>
    <row r="29" spans="3:59" ht="20.25" customHeight="1" x14ac:dyDescent="0.3">
      <c r="C29" s="712" t="s">
        <v>1373</v>
      </c>
      <c r="D29" s="188">
        <v>4</v>
      </c>
      <c r="E29" s="119" t="str">
        <f>'UID application COMBINE Mc list'!B26</f>
        <v xml:space="preserve">Automatic Drawing in/Warp reaching, Tying and Leasing-in machine </v>
      </c>
      <c r="F29" s="119"/>
      <c r="G29" s="188">
        <f>'UID application COMBINE Mc list'!D26</f>
        <v>4</v>
      </c>
      <c r="H29" s="739">
        <f>'UID application COMBINE Mc list'!H26</f>
        <v>57600000</v>
      </c>
      <c r="I29" s="829" t="str">
        <f>E29</f>
        <v xml:space="preserve">Automatic Drawing in/Warp reaching, Tying and Leasing-in machine </v>
      </c>
      <c r="J29" s="119"/>
      <c r="K29" s="188">
        <v>1</v>
      </c>
      <c r="L29" s="739"/>
      <c r="M29" s="739">
        <v>515000</v>
      </c>
      <c r="N29" s="739">
        <v>82.4</v>
      </c>
      <c r="O29" s="739">
        <f>M29*N29</f>
        <v>42436000</v>
      </c>
      <c r="P29" s="119" t="s">
        <v>1375</v>
      </c>
      <c r="Q29" s="1228" t="s">
        <v>649</v>
      </c>
      <c r="R29" s="1228" t="s">
        <v>649</v>
      </c>
      <c r="S29" s="1228" t="s">
        <v>649</v>
      </c>
      <c r="T29" s="740"/>
      <c r="U29" s="119" t="s">
        <v>1376</v>
      </c>
      <c r="V29" s="996" t="s">
        <v>1378</v>
      </c>
      <c r="W29" s="119"/>
      <c r="X29" s="781">
        <v>84481900</v>
      </c>
      <c r="Y29" s="119"/>
      <c r="Z29" s="995" t="s">
        <v>1380</v>
      </c>
      <c r="AA29" s="1302" t="s">
        <v>1382</v>
      </c>
      <c r="AB29" s="741" t="s">
        <v>1229</v>
      </c>
      <c r="AC29" s="741" t="s">
        <v>1229</v>
      </c>
      <c r="AD29" s="116" t="s">
        <v>653</v>
      </c>
      <c r="AE29" s="742" t="s">
        <v>649</v>
      </c>
      <c r="AF29" s="1309" t="s">
        <v>1383</v>
      </c>
      <c r="AG29" s="1245" t="s">
        <v>1381</v>
      </c>
      <c r="AH29" s="188"/>
      <c r="AI29" s="743" t="s">
        <v>502</v>
      </c>
      <c r="AJ29" s="256"/>
      <c r="AK29" s="951">
        <v>44614</v>
      </c>
      <c r="AL29" s="1253" t="s">
        <v>1384</v>
      </c>
      <c r="AM29" s="744">
        <f>AN29/62000</f>
        <v>81.762903225806454</v>
      </c>
      <c r="AN29" s="782">
        <v>5069300</v>
      </c>
      <c r="AO29" s="745" t="s">
        <v>1385</v>
      </c>
      <c r="AP29" s="745">
        <v>44432</v>
      </c>
      <c r="AQ29" s="256" t="s">
        <v>1309</v>
      </c>
      <c r="AR29" s="256"/>
      <c r="AS29" s="256"/>
      <c r="AT29" s="256"/>
      <c r="AU29" s="256" t="s">
        <v>1311</v>
      </c>
      <c r="AV29" s="55"/>
      <c r="AW29" s="17"/>
      <c r="AY29" s="13" t="s">
        <v>1604</v>
      </c>
      <c r="AZ29" s="1298" t="s">
        <v>1697</v>
      </c>
      <c r="BB29" s="1308">
        <f>620000*82.4</f>
        <v>51088000</v>
      </c>
    </row>
    <row r="30" spans="3:59" ht="20.25" customHeight="1" x14ac:dyDescent="0.3">
      <c r="C30" s="69"/>
      <c r="D30" s="188"/>
      <c r="E30" s="119"/>
      <c r="F30" s="119"/>
      <c r="G30" s="827"/>
      <c r="H30" s="739"/>
      <c r="I30" s="829" t="s">
        <v>1374</v>
      </c>
      <c r="J30" s="780"/>
      <c r="K30" s="188">
        <v>3</v>
      </c>
      <c r="L30" s="739"/>
      <c r="M30" s="739">
        <f>35000*3</f>
        <v>105000</v>
      </c>
      <c r="N30" s="739">
        <v>82.4</v>
      </c>
      <c r="O30" s="739">
        <f>M30*N30</f>
        <v>8652000</v>
      </c>
      <c r="P30" s="119" t="s">
        <v>1375</v>
      </c>
      <c r="Q30" s="1229"/>
      <c r="R30" s="1229"/>
      <c r="S30" s="1229"/>
      <c r="T30" s="740"/>
      <c r="U30" s="119" t="s">
        <v>1377</v>
      </c>
      <c r="V30" s="996" t="s">
        <v>1379</v>
      </c>
      <c r="W30" s="119"/>
      <c r="X30" s="781">
        <v>84481900</v>
      </c>
      <c r="Y30" s="119"/>
      <c r="Z30" s="995" t="s">
        <v>1380</v>
      </c>
      <c r="AA30" s="1303"/>
      <c r="AB30" s="741" t="s">
        <v>1229</v>
      </c>
      <c r="AC30" s="741" t="s">
        <v>1229</v>
      </c>
      <c r="AD30" s="116" t="s">
        <v>653</v>
      </c>
      <c r="AE30" s="742" t="s">
        <v>649</v>
      </c>
      <c r="AF30" s="1310"/>
      <c r="AG30" s="1246"/>
      <c r="AH30" s="188"/>
      <c r="AI30" s="743" t="s">
        <v>1411</v>
      </c>
      <c r="AJ30" s="256"/>
      <c r="AK30" s="951">
        <v>44614</v>
      </c>
      <c r="AL30" s="1254"/>
      <c r="AM30" s="744">
        <f>AN30/558000</f>
        <v>81.430000000000007</v>
      </c>
      <c r="AN30" s="757">
        <v>45437940</v>
      </c>
      <c r="AO30" s="745" t="s">
        <v>1386</v>
      </c>
      <c r="AP30" s="745">
        <v>44432</v>
      </c>
      <c r="AQ30" s="256" t="s">
        <v>1371</v>
      </c>
      <c r="AR30" s="256"/>
      <c r="AS30" s="256"/>
      <c r="AT30" s="256"/>
      <c r="AU30" s="256" t="s">
        <v>1372</v>
      </c>
      <c r="AV30" s="55"/>
      <c r="AW30" s="17"/>
      <c r="AZ30" s="1298"/>
      <c r="BB30" s="1308"/>
    </row>
    <row r="31" spans="3:59" ht="20.25" customHeight="1" x14ac:dyDescent="0.3">
      <c r="C31" s="69"/>
      <c r="D31" s="188"/>
      <c r="E31" s="119"/>
      <c r="F31" s="119"/>
      <c r="G31" s="188"/>
      <c r="H31" s="739"/>
      <c r="I31" s="119"/>
      <c r="J31" s="119"/>
      <c r="K31" s="188"/>
      <c r="L31" s="739"/>
      <c r="M31" s="739"/>
      <c r="N31" s="739"/>
      <c r="O31" s="739"/>
      <c r="P31" s="119"/>
      <c r="Q31" s="188"/>
      <c r="R31" s="188"/>
      <c r="S31" s="188"/>
      <c r="T31" s="740"/>
      <c r="U31" s="119"/>
      <c r="V31" s="119"/>
      <c r="W31" s="119"/>
      <c r="X31" s="119"/>
      <c r="Y31" s="119"/>
      <c r="Z31" s="188"/>
      <c r="AA31" s="188"/>
      <c r="AB31" s="741"/>
      <c r="AC31" s="741"/>
      <c r="AD31" s="116"/>
      <c r="AE31" s="742"/>
      <c r="AF31" s="742"/>
      <c r="AG31" s="256"/>
      <c r="AH31" s="188"/>
      <c r="AI31" s="743"/>
      <c r="AJ31" s="256"/>
      <c r="AK31" s="256"/>
      <c r="AL31" s="757"/>
      <c r="AM31" s="744"/>
      <c r="AN31" s="757"/>
      <c r="AO31" s="745"/>
      <c r="AP31" s="745"/>
      <c r="AQ31" s="256"/>
      <c r="AR31" s="256"/>
      <c r="AS31" s="256"/>
      <c r="AT31" s="256"/>
      <c r="AU31" s="256"/>
      <c r="AV31" s="55"/>
      <c r="AW31" s="17"/>
    </row>
    <row r="32" spans="3:59" s="683" customFormat="1" ht="20.25" customHeight="1" x14ac:dyDescent="0.3">
      <c r="C32" s="1017"/>
      <c r="D32" s="1019"/>
      <c r="E32" s="1020"/>
      <c r="F32" s="1020"/>
      <c r="G32" s="1019"/>
      <c r="H32" s="1014">
        <f>H30+H29</f>
        <v>57600000</v>
      </c>
      <c r="I32" s="1020"/>
      <c r="J32" s="1020"/>
      <c r="K32" s="1019"/>
      <c r="L32" s="1014"/>
      <c r="M32" s="1014"/>
      <c r="N32" s="1014"/>
      <c r="O32" s="1014">
        <f>O30+O29</f>
        <v>51088000</v>
      </c>
      <c r="P32" s="1020"/>
      <c r="Q32" s="1019"/>
      <c r="R32" s="1019"/>
      <c r="S32" s="1019"/>
      <c r="T32" s="1024"/>
      <c r="U32" s="1020"/>
      <c r="V32" s="1020"/>
      <c r="W32" s="1020"/>
      <c r="X32" s="1020"/>
      <c r="Y32" s="1020"/>
      <c r="Z32" s="1019"/>
      <c r="AA32" s="1019"/>
      <c r="AB32" s="1027"/>
      <c r="AC32" s="1027"/>
      <c r="AD32" s="1028"/>
      <c r="AE32" s="1029"/>
      <c r="AF32" s="1029"/>
      <c r="AG32" s="1030"/>
      <c r="AH32" s="1019"/>
      <c r="AI32" s="1031"/>
      <c r="AJ32" s="1030"/>
      <c r="AK32" s="1030"/>
      <c r="AL32" s="1036"/>
      <c r="AM32" s="1032"/>
      <c r="AN32" s="1014">
        <f>AN30+AN29</f>
        <v>50507240</v>
      </c>
      <c r="AO32" s="1033"/>
      <c r="AP32" s="1033"/>
      <c r="AQ32" s="1030"/>
      <c r="AR32" s="1030"/>
      <c r="AS32" s="1030"/>
      <c r="AT32" s="1030"/>
      <c r="AU32" s="1030"/>
      <c r="AV32" s="1018"/>
      <c r="AW32" s="532"/>
      <c r="BA32" s="683">
        <f>H32</f>
        <v>57600000</v>
      </c>
      <c r="BB32" s="683">
        <f>BB29</f>
        <v>51088000</v>
      </c>
      <c r="BC32" s="683">
        <f>AN32</f>
        <v>50507240</v>
      </c>
      <c r="BD32" s="683">
        <f>MIN(BA32,BB32,BC32)</f>
        <v>50507240</v>
      </c>
      <c r="BE32" s="683">
        <f>BD32*10%</f>
        <v>5050724</v>
      </c>
    </row>
    <row r="33" spans="2:58" ht="20.25" customHeight="1" x14ac:dyDescent="0.3">
      <c r="C33" s="69"/>
      <c r="D33" s="188"/>
      <c r="E33" s="119"/>
      <c r="F33" s="119"/>
      <c r="G33" s="188"/>
      <c r="H33" s="739"/>
      <c r="I33" s="119"/>
      <c r="J33" s="119"/>
      <c r="K33" s="188"/>
      <c r="L33" s="739"/>
      <c r="M33" s="739"/>
      <c r="N33" s="739"/>
      <c r="O33" s="739"/>
      <c r="P33" s="119"/>
      <c r="Q33" s="188"/>
      <c r="R33" s="188"/>
      <c r="S33" s="188"/>
      <c r="T33" s="740"/>
      <c r="U33" s="119"/>
      <c r="V33" s="119"/>
      <c r="W33" s="119"/>
      <c r="X33" s="119"/>
      <c r="Y33" s="119"/>
      <c r="Z33" s="188"/>
      <c r="AA33" s="188"/>
      <c r="AB33" s="741"/>
      <c r="AC33" s="741"/>
      <c r="AD33" s="116"/>
      <c r="AE33" s="742"/>
      <c r="AF33" s="742"/>
      <c r="AG33" s="256"/>
      <c r="AH33" s="188"/>
      <c r="AI33" s="743"/>
      <c r="AJ33" s="256"/>
      <c r="AK33" s="256"/>
      <c r="AL33" s="757"/>
      <c r="AM33" s="744"/>
      <c r="AN33" s="757"/>
      <c r="AO33" s="745"/>
      <c r="AP33" s="745"/>
      <c r="AQ33" s="256"/>
      <c r="AR33" s="256"/>
      <c r="AS33" s="256"/>
      <c r="AT33" s="256"/>
      <c r="AU33" s="256"/>
      <c r="AV33" s="55"/>
      <c r="AW33" s="17"/>
    </row>
    <row r="34" spans="2:58" ht="20.25" customHeight="1" x14ac:dyDescent="0.3">
      <c r="C34" s="69" t="s">
        <v>1387</v>
      </c>
      <c r="D34" s="188">
        <v>5</v>
      </c>
      <c r="E34" s="119" t="str">
        <f>'UID application COMBINE Mc list'!B27</f>
        <v>Battery operated trolley for Beam gaiting</v>
      </c>
      <c r="F34" s="119"/>
      <c r="G34" s="783" t="str">
        <f>'UID application COMBINE Mc list'!D27</f>
        <v>2 Lots</v>
      </c>
      <c r="H34" s="739">
        <f>'UID application COMBINE Mc list'!H27</f>
        <v>45900000</v>
      </c>
      <c r="I34" s="746" t="s">
        <v>1231</v>
      </c>
      <c r="J34" s="119"/>
      <c r="K34" s="188" t="s">
        <v>1388</v>
      </c>
      <c r="L34" s="739"/>
      <c r="M34" s="739">
        <v>128611</v>
      </c>
      <c r="N34" s="739">
        <v>88.1</v>
      </c>
      <c r="O34" s="739">
        <f>M34*N34</f>
        <v>11330629.1</v>
      </c>
      <c r="P34" s="119" t="s">
        <v>1387</v>
      </c>
      <c r="Q34" s="188" t="s">
        <v>649</v>
      </c>
      <c r="R34" s="188" t="s">
        <v>649</v>
      </c>
      <c r="S34" s="188" t="s">
        <v>649</v>
      </c>
      <c r="T34" s="740"/>
      <c r="U34" s="119"/>
      <c r="V34" s="119"/>
      <c r="W34" s="119"/>
      <c r="X34" s="119"/>
      <c r="Y34" s="119"/>
      <c r="Z34" s="188"/>
      <c r="AA34" s="188"/>
      <c r="AB34" s="741"/>
      <c r="AC34" s="741"/>
      <c r="AD34" s="116"/>
      <c r="AE34" s="742"/>
      <c r="AF34" s="742"/>
      <c r="AG34" s="256"/>
      <c r="AH34" s="188"/>
      <c r="AI34" s="743" t="s">
        <v>502</v>
      </c>
      <c r="AJ34" s="256"/>
      <c r="AK34" s="951"/>
      <c r="AL34" s="757">
        <v>128611</v>
      </c>
      <c r="AM34" s="744">
        <f>AN34/AL34</f>
        <v>86.350001166307706</v>
      </c>
      <c r="AN34" s="757">
        <v>11105560</v>
      </c>
      <c r="AO34" s="785" t="str">
        <f>AO35</f>
        <v>27.09.2021</v>
      </c>
      <c r="AP34" s="745" t="str">
        <f>AO34</f>
        <v>27.09.2021</v>
      </c>
      <c r="AQ34" s="256"/>
      <c r="AR34" s="256"/>
      <c r="AS34" s="256"/>
      <c r="AT34" s="256"/>
      <c r="AU34" s="256"/>
      <c r="AV34" s="55"/>
      <c r="AW34" s="17"/>
      <c r="AZ34" s="1299" t="s">
        <v>1698</v>
      </c>
    </row>
    <row r="35" spans="2:58" ht="20.25" customHeight="1" x14ac:dyDescent="0.3">
      <c r="C35" s="69"/>
      <c r="D35" s="188"/>
      <c r="E35" s="119"/>
      <c r="F35" s="119"/>
      <c r="G35" s="188"/>
      <c r="H35" s="739"/>
      <c r="I35" s="746" t="s">
        <v>1231</v>
      </c>
      <c r="J35" s="119"/>
      <c r="K35" s="188" t="s">
        <v>1389</v>
      </c>
      <c r="L35" s="739" t="s">
        <v>347</v>
      </c>
      <c r="M35" s="739">
        <f>2*(25346+1156.75)</f>
        <v>53005.5</v>
      </c>
      <c r="N35" s="739">
        <v>88.1</v>
      </c>
      <c r="O35" s="739">
        <f>M35*N35</f>
        <v>4669784.55</v>
      </c>
      <c r="P35" s="1311" t="s">
        <v>1387</v>
      </c>
      <c r="Q35" s="188"/>
      <c r="R35" s="188"/>
      <c r="S35" s="188"/>
      <c r="T35" s="740"/>
      <c r="U35" s="996" t="s">
        <v>1390</v>
      </c>
      <c r="V35" s="996" t="s">
        <v>1392</v>
      </c>
      <c r="W35" s="1294" t="s">
        <v>1394</v>
      </c>
      <c r="X35" s="781">
        <v>84271090</v>
      </c>
      <c r="Y35" s="119"/>
      <c r="Z35" s="1302" t="s">
        <v>1397</v>
      </c>
      <c r="AA35" s="1302" t="s">
        <v>1398</v>
      </c>
      <c r="AB35" s="1296" t="s">
        <v>1396</v>
      </c>
      <c r="AC35" s="1296" t="s">
        <v>1399</v>
      </c>
      <c r="AD35" s="1228" t="s">
        <v>653</v>
      </c>
      <c r="AE35" s="1240" t="s">
        <v>649</v>
      </c>
      <c r="AF35" s="1309" t="s">
        <v>1400</v>
      </c>
      <c r="AG35" s="1250" t="s">
        <v>1395</v>
      </c>
      <c r="AH35" s="1302" t="s">
        <v>1414</v>
      </c>
      <c r="AI35" s="1296" t="s">
        <v>1745</v>
      </c>
      <c r="AJ35" s="256"/>
      <c r="AK35" s="951">
        <v>44546</v>
      </c>
      <c r="AL35" s="1232">
        <v>128611</v>
      </c>
      <c r="AM35" s="1234">
        <f>AN35/AL35</f>
        <v>86.350001166307706</v>
      </c>
      <c r="AN35" s="1232">
        <v>11105560</v>
      </c>
      <c r="AO35" s="1236" t="s">
        <v>1365</v>
      </c>
      <c r="AP35" s="1238" t="str">
        <f>AO35</f>
        <v>27.09.2021</v>
      </c>
      <c r="AQ35" s="1313" t="s">
        <v>1371</v>
      </c>
      <c r="AR35" s="256"/>
      <c r="AS35" s="256"/>
      <c r="AT35" s="256"/>
      <c r="AU35" s="256"/>
      <c r="AV35" s="55"/>
      <c r="AW35" s="17"/>
      <c r="AZ35" s="1299"/>
    </row>
    <row r="36" spans="2:58" ht="20.25" customHeight="1" x14ac:dyDescent="0.3">
      <c r="C36" s="69"/>
      <c r="D36" s="188"/>
      <c r="E36" s="119"/>
      <c r="F36" s="119"/>
      <c r="G36" s="188"/>
      <c r="H36" s="739"/>
      <c r="I36" s="746" t="s">
        <v>1231</v>
      </c>
      <c r="J36" s="119"/>
      <c r="K36" s="188" t="s">
        <v>1389</v>
      </c>
      <c r="L36" s="739" t="s">
        <v>347</v>
      </c>
      <c r="M36" s="739">
        <f>2*(36646+1156.75)</f>
        <v>75605.5</v>
      </c>
      <c r="N36" s="739">
        <v>88.1</v>
      </c>
      <c r="O36" s="739">
        <f>M36*N36</f>
        <v>6660844.5499999998</v>
      </c>
      <c r="P36" s="1312"/>
      <c r="Q36" s="188"/>
      <c r="R36" s="188"/>
      <c r="S36" s="188"/>
      <c r="T36" s="740"/>
      <c r="U36" s="996" t="s">
        <v>1391</v>
      </c>
      <c r="V36" s="996" t="s">
        <v>1393</v>
      </c>
      <c r="W36" s="1295"/>
      <c r="X36" s="781">
        <v>84271010</v>
      </c>
      <c r="Y36" s="119"/>
      <c r="Z36" s="1303"/>
      <c r="AA36" s="1303"/>
      <c r="AB36" s="1297"/>
      <c r="AC36" s="1297"/>
      <c r="AD36" s="1229"/>
      <c r="AE36" s="1241"/>
      <c r="AF36" s="1310"/>
      <c r="AG36" s="1252"/>
      <c r="AH36" s="1303"/>
      <c r="AI36" s="1297"/>
      <c r="AJ36" s="256"/>
      <c r="AK36" s="951">
        <v>44546</v>
      </c>
      <c r="AL36" s="1233"/>
      <c r="AM36" s="1235"/>
      <c r="AN36" s="1233"/>
      <c r="AO36" s="1237"/>
      <c r="AP36" s="1239"/>
      <c r="AQ36" s="1314"/>
      <c r="AR36" s="256"/>
      <c r="AS36" s="256"/>
      <c r="AT36" s="256"/>
      <c r="AU36" s="256"/>
      <c r="AV36" s="55"/>
      <c r="AW36" s="17"/>
      <c r="AZ36" s="1299"/>
      <c r="BB36" s="13">
        <f>128611*88.1</f>
        <v>11330629.1</v>
      </c>
    </row>
    <row r="37" spans="2:58" ht="20.25" customHeight="1" x14ac:dyDescent="0.3">
      <c r="C37" s="69"/>
      <c r="D37" s="188"/>
      <c r="E37" s="119"/>
      <c r="F37" s="746" t="s">
        <v>1779</v>
      </c>
      <c r="G37" s="188"/>
      <c r="H37" s="739"/>
      <c r="I37" s="746" t="s">
        <v>1779</v>
      </c>
      <c r="J37" s="119"/>
      <c r="K37" s="188"/>
      <c r="L37" s="739"/>
      <c r="M37" s="739"/>
      <c r="N37" s="739"/>
      <c r="O37" s="739"/>
      <c r="P37" s="119"/>
      <c r="Q37" s="188"/>
      <c r="R37" s="188"/>
      <c r="S37" s="188"/>
      <c r="T37" s="740"/>
      <c r="U37" s="119"/>
      <c r="V37" s="119"/>
      <c r="W37" s="119"/>
      <c r="X37" s="119"/>
      <c r="Y37" s="119"/>
      <c r="Z37" s="188"/>
      <c r="AA37" s="188"/>
      <c r="AB37" s="741"/>
      <c r="AC37" s="741"/>
      <c r="AD37" s="116"/>
      <c r="AE37" s="742"/>
      <c r="AF37" s="742"/>
      <c r="AG37" s="256"/>
      <c r="AH37" s="188"/>
      <c r="AI37" s="743"/>
      <c r="AJ37" s="256"/>
      <c r="AK37" s="256"/>
      <c r="AL37" s="757"/>
      <c r="AM37" s="744"/>
      <c r="AN37" s="757"/>
      <c r="AO37" s="745"/>
      <c r="AP37" s="745"/>
      <c r="AQ37" s="256"/>
      <c r="AR37" s="256"/>
      <c r="AS37" s="256"/>
      <c r="AT37" s="256"/>
      <c r="AU37" s="256"/>
      <c r="AV37" s="55"/>
      <c r="AW37" s="17"/>
    </row>
    <row r="38" spans="2:58" s="683" customFormat="1" ht="20.25" customHeight="1" x14ac:dyDescent="0.3">
      <c r="C38" s="1017"/>
      <c r="D38" s="1019"/>
      <c r="E38" s="1020"/>
      <c r="F38" s="1020"/>
      <c r="G38" s="1019"/>
      <c r="H38" s="1014">
        <f>H34</f>
        <v>45900000</v>
      </c>
      <c r="I38" s="1020"/>
      <c r="J38" s="1020"/>
      <c r="K38" s="1019"/>
      <c r="L38" s="1014"/>
      <c r="M38" s="1014"/>
      <c r="N38" s="1014"/>
      <c r="O38" s="1014">
        <f>O34</f>
        <v>11330629.1</v>
      </c>
      <c r="P38" s="1020"/>
      <c r="Q38" s="1019"/>
      <c r="R38" s="1019"/>
      <c r="S38" s="1019"/>
      <c r="T38" s="1024"/>
      <c r="U38" s="1020"/>
      <c r="V38" s="1020"/>
      <c r="W38" s="1020"/>
      <c r="X38" s="1020"/>
      <c r="Y38" s="1020"/>
      <c r="Z38" s="1019"/>
      <c r="AA38" s="1019"/>
      <c r="AB38" s="1027"/>
      <c r="AC38" s="1027"/>
      <c r="AD38" s="1028"/>
      <c r="AE38" s="1029"/>
      <c r="AF38" s="1029"/>
      <c r="AG38" s="1030"/>
      <c r="AH38" s="1019"/>
      <c r="AI38" s="1031"/>
      <c r="AJ38" s="1030"/>
      <c r="AK38" s="1030"/>
      <c r="AL38" s="1036"/>
      <c r="AM38" s="1032"/>
      <c r="AN38" s="1125">
        <f>SUM(AN34:AN36)</f>
        <v>22211120</v>
      </c>
      <c r="AO38" s="1033"/>
      <c r="AP38" s="1033"/>
      <c r="AQ38" s="1030"/>
      <c r="AR38" s="1030"/>
      <c r="AS38" s="1030"/>
      <c r="AT38" s="1030"/>
      <c r="AU38" s="1030"/>
      <c r="AV38" s="1018"/>
      <c r="AW38" s="532"/>
      <c r="BA38" s="683">
        <f>H38</f>
        <v>45900000</v>
      </c>
      <c r="BB38" s="683">
        <f>BB36</f>
        <v>11330629.1</v>
      </c>
      <c r="BC38" s="683">
        <f>AN38</f>
        <v>22211120</v>
      </c>
      <c r="BD38" s="683">
        <f>MIN(BA38,BB38,BC38)</f>
        <v>11330629.1</v>
      </c>
      <c r="BE38" s="683">
        <f>BD38*10%</f>
        <v>1133062.9099999999</v>
      </c>
      <c r="BF38" s="683">
        <f>BE38</f>
        <v>1133062.9099999999</v>
      </c>
    </row>
    <row r="39" spans="2:58" ht="20.25" customHeight="1" x14ac:dyDescent="0.3">
      <c r="C39" s="69"/>
      <c r="D39" s="188"/>
      <c r="E39" s="119"/>
      <c r="F39" s="119"/>
      <c r="G39" s="188"/>
      <c r="H39" s="739"/>
      <c r="I39" s="119"/>
      <c r="J39" s="119"/>
      <c r="K39" s="188"/>
      <c r="L39" s="739"/>
      <c r="M39" s="739"/>
      <c r="N39" s="739"/>
      <c r="O39" s="739"/>
      <c r="P39" s="119"/>
      <c r="Q39" s="188"/>
      <c r="R39" s="188"/>
      <c r="S39" s="188"/>
      <c r="T39" s="740"/>
      <c r="U39" s="119"/>
      <c r="V39" s="119"/>
      <c r="W39" s="119"/>
      <c r="X39" s="119"/>
      <c r="Y39" s="119"/>
      <c r="Z39" s="188"/>
      <c r="AA39" s="188"/>
      <c r="AB39" s="741"/>
      <c r="AC39" s="741"/>
      <c r="AD39" s="116"/>
      <c r="AE39" s="742"/>
      <c r="AF39" s="742"/>
      <c r="AG39" s="256"/>
      <c r="AH39" s="188"/>
      <c r="AI39" s="743"/>
      <c r="AJ39" s="256"/>
      <c r="AK39" s="256"/>
      <c r="AL39" s="757"/>
      <c r="AM39" s="744"/>
      <c r="AN39" s="757"/>
      <c r="AO39" s="745"/>
      <c r="AP39" s="745"/>
      <c r="AQ39" s="256"/>
      <c r="AR39" s="256"/>
      <c r="AS39" s="256"/>
      <c r="AT39" s="256"/>
      <c r="AU39" s="256"/>
      <c r="AV39" s="55"/>
      <c r="AW39" s="17"/>
    </row>
    <row r="40" spans="2:58" ht="20.25" customHeight="1" x14ac:dyDescent="0.3">
      <c r="C40" s="69" t="s">
        <v>1479</v>
      </c>
      <c r="D40" s="188">
        <v>6</v>
      </c>
      <c r="E40" s="119"/>
      <c r="F40" s="780" t="str">
        <f>'UID application COMBINE Mc list'!B28</f>
        <v>Over Head Travelling Clearers</v>
      </c>
      <c r="G40" s="188" t="str">
        <f>'UID application COMBINE Mc list'!D28</f>
        <v>35 Sets</v>
      </c>
      <c r="H40" s="739">
        <f>'UID application COMBINE Mc list'!H28</f>
        <v>35536000</v>
      </c>
      <c r="I40" s="119" t="s">
        <v>1480</v>
      </c>
      <c r="J40" s="119" t="s">
        <v>649</v>
      </c>
      <c r="K40" s="188">
        <f>SUM(K41:K47)</f>
        <v>37</v>
      </c>
      <c r="L40" s="739"/>
      <c r="M40" s="739">
        <f>SUM(M41:M46)</f>
        <v>15078495</v>
      </c>
      <c r="N40" s="739"/>
      <c r="O40" s="739"/>
      <c r="P40" s="119"/>
      <c r="Q40" s="188"/>
      <c r="R40" s="188"/>
      <c r="S40" s="188"/>
      <c r="T40" s="740"/>
      <c r="U40" s="119"/>
      <c r="V40" s="119"/>
      <c r="W40" s="119"/>
      <c r="X40" s="119"/>
      <c r="Y40" s="119"/>
      <c r="Z40" s="188"/>
      <c r="AA40" s="188"/>
      <c r="AB40" s="741"/>
      <c r="AC40" s="741"/>
      <c r="AD40" s="116"/>
      <c r="AE40" s="742"/>
      <c r="AF40" s="742"/>
      <c r="AG40" s="256"/>
      <c r="AH40" s="188"/>
      <c r="AI40" s="743"/>
      <c r="AJ40" s="256"/>
      <c r="AK40" s="256"/>
      <c r="AL40" s="757"/>
      <c r="AM40" s="744"/>
      <c r="AN40" s="757"/>
      <c r="AO40" s="745"/>
      <c r="AP40" s="745"/>
      <c r="AQ40" s="256"/>
      <c r="AR40" s="256"/>
      <c r="AS40" s="256"/>
      <c r="AT40" s="256"/>
      <c r="AU40" s="256"/>
      <c r="AV40" s="55"/>
      <c r="AW40" s="17"/>
      <c r="AZ40" s="1298" t="s">
        <v>1699</v>
      </c>
    </row>
    <row r="41" spans="2:58" ht="20.25" customHeight="1" x14ac:dyDescent="0.3">
      <c r="C41" s="69"/>
      <c r="D41" s="188"/>
      <c r="E41" s="119"/>
      <c r="F41" s="828" t="s">
        <v>1235</v>
      </c>
      <c r="G41" s="188"/>
      <c r="H41" s="739"/>
      <c r="I41" s="119"/>
      <c r="J41" s="119"/>
      <c r="K41" s="188">
        <v>9</v>
      </c>
      <c r="L41" s="739" t="s">
        <v>359</v>
      </c>
      <c r="M41" s="739">
        <f>6832800-341640</f>
        <v>6491160</v>
      </c>
      <c r="N41" s="739"/>
      <c r="O41" s="739"/>
      <c r="P41" s="119"/>
      <c r="Q41" s="188"/>
      <c r="R41" s="188"/>
      <c r="S41" s="188"/>
      <c r="T41" s="740">
        <v>2021</v>
      </c>
      <c r="U41" s="119" t="s">
        <v>1609</v>
      </c>
      <c r="V41" s="119" t="s">
        <v>1608</v>
      </c>
      <c r="W41" s="119"/>
      <c r="X41" s="781">
        <v>84481190</v>
      </c>
      <c r="Y41" s="119"/>
      <c r="Z41" s="1103" t="s">
        <v>1481</v>
      </c>
      <c r="AA41" s="188"/>
      <c r="AB41" s="741"/>
      <c r="AC41" s="741"/>
      <c r="AD41" s="116"/>
      <c r="AE41" s="742"/>
      <c r="AF41" s="742"/>
      <c r="AG41" s="256"/>
      <c r="AH41" s="188"/>
      <c r="AI41" s="743"/>
      <c r="AJ41" s="256"/>
      <c r="AK41" s="256"/>
      <c r="AL41" s="757">
        <v>7659569</v>
      </c>
      <c r="AM41" s="744"/>
      <c r="AN41" s="757">
        <v>572470</v>
      </c>
      <c r="AO41" s="965" t="s">
        <v>1562</v>
      </c>
      <c r="AP41" s="256"/>
      <c r="AQ41" s="256" t="s">
        <v>1371</v>
      </c>
      <c r="AR41" s="256"/>
      <c r="AS41" s="256"/>
      <c r="AT41" s="256"/>
      <c r="AU41" s="256"/>
      <c r="AV41" s="55"/>
      <c r="AW41" s="17"/>
      <c r="AY41" s="13" t="s">
        <v>1610</v>
      </c>
      <c r="AZ41" s="1298"/>
    </row>
    <row r="42" spans="2:58" ht="20.25" customHeight="1" x14ac:dyDescent="0.3">
      <c r="C42" s="69"/>
      <c r="D42" s="188"/>
      <c r="E42" s="119"/>
      <c r="F42" s="828" t="s">
        <v>1235</v>
      </c>
      <c r="G42" s="188"/>
      <c r="H42" s="739"/>
      <c r="I42" s="119"/>
      <c r="J42" s="119"/>
      <c r="K42" s="188">
        <v>5</v>
      </c>
      <c r="L42" s="739" t="s">
        <v>359</v>
      </c>
      <c r="M42" s="739">
        <f>1387400+1498600+428600-165730</f>
        <v>3148870</v>
      </c>
      <c r="N42" s="739"/>
      <c r="O42" s="739"/>
      <c r="P42" s="119"/>
      <c r="Q42" s="188"/>
      <c r="R42" s="188"/>
      <c r="S42" s="188"/>
      <c r="T42" s="740"/>
      <c r="U42" s="119" t="s">
        <v>1609</v>
      </c>
      <c r="V42" s="119" t="s">
        <v>1607</v>
      </c>
      <c r="W42" s="119"/>
      <c r="X42" s="781">
        <v>84481190</v>
      </c>
      <c r="Y42" s="119"/>
      <c r="Z42" s="1103" t="s">
        <v>1482</v>
      </c>
      <c r="AA42" s="188"/>
      <c r="AB42" s="741"/>
      <c r="AC42" s="741"/>
      <c r="AD42" s="116"/>
      <c r="AE42" s="742"/>
      <c r="AF42" s="742"/>
      <c r="AG42" s="256"/>
      <c r="AH42" s="188"/>
      <c r="AI42" s="743"/>
      <c r="AJ42" s="256"/>
      <c r="AK42" s="959">
        <v>44634</v>
      </c>
      <c r="AL42" s="757">
        <v>3715667</v>
      </c>
      <c r="AM42" s="744"/>
      <c r="AN42" s="757">
        <v>964000</v>
      </c>
      <c r="AO42" s="965" t="s">
        <v>1563</v>
      </c>
      <c r="AP42" s="256"/>
      <c r="AQ42" s="256" t="s">
        <v>1371</v>
      </c>
      <c r="AR42" s="256"/>
      <c r="AS42" s="256"/>
      <c r="AT42" s="256"/>
      <c r="AU42" s="256"/>
      <c r="AV42" s="55"/>
      <c r="AW42" s="17"/>
      <c r="AY42" s="14" t="s">
        <v>1611</v>
      </c>
      <c r="AZ42" s="1298"/>
    </row>
    <row r="43" spans="2:58" ht="20.25" customHeight="1" x14ac:dyDescent="0.3">
      <c r="C43" s="69"/>
      <c r="D43" s="188"/>
      <c r="E43" s="119"/>
      <c r="F43" s="828" t="s">
        <v>1235</v>
      </c>
      <c r="G43" s="188"/>
      <c r="H43" s="739"/>
      <c r="I43" s="119"/>
      <c r="J43" s="119"/>
      <c r="K43" s="188">
        <v>8</v>
      </c>
      <c r="L43" s="739" t="s">
        <v>359</v>
      </c>
      <c r="M43" s="739">
        <f>1101200+944000-102260</f>
        <v>1942940</v>
      </c>
      <c r="N43" s="739"/>
      <c r="O43" s="739"/>
      <c r="P43" s="119"/>
      <c r="Q43" s="188"/>
      <c r="R43" s="188"/>
      <c r="S43" s="188"/>
      <c r="T43" s="740"/>
      <c r="U43" s="119" t="s">
        <v>1488</v>
      </c>
      <c r="V43" s="119" t="s">
        <v>1489</v>
      </c>
      <c r="W43" s="119"/>
      <c r="X43" s="781">
        <v>84481190</v>
      </c>
      <c r="Y43" s="119"/>
      <c r="Z43" s="1102" t="s">
        <v>1545</v>
      </c>
      <c r="AA43" s="188"/>
      <c r="AB43" s="741"/>
      <c r="AC43" s="741"/>
      <c r="AD43" s="116"/>
      <c r="AE43" s="742"/>
      <c r="AF43" s="742"/>
      <c r="AG43" s="256"/>
      <c r="AH43" s="188"/>
      <c r="AI43" s="743"/>
      <c r="AJ43" s="256"/>
      <c r="AK43" s="256"/>
      <c r="AL43" s="757">
        <v>2292669</v>
      </c>
      <c r="AM43" s="744"/>
      <c r="AN43" s="757">
        <v>5844919</v>
      </c>
      <c r="AO43" s="965" t="s">
        <v>1323</v>
      </c>
      <c r="AP43" s="256"/>
      <c r="AQ43" s="256" t="s">
        <v>1371</v>
      </c>
      <c r="AR43" s="256"/>
      <c r="AS43" s="256"/>
      <c r="AT43" s="256"/>
      <c r="AU43" s="256"/>
      <c r="AV43" s="55"/>
      <c r="AW43" s="17"/>
      <c r="AY43" s="14" t="s">
        <v>1643</v>
      </c>
      <c r="AZ43" s="1298"/>
    </row>
    <row r="44" spans="2:58" ht="20.25" customHeight="1" x14ac:dyDescent="0.3">
      <c r="C44" s="69"/>
      <c r="D44" s="188"/>
      <c r="E44" s="119"/>
      <c r="F44" s="828" t="s">
        <v>1235</v>
      </c>
      <c r="G44" s="188"/>
      <c r="H44" s="739"/>
      <c r="I44" s="119"/>
      <c r="J44" s="119"/>
      <c r="K44" s="188">
        <v>7</v>
      </c>
      <c r="L44" s="739" t="s">
        <v>359</v>
      </c>
      <c r="M44" s="739">
        <f>1101200+131400+131800+112700-73855</f>
        <v>1403245</v>
      </c>
      <c r="N44" s="739"/>
      <c r="O44" s="739"/>
      <c r="P44" s="119"/>
      <c r="Q44" s="188"/>
      <c r="R44" s="188"/>
      <c r="S44" s="188"/>
      <c r="T44" s="740"/>
      <c r="U44" s="119" t="s">
        <v>1488</v>
      </c>
      <c r="V44" s="119" t="s">
        <v>1490</v>
      </c>
      <c r="W44" s="119"/>
      <c r="X44" s="781">
        <v>84481190</v>
      </c>
      <c r="Y44" s="119"/>
      <c r="Z44" s="1102" t="s">
        <v>1483</v>
      </c>
      <c r="AA44" s="188"/>
      <c r="AB44" s="741"/>
      <c r="AC44" s="741"/>
      <c r="AD44" s="116"/>
      <c r="AE44" s="742"/>
      <c r="AF44" s="742"/>
      <c r="AG44" s="256"/>
      <c r="AH44" s="188"/>
      <c r="AI44" s="743"/>
      <c r="AJ44" s="256"/>
      <c r="AK44" s="256"/>
      <c r="AL44" s="837">
        <v>1655829</v>
      </c>
      <c r="AM44" s="744"/>
      <c r="AN44" s="757">
        <v>7010453</v>
      </c>
      <c r="AO44" s="965" t="s">
        <v>1367</v>
      </c>
      <c r="AP44" s="256"/>
      <c r="AQ44" s="256" t="s">
        <v>1371</v>
      </c>
      <c r="AR44" s="256"/>
      <c r="AS44" s="256"/>
      <c r="AT44" s="256"/>
      <c r="AU44" s="256"/>
      <c r="AV44" s="55"/>
      <c r="AW44" s="17"/>
      <c r="AZ44" s="1298"/>
    </row>
    <row r="45" spans="2:58" ht="20.25" customHeight="1" x14ac:dyDescent="0.3">
      <c r="C45" s="69"/>
      <c r="D45" s="188"/>
      <c r="E45" s="119"/>
      <c r="F45" s="828" t="s">
        <v>1235</v>
      </c>
      <c r="G45" s="188"/>
      <c r="H45" s="739"/>
      <c r="I45" s="119"/>
      <c r="J45" s="119"/>
      <c r="K45" s="188">
        <v>4</v>
      </c>
      <c r="L45" s="739" t="s">
        <v>359</v>
      </c>
      <c r="M45" s="739">
        <f>1101200-55060</f>
        <v>1046140</v>
      </c>
      <c r="N45" s="739"/>
      <c r="O45" s="739"/>
      <c r="P45" s="119"/>
      <c r="Q45" s="188"/>
      <c r="R45" s="188"/>
      <c r="S45" s="188"/>
      <c r="T45" s="740"/>
      <c r="U45" s="119" t="s">
        <v>1488</v>
      </c>
      <c r="V45" s="119" t="s">
        <v>1487</v>
      </c>
      <c r="W45" s="119"/>
      <c r="X45" s="781">
        <v>84481190</v>
      </c>
      <c r="Y45" s="119"/>
      <c r="Z45" s="1102" t="s">
        <v>1484</v>
      </c>
      <c r="AA45" s="188"/>
      <c r="AB45" s="741"/>
      <c r="AC45" s="741"/>
      <c r="AD45" s="116"/>
      <c r="AE45" s="742"/>
      <c r="AF45" s="742"/>
      <c r="AG45" s="256"/>
      <c r="AH45" s="188"/>
      <c r="AI45" s="743"/>
      <c r="AJ45" s="256"/>
      <c r="AK45" s="256"/>
      <c r="AL45" s="757">
        <v>1234445</v>
      </c>
      <c r="AM45" s="744"/>
      <c r="AN45" s="757">
        <v>3400782</v>
      </c>
      <c r="AO45" s="965" t="s">
        <v>1549</v>
      </c>
      <c r="AP45" s="256"/>
      <c r="AQ45" s="256" t="s">
        <v>1371</v>
      </c>
      <c r="AR45" s="256"/>
      <c r="AS45" s="256"/>
      <c r="AT45" s="256"/>
      <c r="AU45" s="256"/>
      <c r="AV45" s="55"/>
      <c r="AW45" s="17"/>
      <c r="AZ45" s="1298"/>
    </row>
    <row r="46" spans="2:58" ht="20.25" customHeight="1" x14ac:dyDescent="0.3">
      <c r="C46" s="69"/>
      <c r="D46" s="188"/>
      <c r="E46" s="119"/>
      <c r="F46" s="828" t="s">
        <v>1235</v>
      </c>
      <c r="G46" s="188"/>
      <c r="H46" s="739"/>
      <c r="I46" s="119"/>
      <c r="J46" s="119"/>
      <c r="K46" s="188">
        <v>4</v>
      </c>
      <c r="L46" s="739" t="s">
        <v>359</v>
      </c>
      <c r="M46" s="739">
        <f>1101200-55060</f>
        <v>1046140</v>
      </c>
      <c r="N46" s="739"/>
      <c r="O46" s="739"/>
      <c r="P46" s="119"/>
      <c r="Q46" s="188"/>
      <c r="R46" s="188"/>
      <c r="S46" s="188"/>
      <c r="T46" s="740"/>
      <c r="U46" s="119" t="s">
        <v>1488</v>
      </c>
      <c r="V46" s="119" t="s">
        <v>1486</v>
      </c>
      <c r="W46" s="119"/>
      <c r="X46" s="781">
        <v>84481190</v>
      </c>
      <c r="Y46" s="119"/>
      <c r="Z46" s="1102" t="s">
        <v>1485</v>
      </c>
      <c r="AA46" s="188"/>
      <c r="AB46" s="741"/>
      <c r="AC46" s="741"/>
      <c r="AD46" s="116"/>
      <c r="AE46" s="742"/>
      <c r="AF46" s="742"/>
      <c r="AG46" s="256"/>
      <c r="AH46" s="188"/>
      <c r="AI46" s="743"/>
      <c r="AJ46" s="256"/>
      <c r="AK46" s="256"/>
      <c r="AL46" s="757">
        <v>1234445</v>
      </c>
      <c r="AM46" s="744"/>
      <c r="AN46" s="256"/>
      <c r="AO46" s="256"/>
      <c r="AP46" s="256"/>
      <c r="AQ46" s="256"/>
      <c r="AR46" s="256"/>
      <c r="AS46" s="256"/>
      <c r="AT46" s="256"/>
      <c r="AU46" s="256"/>
      <c r="AV46" s="55"/>
      <c r="AW46" s="17"/>
      <c r="AZ46" s="1298"/>
    </row>
    <row r="47" spans="2:58" s="683" customFormat="1" ht="20.25" customHeight="1" x14ac:dyDescent="0.3">
      <c r="B47" s="1017"/>
      <c r="C47" s="1017"/>
      <c r="D47" s="1017"/>
      <c r="E47" s="1017"/>
      <c r="F47" s="1017"/>
      <c r="G47" s="1017"/>
      <c r="H47" s="1126">
        <f>H40</f>
        <v>35536000</v>
      </c>
      <c r="I47" s="1017"/>
      <c r="J47" s="1017"/>
      <c r="K47" s="1017"/>
      <c r="L47" s="1017"/>
      <c r="M47" s="1126">
        <f>SUM(M41:M46)</f>
        <v>15078495</v>
      </c>
      <c r="N47" s="1017"/>
      <c r="O47" s="1017"/>
      <c r="P47" s="1017"/>
      <c r="Q47" s="1017"/>
      <c r="R47" s="1017"/>
      <c r="S47" s="1017"/>
      <c r="T47" s="1017"/>
      <c r="U47" s="1017"/>
      <c r="V47" s="1017"/>
      <c r="W47" s="1017"/>
      <c r="X47" s="1017"/>
      <c r="Y47" s="1017"/>
      <c r="Z47" s="1017"/>
      <c r="AA47" s="1017"/>
      <c r="AB47" s="1017"/>
      <c r="AC47" s="1017"/>
      <c r="AD47" s="1017"/>
      <c r="AE47" s="1017"/>
      <c r="AF47" s="1017"/>
      <c r="AG47" s="1017"/>
      <c r="AH47" s="1017"/>
      <c r="AI47" s="1017"/>
      <c r="AJ47" s="1017"/>
      <c r="AK47" s="1017"/>
      <c r="AL47" s="1126">
        <f>SUM(AL41:AL46)</f>
        <v>17792624</v>
      </c>
      <c r="AM47" s="1126"/>
      <c r="AN47" s="1126">
        <f>SUM(AN41:AN46)</f>
        <v>17792624</v>
      </c>
      <c r="AO47" s="1017"/>
      <c r="AP47" s="1017"/>
      <c r="AQ47" s="1017"/>
      <c r="AR47" s="1017"/>
      <c r="AS47" s="1017"/>
      <c r="AT47" s="1017"/>
      <c r="AU47" s="1017"/>
      <c r="AV47" s="1018"/>
      <c r="AW47" s="532"/>
      <c r="BA47" s="683">
        <f>H40</f>
        <v>35536000</v>
      </c>
      <c r="BB47" s="683">
        <f>M40</f>
        <v>15078495</v>
      </c>
      <c r="BC47" s="683">
        <f>AN47</f>
        <v>17792624</v>
      </c>
      <c r="BD47" s="683">
        <f>MIN(BA47,BB47,BC47)</f>
        <v>15078495</v>
      </c>
      <c r="BE47" s="683">
        <f>BD47*10%</f>
        <v>1507849.5</v>
      </c>
    </row>
    <row r="48" spans="2:58" ht="20.25" customHeight="1" x14ac:dyDescent="0.3">
      <c r="C48" s="69"/>
      <c r="D48" s="188"/>
      <c r="E48" s="119"/>
      <c r="F48" s="780"/>
      <c r="G48" s="188"/>
      <c r="H48" s="739"/>
      <c r="I48" s="119"/>
      <c r="J48" s="119"/>
      <c r="K48" s="188"/>
      <c r="L48" s="739"/>
      <c r="M48" s="739"/>
      <c r="N48" s="739"/>
      <c r="O48" s="739"/>
      <c r="P48" s="119"/>
      <c r="Q48" s="188"/>
      <c r="R48" s="188"/>
      <c r="S48" s="188"/>
      <c r="T48" s="740"/>
      <c r="U48" s="119"/>
      <c r="V48" s="119"/>
      <c r="W48" s="119"/>
      <c r="X48" s="119"/>
      <c r="Y48" s="119"/>
      <c r="Z48" s="188"/>
      <c r="AA48" s="188"/>
      <c r="AB48" s="741"/>
      <c r="AC48" s="741"/>
      <c r="AD48" s="116"/>
      <c r="AE48" s="742"/>
      <c r="AF48" s="742"/>
      <c r="AG48" s="256"/>
      <c r="AH48" s="188"/>
      <c r="AI48" s="743"/>
      <c r="AJ48" s="256"/>
      <c r="AK48" s="256"/>
      <c r="AL48" s="757"/>
      <c r="AM48" s="744"/>
      <c r="AN48" s="757"/>
      <c r="AO48" s="745"/>
      <c r="AP48" s="745"/>
      <c r="AQ48" s="256"/>
      <c r="AR48" s="256"/>
      <c r="AS48" s="256"/>
      <c r="AT48" s="256"/>
      <c r="AU48" s="256"/>
      <c r="AV48" s="55"/>
      <c r="AW48" s="17"/>
    </row>
    <row r="49" spans="3:57" ht="20.25" customHeight="1" x14ac:dyDescent="0.3">
      <c r="C49" s="69"/>
      <c r="D49" s="188"/>
      <c r="E49" s="119"/>
      <c r="F49" s="780"/>
      <c r="G49" s="188"/>
      <c r="H49" s="739"/>
      <c r="I49" s="119"/>
      <c r="J49" s="119"/>
      <c r="K49" s="188"/>
      <c r="L49" s="739"/>
      <c r="M49" s="739"/>
      <c r="N49" s="739"/>
      <c r="O49" s="739"/>
      <c r="P49" s="119"/>
      <c r="Q49" s="188"/>
      <c r="R49" s="188"/>
      <c r="S49" s="188"/>
      <c r="T49" s="740"/>
      <c r="U49" s="119"/>
      <c r="V49" s="119"/>
      <c r="W49" s="119"/>
      <c r="X49" s="119"/>
      <c r="Y49" s="119"/>
      <c r="Z49" s="188"/>
      <c r="AA49" s="188"/>
      <c r="AB49" s="741"/>
      <c r="AC49" s="741"/>
      <c r="AD49" s="116"/>
      <c r="AE49" s="742"/>
      <c r="AF49" s="742"/>
      <c r="AG49" s="256"/>
      <c r="AH49" s="188"/>
      <c r="AI49" s="743"/>
      <c r="AJ49" s="256"/>
      <c r="AK49" s="256"/>
      <c r="AL49" s="757"/>
      <c r="AM49" s="744"/>
      <c r="AN49" s="757"/>
      <c r="AO49" s="745"/>
      <c r="AP49" s="745"/>
      <c r="AQ49" s="256"/>
      <c r="AR49" s="256"/>
      <c r="AS49" s="256"/>
      <c r="AT49" s="256"/>
      <c r="AU49" s="256"/>
      <c r="AV49" s="55"/>
      <c r="AW49" s="17"/>
    </row>
    <row r="50" spans="3:57" ht="20.25" customHeight="1" x14ac:dyDescent="0.3">
      <c r="C50" s="69"/>
      <c r="D50" s="188"/>
      <c r="E50" s="119"/>
      <c r="F50" s="780"/>
      <c r="G50" s="188"/>
      <c r="H50" s="739"/>
      <c r="I50" s="119"/>
      <c r="J50" s="119"/>
      <c r="K50" s="188"/>
      <c r="L50" s="739"/>
      <c r="M50" s="739"/>
      <c r="N50" s="739"/>
      <c r="O50" s="739"/>
      <c r="P50" s="119"/>
      <c r="Q50" s="188"/>
      <c r="R50" s="188"/>
      <c r="S50" s="188"/>
      <c r="T50" s="740"/>
      <c r="U50" s="119"/>
      <c r="V50" s="119"/>
      <c r="W50" s="119"/>
      <c r="X50" s="119"/>
      <c r="Y50" s="119"/>
      <c r="Z50" s="188"/>
      <c r="AA50" s="188"/>
      <c r="AB50" s="741"/>
      <c r="AC50" s="741"/>
      <c r="AD50" s="116"/>
      <c r="AE50" s="742"/>
      <c r="AF50" s="742"/>
      <c r="AG50" s="256"/>
      <c r="AH50" s="188"/>
      <c r="AI50" s="743"/>
      <c r="AJ50" s="256"/>
      <c r="AK50" s="256"/>
      <c r="AL50" s="757"/>
      <c r="AM50" s="744"/>
      <c r="AN50" s="757"/>
      <c r="AO50" s="745"/>
      <c r="AP50" s="745"/>
      <c r="AQ50" s="256"/>
      <c r="AR50" s="256"/>
      <c r="AS50" s="256"/>
      <c r="AT50" s="256"/>
      <c r="AU50" s="256"/>
      <c r="AV50" s="55"/>
      <c r="AW50" s="17"/>
    </row>
    <row r="51" spans="3:57" ht="20.25" customHeight="1" x14ac:dyDescent="0.3">
      <c r="C51" s="69"/>
      <c r="D51" s="188"/>
      <c r="E51" s="119"/>
      <c r="F51" s="119"/>
      <c r="G51" s="188"/>
      <c r="H51" s="739"/>
      <c r="I51" s="119"/>
      <c r="J51" s="119"/>
      <c r="K51" s="188"/>
      <c r="L51" s="739"/>
      <c r="M51" s="739"/>
      <c r="N51" s="739"/>
      <c r="O51" s="739"/>
      <c r="P51" s="119"/>
      <c r="Q51" s="188"/>
      <c r="R51" s="188"/>
      <c r="S51" s="188"/>
      <c r="T51" s="740"/>
      <c r="U51" s="119"/>
      <c r="V51" s="119"/>
      <c r="W51" s="119"/>
      <c r="X51" s="119"/>
      <c r="Y51" s="119"/>
      <c r="Z51" s="188"/>
      <c r="AA51" s="188"/>
      <c r="AB51" s="741"/>
      <c r="AC51" s="741"/>
      <c r="AD51" s="116"/>
      <c r="AE51" s="742"/>
      <c r="AF51" s="742"/>
      <c r="AG51" s="256"/>
      <c r="AH51" s="188"/>
      <c r="AI51" s="743"/>
      <c r="AJ51" s="256"/>
      <c r="AK51" s="256"/>
      <c r="AL51" s="757"/>
      <c r="AM51" s="744"/>
      <c r="AN51" s="757"/>
      <c r="AO51" s="745"/>
      <c r="AP51" s="745"/>
      <c r="AQ51" s="256"/>
      <c r="AR51" s="256"/>
      <c r="AS51" s="256"/>
      <c r="AT51" s="256"/>
      <c r="AU51" s="256"/>
      <c r="AV51" s="55"/>
      <c r="AW51" s="17"/>
    </row>
    <row r="52" spans="3:57" ht="38.25" customHeight="1" x14ac:dyDescent="0.3">
      <c r="C52" s="69" t="s">
        <v>483</v>
      </c>
      <c r="D52" s="188">
        <v>7</v>
      </c>
      <c r="E52" s="119"/>
      <c r="F52" s="119" t="str">
        <f>'UID application COMBINE Mc list'!B29</f>
        <v>Air Compressor I5 H.P. and above with inbuilt invertors and air driers for Air Jet Looms only</v>
      </c>
      <c r="G52" s="188">
        <f>'UID application COMBINE Mc list'!D29</f>
        <v>2</v>
      </c>
      <c r="H52" s="739">
        <f>'UID application COMBINE Mc list'!H29</f>
        <v>35640000</v>
      </c>
      <c r="I52" s="119" t="str">
        <f>F52</f>
        <v>Air Compressor I5 H.P. and above with inbuilt invertors and air driers for Air Jet Looms only</v>
      </c>
      <c r="J52" s="119"/>
      <c r="K52" s="188">
        <v>2</v>
      </c>
      <c r="L52" s="739" t="s">
        <v>347</v>
      </c>
      <c r="M52" s="739">
        <v>392000</v>
      </c>
      <c r="N52" s="739">
        <v>88.1</v>
      </c>
      <c r="O52" s="739">
        <f>M52*N52</f>
        <v>34535200</v>
      </c>
      <c r="P52" s="119" t="s">
        <v>1403</v>
      </c>
      <c r="Q52" s="188" t="s">
        <v>649</v>
      </c>
      <c r="R52" s="188" t="s">
        <v>649</v>
      </c>
      <c r="S52" s="188" t="s">
        <v>649</v>
      </c>
      <c r="T52" s="740"/>
      <c r="U52" s="119" t="s">
        <v>1401</v>
      </c>
      <c r="V52" s="119" t="s">
        <v>1612</v>
      </c>
      <c r="W52" s="119"/>
      <c r="X52" s="119">
        <v>84144090</v>
      </c>
      <c r="Y52" s="119"/>
      <c r="Z52" s="995" t="s">
        <v>1404</v>
      </c>
      <c r="AA52" s="995" t="s">
        <v>1407</v>
      </c>
      <c r="AB52" s="741" t="s">
        <v>1243</v>
      </c>
      <c r="AC52" s="741" t="s">
        <v>1243</v>
      </c>
      <c r="AD52" s="116" t="s">
        <v>649</v>
      </c>
      <c r="AE52" s="1004" t="s">
        <v>649</v>
      </c>
      <c r="AF52" s="1004" t="s">
        <v>1406</v>
      </c>
      <c r="AG52" s="149"/>
      <c r="AH52" s="995" t="s">
        <v>1410</v>
      </c>
      <c r="AI52" s="743" t="s">
        <v>1411</v>
      </c>
      <c r="AJ52" s="256"/>
      <c r="AK52" s="951">
        <v>44632</v>
      </c>
      <c r="AL52" s="1300" t="s">
        <v>1725</v>
      </c>
      <c r="AM52" s="744">
        <f>AN52/39200</f>
        <v>88.45</v>
      </c>
      <c r="AN52" s="757">
        <v>3467240</v>
      </c>
      <c r="AO52" s="745" t="s">
        <v>1408</v>
      </c>
      <c r="AP52" s="745" t="s">
        <v>1409</v>
      </c>
      <c r="AQ52" s="256" t="s">
        <v>1309</v>
      </c>
      <c r="AR52" s="256" t="s">
        <v>1310</v>
      </c>
      <c r="AS52" s="256"/>
      <c r="AT52" s="256"/>
      <c r="AU52" s="256"/>
      <c r="AV52" s="55"/>
      <c r="AW52" s="17"/>
      <c r="AY52" s="13" t="s">
        <v>1613</v>
      </c>
      <c r="AZ52" s="1298" t="s">
        <v>1700</v>
      </c>
      <c r="BB52" s="1299">
        <f>392000*88.1</f>
        <v>34535200</v>
      </c>
    </row>
    <row r="53" spans="3:57" ht="20.25" customHeight="1" x14ac:dyDescent="0.3">
      <c r="C53" s="69"/>
      <c r="D53" s="188"/>
      <c r="E53" s="119"/>
      <c r="F53" s="119"/>
      <c r="G53" s="188"/>
      <c r="H53" s="739"/>
      <c r="I53" s="119"/>
      <c r="J53" s="119"/>
      <c r="K53" s="188"/>
      <c r="L53" s="739"/>
      <c r="M53" s="739"/>
      <c r="N53" s="739"/>
      <c r="O53" s="739"/>
      <c r="P53" s="119"/>
      <c r="Q53" s="188"/>
      <c r="R53" s="188"/>
      <c r="S53" s="188"/>
      <c r="T53" s="740"/>
      <c r="U53" s="119"/>
      <c r="V53" s="119"/>
      <c r="W53" s="119"/>
      <c r="X53" s="119"/>
      <c r="Y53" s="119"/>
      <c r="Z53" s="188"/>
      <c r="AA53" s="188"/>
      <c r="AB53" s="741"/>
      <c r="AC53" s="741"/>
      <c r="AD53" s="784"/>
      <c r="AE53" s="724"/>
      <c r="AF53" s="724"/>
      <c r="AG53" s="793" t="s">
        <v>1405</v>
      </c>
      <c r="AH53" s="724" t="s">
        <v>1412</v>
      </c>
      <c r="AI53" s="262" t="s">
        <v>1413</v>
      </c>
      <c r="AJ53" s="256"/>
      <c r="AK53" s="256"/>
      <c r="AL53" s="1301"/>
      <c r="AM53" s="744">
        <f>AN53/352800</f>
        <v>86.58</v>
      </c>
      <c r="AN53" s="757">
        <v>30545424</v>
      </c>
      <c r="AO53" s="745" t="s">
        <v>1409</v>
      </c>
      <c r="AP53" s="745" t="s">
        <v>1409</v>
      </c>
      <c r="AQ53" s="256" t="s">
        <v>1371</v>
      </c>
      <c r="AR53" s="256" t="s">
        <v>1310</v>
      </c>
      <c r="AS53" s="256"/>
      <c r="AT53" s="256"/>
      <c r="AU53" s="256"/>
      <c r="AV53" s="55"/>
      <c r="AW53" s="17"/>
      <c r="AY53" s="13" t="s">
        <v>1694</v>
      </c>
      <c r="AZ53" s="1298"/>
      <c r="BB53" s="1299"/>
    </row>
    <row r="54" spans="3:57" ht="20.25" customHeight="1" x14ac:dyDescent="0.3">
      <c r="C54" s="69"/>
      <c r="D54" s="188"/>
      <c r="E54" s="119"/>
      <c r="F54" s="119"/>
      <c r="G54" s="188"/>
      <c r="H54" s="739"/>
      <c r="I54" s="119"/>
      <c r="J54" s="119"/>
      <c r="K54" s="188"/>
      <c r="L54" s="739"/>
      <c r="M54" s="739"/>
      <c r="N54" s="739"/>
      <c r="O54" s="739"/>
      <c r="P54" s="119"/>
      <c r="Q54" s="188"/>
      <c r="R54" s="188"/>
      <c r="S54" s="188"/>
      <c r="T54" s="740"/>
      <c r="U54" s="119"/>
      <c r="V54" s="119"/>
      <c r="W54" s="119"/>
      <c r="X54" s="119"/>
      <c r="Y54" s="119"/>
      <c r="Z54" s="188"/>
      <c r="AA54" s="188"/>
      <c r="AB54" s="741"/>
      <c r="AC54" s="741"/>
      <c r="AD54" s="116"/>
      <c r="AE54" s="742"/>
      <c r="AF54" s="742"/>
      <c r="AG54" s="256"/>
      <c r="AH54" s="188"/>
      <c r="AI54" s="743"/>
      <c r="AJ54" s="256"/>
      <c r="AK54" s="256"/>
      <c r="AL54" s="256"/>
      <c r="AM54" s="744"/>
      <c r="AN54" s="757"/>
      <c r="AO54" s="745"/>
      <c r="AP54" s="745"/>
      <c r="AQ54" s="256"/>
      <c r="AR54" s="256"/>
      <c r="AS54" s="256"/>
      <c r="AT54" s="256"/>
      <c r="AU54" s="256"/>
      <c r="AV54" s="55"/>
      <c r="AW54" s="17"/>
    </row>
    <row r="55" spans="3:57" s="683" customFormat="1" ht="20.25" customHeight="1" x14ac:dyDescent="0.3">
      <c r="C55" s="1017"/>
      <c r="D55" s="1019"/>
      <c r="E55" s="1020"/>
      <c r="F55" s="1020"/>
      <c r="G55" s="1019"/>
      <c r="H55" s="1125">
        <f>H53+H52</f>
        <v>35640000</v>
      </c>
      <c r="I55" s="1020"/>
      <c r="J55" s="1020"/>
      <c r="K55" s="1019"/>
      <c r="L55" s="1014"/>
      <c r="M55" s="1014"/>
      <c r="N55" s="1014"/>
      <c r="O55" s="1125">
        <f>O53+O52</f>
        <v>34535200</v>
      </c>
      <c r="P55" s="1020"/>
      <c r="Q55" s="1019"/>
      <c r="R55" s="1019"/>
      <c r="S55" s="1019"/>
      <c r="T55" s="1024"/>
      <c r="U55" s="1020"/>
      <c r="V55" s="1020"/>
      <c r="W55" s="1020"/>
      <c r="X55" s="1020"/>
      <c r="Y55" s="1020"/>
      <c r="Z55" s="1019"/>
      <c r="AA55" s="1019"/>
      <c r="AB55" s="1027"/>
      <c r="AC55" s="1027"/>
      <c r="AD55" s="1028"/>
      <c r="AE55" s="1029"/>
      <c r="AF55" s="1029"/>
      <c r="AG55" s="1030"/>
      <c r="AH55" s="1019"/>
      <c r="AI55" s="1031"/>
      <c r="AJ55" s="1030"/>
      <c r="AK55" s="1030"/>
      <c r="AL55" s="1063"/>
      <c r="AM55" s="1032"/>
      <c r="AN55" s="1125">
        <f>AN53+AN52</f>
        <v>34012664</v>
      </c>
      <c r="AO55" s="1033"/>
      <c r="AP55" s="1033"/>
      <c r="AQ55" s="1030"/>
      <c r="AR55" s="1030"/>
      <c r="AS55" s="1030"/>
      <c r="AT55" s="1030"/>
      <c r="AU55" s="1030"/>
      <c r="AV55" s="1018"/>
      <c r="AW55" s="532"/>
      <c r="BA55" s="683">
        <f>H55</f>
        <v>35640000</v>
      </c>
      <c r="BB55" s="683">
        <f>BB52</f>
        <v>34535200</v>
      </c>
      <c r="BC55" s="683">
        <f>AN55</f>
        <v>34012664</v>
      </c>
      <c r="BD55" s="683">
        <f>MIN(BA55,BB55,BC55)</f>
        <v>34012664</v>
      </c>
      <c r="BE55" s="683">
        <f>BD55*10%</f>
        <v>3401266.4000000004</v>
      </c>
    </row>
    <row r="56" spans="3:57" ht="20.25" customHeight="1" x14ac:dyDescent="0.3">
      <c r="C56" s="69"/>
      <c r="D56" s="188"/>
      <c r="E56" s="119"/>
      <c r="F56" s="119"/>
      <c r="G56" s="188"/>
      <c r="H56" s="739"/>
      <c r="I56" s="119"/>
      <c r="J56" s="119"/>
      <c r="K56" s="188"/>
      <c r="L56" s="739"/>
      <c r="M56" s="739"/>
      <c r="N56" s="739"/>
      <c r="O56" s="739"/>
      <c r="P56" s="119"/>
      <c r="Q56" s="188"/>
      <c r="R56" s="188"/>
      <c r="S56" s="188"/>
      <c r="T56" s="740"/>
      <c r="U56" s="119"/>
      <c r="V56" s="119"/>
      <c r="W56" s="119"/>
      <c r="X56" s="119"/>
      <c r="Y56" s="119"/>
      <c r="Z56" s="188"/>
      <c r="AA56" s="188"/>
      <c r="AB56" s="741"/>
      <c r="AC56" s="741"/>
      <c r="AD56" s="116"/>
      <c r="AE56" s="742"/>
      <c r="AF56" s="742"/>
      <c r="AG56" s="256"/>
      <c r="AH56" s="188"/>
      <c r="AI56" s="743"/>
      <c r="AJ56" s="256"/>
      <c r="AK56" s="256"/>
      <c r="AL56" s="757"/>
      <c r="AM56" s="744"/>
      <c r="AN56" s="757"/>
      <c r="AO56" s="745"/>
      <c r="AP56" s="745"/>
      <c r="AQ56" s="256"/>
      <c r="AR56" s="256"/>
      <c r="AS56" s="256"/>
      <c r="AT56" s="256"/>
      <c r="AU56" s="256"/>
      <c r="AV56" s="55"/>
      <c r="AW56" s="17"/>
    </row>
    <row r="57" spans="3:57" ht="20.25" customHeight="1" x14ac:dyDescent="0.3">
      <c r="C57" s="712" t="s">
        <v>1423</v>
      </c>
      <c r="D57" s="188">
        <v>8</v>
      </c>
      <c r="E57" s="119"/>
      <c r="F57" s="119" t="str">
        <f>'UID application COMBINE Mc list'!C30</f>
        <v>PLC based Precision Package Winder with online tension control having capability to process 2000 dtex and having speed of 1200 mtrs per minute.</v>
      </c>
      <c r="G57" s="188">
        <f>'UID application COMBINE Mc list'!D30</f>
        <v>13</v>
      </c>
      <c r="H57" s="739">
        <f>'UID application COMBINE Mc list'!H30</f>
        <v>71880000</v>
      </c>
      <c r="I57" s="119" t="str">
        <f>F57</f>
        <v>PLC based Precision Package Winder with online tension control having capability to process 2000 dtex and having speed of 1200 mtrs per minute.</v>
      </c>
      <c r="J57" s="119" t="s">
        <v>649</v>
      </c>
      <c r="K57" s="188">
        <f>SUM(K58:K67)</f>
        <v>10</v>
      </c>
      <c r="L57" s="739"/>
      <c r="M57" s="739">
        <f>SUM(M58:M67)</f>
        <v>63600000</v>
      </c>
      <c r="N57" s="739"/>
      <c r="O57" s="739"/>
      <c r="P57" s="712" t="s">
        <v>1423</v>
      </c>
      <c r="Q57" s="188" t="s">
        <v>649</v>
      </c>
      <c r="R57" s="188" t="s">
        <v>649</v>
      </c>
      <c r="S57" s="188" t="s">
        <v>649</v>
      </c>
      <c r="T57" s="740"/>
      <c r="U57" s="119" t="s">
        <v>1434</v>
      </c>
      <c r="V57" s="119"/>
      <c r="W57" s="119"/>
      <c r="X57" s="119"/>
      <c r="Y57" s="119"/>
      <c r="Z57" s="188"/>
      <c r="AA57" s="188"/>
      <c r="AB57" s="741"/>
      <c r="AC57" s="741"/>
      <c r="AD57" s="116"/>
      <c r="AE57" s="742"/>
      <c r="AF57" s="742"/>
      <c r="AG57" s="256"/>
      <c r="AH57" s="188"/>
      <c r="AI57" s="743"/>
      <c r="AJ57" s="256"/>
      <c r="AK57" s="256"/>
      <c r="AL57" s="739">
        <f>SUM(AL58:AL67)</f>
        <v>75048000</v>
      </c>
      <c r="AM57" s="744"/>
      <c r="AN57" s="739">
        <f>SUM(AN58:AN70)</f>
        <v>75049839</v>
      </c>
      <c r="AO57" s="745"/>
      <c r="AP57" s="745"/>
      <c r="AQ57" s="256"/>
      <c r="AR57" s="256"/>
      <c r="AS57" s="256"/>
      <c r="AT57" s="256"/>
      <c r="AU57" s="256"/>
      <c r="AV57" s="55"/>
      <c r="AW57" s="17"/>
      <c r="AZ57" s="1298" t="s">
        <v>1701</v>
      </c>
    </row>
    <row r="58" spans="3:57" ht="20.25" customHeight="1" x14ac:dyDescent="0.3">
      <c r="C58" s="69"/>
      <c r="D58" s="188"/>
      <c r="E58" s="119"/>
      <c r="F58" s="119"/>
      <c r="G58" s="188"/>
      <c r="H58" s="739"/>
      <c r="I58" s="119" t="s">
        <v>1244</v>
      </c>
      <c r="J58" s="119"/>
      <c r="K58" s="188">
        <v>1</v>
      </c>
      <c r="L58" s="739" t="s">
        <v>359</v>
      </c>
      <c r="M58" s="798">
        <v>6960000</v>
      </c>
      <c r="N58" s="739"/>
      <c r="O58" s="739"/>
      <c r="P58" s="1288" t="s">
        <v>1423</v>
      </c>
      <c r="Q58" s="188"/>
      <c r="R58" s="188"/>
      <c r="S58" s="188"/>
      <c r="T58" s="740"/>
      <c r="U58" s="746" t="s">
        <v>1617</v>
      </c>
      <c r="V58" s="119" t="s">
        <v>1436</v>
      </c>
      <c r="W58" s="119"/>
      <c r="X58" s="803">
        <v>84459000</v>
      </c>
      <c r="Y58" s="119"/>
      <c r="Z58" s="794" t="s">
        <v>1616</v>
      </c>
      <c r="AA58" s="188"/>
      <c r="AB58" s="741"/>
      <c r="AC58" s="741"/>
      <c r="AD58" s="116"/>
      <c r="AE58" s="742"/>
      <c r="AF58" s="742"/>
      <c r="AG58" s="256"/>
      <c r="AH58" s="188"/>
      <c r="AI58" s="743"/>
      <c r="AJ58" s="256"/>
      <c r="AK58" s="959">
        <v>44634</v>
      </c>
      <c r="AL58" s="757">
        <v>8212800</v>
      </c>
      <c r="AM58" s="744"/>
      <c r="AN58" s="757">
        <v>8212800</v>
      </c>
      <c r="AO58" s="745" t="s">
        <v>1323</v>
      </c>
      <c r="AP58" s="745"/>
      <c r="AQ58" s="256" t="s">
        <v>1371</v>
      </c>
      <c r="AR58" s="256"/>
      <c r="AS58" s="256"/>
      <c r="AT58" s="256"/>
      <c r="AU58" s="256"/>
      <c r="AV58" s="55"/>
      <c r="AW58" s="17"/>
      <c r="AY58" s="13" t="s">
        <v>1644</v>
      </c>
      <c r="AZ58" s="1298"/>
    </row>
    <row r="59" spans="3:57" ht="20.25" customHeight="1" x14ac:dyDescent="0.3">
      <c r="C59" s="69"/>
      <c r="D59" s="188"/>
      <c r="E59" s="119"/>
      <c r="F59" s="119"/>
      <c r="G59" s="188"/>
      <c r="H59" s="739"/>
      <c r="I59" s="119" t="s">
        <v>1244</v>
      </c>
      <c r="J59" s="119"/>
      <c r="K59" s="188">
        <v>1</v>
      </c>
      <c r="L59" s="739"/>
      <c r="M59" s="798">
        <v>6960000</v>
      </c>
      <c r="N59" s="739"/>
      <c r="O59" s="739"/>
      <c r="P59" s="1289"/>
      <c r="Q59" s="188"/>
      <c r="R59" s="188"/>
      <c r="S59" s="188"/>
      <c r="T59" s="740"/>
      <c r="U59" s="746" t="s">
        <v>1617</v>
      </c>
      <c r="V59" s="119" t="s">
        <v>1437</v>
      </c>
      <c r="W59" s="119"/>
      <c r="X59" s="803">
        <v>84459000</v>
      </c>
      <c r="Y59" s="119"/>
      <c r="Z59" s="794" t="s">
        <v>1425</v>
      </c>
      <c r="AA59" s="188"/>
      <c r="AB59" s="741"/>
      <c r="AC59" s="741"/>
      <c r="AD59" s="116"/>
      <c r="AE59" s="742"/>
      <c r="AF59" s="742"/>
      <c r="AG59" s="256"/>
      <c r="AH59" s="188"/>
      <c r="AI59" s="743"/>
      <c r="AJ59" s="256"/>
      <c r="AK59" s="256"/>
      <c r="AL59" s="757">
        <v>8212800</v>
      </c>
      <c r="AM59" s="744"/>
      <c r="AN59" s="757">
        <v>8212800</v>
      </c>
      <c r="AO59" s="745" t="s">
        <v>1546</v>
      </c>
      <c r="AP59" s="745"/>
      <c r="AQ59" s="256" t="s">
        <v>1371</v>
      </c>
      <c r="AR59" s="256"/>
      <c r="AS59" s="256"/>
      <c r="AT59" s="256"/>
      <c r="AU59" s="256"/>
      <c r="AV59" s="55"/>
      <c r="AW59" s="17"/>
      <c r="AY59" s="13" t="s">
        <v>1610</v>
      </c>
      <c r="AZ59" s="1298"/>
    </row>
    <row r="60" spans="3:57" ht="20.25" customHeight="1" x14ac:dyDescent="0.3">
      <c r="C60" s="69"/>
      <c r="D60" s="188"/>
      <c r="E60" s="119"/>
      <c r="F60" s="119"/>
      <c r="G60" s="188"/>
      <c r="H60" s="739"/>
      <c r="I60" s="119" t="s">
        <v>1244</v>
      </c>
      <c r="J60" s="119"/>
      <c r="K60" s="188">
        <v>1</v>
      </c>
      <c r="L60" s="739"/>
      <c r="M60" s="798">
        <v>6960000</v>
      </c>
      <c r="N60" s="739"/>
      <c r="O60" s="739"/>
      <c r="P60" s="1289"/>
      <c r="Q60" s="188"/>
      <c r="R60" s="188"/>
      <c r="S60" s="188"/>
      <c r="T60" s="740"/>
      <c r="U60" s="746" t="s">
        <v>1617</v>
      </c>
      <c r="V60" s="119" t="s">
        <v>1438</v>
      </c>
      <c r="W60" s="119"/>
      <c r="X60" s="803">
        <v>84459000</v>
      </c>
      <c r="Y60" s="119"/>
      <c r="Z60" s="794" t="s">
        <v>1618</v>
      </c>
      <c r="AA60" s="188"/>
      <c r="AB60" s="741"/>
      <c r="AC60" s="741"/>
      <c r="AD60" s="116"/>
      <c r="AE60" s="742"/>
      <c r="AF60" s="742"/>
      <c r="AG60" s="256"/>
      <c r="AH60" s="188"/>
      <c r="AI60" s="743"/>
      <c r="AJ60" s="256"/>
      <c r="AK60" s="256"/>
      <c r="AL60" s="757">
        <v>8212800</v>
      </c>
      <c r="AM60" s="744"/>
      <c r="AN60" s="757">
        <v>8212800</v>
      </c>
      <c r="AO60" s="745" t="s">
        <v>1547</v>
      </c>
      <c r="AP60" s="745"/>
      <c r="AQ60" s="965" t="s">
        <v>1309</v>
      </c>
      <c r="AR60" s="256"/>
      <c r="AS60" s="256"/>
      <c r="AT60" s="256"/>
      <c r="AU60" s="256"/>
      <c r="AV60" s="55"/>
      <c r="AW60" s="17"/>
      <c r="AY60" s="13" t="s">
        <v>1623</v>
      </c>
      <c r="AZ60" s="1298"/>
    </row>
    <row r="61" spans="3:57" ht="20.25" customHeight="1" x14ac:dyDescent="0.3">
      <c r="C61" s="69"/>
      <c r="D61" s="188"/>
      <c r="E61" s="119"/>
      <c r="F61" s="119"/>
      <c r="G61" s="188"/>
      <c r="H61" s="739"/>
      <c r="I61" s="119" t="s">
        <v>1244</v>
      </c>
      <c r="J61" s="119"/>
      <c r="K61" s="188">
        <v>1</v>
      </c>
      <c r="L61" s="739"/>
      <c r="M61" s="797">
        <v>6960000</v>
      </c>
      <c r="N61" s="739"/>
      <c r="O61" s="739"/>
      <c r="P61" s="1289"/>
      <c r="Q61" s="188"/>
      <c r="R61" s="188"/>
      <c r="S61" s="188"/>
      <c r="T61" s="740"/>
      <c r="U61" s="746" t="s">
        <v>1617</v>
      </c>
      <c r="V61" s="119" t="s">
        <v>1439</v>
      </c>
      <c r="W61" s="119"/>
      <c r="X61" s="803">
        <v>84459000</v>
      </c>
      <c r="Y61" s="119"/>
      <c r="Z61" s="794" t="s">
        <v>1619</v>
      </c>
      <c r="AA61" s="188"/>
      <c r="AB61" s="741"/>
      <c r="AC61" s="741"/>
      <c r="AD61" s="116"/>
      <c r="AE61" s="742"/>
      <c r="AF61" s="742"/>
      <c r="AG61" s="256"/>
      <c r="AH61" s="188"/>
      <c r="AI61" s="743"/>
      <c r="AJ61" s="256"/>
      <c r="AK61" s="256"/>
      <c r="AL61" s="757">
        <v>8212800</v>
      </c>
      <c r="AM61" s="744"/>
      <c r="AN61" s="757">
        <v>8212800</v>
      </c>
      <c r="AO61" s="745" t="s">
        <v>1549</v>
      </c>
      <c r="AP61" s="745"/>
      <c r="AQ61" s="256" t="s">
        <v>1371</v>
      </c>
      <c r="AR61" s="256"/>
      <c r="AS61" s="256"/>
      <c r="AT61" s="256"/>
      <c r="AU61" s="256"/>
      <c r="AV61" s="55"/>
      <c r="AW61" s="17"/>
      <c r="AZ61" s="1298"/>
    </row>
    <row r="62" spans="3:57" ht="20.25" customHeight="1" x14ac:dyDescent="0.3">
      <c r="C62" s="69"/>
      <c r="D62" s="188"/>
      <c r="E62" s="119"/>
      <c r="F62" s="119"/>
      <c r="G62" s="188"/>
      <c r="H62" s="739"/>
      <c r="I62" s="119" t="s">
        <v>1244</v>
      </c>
      <c r="J62" s="119"/>
      <c r="K62" s="188">
        <v>1</v>
      </c>
      <c r="L62" s="739"/>
      <c r="M62" s="798">
        <v>6960000</v>
      </c>
      <c r="N62" s="739"/>
      <c r="O62" s="739"/>
      <c r="P62" s="1289"/>
      <c r="Q62" s="188"/>
      <c r="R62" s="188"/>
      <c r="S62" s="188"/>
      <c r="T62" s="740"/>
      <c r="U62" s="746" t="s">
        <v>1617</v>
      </c>
      <c r="V62" s="119" t="s">
        <v>1440</v>
      </c>
      <c r="W62" s="119"/>
      <c r="X62" s="803">
        <v>84459000</v>
      </c>
      <c r="Y62" s="119"/>
      <c r="Z62" s="794" t="s">
        <v>1620</v>
      </c>
      <c r="AA62" s="188"/>
      <c r="AB62" s="741"/>
      <c r="AC62" s="741"/>
      <c r="AD62" s="116"/>
      <c r="AE62" s="742"/>
      <c r="AF62" s="742"/>
      <c r="AG62" s="256"/>
      <c r="AH62" s="188"/>
      <c r="AI62" s="743"/>
      <c r="AJ62" s="256"/>
      <c r="AK62" s="256"/>
      <c r="AL62" s="757">
        <v>8212800</v>
      </c>
      <c r="AM62" s="744"/>
      <c r="AN62" s="757">
        <v>8212800</v>
      </c>
      <c r="AO62" s="745" t="s">
        <v>1550</v>
      </c>
      <c r="AP62" s="745"/>
      <c r="AQ62" s="256" t="s">
        <v>1371</v>
      </c>
      <c r="AR62" s="256"/>
      <c r="AS62" s="256"/>
      <c r="AT62" s="256"/>
      <c r="AU62" s="256"/>
      <c r="AV62" s="55"/>
      <c r="AW62" s="17"/>
      <c r="AZ62" s="1298"/>
    </row>
    <row r="63" spans="3:57" ht="20.25" customHeight="1" x14ac:dyDescent="0.3">
      <c r="C63" s="69"/>
      <c r="D63" s="188"/>
      <c r="E63" s="119"/>
      <c r="F63" s="119"/>
      <c r="G63" s="188"/>
      <c r="H63" s="739"/>
      <c r="I63" s="119" t="s">
        <v>1244</v>
      </c>
      <c r="J63" s="119"/>
      <c r="K63" s="188">
        <v>1</v>
      </c>
      <c r="L63" s="739"/>
      <c r="M63" s="798">
        <v>6960000</v>
      </c>
      <c r="N63" s="739"/>
      <c r="O63" s="739"/>
      <c r="P63" s="1289"/>
      <c r="Q63" s="188"/>
      <c r="R63" s="188"/>
      <c r="S63" s="188"/>
      <c r="T63" s="740"/>
      <c r="U63" s="746" t="s">
        <v>1617</v>
      </c>
      <c r="V63" s="119" t="s">
        <v>1441</v>
      </c>
      <c r="W63" s="119"/>
      <c r="X63" s="803">
        <v>84459000</v>
      </c>
      <c r="Y63" s="119"/>
      <c r="Z63" s="795" t="s">
        <v>1621</v>
      </c>
      <c r="AA63" s="188"/>
      <c r="AB63" s="741"/>
      <c r="AC63" s="741"/>
      <c r="AD63" s="116"/>
      <c r="AE63" s="742"/>
      <c r="AF63" s="742"/>
      <c r="AG63" s="256"/>
      <c r="AH63" s="188"/>
      <c r="AI63" s="743"/>
      <c r="AJ63" s="256"/>
      <c r="AK63" s="256"/>
      <c r="AL63" s="757">
        <v>8212800</v>
      </c>
      <c r="AM63" s="744"/>
      <c r="AN63" s="757">
        <v>2688000</v>
      </c>
      <c r="AO63" s="745" t="s">
        <v>1564</v>
      </c>
      <c r="AP63" s="745"/>
      <c r="AQ63" s="965" t="s">
        <v>1309</v>
      </c>
      <c r="AR63" s="256"/>
      <c r="AS63" s="256"/>
      <c r="AT63" s="256"/>
      <c r="AU63" s="256"/>
      <c r="AV63" s="55"/>
      <c r="AW63" s="17"/>
      <c r="AZ63" s="1298"/>
    </row>
    <row r="64" spans="3:57" ht="20.25" customHeight="1" x14ac:dyDescent="0.3">
      <c r="C64" s="69"/>
      <c r="D64" s="188"/>
      <c r="E64" s="119"/>
      <c r="F64" s="119"/>
      <c r="G64" s="188"/>
      <c r="H64" s="739"/>
      <c r="I64" s="119" t="s">
        <v>1244</v>
      </c>
      <c r="J64" s="119"/>
      <c r="K64" s="188">
        <v>1</v>
      </c>
      <c r="L64" s="739"/>
      <c r="M64" s="798">
        <v>6960000</v>
      </c>
      <c r="N64" s="739"/>
      <c r="O64" s="739"/>
      <c r="P64" s="1289"/>
      <c r="Q64" s="188"/>
      <c r="R64" s="188"/>
      <c r="S64" s="188"/>
      <c r="T64" s="740"/>
      <c r="U64" s="746" t="s">
        <v>1617</v>
      </c>
      <c r="V64" s="119" t="s">
        <v>1442</v>
      </c>
      <c r="W64" s="119"/>
      <c r="X64" s="803">
        <v>84459000</v>
      </c>
      <c r="Y64" s="119"/>
      <c r="Z64" s="794" t="s">
        <v>1431</v>
      </c>
      <c r="AA64" s="188"/>
      <c r="AB64" s="741"/>
      <c r="AC64" s="741"/>
      <c r="AD64" s="116"/>
      <c r="AE64" s="742"/>
      <c r="AF64" s="742"/>
      <c r="AG64" s="256"/>
      <c r="AH64" s="188"/>
      <c r="AI64" s="743"/>
      <c r="AJ64" s="256"/>
      <c r="AK64" s="256"/>
      <c r="AL64" s="782">
        <f>8212800-(6960*0)</f>
        <v>8212800</v>
      </c>
      <c r="AM64" s="744"/>
      <c r="AN64" s="757">
        <v>7540800</v>
      </c>
      <c r="AO64" s="745" t="s">
        <v>1565</v>
      </c>
      <c r="AP64" s="745"/>
      <c r="AQ64" s="256" t="s">
        <v>1371</v>
      </c>
      <c r="AR64" s="256"/>
      <c r="AS64" s="256"/>
      <c r="AT64" s="256"/>
      <c r="AU64" s="256"/>
      <c r="AV64" s="55"/>
      <c r="AW64" s="17"/>
      <c r="AZ64" s="1298"/>
    </row>
    <row r="65" spans="3:58" ht="20.25" customHeight="1" x14ac:dyDescent="0.3">
      <c r="C65" s="69"/>
      <c r="D65" s="188"/>
      <c r="E65" s="119"/>
      <c r="F65" s="119"/>
      <c r="G65" s="188"/>
      <c r="H65" s="739"/>
      <c r="I65" s="119" t="s">
        <v>1244</v>
      </c>
      <c r="J65" s="119"/>
      <c r="K65" s="188">
        <v>1</v>
      </c>
      <c r="L65" s="739"/>
      <c r="M65" s="798">
        <v>6960000</v>
      </c>
      <c r="N65" s="739"/>
      <c r="O65" s="739"/>
      <c r="P65" s="1289"/>
      <c r="Q65" s="188"/>
      <c r="R65" s="188"/>
      <c r="S65" s="188"/>
      <c r="T65" s="740"/>
      <c r="U65" s="746" t="s">
        <v>1617</v>
      </c>
      <c r="V65" s="119" t="s">
        <v>1606</v>
      </c>
      <c r="W65" s="119"/>
      <c r="X65" s="803">
        <v>84459000</v>
      </c>
      <c r="Y65" s="119"/>
      <c r="Z65" s="795" t="s">
        <v>1444</v>
      </c>
      <c r="AA65" s="188"/>
      <c r="AB65" s="741"/>
      <c r="AC65" s="741"/>
      <c r="AD65" s="116"/>
      <c r="AE65" s="742"/>
      <c r="AF65" s="742"/>
      <c r="AG65" s="256"/>
      <c r="AH65" s="188"/>
      <c r="AI65" s="743"/>
      <c r="AJ65" s="256"/>
      <c r="AK65" s="256"/>
      <c r="AL65" s="757">
        <v>8212800</v>
      </c>
      <c r="AM65" s="744"/>
      <c r="AN65" s="757">
        <v>45289</v>
      </c>
      <c r="AO65" s="745" t="s">
        <v>1369</v>
      </c>
      <c r="AP65" s="745"/>
      <c r="AQ65" s="965" t="s">
        <v>1309</v>
      </c>
      <c r="AR65" s="256"/>
      <c r="AS65" s="256"/>
      <c r="AT65" s="256"/>
      <c r="AU65" s="256"/>
      <c r="AV65" s="55"/>
      <c r="AW65" s="17"/>
      <c r="AZ65" s="1298"/>
    </row>
    <row r="66" spans="3:58" ht="20.25" customHeight="1" x14ac:dyDescent="0.3">
      <c r="C66" s="69"/>
      <c r="D66" s="188"/>
      <c r="E66" s="119"/>
      <c r="F66" s="119"/>
      <c r="G66" s="188"/>
      <c r="H66" s="739"/>
      <c r="I66" s="119" t="s">
        <v>1244</v>
      </c>
      <c r="J66" s="119"/>
      <c r="K66" s="188">
        <v>1</v>
      </c>
      <c r="L66" s="739"/>
      <c r="M66" s="799">
        <v>6960000</v>
      </c>
      <c r="N66" s="739"/>
      <c r="O66" s="739"/>
      <c r="P66" s="1289"/>
      <c r="Q66" s="188"/>
      <c r="R66" s="188"/>
      <c r="S66" s="188"/>
      <c r="T66" s="740"/>
      <c r="U66" s="746" t="s">
        <v>1617</v>
      </c>
      <c r="V66" s="119" t="s">
        <v>1443</v>
      </c>
      <c r="W66" s="119"/>
      <c r="X66" s="803">
        <v>84459000</v>
      </c>
      <c r="Y66" s="119"/>
      <c r="Z66" s="796" t="s">
        <v>1430</v>
      </c>
      <c r="AA66" s="188"/>
      <c r="AB66" s="741"/>
      <c r="AC66" s="741"/>
      <c r="AD66" s="116"/>
      <c r="AE66" s="742"/>
      <c r="AF66" s="742"/>
      <c r="AG66" s="256"/>
      <c r="AH66" s="188"/>
      <c r="AI66" s="743"/>
      <c r="AJ66" s="256"/>
      <c r="AK66" s="256"/>
      <c r="AL66" s="782">
        <f>8212800-(6960*0)</f>
        <v>8212800</v>
      </c>
      <c r="AM66" s="744"/>
      <c r="AN66" s="757">
        <v>15081600</v>
      </c>
      <c r="AO66" s="745" t="s">
        <v>1566</v>
      </c>
      <c r="AP66" s="745"/>
      <c r="AQ66" s="256" t="s">
        <v>1371</v>
      </c>
      <c r="AR66" s="256"/>
      <c r="AS66" s="256"/>
      <c r="AT66" s="256"/>
      <c r="AU66" s="256"/>
      <c r="AV66" s="55"/>
      <c r="AW66" s="17"/>
      <c r="AZ66" s="1298"/>
    </row>
    <row r="67" spans="3:58" ht="20.25" customHeight="1" x14ac:dyDescent="0.3">
      <c r="C67" s="69"/>
      <c r="D67" s="188"/>
      <c r="E67" s="119"/>
      <c r="F67" s="119"/>
      <c r="G67" s="188"/>
      <c r="H67" s="739"/>
      <c r="I67" s="780" t="s">
        <v>1433</v>
      </c>
      <c r="J67" s="119"/>
      <c r="K67" s="188">
        <v>1</v>
      </c>
      <c r="L67" s="739"/>
      <c r="M67" s="797">
        <v>960000</v>
      </c>
      <c r="N67" s="739"/>
      <c r="O67" s="739"/>
      <c r="P67" s="1290"/>
      <c r="Q67" s="188"/>
      <c r="R67" s="188"/>
      <c r="S67" s="188"/>
      <c r="T67" s="740"/>
      <c r="U67" s="746" t="s">
        <v>1434</v>
      </c>
      <c r="V67" s="781">
        <v>4997</v>
      </c>
      <c r="W67" s="119"/>
      <c r="X67" s="803">
        <v>84459000</v>
      </c>
      <c r="Y67" s="119"/>
      <c r="Z67" s="794" t="s">
        <v>1622</v>
      </c>
      <c r="AA67" s="188"/>
      <c r="AB67" s="741"/>
      <c r="AC67" s="741"/>
      <c r="AD67" s="116"/>
      <c r="AE67" s="742"/>
      <c r="AF67" s="742"/>
      <c r="AG67" s="256"/>
      <c r="AH67" s="188"/>
      <c r="AI67" s="743"/>
      <c r="AJ67" s="256"/>
      <c r="AK67" s="256"/>
      <c r="AL67" s="757">
        <v>1132800</v>
      </c>
      <c r="AM67" s="744"/>
      <c r="AN67" s="757">
        <v>1132800</v>
      </c>
      <c r="AO67" s="745" t="s">
        <v>1548</v>
      </c>
      <c r="AP67" s="745"/>
      <c r="AQ67" s="256" t="s">
        <v>1371</v>
      </c>
      <c r="AR67" s="256"/>
      <c r="AS67" s="256"/>
      <c r="AT67" s="256"/>
      <c r="AU67" s="256"/>
      <c r="AV67" s="55"/>
      <c r="AW67" s="17"/>
      <c r="AZ67" s="1298"/>
    </row>
    <row r="68" spans="3:58" ht="20.25" customHeight="1" x14ac:dyDescent="0.3">
      <c r="C68" s="69"/>
      <c r="D68" s="188"/>
      <c r="E68" s="119"/>
      <c r="F68" s="119"/>
      <c r="G68" s="188"/>
      <c r="H68" s="739"/>
      <c r="I68" s="780"/>
      <c r="J68" s="119"/>
      <c r="K68" s="188"/>
      <c r="L68" s="739"/>
      <c r="M68" s="800"/>
      <c r="N68" s="739"/>
      <c r="O68" s="739"/>
      <c r="P68" s="801"/>
      <c r="Q68" s="188"/>
      <c r="R68" s="188"/>
      <c r="S68" s="188"/>
      <c r="T68" s="740"/>
      <c r="U68" s="746"/>
      <c r="V68" s="119"/>
      <c r="W68" s="119"/>
      <c r="X68" s="803"/>
      <c r="Y68" s="119"/>
      <c r="Z68" s="802"/>
      <c r="AA68" s="188"/>
      <c r="AB68" s="741"/>
      <c r="AC68" s="741"/>
      <c r="AD68" s="116"/>
      <c r="AE68" s="742"/>
      <c r="AF68" s="742"/>
      <c r="AG68" s="256"/>
      <c r="AH68" s="188"/>
      <c r="AI68" s="743"/>
      <c r="AJ68" s="256"/>
      <c r="AK68" s="256"/>
      <c r="AL68" s="757"/>
      <c r="AM68" s="744"/>
      <c r="AN68" s="757">
        <v>7028180</v>
      </c>
      <c r="AO68" s="745" t="s">
        <v>1567</v>
      </c>
      <c r="AP68" s="745"/>
      <c r="AQ68" s="965" t="s">
        <v>1309</v>
      </c>
      <c r="AR68" s="256"/>
      <c r="AS68" s="256"/>
      <c r="AT68" s="256"/>
      <c r="AU68" s="256"/>
      <c r="AV68" s="55"/>
      <c r="AW68" s="17"/>
      <c r="AZ68" s="1298"/>
    </row>
    <row r="69" spans="3:58" ht="20.25" customHeight="1" x14ac:dyDescent="0.3">
      <c r="C69" s="69"/>
      <c r="D69" s="188"/>
      <c r="E69" s="119"/>
      <c r="F69" s="119"/>
      <c r="G69" s="188"/>
      <c r="H69" s="739"/>
      <c r="I69" s="780"/>
      <c r="J69" s="119"/>
      <c r="K69" s="188"/>
      <c r="L69" s="739"/>
      <c r="M69" s="800"/>
      <c r="N69" s="739"/>
      <c r="O69" s="739"/>
      <c r="P69" s="801"/>
      <c r="Q69" s="188"/>
      <c r="R69" s="188"/>
      <c r="S69" s="188"/>
      <c r="T69" s="740"/>
      <c r="U69" s="746"/>
      <c r="V69" s="119"/>
      <c r="W69" s="119"/>
      <c r="X69" s="119"/>
      <c r="Y69" s="119"/>
      <c r="Z69" s="802"/>
      <c r="AA69" s="188"/>
      <c r="AB69" s="741"/>
      <c r="AC69" s="741"/>
      <c r="AD69" s="116"/>
      <c r="AE69" s="742"/>
      <c r="AF69" s="742"/>
      <c r="AG69" s="256"/>
      <c r="AH69" s="188"/>
      <c r="AI69" s="743"/>
      <c r="AJ69" s="256"/>
      <c r="AK69" s="256"/>
      <c r="AL69" s="757"/>
      <c r="AM69" s="744"/>
      <c r="AN69" s="757">
        <v>448290</v>
      </c>
      <c r="AO69" s="745" t="s">
        <v>1747</v>
      </c>
      <c r="AP69" s="745"/>
      <c r="AQ69" s="965" t="s">
        <v>1309</v>
      </c>
      <c r="AR69" s="256"/>
      <c r="AS69" s="256"/>
      <c r="AT69" s="256"/>
      <c r="AU69" s="256"/>
      <c r="AV69" s="55"/>
      <c r="AW69" s="17"/>
      <c r="AZ69" s="1298"/>
    </row>
    <row r="70" spans="3:58" ht="20.25" customHeight="1" x14ac:dyDescent="0.3">
      <c r="C70" s="69"/>
      <c r="D70" s="188"/>
      <c r="E70" s="119"/>
      <c r="F70" s="119"/>
      <c r="G70" s="188"/>
      <c r="H70" s="739"/>
      <c r="I70" s="780"/>
      <c r="J70" s="119"/>
      <c r="K70" s="188"/>
      <c r="L70" s="739"/>
      <c r="M70" s="800"/>
      <c r="N70" s="739"/>
      <c r="O70" s="739"/>
      <c r="P70" s="801"/>
      <c r="Q70" s="188"/>
      <c r="R70" s="188"/>
      <c r="S70" s="188"/>
      <c r="T70" s="740"/>
      <c r="U70" s="746"/>
      <c r="V70" s="119"/>
      <c r="W70" s="119"/>
      <c r="X70" s="119"/>
      <c r="Y70" s="119"/>
      <c r="Z70" s="802"/>
      <c r="AA70" s="188"/>
      <c r="AB70" s="1122"/>
      <c r="AC70" s="1122"/>
      <c r="AD70" s="1121"/>
      <c r="AE70" s="1123"/>
      <c r="AF70" s="1123"/>
      <c r="AG70" s="256"/>
      <c r="AH70" s="188"/>
      <c r="AI70" s="743"/>
      <c r="AJ70" s="256"/>
      <c r="AK70" s="256"/>
      <c r="AL70" s="757"/>
      <c r="AM70" s="744"/>
      <c r="AN70" s="782">
        <v>20880</v>
      </c>
      <c r="AO70" s="1087" t="s">
        <v>1578</v>
      </c>
      <c r="AP70" s="745"/>
      <c r="AQ70" s="965"/>
      <c r="AR70" s="256"/>
      <c r="AS70" s="256"/>
      <c r="AT70" s="256"/>
      <c r="AU70" s="256"/>
      <c r="AV70" s="55"/>
      <c r="AW70" s="17"/>
      <c r="AZ70" s="1124"/>
    </row>
    <row r="71" spans="3:58" s="683" customFormat="1" ht="20.25" customHeight="1" x14ac:dyDescent="0.3">
      <c r="C71" s="1017"/>
      <c r="D71" s="1019"/>
      <c r="E71" s="1020"/>
      <c r="F71" s="1020"/>
      <c r="G71" s="1019"/>
      <c r="H71" s="1014">
        <f>H57</f>
        <v>71880000</v>
      </c>
      <c r="I71" s="1021"/>
      <c r="J71" s="1020"/>
      <c r="K71" s="1019"/>
      <c r="L71" s="1014"/>
      <c r="M71" s="1014">
        <f>M57</f>
        <v>63600000</v>
      </c>
      <c r="N71" s="1014"/>
      <c r="O71" s="1014"/>
      <c r="P71" s="1023"/>
      <c r="Q71" s="1019"/>
      <c r="R71" s="1019"/>
      <c r="S71" s="1019"/>
      <c r="T71" s="1024"/>
      <c r="U71" s="1025"/>
      <c r="V71" s="1020"/>
      <c r="W71" s="1020"/>
      <c r="X71" s="1020"/>
      <c r="Y71" s="1020"/>
      <c r="Z71" s="1026"/>
      <c r="AA71" s="1019"/>
      <c r="AB71" s="1027"/>
      <c r="AC71" s="1027"/>
      <c r="AD71" s="1028"/>
      <c r="AE71" s="1029"/>
      <c r="AF71" s="1029"/>
      <c r="AG71" s="1030"/>
      <c r="AH71" s="1019"/>
      <c r="AI71" s="1031"/>
      <c r="AJ71" s="1030"/>
      <c r="AK71" s="1030"/>
      <c r="AL71" s="1014">
        <f>AL57</f>
        <v>75048000</v>
      </c>
      <c r="AM71" s="1032"/>
      <c r="AN71" s="1014">
        <f>AN57</f>
        <v>75049839</v>
      </c>
      <c r="AO71" s="1033"/>
      <c r="AP71" s="1033"/>
      <c r="AQ71" s="1030"/>
      <c r="AR71" s="1030"/>
      <c r="AS71" s="1030"/>
      <c r="AT71" s="1030"/>
      <c r="AU71" s="1030"/>
      <c r="AV71" s="1018"/>
      <c r="AW71" s="532"/>
      <c r="BA71" s="683">
        <f>H71</f>
        <v>71880000</v>
      </c>
      <c r="BB71" s="683">
        <f>M71</f>
        <v>63600000</v>
      </c>
      <c r="BC71" s="683">
        <f>AL71</f>
        <v>75048000</v>
      </c>
      <c r="BD71" s="683">
        <f>MIN(BA71,BB71,BC71)</f>
        <v>63600000</v>
      </c>
      <c r="BE71" s="683">
        <f>BD71*10%</f>
        <v>6360000</v>
      </c>
      <c r="BF71" s="683">
        <f>BE71+BE178-BA71*10%</f>
        <v>620422.5</v>
      </c>
    </row>
    <row r="72" spans="3:58" ht="20.25" customHeight="1" x14ac:dyDescent="0.3">
      <c r="C72" s="69"/>
      <c r="D72" s="188"/>
      <c r="E72" s="119"/>
      <c r="F72" s="119"/>
      <c r="G72" s="188"/>
      <c r="H72" s="739"/>
      <c r="I72" s="780"/>
      <c r="J72" s="119"/>
      <c r="K72" s="188"/>
      <c r="L72" s="739"/>
      <c r="M72" s="800">
        <f>SUM(M73:M74)</f>
        <v>4100000</v>
      </c>
      <c r="N72" s="739"/>
      <c r="O72" s="739"/>
      <c r="P72" s="801"/>
      <c r="Q72" s="188"/>
      <c r="R72" s="188"/>
      <c r="S72" s="188"/>
      <c r="T72" s="740"/>
      <c r="U72" s="746"/>
      <c r="V72" s="119"/>
      <c r="W72" s="119"/>
      <c r="X72" s="119"/>
      <c r="Y72" s="119"/>
      <c r="Z72" s="802"/>
      <c r="AA72" s="188"/>
      <c r="AB72" s="741"/>
      <c r="AC72" s="741"/>
      <c r="AD72" s="116"/>
      <c r="AE72" s="742"/>
      <c r="AF72" s="742"/>
      <c r="AG72" s="256"/>
      <c r="AH72" s="188"/>
      <c r="AI72" s="743"/>
      <c r="AJ72" s="256"/>
      <c r="AK72" s="256"/>
      <c r="AL72" s="757"/>
      <c r="AM72" s="744"/>
      <c r="AN72" s="757"/>
      <c r="AO72" s="745"/>
      <c r="AP72" s="745"/>
      <c r="AQ72" s="256"/>
      <c r="AR72" s="256"/>
      <c r="AS72" s="256"/>
      <c r="AT72" s="256"/>
      <c r="AU72" s="256"/>
      <c r="AV72" s="55"/>
      <c r="AW72" s="17"/>
    </row>
    <row r="73" spans="3:58" ht="20.25" customHeight="1" x14ac:dyDescent="0.3">
      <c r="C73" s="712" t="s">
        <v>1445</v>
      </c>
      <c r="D73" s="188">
        <v>9</v>
      </c>
      <c r="E73" s="119"/>
      <c r="F73" s="746" t="str">
        <f>'UID application COMBINE Mc list'!C31</f>
        <v xml:space="preserve">Yarn conditioning machine. </v>
      </c>
      <c r="G73" s="827">
        <v>1</v>
      </c>
      <c r="H73" s="739">
        <f>'UID application COMBINE Mc list'!H31</f>
        <v>4500000</v>
      </c>
      <c r="I73" s="829" t="s">
        <v>1446</v>
      </c>
      <c r="J73" s="119"/>
      <c r="K73" s="188">
        <v>1</v>
      </c>
      <c r="L73" s="739" t="s">
        <v>359</v>
      </c>
      <c r="M73" s="800">
        <v>3475000</v>
      </c>
      <c r="N73" s="739"/>
      <c r="O73" s="739"/>
      <c r="P73" s="801"/>
      <c r="Q73" s="188"/>
      <c r="R73" s="188"/>
      <c r="S73" s="188"/>
      <c r="T73" s="740">
        <v>2021</v>
      </c>
      <c r="U73" s="746" t="s">
        <v>1653</v>
      </c>
      <c r="V73" s="781">
        <v>1205</v>
      </c>
      <c r="W73" s="119"/>
      <c r="X73" s="803">
        <v>84518090</v>
      </c>
      <c r="Y73" s="119"/>
      <c r="Z73" s="1103" t="s">
        <v>1447</v>
      </c>
      <c r="AA73" s="188"/>
      <c r="AB73" s="741"/>
      <c r="AC73" s="741"/>
      <c r="AD73" s="116"/>
      <c r="AE73" s="742"/>
      <c r="AF73" s="742"/>
      <c r="AG73" s="256"/>
      <c r="AH73" s="188"/>
      <c r="AI73" s="743"/>
      <c r="AJ73" s="256"/>
      <c r="AK73" s="959">
        <v>44634</v>
      </c>
      <c r="AL73" s="757">
        <v>4100500</v>
      </c>
      <c r="AM73" s="744"/>
      <c r="AN73" s="757">
        <v>4428000</v>
      </c>
      <c r="AO73" s="745" t="s">
        <v>1551</v>
      </c>
      <c r="AP73" s="745"/>
      <c r="AQ73" s="256" t="s">
        <v>1371</v>
      </c>
      <c r="AR73" s="256"/>
      <c r="AS73" s="256"/>
      <c r="AT73" s="256"/>
      <c r="AU73" s="256"/>
      <c r="AV73" s="55"/>
      <c r="AW73" s="17"/>
      <c r="AZ73" s="1298" t="s">
        <v>1702</v>
      </c>
    </row>
    <row r="74" spans="3:58" ht="20.25" customHeight="1" x14ac:dyDescent="0.3">
      <c r="C74" s="69"/>
      <c r="D74" s="188"/>
      <c r="E74" s="119"/>
      <c r="F74" s="119"/>
      <c r="G74" s="188"/>
      <c r="H74" s="739"/>
      <c r="I74" s="780"/>
      <c r="J74" s="119"/>
      <c r="K74" s="188"/>
      <c r="L74" s="739" t="s">
        <v>359</v>
      </c>
      <c r="M74" s="800">
        <v>625000</v>
      </c>
      <c r="N74" s="739"/>
      <c r="O74" s="739"/>
      <c r="P74" s="801"/>
      <c r="Q74" s="188"/>
      <c r="R74" s="188"/>
      <c r="S74" s="188"/>
      <c r="T74" s="740"/>
      <c r="U74" s="746"/>
      <c r="V74" s="119"/>
      <c r="W74" s="119"/>
      <c r="X74" s="803">
        <v>84518090</v>
      </c>
      <c r="Y74" s="119"/>
      <c r="Z74" s="1103" t="s">
        <v>1448</v>
      </c>
      <c r="AA74" s="188"/>
      <c r="AB74" s="741"/>
      <c r="AC74" s="741"/>
      <c r="AD74" s="116"/>
      <c r="AE74" s="742"/>
      <c r="AF74" s="742"/>
      <c r="AG74" s="256"/>
      <c r="AH74" s="188"/>
      <c r="AI74" s="743"/>
      <c r="AJ74" s="256"/>
      <c r="AK74" s="256"/>
      <c r="AL74" s="757">
        <v>737500</v>
      </c>
      <c r="AM74" s="744"/>
      <c r="AN74" s="757">
        <v>467936</v>
      </c>
      <c r="AO74" s="745" t="s">
        <v>1569</v>
      </c>
      <c r="AP74" s="745"/>
      <c r="AQ74" s="965" t="s">
        <v>1309</v>
      </c>
      <c r="AR74" s="256"/>
      <c r="AS74" s="256"/>
      <c r="AT74" s="256"/>
      <c r="AU74" s="256"/>
      <c r="AV74" s="55"/>
      <c r="AW74" s="17"/>
      <c r="AY74" s="13" t="s">
        <v>1610</v>
      </c>
      <c r="AZ74" s="1298"/>
    </row>
    <row r="75" spans="3:58" ht="20.25" customHeight="1" x14ac:dyDescent="0.3">
      <c r="C75" s="69"/>
      <c r="D75" s="188"/>
      <c r="E75" s="119"/>
      <c r="F75" s="119"/>
      <c r="G75" s="188"/>
      <c r="H75" s="739"/>
      <c r="I75" s="780"/>
      <c r="J75" s="119"/>
      <c r="K75" s="188"/>
      <c r="L75" s="739" t="s">
        <v>359</v>
      </c>
      <c r="M75" s="800"/>
      <c r="N75" s="739"/>
      <c r="O75" s="739"/>
      <c r="P75" s="801"/>
      <c r="Q75" s="188"/>
      <c r="R75" s="188"/>
      <c r="S75" s="188"/>
      <c r="T75" s="740"/>
      <c r="U75" s="746"/>
      <c r="V75" s="119"/>
      <c r="W75" s="119"/>
      <c r="X75" s="803"/>
      <c r="Y75" s="119"/>
      <c r="Z75" s="794"/>
      <c r="AA75" s="188"/>
      <c r="AB75" s="741"/>
      <c r="AC75" s="741"/>
      <c r="AD75" s="116"/>
      <c r="AE75" s="742"/>
      <c r="AF75" s="742"/>
      <c r="AG75" s="256"/>
      <c r="AH75" s="188"/>
      <c r="AI75" s="743"/>
      <c r="AJ75" s="256"/>
      <c r="AK75" s="256"/>
      <c r="AL75" s="757"/>
      <c r="AM75" s="744"/>
      <c r="AN75" s="757"/>
      <c r="AO75" s="745"/>
      <c r="AP75" s="745"/>
      <c r="AQ75" s="256"/>
      <c r="AR75" s="256"/>
      <c r="AS75" s="256"/>
      <c r="AT75" s="256"/>
      <c r="AU75" s="256"/>
      <c r="AV75" s="55"/>
      <c r="AW75" s="17"/>
      <c r="AZ75" s="1298"/>
    </row>
    <row r="76" spans="3:58" ht="20.25" customHeight="1" x14ac:dyDescent="0.3">
      <c r="C76" s="69"/>
      <c r="D76" s="188"/>
      <c r="E76" s="119"/>
      <c r="F76" s="119"/>
      <c r="G76" s="188"/>
      <c r="H76" s="739"/>
      <c r="I76" s="780"/>
      <c r="J76" s="119"/>
      <c r="K76" s="188"/>
      <c r="L76" s="739" t="s">
        <v>359</v>
      </c>
      <c r="M76" s="800"/>
      <c r="N76" s="739"/>
      <c r="O76" s="739"/>
      <c r="P76" s="801"/>
      <c r="Q76" s="188"/>
      <c r="R76" s="188"/>
      <c r="S76" s="188"/>
      <c r="T76" s="740"/>
      <c r="U76" s="746"/>
      <c r="V76" s="119"/>
      <c r="W76" s="119"/>
      <c r="X76" s="803"/>
      <c r="Y76" s="119"/>
      <c r="Z76" s="802"/>
      <c r="AA76" s="188"/>
      <c r="AB76" s="741"/>
      <c r="AC76" s="741"/>
      <c r="AD76" s="116"/>
      <c r="AE76" s="742"/>
      <c r="AF76" s="742"/>
      <c r="AG76" s="256"/>
      <c r="AH76" s="188"/>
      <c r="AI76" s="743"/>
      <c r="AJ76" s="256"/>
      <c r="AK76" s="256"/>
      <c r="AL76" s="757"/>
      <c r="AM76" s="744"/>
      <c r="AN76" s="757"/>
      <c r="AO76" s="745"/>
      <c r="AP76" s="745"/>
      <c r="AQ76" s="256"/>
      <c r="AR76" s="256"/>
      <c r="AS76" s="256"/>
      <c r="AT76" s="256"/>
      <c r="AU76" s="256"/>
      <c r="AV76" s="55"/>
      <c r="AW76" s="17"/>
      <c r="AZ76" s="1298"/>
    </row>
    <row r="77" spans="3:58" ht="20.25" customHeight="1" x14ac:dyDescent="0.3">
      <c r="C77" s="69"/>
      <c r="D77" s="188"/>
      <c r="E77" s="119"/>
      <c r="F77" s="119"/>
      <c r="G77" s="188"/>
      <c r="H77" s="739"/>
      <c r="I77" s="780"/>
      <c r="J77" s="119"/>
      <c r="K77" s="188"/>
      <c r="L77" s="739"/>
      <c r="M77" s="800"/>
      <c r="N77" s="739"/>
      <c r="O77" s="739"/>
      <c r="P77" s="801"/>
      <c r="Q77" s="188"/>
      <c r="R77" s="188"/>
      <c r="S77" s="188"/>
      <c r="T77" s="740"/>
      <c r="U77" s="746"/>
      <c r="V77" s="119"/>
      <c r="W77" s="119"/>
      <c r="X77" s="119"/>
      <c r="Y77" s="119"/>
      <c r="Z77" s="802"/>
      <c r="AA77" s="188"/>
      <c r="AB77" s="741"/>
      <c r="AC77" s="741"/>
      <c r="AD77" s="116"/>
      <c r="AE77" s="742"/>
      <c r="AF77" s="742"/>
      <c r="AG77" s="256"/>
      <c r="AH77" s="188"/>
      <c r="AI77" s="743"/>
      <c r="AJ77" s="256"/>
      <c r="AK77" s="256"/>
      <c r="AL77" s="757"/>
      <c r="AM77" s="744"/>
      <c r="AN77" s="757"/>
      <c r="AO77" s="745"/>
      <c r="AP77" s="745"/>
      <c r="AQ77" s="256"/>
      <c r="AR77" s="256"/>
      <c r="AS77" s="256"/>
      <c r="AT77" s="256"/>
      <c r="AU77" s="256"/>
      <c r="AV77" s="55"/>
      <c r="AW77" s="17"/>
    </row>
    <row r="78" spans="3:58" s="1136" customFormat="1" ht="20.25" customHeight="1" x14ac:dyDescent="0.3">
      <c r="C78" s="1126"/>
      <c r="D78" s="1019"/>
      <c r="E78" s="1020"/>
      <c r="F78" s="1020"/>
      <c r="G78" s="1019"/>
      <c r="H78" s="1014">
        <f>H73</f>
        <v>4500000</v>
      </c>
      <c r="I78" s="1021"/>
      <c r="J78" s="1020"/>
      <c r="K78" s="1019"/>
      <c r="L78" s="1014"/>
      <c r="M78" s="1127">
        <f>M73+M74+M75+M76</f>
        <v>4100000</v>
      </c>
      <c r="N78" s="1014"/>
      <c r="O78" s="1014"/>
      <c r="P78" s="1023"/>
      <c r="Q78" s="1019"/>
      <c r="R78" s="1019"/>
      <c r="S78" s="1019"/>
      <c r="T78" s="1024"/>
      <c r="U78" s="1020"/>
      <c r="V78" s="1020"/>
      <c r="W78" s="1020"/>
      <c r="X78" s="1020"/>
      <c r="Y78" s="1020"/>
      <c r="Z78" s="1128"/>
      <c r="AA78" s="1019"/>
      <c r="AB78" s="1129"/>
      <c r="AC78" s="1129"/>
      <c r="AD78" s="1028"/>
      <c r="AE78" s="1029"/>
      <c r="AF78" s="1029"/>
      <c r="AG78" s="1130"/>
      <c r="AH78" s="1019"/>
      <c r="AI78" s="1131"/>
      <c r="AJ78" s="1130"/>
      <c r="AK78" s="1130"/>
      <c r="AL78" s="1127">
        <f>AL73+AL74+AL75+AL76+AL77</f>
        <v>4838000</v>
      </c>
      <c r="AM78" s="1132"/>
      <c r="AN78" s="1127">
        <f>AN73+AN74+AN75+AN76+AN77</f>
        <v>4895936</v>
      </c>
      <c r="AO78" s="1133"/>
      <c r="AP78" s="1133"/>
      <c r="AQ78" s="1130"/>
      <c r="AR78" s="1130"/>
      <c r="AS78" s="1130"/>
      <c r="AT78" s="1130"/>
      <c r="AU78" s="1130"/>
      <c r="AV78" s="1134"/>
      <c r="AW78" s="1135"/>
      <c r="BA78" s="1136">
        <f>H78</f>
        <v>4500000</v>
      </c>
      <c r="BB78" s="1136">
        <f>M78</f>
        <v>4100000</v>
      </c>
      <c r="BC78" s="1136">
        <f>AL78</f>
        <v>4838000</v>
      </c>
      <c r="BD78" s="1136">
        <f>MIN(BA78,BB78,BC78)</f>
        <v>4100000</v>
      </c>
      <c r="BE78" s="1136">
        <f>BD78*10%</f>
        <v>410000</v>
      </c>
    </row>
    <row r="79" spans="3:58" ht="20.25" customHeight="1" x14ac:dyDescent="0.3">
      <c r="C79" s="69"/>
      <c r="D79" s="188"/>
      <c r="E79" s="119"/>
      <c r="F79" s="119"/>
      <c r="G79" s="188"/>
      <c r="H79" s="739"/>
      <c r="I79" s="780"/>
      <c r="J79" s="119"/>
      <c r="K79" s="188"/>
      <c r="L79" s="739"/>
      <c r="M79" s="800"/>
      <c r="N79" s="739"/>
      <c r="O79" s="739"/>
      <c r="P79" s="801"/>
      <c r="Q79" s="188"/>
      <c r="R79" s="188"/>
      <c r="S79" s="188"/>
      <c r="T79" s="740"/>
      <c r="U79" s="746"/>
      <c r="V79" s="119"/>
      <c r="W79" s="119"/>
      <c r="X79" s="119"/>
      <c r="Y79" s="119"/>
      <c r="Z79" s="802"/>
      <c r="AA79" s="188"/>
      <c r="AB79" s="741"/>
      <c r="AC79" s="741"/>
      <c r="AD79" s="116"/>
      <c r="AE79" s="742"/>
      <c r="AF79" s="742"/>
      <c r="AG79" s="256"/>
      <c r="AH79" s="188"/>
      <c r="AI79" s="743"/>
      <c r="AJ79" s="256"/>
      <c r="AK79" s="256"/>
      <c r="AL79" s="757"/>
      <c r="AM79" s="744"/>
      <c r="AN79" s="757"/>
      <c r="AO79" s="745"/>
      <c r="AP79" s="745"/>
      <c r="AQ79" s="256"/>
      <c r="AR79" s="256"/>
      <c r="AS79" s="256"/>
      <c r="AT79" s="256"/>
      <c r="AU79" s="256"/>
      <c r="AV79" s="55"/>
      <c r="AW79" s="17"/>
      <c r="AZ79" s="1299" t="s">
        <v>1698</v>
      </c>
    </row>
    <row r="80" spans="3:58" ht="20.25" customHeight="1" x14ac:dyDescent="0.3">
      <c r="C80" s="712" t="s">
        <v>1252</v>
      </c>
      <c r="D80" s="188">
        <v>10</v>
      </c>
      <c r="E80" s="119"/>
      <c r="F80" s="119" t="str">
        <f>'UID application COMBINE Mc list'!C32</f>
        <v>Testing Equipments in Quality Control Lab accredited by National Accrediation Board for Lab (NABL) India and set up in the textile &amp; jute unit.</v>
      </c>
      <c r="G80" s="188" t="s">
        <v>1193</v>
      </c>
      <c r="H80" s="739">
        <f>'UID application COMBINE Mc list'!H32</f>
        <v>1000000</v>
      </c>
      <c r="I80" s="780" t="str">
        <f>F80</f>
        <v>Testing Equipments in Quality Control Lab accredited by National Accrediation Board for Lab (NABL) India and set up in the textile &amp; jute unit.</v>
      </c>
      <c r="J80" s="119"/>
      <c r="K80" s="188" t="s">
        <v>1193</v>
      </c>
      <c r="L80" s="739" t="s">
        <v>359</v>
      </c>
      <c r="M80" s="800">
        <v>413705</v>
      </c>
      <c r="N80" s="739"/>
      <c r="O80" s="739"/>
      <c r="P80" s="801"/>
      <c r="Q80" s="188"/>
      <c r="R80" s="188"/>
      <c r="S80" s="188"/>
      <c r="T80" s="740"/>
      <c r="U80" s="746"/>
      <c r="V80" s="119"/>
      <c r="W80" s="119"/>
      <c r="X80" s="746" t="s">
        <v>1450</v>
      </c>
      <c r="Y80" s="119"/>
      <c r="Z80" s="1103" t="s">
        <v>1647</v>
      </c>
      <c r="AA80" s="188"/>
      <c r="AB80" s="741"/>
      <c r="AC80" s="741"/>
      <c r="AD80" s="116"/>
      <c r="AE80" s="742"/>
      <c r="AF80" s="742"/>
      <c r="AG80" s="256"/>
      <c r="AH80" s="188"/>
      <c r="AI80" s="743"/>
      <c r="AJ80" s="256"/>
      <c r="AK80" s="959">
        <v>44634</v>
      </c>
      <c r="AL80" s="757">
        <v>505872</v>
      </c>
      <c r="AM80" s="744"/>
      <c r="AN80" s="757">
        <v>513884</v>
      </c>
      <c r="AO80" s="745" t="s">
        <v>1549</v>
      </c>
      <c r="AP80" s="745"/>
      <c r="AQ80" s="965" t="s">
        <v>1371</v>
      </c>
      <c r="AR80" s="256"/>
      <c r="AS80" s="256"/>
      <c r="AT80" s="256"/>
      <c r="AU80" s="256"/>
      <c r="AV80" s="55"/>
      <c r="AW80" s="17"/>
      <c r="AY80" s="13" t="s">
        <v>1624</v>
      </c>
      <c r="AZ80" s="1299"/>
    </row>
    <row r="81" spans="3:64" ht="20.25" customHeight="1" x14ac:dyDescent="0.3">
      <c r="C81" s="69"/>
      <c r="D81" s="188"/>
      <c r="E81" s="119"/>
      <c r="F81" s="119"/>
      <c r="G81" s="188"/>
      <c r="H81" s="739"/>
      <c r="I81" s="780"/>
      <c r="J81" s="119"/>
      <c r="K81" s="188"/>
      <c r="L81" s="739"/>
      <c r="M81" s="800"/>
      <c r="N81" s="739"/>
      <c r="O81" s="739"/>
      <c r="P81" s="801"/>
      <c r="Q81" s="188"/>
      <c r="R81" s="188"/>
      <c r="S81" s="188"/>
      <c r="T81" s="740"/>
      <c r="U81" s="746"/>
      <c r="V81" s="119"/>
      <c r="W81" s="119"/>
      <c r="X81" s="119"/>
      <c r="Y81" s="119"/>
      <c r="Z81" s="802"/>
      <c r="AA81" s="188"/>
      <c r="AB81" s="741"/>
      <c r="AC81" s="741"/>
      <c r="AD81" s="116"/>
      <c r="AE81" s="742"/>
      <c r="AF81" s="742"/>
      <c r="AG81" s="256"/>
      <c r="AH81" s="188"/>
      <c r="AI81" s="743"/>
      <c r="AJ81" s="256"/>
      <c r="AK81" s="951"/>
      <c r="AL81" s="757"/>
      <c r="AM81" s="744"/>
      <c r="AN81" s="757"/>
      <c r="AO81" s="745"/>
      <c r="AP81" s="745"/>
      <c r="AQ81" s="256"/>
      <c r="AR81" s="256"/>
      <c r="AS81" s="256"/>
      <c r="AT81" s="256"/>
      <c r="AU81" s="256"/>
      <c r="AV81" s="55"/>
      <c r="AW81" s="17"/>
    </row>
    <row r="82" spans="3:64" s="683" customFormat="1" ht="20.25" customHeight="1" x14ac:dyDescent="0.3">
      <c r="C82" s="1017"/>
      <c r="D82" s="1019"/>
      <c r="E82" s="1020"/>
      <c r="F82" s="1020"/>
      <c r="G82" s="1019"/>
      <c r="H82" s="1014">
        <f>H80</f>
        <v>1000000</v>
      </c>
      <c r="I82" s="1021"/>
      <c r="J82" s="1020"/>
      <c r="K82" s="1019"/>
      <c r="L82" s="1014"/>
      <c r="M82" s="1014">
        <f>M80</f>
        <v>413705</v>
      </c>
      <c r="N82" s="1014"/>
      <c r="O82" s="1014"/>
      <c r="P82" s="1023"/>
      <c r="Q82" s="1019"/>
      <c r="R82" s="1019"/>
      <c r="S82" s="1019"/>
      <c r="T82" s="1024"/>
      <c r="U82" s="1025"/>
      <c r="V82" s="1020"/>
      <c r="W82" s="1020"/>
      <c r="X82" s="1020"/>
      <c r="Y82" s="1020"/>
      <c r="Z82" s="1026"/>
      <c r="AA82" s="1019"/>
      <c r="AB82" s="1027"/>
      <c r="AC82" s="1027"/>
      <c r="AD82" s="1028"/>
      <c r="AE82" s="1029"/>
      <c r="AF82" s="1029"/>
      <c r="AG82" s="1030"/>
      <c r="AH82" s="1019"/>
      <c r="AI82" s="1031"/>
      <c r="AJ82" s="1030"/>
      <c r="AK82" s="1030"/>
      <c r="AL82" s="1014">
        <f>AL80</f>
        <v>505872</v>
      </c>
      <c r="AM82" s="1032"/>
      <c r="AN82" s="1014">
        <f>AN80</f>
        <v>513884</v>
      </c>
      <c r="AO82" s="1033"/>
      <c r="AP82" s="1033"/>
      <c r="AQ82" s="1030"/>
      <c r="AR82" s="1030"/>
      <c r="AS82" s="1030"/>
      <c r="AT82" s="1030"/>
      <c r="AU82" s="1030"/>
      <c r="AV82" s="1018"/>
      <c r="AW82" s="532"/>
      <c r="BA82" s="683">
        <f>H82</f>
        <v>1000000</v>
      </c>
      <c r="BB82" s="683">
        <f>M82</f>
        <v>413705</v>
      </c>
      <c r="BC82" s="683">
        <f>AL82</f>
        <v>505872</v>
      </c>
      <c r="BD82" s="683">
        <f>MIN(BA82,BB82,BC82)</f>
        <v>413705</v>
      </c>
      <c r="BE82" s="683">
        <f>BD82*10%</f>
        <v>41370.5</v>
      </c>
      <c r="BF82" s="683">
        <f>BE82</f>
        <v>41370.5</v>
      </c>
    </row>
    <row r="83" spans="3:64" ht="20.25" customHeight="1" x14ac:dyDescent="0.3">
      <c r="C83" s="69"/>
      <c r="D83" s="188"/>
      <c r="E83" s="119"/>
      <c r="F83" s="119"/>
      <c r="G83" s="188"/>
      <c r="H83" s="739"/>
      <c r="I83" s="780"/>
      <c r="J83" s="119"/>
      <c r="K83" s="188"/>
      <c r="L83" s="739"/>
      <c r="M83" s="800"/>
      <c r="N83" s="739"/>
      <c r="O83" s="739"/>
      <c r="P83" s="801"/>
      <c r="Q83" s="188"/>
      <c r="R83" s="188"/>
      <c r="S83" s="188"/>
      <c r="T83" s="740"/>
      <c r="U83" s="746"/>
      <c r="V83" s="119"/>
      <c r="W83" s="119"/>
      <c r="X83" s="119"/>
      <c r="Y83" s="119"/>
      <c r="Z83" s="802"/>
      <c r="AA83" s="188"/>
      <c r="AB83" s="741"/>
      <c r="AC83" s="741"/>
      <c r="AD83" s="116"/>
      <c r="AE83" s="742"/>
      <c r="AF83" s="742"/>
      <c r="AG83" s="256"/>
      <c r="AH83" s="188"/>
      <c r="AI83" s="743"/>
      <c r="AJ83" s="256"/>
      <c r="AK83" s="256"/>
      <c r="AL83" s="757"/>
      <c r="AM83" s="744"/>
      <c r="AN83" s="757"/>
      <c r="AO83" s="745"/>
      <c r="AP83" s="745"/>
      <c r="AQ83" s="256"/>
      <c r="AR83" s="256"/>
      <c r="AS83" s="256"/>
      <c r="AT83" s="256"/>
      <c r="AU83" s="256"/>
      <c r="AV83" s="55"/>
      <c r="AW83" s="17"/>
    </row>
    <row r="84" spans="3:64" ht="20.25" customHeight="1" x14ac:dyDescent="0.3">
      <c r="C84" s="712" t="s">
        <v>1451</v>
      </c>
      <c r="D84" s="188">
        <v>11</v>
      </c>
      <c r="E84" s="119"/>
      <c r="F84" s="119" t="str">
        <f>'UID application COMBINE Mc list'!C33</f>
        <v>Direct Beam warper with minimum 300 ends creel capacity and minimum speed of 1000 mtrs per minutes.</v>
      </c>
      <c r="G84" s="188">
        <v>4</v>
      </c>
      <c r="H84" s="739">
        <f>'UID application COMBINE Mc list'!H33</f>
        <v>34800000</v>
      </c>
      <c r="I84" s="119" t="s">
        <v>1452</v>
      </c>
      <c r="J84" s="119"/>
      <c r="K84" s="188">
        <f>SUM(K85:K88)</f>
        <v>4</v>
      </c>
      <c r="L84" s="739" t="s">
        <v>359</v>
      </c>
      <c r="M84" s="188">
        <f>SUM(M85:M88)</f>
        <v>34800000</v>
      </c>
      <c r="N84" s="739"/>
      <c r="O84" s="739"/>
      <c r="P84" s="801"/>
      <c r="Q84" s="188"/>
      <c r="R84" s="188"/>
      <c r="S84" s="188"/>
      <c r="T84" s="740"/>
      <c r="U84" s="746"/>
      <c r="V84" s="746"/>
      <c r="W84" s="746"/>
      <c r="X84" s="803">
        <v>84459000</v>
      </c>
      <c r="Y84" s="119"/>
      <c r="Z84" s="802"/>
      <c r="AA84" s="188"/>
      <c r="AB84" s="741"/>
      <c r="AC84" s="741"/>
      <c r="AD84" s="116"/>
      <c r="AE84" s="742"/>
      <c r="AF84" s="742"/>
      <c r="AG84" s="256"/>
      <c r="AH84" s="188"/>
      <c r="AI84" s="743"/>
      <c r="AJ84" s="256"/>
      <c r="AK84" s="256"/>
      <c r="AL84" s="188">
        <f>SUM(AL85:AL91)</f>
        <v>41100064</v>
      </c>
      <c r="AM84" s="744"/>
      <c r="AN84" s="188">
        <f>SUM(AN85:AN92)</f>
        <v>41100101</v>
      </c>
      <c r="AO84" s="745"/>
      <c r="AP84" s="745"/>
      <c r="AQ84" s="256"/>
      <c r="AR84" s="256"/>
      <c r="AS84" s="256"/>
      <c r="AT84" s="256"/>
      <c r="AU84" s="256"/>
      <c r="AV84" s="55"/>
      <c r="AW84" s="17"/>
      <c r="AZ84" s="1299" t="s">
        <v>1705</v>
      </c>
    </row>
    <row r="85" spans="3:64" ht="20.25" customHeight="1" x14ac:dyDescent="0.3">
      <c r="C85" s="750"/>
      <c r="D85" s="188"/>
      <c r="E85" s="119"/>
      <c r="F85" s="119"/>
      <c r="G85" s="188"/>
      <c r="H85" s="739"/>
      <c r="I85" s="780"/>
      <c r="J85" s="119"/>
      <c r="K85" s="188">
        <v>1</v>
      </c>
      <c r="L85" s="739" t="s">
        <v>359</v>
      </c>
      <c r="M85" s="798">
        <v>8700000</v>
      </c>
      <c r="N85" s="739"/>
      <c r="O85" s="739"/>
      <c r="P85" s="801"/>
      <c r="Q85" s="188"/>
      <c r="R85" s="188"/>
      <c r="S85" s="188"/>
      <c r="T85" s="740">
        <v>2021</v>
      </c>
      <c r="U85" s="746" t="s">
        <v>1625</v>
      </c>
      <c r="V85" s="803">
        <v>549</v>
      </c>
      <c r="W85" s="746"/>
      <c r="X85" s="803">
        <v>84459000</v>
      </c>
      <c r="Y85" s="119"/>
      <c r="Z85" s="795" t="s">
        <v>1457</v>
      </c>
      <c r="AA85" s="188"/>
      <c r="AB85" s="741"/>
      <c r="AC85" s="741"/>
      <c r="AD85" s="116"/>
      <c r="AE85" s="742"/>
      <c r="AF85" s="742"/>
      <c r="AG85" s="256"/>
      <c r="AH85" s="188"/>
      <c r="AI85" s="743"/>
      <c r="AJ85" s="256"/>
      <c r="AK85" s="959">
        <v>44634</v>
      </c>
      <c r="AL85" s="757">
        <v>10271266</v>
      </c>
      <c r="AM85" s="744"/>
      <c r="AN85" s="757">
        <v>10000000</v>
      </c>
      <c r="AO85" s="1098" t="s">
        <v>1552</v>
      </c>
      <c r="AP85" s="745"/>
      <c r="AQ85" s="256" t="s">
        <v>1371</v>
      </c>
      <c r="AR85" s="256"/>
      <c r="AS85" s="256"/>
      <c r="AT85" s="256"/>
      <c r="AU85" s="256"/>
      <c r="AV85" s="55"/>
      <c r="AW85" s="17"/>
      <c r="AY85" s="13" t="s">
        <v>1610</v>
      </c>
      <c r="AZ85" s="1299"/>
    </row>
    <row r="86" spans="3:64" ht="20.25" customHeight="1" x14ac:dyDescent="0.3">
      <c r="C86" s="750"/>
      <c r="D86" s="188"/>
      <c r="E86" s="119"/>
      <c r="F86" s="119"/>
      <c r="G86" s="188"/>
      <c r="H86" s="739"/>
      <c r="I86" s="780"/>
      <c r="J86" s="119"/>
      <c r="K86" s="188">
        <v>1</v>
      </c>
      <c r="L86" s="739" t="s">
        <v>359</v>
      </c>
      <c r="M86" s="797">
        <v>8700000</v>
      </c>
      <c r="N86" s="739"/>
      <c r="O86" s="739"/>
      <c r="P86" s="801"/>
      <c r="Q86" s="188"/>
      <c r="R86" s="188"/>
      <c r="S86" s="188"/>
      <c r="T86" s="740">
        <v>2021</v>
      </c>
      <c r="U86" s="746" t="s">
        <v>1625</v>
      </c>
      <c r="V86" s="803">
        <v>550</v>
      </c>
      <c r="W86" s="746"/>
      <c r="X86" s="803">
        <v>84459000</v>
      </c>
      <c r="Y86" s="119"/>
      <c r="Z86" s="794" t="s">
        <v>1456</v>
      </c>
      <c r="AA86" s="188"/>
      <c r="AB86" s="741"/>
      <c r="AC86" s="741"/>
      <c r="AD86" s="116"/>
      <c r="AE86" s="742"/>
      <c r="AF86" s="742"/>
      <c r="AG86" s="256"/>
      <c r="AH86" s="188"/>
      <c r="AI86" s="743"/>
      <c r="AJ86" s="256"/>
      <c r="AK86" s="256"/>
      <c r="AL86" s="757">
        <f>10271266+5000</f>
        <v>10276266</v>
      </c>
      <c r="AM86" s="744"/>
      <c r="AN86" s="757">
        <v>10000000</v>
      </c>
      <c r="AO86" s="1098" t="s">
        <v>1552</v>
      </c>
      <c r="AP86" s="745"/>
      <c r="AQ86" s="256" t="s">
        <v>1371</v>
      </c>
      <c r="AR86" s="256"/>
      <c r="AS86" s="256"/>
      <c r="AT86" s="256"/>
      <c r="AU86" s="256"/>
      <c r="AV86" s="55"/>
      <c r="AW86" s="17"/>
      <c r="AZ86" s="1299"/>
      <c r="BI86" s="757">
        <v>4000000</v>
      </c>
      <c r="BJ86" s="745" t="s">
        <v>1570</v>
      </c>
      <c r="BK86" s="745"/>
      <c r="BL86" s="256" t="s">
        <v>1309</v>
      </c>
    </row>
    <row r="87" spans="3:64" ht="20.25" customHeight="1" x14ac:dyDescent="0.3">
      <c r="C87" s="750"/>
      <c r="D87" s="188"/>
      <c r="E87" s="119"/>
      <c r="F87" s="119"/>
      <c r="G87" s="188"/>
      <c r="H87" s="739"/>
      <c r="I87" s="780"/>
      <c r="J87" s="119"/>
      <c r="K87" s="188">
        <v>1</v>
      </c>
      <c r="L87" s="739" t="s">
        <v>359</v>
      </c>
      <c r="M87" s="797">
        <v>8700000</v>
      </c>
      <c r="N87" s="739"/>
      <c r="O87" s="739"/>
      <c r="P87" s="801"/>
      <c r="Q87" s="188"/>
      <c r="R87" s="188"/>
      <c r="S87" s="188"/>
      <c r="T87" s="740">
        <v>2022</v>
      </c>
      <c r="U87" s="746" t="s">
        <v>1625</v>
      </c>
      <c r="V87" s="803">
        <v>551</v>
      </c>
      <c r="W87" s="746"/>
      <c r="X87" s="803">
        <v>84459000</v>
      </c>
      <c r="Y87" s="119"/>
      <c r="Z87" s="794" t="s">
        <v>1454</v>
      </c>
      <c r="AA87" s="188"/>
      <c r="AB87" s="741"/>
      <c r="AC87" s="741"/>
      <c r="AD87" s="116"/>
      <c r="AE87" s="742"/>
      <c r="AF87" s="742"/>
      <c r="AG87" s="256"/>
      <c r="AH87" s="188"/>
      <c r="AI87" s="743"/>
      <c r="AJ87" s="256"/>
      <c r="AK87" s="256"/>
      <c r="AL87" s="757">
        <f>10271266+5000</f>
        <v>10276266</v>
      </c>
      <c r="AM87" s="744"/>
      <c r="AN87" s="757">
        <v>9406266</v>
      </c>
      <c r="AO87" s="1098" t="s">
        <v>1553</v>
      </c>
      <c r="AP87" s="745"/>
      <c r="AQ87" s="256" t="s">
        <v>1371</v>
      </c>
      <c r="AR87" s="256"/>
      <c r="AS87" s="256"/>
      <c r="AT87" s="256"/>
      <c r="AU87" s="256"/>
      <c r="AV87" s="55"/>
      <c r="AW87" s="17"/>
      <c r="AZ87" s="1299"/>
    </row>
    <row r="88" spans="3:64" ht="20.25" customHeight="1" x14ac:dyDescent="0.3">
      <c r="C88" s="750"/>
      <c r="D88" s="188"/>
      <c r="E88" s="119"/>
      <c r="F88" s="119"/>
      <c r="G88" s="188"/>
      <c r="H88" s="739"/>
      <c r="I88" s="780"/>
      <c r="J88" s="119"/>
      <c r="K88" s="188">
        <v>1</v>
      </c>
      <c r="L88" s="739" t="s">
        <v>359</v>
      </c>
      <c r="M88" s="797">
        <v>8700000</v>
      </c>
      <c r="N88" s="739"/>
      <c r="O88" s="739"/>
      <c r="P88" s="801"/>
      <c r="Q88" s="188"/>
      <c r="R88" s="188"/>
      <c r="S88" s="188"/>
      <c r="T88" s="740">
        <v>2022</v>
      </c>
      <c r="U88" s="746" t="s">
        <v>1625</v>
      </c>
      <c r="V88" s="803">
        <v>552</v>
      </c>
      <c r="W88" s="746"/>
      <c r="X88" s="803">
        <v>84459000</v>
      </c>
      <c r="Y88" s="119"/>
      <c r="Z88" s="794" t="s">
        <v>1455</v>
      </c>
      <c r="AA88" s="188"/>
      <c r="AB88" s="741"/>
      <c r="AC88" s="741"/>
      <c r="AD88" s="116"/>
      <c r="AE88" s="742"/>
      <c r="AF88" s="742"/>
      <c r="AG88" s="256"/>
      <c r="AH88" s="188"/>
      <c r="AI88" s="743"/>
      <c r="AJ88" s="256"/>
      <c r="AK88" s="256"/>
      <c r="AL88" s="757">
        <f>10271266+5000</f>
        <v>10276266</v>
      </c>
      <c r="AM88" s="744"/>
      <c r="AN88" s="757">
        <v>8536266</v>
      </c>
      <c r="AO88" s="1098" t="s">
        <v>1572</v>
      </c>
      <c r="AP88" s="745"/>
      <c r="AQ88" s="256" t="s">
        <v>1371</v>
      </c>
      <c r="AR88" s="256"/>
      <c r="AS88" s="256"/>
      <c r="AT88" s="256"/>
      <c r="AU88" s="256"/>
      <c r="AV88" s="55"/>
      <c r="AW88" s="17"/>
      <c r="AZ88" s="1299"/>
    </row>
    <row r="89" spans="3:64" ht="20.25" customHeight="1" x14ac:dyDescent="0.3">
      <c r="C89" s="750"/>
      <c r="D89" s="188"/>
      <c r="E89" s="119"/>
      <c r="F89" s="119"/>
      <c r="G89" s="188"/>
      <c r="H89" s="739"/>
      <c r="I89" s="780"/>
      <c r="J89" s="119"/>
      <c r="K89" s="188"/>
      <c r="L89" s="739"/>
      <c r="M89" s="800"/>
      <c r="N89" s="739"/>
      <c r="O89" s="739"/>
      <c r="P89" s="801"/>
      <c r="Q89" s="188"/>
      <c r="R89" s="188"/>
      <c r="S89" s="188"/>
      <c r="T89" s="740"/>
      <c r="U89" s="746"/>
      <c r="V89" s="803"/>
      <c r="W89" s="746"/>
      <c r="X89" s="803"/>
      <c r="Y89" s="119"/>
      <c r="Z89" s="802"/>
      <c r="AA89" s="188"/>
      <c r="AB89" s="741"/>
      <c r="AC89" s="741"/>
      <c r="AD89" s="116"/>
      <c r="AE89" s="742"/>
      <c r="AF89" s="742"/>
      <c r="AG89" s="256"/>
      <c r="AH89" s="188"/>
      <c r="AI89" s="743"/>
      <c r="AJ89" s="256"/>
      <c r="AK89" s="256"/>
      <c r="AL89" s="757"/>
      <c r="AM89" s="744"/>
      <c r="AN89" s="757">
        <v>870000</v>
      </c>
      <c r="AO89" s="1098" t="s">
        <v>1785</v>
      </c>
      <c r="AP89" s="745"/>
      <c r="AQ89" s="965" t="s">
        <v>1309</v>
      </c>
      <c r="AR89" s="256"/>
      <c r="AS89" s="256"/>
      <c r="AT89" s="256"/>
      <c r="AU89" s="256"/>
      <c r="AV89" s="55"/>
      <c r="AW89" s="17"/>
      <c r="AZ89" s="1299"/>
    </row>
    <row r="90" spans="3:64" ht="20.25" customHeight="1" x14ac:dyDescent="0.3">
      <c r="C90" s="750"/>
      <c r="D90" s="188"/>
      <c r="E90" s="119"/>
      <c r="F90" s="119"/>
      <c r="G90" s="188"/>
      <c r="H90" s="739"/>
      <c r="I90" s="780"/>
      <c r="J90" s="119"/>
      <c r="K90" s="188"/>
      <c r="L90" s="739"/>
      <c r="M90" s="800"/>
      <c r="N90" s="739"/>
      <c r="O90" s="739"/>
      <c r="P90" s="801"/>
      <c r="Q90" s="188"/>
      <c r="R90" s="188"/>
      <c r="S90" s="188"/>
      <c r="T90" s="740"/>
      <c r="U90" s="746"/>
      <c r="V90" s="803"/>
      <c r="W90" s="746"/>
      <c r="X90" s="803"/>
      <c r="Y90" s="119"/>
      <c r="Z90" s="802"/>
      <c r="AA90" s="188"/>
      <c r="AB90" s="741"/>
      <c r="AC90" s="741"/>
      <c r="AD90" s="116"/>
      <c r="AE90" s="742"/>
      <c r="AF90" s="742"/>
      <c r="AG90" s="256"/>
      <c r="AH90" s="188"/>
      <c r="AI90" s="743"/>
      <c r="AJ90" s="256"/>
      <c r="AK90" s="256"/>
      <c r="AL90" s="757"/>
      <c r="AM90" s="744"/>
      <c r="AN90" s="757">
        <v>870000</v>
      </c>
      <c r="AO90" s="1098" t="s">
        <v>1561</v>
      </c>
      <c r="AP90" s="745"/>
      <c r="AQ90" s="965" t="s">
        <v>1309</v>
      </c>
      <c r="AR90" s="256"/>
      <c r="AS90" s="256"/>
      <c r="AT90" s="256"/>
      <c r="AU90" s="256"/>
      <c r="AV90" s="55"/>
      <c r="AW90" s="17"/>
      <c r="AZ90" s="1299"/>
    </row>
    <row r="91" spans="3:64" ht="20.25" customHeight="1" x14ac:dyDescent="0.3">
      <c r="C91" s="750"/>
      <c r="D91" s="188"/>
      <c r="E91" s="119"/>
      <c r="F91" s="119"/>
      <c r="G91" s="188"/>
      <c r="H91" s="739"/>
      <c r="I91" s="780"/>
      <c r="J91" s="119"/>
      <c r="K91" s="188"/>
      <c r="L91" s="739"/>
      <c r="M91" s="800"/>
      <c r="N91" s="739"/>
      <c r="O91" s="739"/>
      <c r="P91" s="801"/>
      <c r="Q91" s="188"/>
      <c r="R91" s="188"/>
      <c r="S91" s="188"/>
      <c r="T91" s="740"/>
      <c r="U91" s="746"/>
      <c r="V91" s="119"/>
      <c r="W91" s="119"/>
      <c r="X91" s="119"/>
      <c r="Y91" s="119"/>
      <c r="Z91" s="802"/>
      <c r="AA91" s="188"/>
      <c r="AB91" s="741"/>
      <c r="AC91" s="741"/>
      <c r="AD91" s="116"/>
      <c r="AE91" s="742"/>
      <c r="AF91" s="742"/>
      <c r="AG91" s="256"/>
      <c r="AH91" s="188"/>
      <c r="AI91" s="743"/>
      <c r="AJ91" s="256"/>
      <c r="AK91" s="256"/>
      <c r="AL91" s="757"/>
      <c r="AM91" s="744"/>
      <c r="AN91" s="757">
        <v>1408869</v>
      </c>
      <c r="AO91" s="745" t="s">
        <v>1786</v>
      </c>
      <c r="AP91" s="745"/>
      <c r="AQ91" s="965" t="s">
        <v>1309</v>
      </c>
      <c r="AR91" s="256"/>
      <c r="AS91" s="256"/>
      <c r="AT91" s="256"/>
      <c r="AU91" s="256"/>
      <c r="AV91" s="55"/>
      <c r="AW91" s="17"/>
      <c r="AZ91" s="1299"/>
    </row>
    <row r="92" spans="3:64" ht="20.25" customHeight="1" x14ac:dyDescent="0.3">
      <c r="C92" s="750"/>
      <c r="D92" s="188"/>
      <c r="E92" s="119"/>
      <c r="F92" s="119"/>
      <c r="G92" s="188"/>
      <c r="H92" s="739"/>
      <c r="I92" s="780"/>
      <c r="J92" s="119"/>
      <c r="K92" s="188"/>
      <c r="L92" s="739"/>
      <c r="M92" s="800"/>
      <c r="N92" s="739"/>
      <c r="O92" s="739"/>
      <c r="P92" s="801"/>
      <c r="Q92" s="188"/>
      <c r="R92" s="188"/>
      <c r="S92" s="188"/>
      <c r="T92" s="740"/>
      <c r="U92" s="746"/>
      <c r="V92" s="119"/>
      <c r="W92" s="119"/>
      <c r="X92" s="119"/>
      <c r="Y92" s="119"/>
      <c r="Z92" s="802"/>
      <c r="AA92" s="188"/>
      <c r="AB92" s="1091"/>
      <c r="AC92" s="1091"/>
      <c r="AD92" s="1089"/>
      <c r="AE92" s="1090"/>
      <c r="AF92" s="1090"/>
      <c r="AG92" s="256"/>
      <c r="AH92" s="188"/>
      <c r="AI92" s="743"/>
      <c r="AJ92" s="256"/>
      <c r="AK92" s="256"/>
      <c r="AL92" s="757"/>
      <c r="AM92" s="744"/>
      <c r="AN92" s="782">
        <v>8700</v>
      </c>
      <c r="AO92" s="1087" t="s">
        <v>1578</v>
      </c>
      <c r="AP92" s="745"/>
      <c r="AQ92" s="256"/>
      <c r="AR92" s="256"/>
      <c r="AS92" s="256"/>
      <c r="AT92" s="256"/>
      <c r="AU92" s="256"/>
      <c r="AV92" s="55"/>
      <c r="AW92" s="17"/>
      <c r="AZ92" s="1092"/>
    </row>
    <row r="93" spans="3:64" s="683" customFormat="1" ht="20.25" customHeight="1" x14ac:dyDescent="0.3">
      <c r="C93" s="1034"/>
      <c r="D93" s="1019"/>
      <c r="E93" s="1020"/>
      <c r="F93" s="1020"/>
      <c r="G93" s="1019"/>
      <c r="H93" s="1014">
        <f>H84</f>
        <v>34800000</v>
      </c>
      <c r="I93" s="1021"/>
      <c r="J93" s="1020"/>
      <c r="K93" s="1019"/>
      <c r="L93" s="1014"/>
      <c r="M93" s="1014">
        <f>M84</f>
        <v>34800000</v>
      </c>
      <c r="N93" s="1014"/>
      <c r="O93" s="1014"/>
      <c r="P93" s="1023"/>
      <c r="Q93" s="1019"/>
      <c r="R93" s="1019"/>
      <c r="S93" s="1019"/>
      <c r="T93" s="1024"/>
      <c r="U93" s="1025"/>
      <c r="V93" s="1020"/>
      <c r="W93" s="1020"/>
      <c r="X93" s="1020"/>
      <c r="Y93" s="1020"/>
      <c r="Z93" s="1026"/>
      <c r="AA93" s="1019"/>
      <c r="AB93" s="1027"/>
      <c r="AC93" s="1027"/>
      <c r="AD93" s="1028"/>
      <c r="AE93" s="1029"/>
      <c r="AF93" s="1029"/>
      <c r="AG93" s="1030"/>
      <c r="AH93" s="1019"/>
      <c r="AI93" s="1031"/>
      <c r="AJ93" s="1030"/>
      <c r="AK93" s="1030"/>
      <c r="AL93" s="1014">
        <f>AL84</f>
        <v>41100064</v>
      </c>
      <c r="AM93" s="1032"/>
      <c r="AN93" s="1014">
        <f>AN84</f>
        <v>41100101</v>
      </c>
      <c r="AO93" s="1033"/>
      <c r="AP93" s="1033"/>
      <c r="AQ93" s="1030"/>
      <c r="AR93" s="1030"/>
      <c r="AS93" s="1030"/>
      <c r="AT93" s="1030"/>
      <c r="AU93" s="1030"/>
      <c r="AV93" s="1018"/>
      <c r="AW93" s="532"/>
      <c r="BA93" s="683">
        <f>H93</f>
        <v>34800000</v>
      </c>
      <c r="BB93" s="683">
        <f>M93</f>
        <v>34800000</v>
      </c>
      <c r="BC93" s="683">
        <f>AL93</f>
        <v>41100064</v>
      </c>
      <c r="BD93" s="683">
        <f>MIN(BA93,BB93,BC93)</f>
        <v>34800000</v>
      </c>
      <c r="BE93" s="683">
        <f>BD93*10%</f>
        <v>3480000</v>
      </c>
    </row>
    <row r="94" spans="3:64" ht="20.25" customHeight="1" x14ac:dyDescent="0.3">
      <c r="C94" s="750"/>
      <c r="D94" s="188"/>
      <c r="E94" s="119"/>
      <c r="F94" s="119"/>
      <c r="G94" s="188"/>
      <c r="H94" s="739"/>
      <c r="I94" s="780"/>
      <c r="J94" s="119"/>
      <c r="K94" s="188"/>
      <c r="L94" s="739"/>
      <c r="M94" s="800"/>
      <c r="N94" s="739"/>
      <c r="O94" s="739"/>
      <c r="P94" s="801"/>
      <c r="Q94" s="188"/>
      <c r="R94" s="188"/>
      <c r="S94" s="188"/>
      <c r="T94" s="740"/>
      <c r="U94" s="746"/>
      <c r="V94" s="119"/>
      <c r="W94" s="119"/>
      <c r="X94" s="119"/>
      <c r="Y94" s="119"/>
      <c r="Z94" s="802"/>
      <c r="AA94" s="188"/>
      <c r="AB94" s="741"/>
      <c r="AC94" s="741"/>
      <c r="AD94" s="116"/>
      <c r="AE94" s="742"/>
      <c r="AF94" s="742"/>
      <c r="AG94" s="256"/>
      <c r="AH94" s="188"/>
      <c r="AI94" s="743"/>
      <c r="AJ94" s="256"/>
      <c r="AK94" s="256"/>
      <c r="AL94" s="757"/>
      <c r="AM94" s="744"/>
      <c r="AN94" s="757"/>
      <c r="AO94" s="745"/>
      <c r="AP94" s="745"/>
      <c r="AQ94" s="256"/>
      <c r="AR94" s="256"/>
      <c r="AS94" s="256"/>
      <c r="AT94" s="256"/>
      <c r="AU94" s="256"/>
      <c r="AV94" s="55"/>
      <c r="AW94" s="17"/>
    </row>
    <row r="95" spans="3:64" ht="20.25" customHeight="1" x14ac:dyDescent="0.3">
      <c r="C95" s="712" t="s">
        <v>1451</v>
      </c>
      <c r="D95" s="188">
        <v>12</v>
      </c>
      <c r="E95" s="119"/>
      <c r="F95" s="119" t="str">
        <f>'UID application COMBINE Mc list'!C34</f>
        <v>High speed multi cylinder sizing machine having minimum 12-14 cylinders for double size box and minimum speed of 40 mtrs per minutes.</v>
      </c>
      <c r="G95" s="188">
        <f>'UID application COMBINE Mc list'!D34</f>
        <v>2</v>
      </c>
      <c r="H95" s="739">
        <f>'UID application COMBINE Mc list'!H34</f>
        <v>49200000</v>
      </c>
      <c r="I95" s="829" t="s">
        <v>1458</v>
      </c>
      <c r="J95" s="119"/>
      <c r="K95" s="188">
        <f>SUM(K96:K97)</f>
        <v>2</v>
      </c>
      <c r="L95" s="739" t="s">
        <v>359</v>
      </c>
      <c r="M95" s="798">
        <f>SUM(M96:M97)</f>
        <v>49200000</v>
      </c>
      <c r="N95" s="739"/>
      <c r="O95" s="739"/>
      <c r="P95" s="960">
        <f>M95*20%</f>
        <v>9840000</v>
      </c>
      <c r="Q95" s="188"/>
      <c r="R95" s="188"/>
      <c r="S95" s="188"/>
      <c r="T95" s="740"/>
      <c r="U95" s="746"/>
      <c r="V95" s="119"/>
      <c r="W95" s="119"/>
      <c r="X95" s="119"/>
      <c r="Y95" s="119"/>
      <c r="Z95" s="802"/>
      <c r="AA95" s="188"/>
      <c r="AB95" s="741"/>
      <c r="AC95" s="741"/>
      <c r="AD95" s="116"/>
      <c r="AE95" s="742"/>
      <c r="AF95" s="742"/>
      <c r="AG95" s="256"/>
      <c r="AH95" s="188"/>
      <c r="AI95" s="743"/>
      <c r="AJ95" s="256"/>
      <c r="AK95" s="256"/>
      <c r="AL95" s="757">
        <f>SUM(AL96:AL97)</f>
        <v>58114056</v>
      </c>
      <c r="AM95" s="744"/>
      <c r="AN95" s="757">
        <f>SUM(AN96:AN101)</f>
        <v>58114056</v>
      </c>
      <c r="AO95" s="745"/>
      <c r="AP95" s="745"/>
      <c r="AQ95" s="256"/>
      <c r="AR95" s="256"/>
      <c r="AS95" s="256"/>
      <c r="AT95" s="256"/>
      <c r="AU95" s="256"/>
      <c r="AV95" s="55"/>
      <c r="AW95" s="17"/>
      <c r="AZ95" s="1299" t="s">
        <v>1706</v>
      </c>
    </row>
    <row r="96" spans="3:64" ht="20.25" customHeight="1" x14ac:dyDescent="0.3">
      <c r="C96" s="750"/>
      <c r="D96" s="188"/>
      <c r="E96" s="119"/>
      <c r="F96" s="119"/>
      <c r="G96" s="188"/>
      <c r="H96" s="739"/>
      <c r="I96" s="829" t="s">
        <v>1458</v>
      </c>
      <c r="J96" s="119"/>
      <c r="K96" s="188">
        <v>1</v>
      </c>
      <c r="L96" s="739" t="s">
        <v>359</v>
      </c>
      <c r="M96" s="798">
        <v>24600000</v>
      </c>
      <c r="N96" s="739"/>
      <c r="O96" s="739"/>
      <c r="P96" s="801"/>
      <c r="Q96" s="188"/>
      <c r="R96" s="188"/>
      <c r="S96" s="188"/>
      <c r="T96" s="952">
        <v>2021</v>
      </c>
      <c r="U96" s="82" t="s">
        <v>1461</v>
      </c>
      <c r="V96" s="81">
        <v>553</v>
      </c>
      <c r="W96" s="119"/>
      <c r="X96" s="803">
        <v>84518011</v>
      </c>
      <c r="Y96" s="119"/>
      <c r="Z96" s="1102" t="s">
        <v>1459</v>
      </c>
      <c r="AA96" s="188"/>
      <c r="AB96" s="741"/>
      <c r="AC96" s="741"/>
      <c r="AD96" s="116"/>
      <c r="AE96" s="742"/>
      <c r="AF96" s="742"/>
      <c r="AG96" s="256"/>
      <c r="AH96" s="188"/>
      <c r="AI96" s="743"/>
      <c r="AJ96" s="256"/>
      <c r="AK96" s="256"/>
      <c r="AL96" s="757">
        <v>29057028</v>
      </c>
      <c r="AM96" s="744"/>
      <c r="AN96" s="757">
        <v>23260000</v>
      </c>
      <c r="AO96" s="1098">
        <v>44518</v>
      </c>
      <c r="AP96" s="745"/>
      <c r="AQ96" s="256" t="s">
        <v>1371</v>
      </c>
      <c r="AR96" s="256"/>
      <c r="AS96" s="256"/>
      <c r="AT96" s="256"/>
      <c r="AU96" s="256"/>
      <c r="AV96" s="55"/>
      <c r="AW96" s="17"/>
      <c r="AY96" s="14" t="s">
        <v>1610</v>
      </c>
      <c r="AZ96" s="1299"/>
    </row>
    <row r="97" spans="1:57" ht="20.25" customHeight="1" x14ac:dyDescent="0.3">
      <c r="C97" s="750"/>
      <c r="D97" s="188"/>
      <c r="E97" s="119"/>
      <c r="F97" s="119"/>
      <c r="G97" s="188"/>
      <c r="H97" s="739"/>
      <c r="I97" s="829" t="s">
        <v>1458</v>
      </c>
      <c r="J97" s="119"/>
      <c r="K97" s="188">
        <v>1</v>
      </c>
      <c r="L97" s="739" t="s">
        <v>359</v>
      </c>
      <c r="M97" s="798">
        <v>24600000</v>
      </c>
      <c r="N97" s="739"/>
      <c r="O97" s="739"/>
      <c r="P97" s="801"/>
      <c r="Q97" s="188"/>
      <c r="R97" s="188"/>
      <c r="S97" s="188"/>
      <c r="T97" s="952">
        <v>2022</v>
      </c>
      <c r="U97" s="82" t="s">
        <v>1461</v>
      </c>
      <c r="V97" s="81">
        <v>554</v>
      </c>
      <c r="W97" s="119"/>
      <c r="X97" s="803">
        <v>84518011</v>
      </c>
      <c r="Y97" s="119"/>
      <c r="Z97" s="1102" t="s">
        <v>1460</v>
      </c>
      <c r="AA97" s="188"/>
      <c r="AB97" s="741"/>
      <c r="AC97" s="741"/>
      <c r="AD97" s="116"/>
      <c r="AE97" s="742"/>
      <c r="AF97" s="742"/>
      <c r="AG97" s="256"/>
      <c r="AH97" s="188"/>
      <c r="AI97" s="743"/>
      <c r="AJ97" s="256"/>
      <c r="AK97" s="256"/>
      <c r="AL97" s="757">
        <f>29057028</f>
        <v>29057028</v>
      </c>
      <c r="AM97" s="744"/>
      <c r="AN97" s="757">
        <v>25367028</v>
      </c>
      <c r="AO97" s="1098">
        <v>44643</v>
      </c>
      <c r="AP97" s="745"/>
      <c r="AQ97" s="256" t="s">
        <v>1371</v>
      </c>
      <c r="AR97" s="256"/>
      <c r="AS97" s="256"/>
      <c r="AT97" s="256"/>
      <c r="AU97" s="256"/>
      <c r="AV97" s="55"/>
      <c r="AW97" s="17"/>
      <c r="AZ97" s="1299"/>
    </row>
    <row r="98" spans="1:57" ht="20.25" customHeight="1" x14ac:dyDescent="0.3">
      <c r="C98" s="750"/>
      <c r="D98" s="188"/>
      <c r="E98" s="119" t="s">
        <v>649</v>
      </c>
      <c r="F98" s="119"/>
      <c r="G98" s="188"/>
      <c r="H98" s="739"/>
      <c r="I98" s="829"/>
      <c r="J98" s="119"/>
      <c r="K98" s="188"/>
      <c r="L98" s="739"/>
      <c r="M98" s="867"/>
      <c r="N98" s="739"/>
      <c r="O98" s="739"/>
      <c r="P98" s="801"/>
      <c r="Q98" s="188"/>
      <c r="R98" s="188"/>
      <c r="S98" s="188"/>
      <c r="T98" s="952"/>
      <c r="U98" s="953"/>
      <c r="V98" s="954"/>
      <c r="W98" s="119"/>
      <c r="X98" s="803"/>
      <c r="Y98" s="119"/>
      <c r="Z98" s="955"/>
      <c r="AA98" s="188"/>
      <c r="AB98" s="741"/>
      <c r="AC98" s="741"/>
      <c r="AD98" s="116"/>
      <c r="AE98" s="742"/>
      <c r="AF98" s="742"/>
      <c r="AG98" s="256"/>
      <c r="AH98" s="188"/>
      <c r="AI98" s="743"/>
      <c r="AJ98" s="256"/>
      <c r="AK98" s="256"/>
      <c r="AL98" s="757"/>
      <c r="AM98" s="744"/>
      <c r="AN98" s="757">
        <v>4566000</v>
      </c>
      <c r="AO98" s="1098">
        <v>44231</v>
      </c>
      <c r="AP98" s="745"/>
      <c r="AQ98" s="965" t="s">
        <v>1309</v>
      </c>
      <c r="AR98" s="256"/>
      <c r="AS98" s="256"/>
      <c r="AT98" s="256"/>
      <c r="AU98" s="256"/>
      <c r="AV98" s="55"/>
      <c r="AW98" s="17"/>
      <c r="AZ98" s="1299"/>
    </row>
    <row r="99" spans="1:57" ht="20.25" customHeight="1" x14ac:dyDescent="0.3">
      <c r="C99" s="750"/>
      <c r="D99" s="188"/>
      <c r="E99" s="119"/>
      <c r="F99" s="119"/>
      <c r="G99" s="188"/>
      <c r="H99" s="739"/>
      <c r="I99" s="829"/>
      <c r="J99" s="119"/>
      <c r="K99" s="188"/>
      <c r="L99" s="739"/>
      <c r="M99" s="867"/>
      <c r="N99" s="739"/>
      <c r="O99" s="739"/>
      <c r="P99" s="801"/>
      <c r="Q99" s="188"/>
      <c r="R99" s="188"/>
      <c r="S99" s="188"/>
      <c r="T99" s="952"/>
      <c r="U99" s="953"/>
      <c r="V99" s="954"/>
      <c r="W99" s="119"/>
      <c r="X99" s="803"/>
      <c r="Y99" s="119"/>
      <c r="Z99" s="955"/>
      <c r="AA99" s="188"/>
      <c r="AB99" s="741"/>
      <c r="AC99" s="741"/>
      <c r="AD99" s="116"/>
      <c r="AE99" s="742"/>
      <c r="AF99" s="742"/>
      <c r="AG99" s="256"/>
      <c r="AH99" s="188"/>
      <c r="AI99" s="743"/>
      <c r="AJ99" s="256"/>
      <c r="AK99" s="256"/>
      <c r="AL99" s="757"/>
      <c r="AM99" s="744"/>
      <c r="AN99" s="757">
        <v>4000000</v>
      </c>
      <c r="AO99" s="1098">
        <v>44231</v>
      </c>
      <c r="AP99" s="745"/>
      <c r="AQ99" s="965" t="s">
        <v>1309</v>
      </c>
      <c r="AR99" s="256"/>
      <c r="AS99" s="256"/>
      <c r="AT99" s="256"/>
      <c r="AU99" s="256"/>
      <c r="AV99" s="55"/>
      <c r="AW99" s="17"/>
      <c r="AZ99" s="1299"/>
    </row>
    <row r="100" spans="1:57" ht="20.25" customHeight="1" x14ac:dyDescent="0.3">
      <c r="C100" s="750"/>
      <c r="D100" s="188"/>
      <c r="E100" s="119"/>
      <c r="F100" s="119"/>
      <c r="G100" s="188"/>
      <c r="H100" s="739"/>
      <c r="I100" s="780"/>
      <c r="J100" s="119"/>
      <c r="K100" s="188"/>
      <c r="L100" s="739"/>
      <c r="M100" s="800"/>
      <c r="N100" s="739"/>
      <c r="O100" s="739"/>
      <c r="P100" s="801"/>
      <c r="Q100" s="188"/>
      <c r="R100" s="188"/>
      <c r="S100" s="188"/>
      <c r="T100" s="740"/>
      <c r="U100" s="746"/>
      <c r="V100" s="119"/>
      <c r="W100" s="119"/>
      <c r="X100" s="119"/>
      <c r="Y100" s="119"/>
      <c r="Z100" s="802"/>
      <c r="AA100" s="188"/>
      <c r="AB100" s="741"/>
      <c r="AC100" s="741"/>
      <c r="AD100" s="116"/>
      <c r="AE100" s="742"/>
      <c r="AF100" s="742"/>
      <c r="AG100" s="256"/>
      <c r="AH100" s="188"/>
      <c r="AI100" s="743"/>
      <c r="AJ100" s="256"/>
      <c r="AK100" s="256"/>
      <c r="AL100" s="757"/>
      <c r="AM100" s="744"/>
      <c r="AN100" s="757">
        <v>896428</v>
      </c>
      <c r="AO100" s="1098">
        <v>44984</v>
      </c>
      <c r="AP100" s="745"/>
      <c r="AQ100" s="965" t="s">
        <v>1309</v>
      </c>
      <c r="AR100" s="256"/>
      <c r="AS100" s="256"/>
      <c r="AT100" s="256"/>
      <c r="AU100" s="256"/>
      <c r="AV100" s="55"/>
      <c r="AW100" s="17"/>
    </row>
    <row r="101" spans="1:57" ht="20.25" customHeight="1" x14ac:dyDescent="0.3">
      <c r="C101" s="750"/>
      <c r="D101" s="188"/>
      <c r="E101" s="119"/>
      <c r="F101" s="119"/>
      <c r="G101" s="188"/>
      <c r="H101" s="739"/>
      <c r="I101" s="780"/>
      <c r="J101" s="119"/>
      <c r="K101" s="188"/>
      <c r="L101" s="739"/>
      <c r="M101" s="800"/>
      <c r="N101" s="739"/>
      <c r="O101" s="739"/>
      <c r="P101" s="801"/>
      <c r="Q101" s="188"/>
      <c r="R101" s="188"/>
      <c r="S101" s="188"/>
      <c r="T101" s="740"/>
      <c r="U101" s="746"/>
      <c r="V101" s="119"/>
      <c r="W101" s="119"/>
      <c r="X101" s="119"/>
      <c r="Y101" s="119"/>
      <c r="Z101" s="802"/>
      <c r="AA101" s="188"/>
      <c r="AB101" s="1091"/>
      <c r="AC101" s="1091"/>
      <c r="AD101" s="1089"/>
      <c r="AE101" s="1090"/>
      <c r="AF101" s="1090"/>
      <c r="AG101" s="256"/>
      <c r="AH101" s="188"/>
      <c r="AI101" s="743"/>
      <c r="AJ101" s="256"/>
      <c r="AK101" s="256"/>
      <c r="AL101" s="1099"/>
      <c r="AM101" s="744"/>
      <c r="AN101" s="1100">
        <v>24600</v>
      </c>
      <c r="AO101" s="1088" t="s">
        <v>1578</v>
      </c>
      <c r="AP101" s="745"/>
      <c r="AQ101" s="965"/>
      <c r="AR101" s="256"/>
      <c r="AS101" s="256"/>
      <c r="AT101" s="256"/>
      <c r="AU101" s="256"/>
      <c r="AV101" s="55"/>
      <c r="AW101" s="17"/>
    </row>
    <row r="102" spans="1:57" s="683" customFormat="1" ht="20.25" customHeight="1" x14ac:dyDescent="0.3">
      <c r="C102" s="1034"/>
      <c r="D102" s="1019"/>
      <c r="E102" s="1020"/>
      <c r="F102" s="1020"/>
      <c r="G102" s="1019"/>
      <c r="H102" s="1014">
        <f>H95</f>
        <v>49200000</v>
      </c>
      <c r="I102" s="1021"/>
      <c r="J102" s="1020"/>
      <c r="K102" s="1019"/>
      <c r="L102" s="1014"/>
      <c r="M102" s="1022">
        <f>M95</f>
        <v>49200000</v>
      </c>
      <c r="N102" s="1014"/>
      <c r="O102" s="1014"/>
      <c r="P102" s="1023"/>
      <c r="Q102" s="1019"/>
      <c r="R102" s="1019"/>
      <c r="S102" s="1019"/>
      <c r="T102" s="1024"/>
      <c r="U102" s="1025"/>
      <c r="V102" s="1020"/>
      <c r="W102" s="1020"/>
      <c r="X102" s="1020"/>
      <c r="Y102" s="1020"/>
      <c r="Z102" s="1026"/>
      <c r="AA102" s="1019"/>
      <c r="AB102" s="1027"/>
      <c r="AC102" s="1027"/>
      <c r="AD102" s="1028"/>
      <c r="AE102" s="1029"/>
      <c r="AF102" s="1029"/>
      <c r="AG102" s="1030"/>
      <c r="AH102" s="1019"/>
      <c r="AI102" s="1031"/>
      <c r="AJ102" s="1030"/>
      <c r="AK102" s="1030"/>
      <c r="AL102" s="1022">
        <f>AL95</f>
        <v>58114056</v>
      </c>
      <c r="AM102" s="1032"/>
      <c r="AN102" s="1022">
        <f>AN95</f>
        <v>58114056</v>
      </c>
      <c r="AO102" s="1033"/>
      <c r="AP102" s="1033"/>
      <c r="AQ102" s="1030"/>
      <c r="AR102" s="1030"/>
      <c r="AS102" s="1030"/>
      <c r="AT102" s="1030"/>
      <c r="AU102" s="1030"/>
      <c r="AV102" s="1018"/>
      <c r="AW102" s="532"/>
      <c r="BA102" s="683">
        <f>H102</f>
        <v>49200000</v>
      </c>
      <c r="BB102" s="683">
        <f>M102</f>
        <v>49200000</v>
      </c>
      <c r="BC102" s="683">
        <f>AL102</f>
        <v>58114056</v>
      </c>
      <c r="BD102" s="683">
        <f>MIN(BA102,BB102,BC102)</f>
        <v>49200000</v>
      </c>
      <c r="BE102" s="683">
        <f>BD102*10%</f>
        <v>4920000</v>
      </c>
    </row>
    <row r="103" spans="1:57" ht="20.25" customHeight="1" x14ac:dyDescent="0.3">
      <c r="C103" s="750"/>
      <c r="D103" s="188"/>
      <c r="E103" s="119"/>
      <c r="F103" s="119"/>
      <c r="G103" s="188"/>
      <c r="H103" s="739"/>
      <c r="I103" s="780"/>
      <c r="J103" s="119"/>
      <c r="K103" s="188"/>
      <c r="L103" s="739"/>
      <c r="M103" s="800"/>
      <c r="N103" s="739"/>
      <c r="O103" s="739"/>
      <c r="P103" s="801"/>
      <c r="Q103" s="188"/>
      <c r="R103" s="188"/>
      <c r="S103" s="188"/>
      <c r="T103" s="740"/>
      <c r="U103" s="746"/>
      <c r="V103" s="119"/>
      <c r="W103" s="119"/>
      <c r="X103" s="119"/>
      <c r="Y103" s="119"/>
      <c r="Z103" s="802"/>
      <c r="AA103" s="188"/>
      <c r="AB103" s="741"/>
      <c r="AC103" s="741"/>
      <c r="AD103" s="116"/>
      <c r="AE103" s="742"/>
      <c r="AF103" s="742"/>
      <c r="AG103" s="256"/>
      <c r="AH103" s="188"/>
      <c r="AI103" s="743"/>
      <c r="AJ103" s="256"/>
      <c r="AK103" s="256"/>
      <c r="AL103" s="757"/>
      <c r="AM103" s="744"/>
      <c r="AN103" s="757"/>
      <c r="AO103" s="745"/>
      <c r="AP103" s="745"/>
      <c r="AQ103" s="256"/>
      <c r="AR103" s="256"/>
      <c r="AS103" s="256"/>
      <c r="AT103" s="256"/>
      <c r="AU103" s="256"/>
      <c r="AV103" s="55"/>
      <c r="AW103" s="17"/>
    </row>
    <row r="104" spans="1:57" ht="20.25" customHeight="1" x14ac:dyDescent="0.3">
      <c r="C104" s="750"/>
      <c r="D104" s="188">
        <v>13</v>
      </c>
      <c r="E104" s="119"/>
      <c r="F104" s="830" t="str">
        <f>'UID application COMBINE Mc list'!C35</f>
        <v>On-line Loom Data Monitoring System</v>
      </c>
      <c r="G104" s="188"/>
      <c r="H104" s="739">
        <f>'UID application COMBINE Mc list'!H35</f>
        <v>2880000</v>
      </c>
      <c r="I104" s="780"/>
      <c r="J104" s="119"/>
      <c r="K104" s="188"/>
      <c r="L104" s="739"/>
      <c r="M104" s="800"/>
      <c r="N104" s="739"/>
      <c r="O104" s="739"/>
      <c r="P104" s="801"/>
      <c r="Q104" s="188"/>
      <c r="R104" s="188"/>
      <c r="S104" s="188"/>
      <c r="T104" s="740"/>
      <c r="U104" s="746"/>
      <c r="V104" s="119"/>
      <c r="W104" s="119"/>
      <c r="X104" s="119"/>
      <c r="Y104" s="119"/>
      <c r="Z104" s="802"/>
      <c r="AA104" s="188"/>
      <c r="AB104" s="741"/>
      <c r="AC104" s="741"/>
      <c r="AD104" s="116"/>
      <c r="AE104" s="742"/>
      <c r="AF104" s="742"/>
      <c r="AG104" s="256"/>
      <c r="AH104" s="188"/>
      <c r="AI104" s="743"/>
      <c r="AJ104" s="256"/>
      <c r="AK104" s="256"/>
      <c r="AL104" s="757"/>
      <c r="AM104" s="744"/>
      <c r="AN104" s="757"/>
      <c r="AO104" s="745"/>
      <c r="AP104" s="745"/>
      <c r="AQ104" s="256"/>
      <c r="AR104" s="256"/>
      <c r="AS104" s="256"/>
      <c r="AT104" s="256"/>
      <c r="AU104" s="256"/>
      <c r="AV104" s="55"/>
      <c r="AW104" s="17"/>
    </row>
    <row r="105" spans="1:57" ht="20.25" customHeight="1" x14ac:dyDescent="0.3">
      <c r="A105" s="869"/>
      <c r="B105" s="869"/>
      <c r="C105" s="870"/>
      <c r="D105" s="871"/>
      <c r="E105" s="872"/>
      <c r="F105" s="872"/>
      <c r="G105" s="871"/>
      <c r="H105" s="873">
        <f>H104</f>
        <v>2880000</v>
      </c>
      <c r="I105" s="846"/>
      <c r="J105" s="872"/>
      <c r="K105" s="871"/>
      <c r="L105" s="873"/>
      <c r="M105" s="873">
        <f>M104</f>
        <v>0</v>
      </c>
      <c r="N105" s="873"/>
      <c r="O105" s="873"/>
      <c r="P105" s="875"/>
      <c r="Q105" s="871"/>
      <c r="R105" s="871"/>
      <c r="S105" s="871"/>
      <c r="T105" s="876"/>
      <c r="U105" s="877"/>
      <c r="V105" s="872"/>
      <c r="W105" s="872"/>
      <c r="X105" s="872"/>
      <c r="Y105" s="872"/>
      <c r="Z105" s="878"/>
      <c r="AA105" s="871"/>
      <c r="AB105" s="879"/>
      <c r="AC105" s="879"/>
      <c r="AD105" s="880"/>
      <c r="AE105" s="881"/>
      <c r="AF105" s="881"/>
      <c r="AG105" s="882"/>
      <c r="AH105" s="871"/>
      <c r="AI105" s="883"/>
      <c r="AJ105" s="256"/>
      <c r="AK105" s="256"/>
      <c r="AL105" s="757"/>
      <c r="AM105" s="744"/>
      <c r="AN105" s="873">
        <f>AN104</f>
        <v>0</v>
      </c>
      <c r="AO105" s="745"/>
      <c r="AP105" s="745"/>
      <c r="AQ105" s="256"/>
      <c r="AR105" s="256"/>
      <c r="AS105" s="256"/>
      <c r="AT105" s="256"/>
      <c r="AU105" s="256"/>
      <c r="AV105" s="55"/>
      <c r="AW105" s="17"/>
    </row>
    <row r="106" spans="1:57" ht="20.25" customHeight="1" x14ac:dyDescent="0.3">
      <c r="C106" s="750"/>
      <c r="D106" s="188"/>
      <c r="E106" s="119"/>
      <c r="F106" s="119"/>
      <c r="G106" s="188"/>
      <c r="H106" s="739"/>
      <c r="I106" s="780"/>
      <c r="J106" s="119"/>
      <c r="K106" s="188"/>
      <c r="L106" s="739"/>
      <c r="M106" s="800"/>
      <c r="N106" s="739"/>
      <c r="O106" s="739"/>
      <c r="P106" s="801"/>
      <c r="Q106" s="188"/>
      <c r="R106" s="188"/>
      <c r="S106" s="188"/>
      <c r="T106" s="740"/>
      <c r="U106" s="746"/>
      <c r="V106" s="119"/>
      <c r="W106" s="119"/>
      <c r="X106" s="119"/>
      <c r="Y106" s="119"/>
      <c r="Z106" s="802"/>
      <c r="AA106" s="188"/>
      <c r="AB106" s="741"/>
      <c r="AC106" s="741"/>
      <c r="AD106" s="116"/>
      <c r="AE106" s="742"/>
      <c r="AF106" s="742"/>
      <c r="AG106" s="256"/>
      <c r="AH106" s="188"/>
      <c r="AI106" s="743"/>
      <c r="AJ106" s="256"/>
      <c r="AK106" s="256"/>
      <c r="AL106" s="757"/>
      <c r="AM106" s="744"/>
      <c r="AN106" s="757"/>
      <c r="AO106" s="745"/>
      <c r="AP106" s="745"/>
      <c r="AQ106" s="256"/>
      <c r="AR106" s="256"/>
      <c r="AS106" s="256"/>
      <c r="AT106" s="256"/>
      <c r="AU106" s="256"/>
      <c r="AV106" s="55"/>
      <c r="AW106" s="17"/>
    </row>
    <row r="107" spans="1:57" ht="67.5" customHeight="1" x14ac:dyDescent="0.3">
      <c r="D107" s="188">
        <v>14</v>
      </c>
      <c r="E107" s="119"/>
      <c r="F107" s="119" t="str">
        <f>'UID application COMBINE Mc list'!C36</f>
        <v>Accessories / attachments / sample machines / spares received alongwith machinery or procured from other manufacturers of the machinery under the project up to a a value of 20% of the machinery cost eligible under ATUFS mentioned at Sr. No. 12 above. (for sizing machine)</v>
      </c>
      <c r="G107" s="188"/>
      <c r="H107" s="739">
        <f>'UID application COMBINE Mc list'!H36</f>
        <v>6425000</v>
      </c>
      <c r="I107" s="780"/>
      <c r="J107" s="119"/>
      <c r="K107" s="188"/>
      <c r="L107" s="739"/>
      <c r="M107" s="800">
        <f>SUM(M108:M114)</f>
        <v>7900000</v>
      </c>
      <c r="N107" s="739"/>
      <c r="O107" s="739"/>
      <c r="P107" s="801"/>
      <c r="Q107" s="188"/>
      <c r="R107" s="188"/>
      <c r="S107" s="188"/>
      <c r="T107" s="740"/>
      <c r="U107" s="746"/>
      <c r="V107" s="119"/>
      <c r="W107" s="119"/>
      <c r="X107" s="119"/>
      <c r="Y107" s="119"/>
      <c r="Z107" s="802"/>
      <c r="AA107" s="188"/>
      <c r="AB107" s="741"/>
      <c r="AC107" s="741"/>
      <c r="AD107" s="116"/>
      <c r="AE107" s="742"/>
      <c r="AF107" s="742"/>
      <c r="AG107" s="256"/>
      <c r="AH107" s="188"/>
      <c r="AI107" s="743"/>
      <c r="AJ107" s="256"/>
      <c r="AK107" s="256"/>
      <c r="AL107" s="757">
        <f>SUM(AL108:AL115)</f>
        <v>9323959</v>
      </c>
      <c r="AM107" s="757"/>
      <c r="AN107" s="757">
        <f>SUM(AN108:AN115)</f>
        <v>9323959</v>
      </c>
      <c r="AO107" s="745"/>
      <c r="AP107" s="745"/>
      <c r="AQ107" s="256"/>
      <c r="AR107" s="256"/>
      <c r="AS107" s="256"/>
      <c r="AT107" s="256"/>
      <c r="AU107" s="256"/>
      <c r="AV107" s="55"/>
      <c r="AW107" s="17"/>
    </row>
    <row r="108" spans="1:57" ht="20.25" customHeight="1" x14ac:dyDescent="0.3">
      <c r="C108" s="712" t="s">
        <v>1451</v>
      </c>
      <c r="D108" s="188"/>
      <c r="E108" s="119"/>
      <c r="F108" s="119"/>
      <c r="G108" s="188"/>
      <c r="H108" s="739"/>
      <c r="I108" s="829" t="s">
        <v>1656</v>
      </c>
      <c r="J108" s="119"/>
      <c r="K108" s="188">
        <v>1</v>
      </c>
      <c r="L108" s="739" t="s">
        <v>359</v>
      </c>
      <c r="M108" s="800">
        <v>1660000</v>
      </c>
      <c r="N108" s="739"/>
      <c r="O108" s="739"/>
      <c r="P108" s="801"/>
      <c r="Q108" s="188"/>
      <c r="R108" s="188"/>
      <c r="S108" s="188"/>
      <c r="T108" s="740">
        <v>2021</v>
      </c>
      <c r="U108" s="746"/>
      <c r="V108" s="781">
        <v>555</v>
      </c>
      <c r="W108" s="119"/>
      <c r="X108" s="119"/>
      <c r="Y108" s="119"/>
      <c r="Z108" s="1101" t="s">
        <v>1655</v>
      </c>
      <c r="AA108" s="188"/>
      <c r="AB108" s="741"/>
      <c r="AC108" s="741"/>
      <c r="AD108" s="116"/>
      <c r="AE108" s="742"/>
      <c r="AF108" s="742"/>
      <c r="AG108" s="256"/>
      <c r="AH108" s="188"/>
      <c r="AI108" s="743"/>
      <c r="AJ108" s="256"/>
      <c r="AK108" s="951">
        <v>44634</v>
      </c>
      <c r="AL108" s="757">
        <v>1960759</v>
      </c>
      <c r="AM108" s="744"/>
      <c r="AN108" s="757">
        <f>1709800</f>
        <v>1709800</v>
      </c>
      <c r="AO108" s="1007" t="s">
        <v>1571</v>
      </c>
      <c r="AP108" s="745"/>
      <c r="AQ108" s="256" t="s">
        <v>1371</v>
      </c>
      <c r="AR108" s="256"/>
      <c r="AS108" s="256"/>
      <c r="AT108" s="256"/>
      <c r="AU108" s="256"/>
      <c r="AV108" s="55"/>
      <c r="AW108" s="17"/>
      <c r="AY108" s="13" t="s">
        <v>1645</v>
      </c>
      <c r="AZ108" s="14" t="s">
        <v>1707</v>
      </c>
    </row>
    <row r="109" spans="1:57" ht="20.25" customHeight="1" x14ac:dyDescent="0.3">
      <c r="C109" s="750"/>
      <c r="D109" s="188"/>
      <c r="E109" s="119"/>
      <c r="F109" s="119"/>
      <c r="G109" s="188"/>
      <c r="H109" s="739"/>
      <c r="I109" s="829"/>
      <c r="J109" s="119"/>
      <c r="K109" s="188"/>
      <c r="L109" s="739"/>
      <c r="M109" s="800"/>
      <c r="N109" s="739"/>
      <c r="O109" s="739"/>
      <c r="P109" s="801"/>
      <c r="Q109" s="188"/>
      <c r="R109" s="188"/>
      <c r="S109" s="188"/>
      <c r="T109" s="740"/>
      <c r="U109" s="746"/>
      <c r="V109" s="781"/>
      <c r="W109" s="119"/>
      <c r="X109" s="119"/>
      <c r="Y109" s="119"/>
      <c r="Z109" s="1101"/>
      <c r="AA109" s="188"/>
      <c r="AB109" s="962"/>
      <c r="AC109" s="962"/>
      <c r="AD109" s="961"/>
      <c r="AE109" s="963"/>
      <c r="AF109" s="963"/>
      <c r="AG109" s="256"/>
      <c r="AH109" s="188"/>
      <c r="AI109" s="743"/>
      <c r="AJ109" s="256"/>
      <c r="AK109" s="951"/>
      <c r="AL109" s="757"/>
      <c r="AM109" s="744"/>
      <c r="AN109" s="757">
        <v>250959</v>
      </c>
      <c r="AO109" s="745" t="s">
        <v>1786</v>
      </c>
      <c r="AP109" s="745"/>
      <c r="AQ109" s="256" t="s">
        <v>1371</v>
      </c>
      <c r="AR109" s="256"/>
      <c r="AS109" s="256"/>
      <c r="AT109" s="256"/>
      <c r="AU109" s="256"/>
      <c r="AV109" s="55"/>
      <c r="AW109" s="17"/>
      <c r="AZ109" s="14"/>
    </row>
    <row r="110" spans="1:57" ht="28.5" customHeight="1" x14ac:dyDescent="0.3">
      <c r="C110" s="750" t="s">
        <v>1541</v>
      </c>
      <c r="D110" s="188"/>
      <c r="E110" s="119"/>
      <c r="F110" s="119"/>
      <c r="G110" s="188"/>
      <c r="H110" s="739"/>
      <c r="I110" s="829" t="s">
        <v>1539</v>
      </c>
      <c r="J110" s="119"/>
      <c r="K110" s="188">
        <v>30</v>
      </c>
      <c r="L110" s="739" t="s">
        <v>359</v>
      </c>
      <c r="M110" s="800">
        <v>1560000</v>
      </c>
      <c r="N110" s="739"/>
      <c r="O110" s="739"/>
      <c r="P110" s="801"/>
      <c r="Q110" s="188"/>
      <c r="R110" s="188"/>
      <c r="S110" s="188"/>
      <c r="T110" s="740"/>
      <c r="U110" s="746"/>
      <c r="V110" s="119"/>
      <c r="W110" s="119"/>
      <c r="X110" s="119"/>
      <c r="Y110" s="119"/>
      <c r="Z110" s="1101" t="s">
        <v>1542</v>
      </c>
      <c r="AA110" s="188"/>
      <c r="AB110" s="741"/>
      <c r="AC110" s="741"/>
      <c r="AD110" s="116"/>
      <c r="AE110" s="742"/>
      <c r="AF110" s="742"/>
      <c r="AG110" s="256"/>
      <c r="AH110" s="188"/>
      <c r="AI110" s="743"/>
      <c r="AJ110" s="256"/>
      <c r="AK110" s="951">
        <v>44634</v>
      </c>
      <c r="AL110" s="757">
        <v>1840800</v>
      </c>
      <c r="AM110" s="744"/>
      <c r="AN110" s="757">
        <v>468000</v>
      </c>
      <c r="AO110" s="1098" t="s">
        <v>1385</v>
      </c>
      <c r="AP110" s="745"/>
      <c r="AQ110" s="256" t="s">
        <v>1309</v>
      </c>
      <c r="AR110" s="256"/>
      <c r="AS110" s="256"/>
      <c r="AT110" s="256"/>
      <c r="AU110" s="256"/>
      <c r="AV110" s="55"/>
      <c r="AW110" s="17"/>
      <c r="AY110" s="13" t="s">
        <v>1627</v>
      </c>
      <c r="AZ110" s="1299" t="s">
        <v>1703</v>
      </c>
    </row>
    <row r="111" spans="1:57" ht="27" customHeight="1" x14ac:dyDescent="0.3">
      <c r="C111" s="750"/>
      <c r="D111" s="188"/>
      <c r="E111" s="119"/>
      <c r="F111" s="119"/>
      <c r="G111" s="188"/>
      <c r="H111" s="739"/>
      <c r="I111" s="829" t="s">
        <v>1539</v>
      </c>
      <c r="J111" s="119"/>
      <c r="K111" s="188">
        <v>30</v>
      </c>
      <c r="L111" s="739" t="s">
        <v>359</v>
      </c>
      <c r="M111" s="800">
        <v>1560000</v>
      </c>
      <c r="N111" s="739"/>
      <c r="O111" s="739"/>
      <c r="P111" s="801"/>
      <c r="Q111" s="188"/>
      <c r="R111" s="188"/>
      <c r="S111" s="188"/>
      <c r="T111" s="740"/>
      <c r="U111" s="746"/>
      <c r="V111" s="119"/>
      <c r="W111" s="119"/>
      <c r="X111" s="119"/>
      <c r="Y111" s="119"/>
      <c r="Z111" s="1101" t="s">
        <v>1543</v>
      </c>
      <c r="AA111" s="188"/>
      <c r="AB111" s="741"/>
      <c r="AC111" s="741"/>
      <c r="AD111" s="116"/>
      <c r="AE111" s="742"/>
      <c r="AF111" s="742"/>
      <c r="AG111" s="256"/>
      <c r="AH111" s="188"/>
      <c r="AI111" s="743"/>
      <c r="AJ111" s="256"/>
      <c r="AK111" s="256"/>
      <c r="AL111" s="757">
        <v>1840800</v>
      </c>
      <c r="AM111" s="744"/>
      <c r="AN111" s="757">
        <v>1723800</v>
      </c>
      <c r="AO111" s="1098" t="s">
        <v>1573</v>
      </c>
      <c r="AP111" s="745"/>
      <c r="AQ111" s="256" t="s">
        <v>1371</v>
      </c>
      <c r="AR111" s="256"/>
      <c r="AS111" s="256"/>
      <c r="AT111" s="256"/>
      <c r="AU111" s="256"/>
      <c r="AV111" s="55"/>
      <c r="AW111" s="17"/>
      <c r="AY111" s="13" t="s">
        <v>1628</v>
      </c>
      <c r="AZ111" s="1299"/>
    </row>
    <row r="112" spans="1:57" ht="33.75" customHeight="1" x14ac:dyDescent="0.3">
      <c r="C112" s="750"/>
      <c r="D112" s="188"/>
      <c r="E112" s="119"/>
      <c r="F112" s="119"/>
      <c r="G112" s="188"/>
      <c r="H112" s="739"/>
      <c r="I112" s="829" t="s">
        <v>1539</v>
      </c>
      <c r="J112" s="119"/>
      <c r="K112" s="188">
        <v>30</v>
      </c>
      <c r="L112" s="739" t="s">
        <v>359</v>
      </c>
      <c r="M112" s="800">
        <v>1560000</v>
      </c>
      <c r="N112" s="739"/>
      <c r="O112" s="739"/>
      <c r="P112" s="801"/>
      <c r="Q112" s="188"/>
      <c r="R112" s="188"/>
      <c r="S112" s="188"/>
      <c r="T112" s="740"/>
      <c r="U112" s="746"/>
      <c r="V112" s="119"/>
      <c r="W112" s="119"/>
      <c r="X112" s="119"/>
      <c r="Y112" s="119"/>
      <c r="Z112" s="1101" t="s">
        <v>1626</v>
      </c>
      <c r="AA112" s="188"/>
      <c r="AB112" s="741"/>
      <c r="AC112" s="741"/>
      <c r="AD112" s="116"/>
      <c r="AE112" s="742"/>
      <c r="AF112" s="742"/>
      <c r="AG112" s="256"/>
      <c r="AH112" s="188"/>
      <c r="AI112" s="743"/>
      <c r="AJ112" s="256"/>
      <c r="AK112" s="256"/>
      <c r="AL112" s="757">
        <v>1840800</v>
      </c>
      <c r="AM112" s="744"/>
      <c r="AN112" s="757">
        <v>1723800</v>
      </c>
      <c r="AO112" s="1098" t="s">
        <v>1574</v>
      </c>
      <c r="AP112" s="745"/>
      <c r="AQ112" s="256" t="s">
        <v>1371</v>
      </c>
      <c r="AR112" s="256"/>
      <c r="AS112" s="256"/>
      <c r="AT112" s="256"/>
      <c r="AU112" s="256"/>
      <c r="AV112" s="55"/>
      <c r="AW112" s="17"/>
      <c r="AZ112" s="1299"/>
    </row>
    <row r="113" spans="3:58" ht="20.25" customHeight="1" x14ac:dyDescent="0.3">
      <c r="C113" s="750"/>
      <c r="D113" s="188"/>
      <c r="E113" s="119"/>
      <c r="F113" s="119"/>
      <c r="G113" s="188"/>
      <c r="H113" s="739"/>
      <c r="I113" s="829" t="s">
        <v>1539</v>
      </c>
      <c r="J113" s="119"/>
      <c r="K113" s="188">
        <v>30</v>
      </c>
      <c r="L113" s="739" t="s">
        <v>359</v>
      </c>
      <c r="M113" s="800">
        <v>1560000</v>
      </c>
      <c r="N113" s="739"/>
      <c r="O113" s="739"/>
      <c r="P113" s="801"/>
      <c r="Q113" s="188"/>
      <c r="R113" s="188"/>
      <c r="S113" s="188"/>
      <c r="T113" s="740"/>
      <c r="U113" s="746"/>
      <c r="V113" s="119"/>
      <c r="W113" s="119"/>
      <c r="X113" s="119"/>
      <c r="Y113" s="119"/>
      <c r="Z113" s="1101" t="s">
        <v>1787</v>
      </c>
      <c r="AA113" s="188"/>
      <c r="AB113" s="741"/>
      <c r="AC113" s="741"/>
      <c r="AD113" s="116"/>
      <c r="AE113" s="742"/>
      <c r="AF113" s="742"/>
      <c r="AG113" s="256"/>
      <c r="AH113" s="188"/>
      <c r="AI113" s="743"/>
      <c r="AJ113" s="256"/>
      <c r="AK113" s="256"/>
      <c r="AL113" s="757">
        <v>1840800</v>
      </c>
      <c r="AM113" s="744"/>
      <c r="AN113" s="757">
        <v>1443000</v>
      </c>
      <c r="AO113" s="1098" t="s">
        <v>1575</v>
      </c>
      <c r="AP113" s="745"/>
      <c r="AQ113" s="256" t="s">
        <v>1371</v>
      </c>
      <c r="AR113" s="256"/>
      <c r="AS113" s="256"/>
      <c r="AT113" s="256"/>
      <c r="AU113" s="256"/>
      <c r="AV113" s="55"/>
      <c r="AW113" s="17"/>
      <c r="AZ113" s="1299"/>
    </row>
    <row r="114" spans="3:58" ht="20.25" customHeight="1" x14ac:dyDescent="0.3">
      <c r="C114" s="750"/>
      <c r="D114" s="188"/>
      <c r="E114" s="119"/>
      <c r="F114" s="119"/>
      <c r="G114" s="188"/>
      <c r="H114" s="739"/>
      <c r="I114" s="829"/>
      <c r="J114" s="119"/>
      <c r="K114" s="188"/>
      <c r="L114" s="739"/>
      <c r="M114" s="800"/>
      <c r="N114" s="739"/>
      <c r="O114" s="739"/>
      <c r="P114" s="801"/>
      <c r="Q114" s="188"/>
      <c r="R114" s="188"/>
      <c r="S114" s="188"/>
      <c r="T114" s="740"/>
      <c r="U114" s="746"/>
      <c r="V114" s="119"/>
      <c r="W114" s="119"/>
      <c r="X114" s="119"/>
      <c r="Y114" s="119"/>
      <c r="Z114" s="802"/>
      <c r="AA114" s="188"/>
      <c r="AB114" s="741"/>
      <c r="AC114" s="741"/>
      <c r="AD114" s="116"/>
      <c r="AE114" s="742"/>
      <c r="AF114" s="742"/>
      <c r="AG114" s="256"/>
      <c r="AH114" s="188"/>
      <c r="AI114" s="743"/>
      <c r="AJ114" s="256"/>
      <c r="AK114" s="256"/>
      <c r="AL114" s="757"/>
      <c r="AM114" s="744"/>
      <c r="AN114" s="757">
        <v>163800</v>
      </c>
      <c r="AO114" s="1098" t="s">
        <v>1576</v>
      </c>
      <c r="AP114" s="745"/>
      <c r="AQ114" s="256" t="s">
        <v>1371</v>
      </c>
      <c r="AR114" s="256"/>
      <c r="AS114" s="256"/>
      <c r="AT114" s="256"/>
      <c r="AU114" s="256"/>
      <c r="AV114" s="55"/>
      <c r="AW114" s="17"/>
      <c r="AZ114" s="1299"/>
    </row>
    <row r="115" spans="3:58" ht="20.25" customHeight="1" x14ac:dyDescent="0.3">
      <c r="C115" s="750"/>
      <c r="D115" s="188"/>
      <c r="E115" s="119"/>
      <c r="F115" s="119"/>
      <c r="G115" s="188"/>
      <c r="H115" s="739"/>
      <c r="I115" s="829"/>
      <c r="J115" s="119"/>
      <c r="K115" s="188"/>
      <c r="L115" s="739"/>
      <c r="M115" s="800"/>
      <c r="N115" s="739"/>
      <c r="O115" s="739"/>
      <c r="P115" s="801"/>
      <c r="Q115" s="188"/>
      <c r="R115" s="188"/>
      <c r="S115" s="188"/>
      <c r="T115" s="740"/>
      <c r="U115" s="746"/>
      <c r="V115" s="119"/>
      <c r="W115" s="119"/>
      <c r="X115" s="119"/>
      <c r="Y115" s="119"/>
      <c r="Z115" s="802"/>
      <c r="AA115" s="188"/>
      <c r="AB115" s="1076"/>
      <c r="AC115" s="1076"/>
      <c r="AD115" s="1074"/>
      <c r="AE115" s="1075"/>
      <c r="AF115" s="1075"/>
      <c r="AG115" s="256"/>
      <c r="AH115" s="188"/>
      <c r="AI115" s="743"/>
      <c r="AJ115" s="256"/>
      <c r="AK115" s="256"/>
      <c r="AL115" s="757"/>
      <c r="AM115" s="744"/>
      <c r="AN115" s="757">
        <v>1840800</v>
      </c>
      <c r="AO115" s="757" t="s">
        <v>1788</v>
      </c>
      <c r="AP115" s="745"/>
      <c r="AQ115" s="256" t="s">
        <v>1309</v>
      </c>
      <c r="AR115" s="256"/>
      <c r="AS115" s="256"/>
      <c r="AT115" s="256"/>
      <c r="AU115" s="256"/>
      <c r="AV115" s="55"/>
      <c r="AW115" s="17"/>
      <c r="AZ115" s="1077"/>
    </row>
    <row r="116" spans="3:58" s="683" customFormat="1" ht="20.25" customHeight="1" x14ac:dyDescent="0.3">
      <c r="C116" s="1034"/>
      <c r="D116" s="1019"/>
      <c r="E116" s="1020"/>
      <c r="F116" s="1020"/>
      <c r="G116" s="1019"/>
      <c r="H116" s="1014">
        <f>H107</f>
        <v>6425000</v>
      </c>
      <c r="I116" s="1035"/>
      <c r="J116" s="1020"/>
      <c r="K116" s="1019"/>
      <c r="L116" s="1014"/>
      <c r="M116" s="1014">
        <f>M107</f>
        <v>7900000</v>
      </c>
      <c r="N116" s="1014"/>
      <c r="O116" s="1014"/>
      <c r="P116" s="1023"/>
      <c r="Q116" s="1019"/>
      <c r="R116" s="1019"/>
      <c r="S116" s="1019"/>
      <c r="T116" s="1024"/>
      <c r="U116" s="1025"/>
      <c r="V116" s="1020"/>
      <c r="W116" s="1020"/>
      <c r="X116" s="1020"/>
      <c r="Y116" s="1020"/>
      <c r="Z116" s="1026"/>
      <c r="AA116" s="1019"/>
      <c r="AB116" s="1027"/>
      <c r="AC116" s="1027"/>
      <c r="AD116" s="1028"/>
      <c r="AE116" s="1029"/>
      <c r="AF116" s="1029"/>
      <c r="AG116" s="1030"/>
      <c r="AH116" s="1019"/>
      <c r="AI116" s="1031"/>
      <c r="AJ116" s="1030"/>
      <c r="AK116" s="1030"/>
      <c r="AL116" s="1036">
        <f>AL107</f>
        <v>9323959</v>
      </c>
      <c r="AM116" s="1032"/>
      <c r="AN116" s="1036">
        <f>AN107</f>
        <v>9323959</v>
      </c>
      <c r="AO116" s="1033"/>
      <c r="AP116" s="1033"/>
      <c r="AQ116" s="1030"/>
      <c r="AR116" s="1030"/>
      <c r="AS116" s="1030"/>
      <c r="AT116" s="1030"/>
      <c r="AU116" s="1030"/>
      <c r="AV116" s="1018"/>
      <c r="AW116" s="532"/>
    </row>
    <row r="117" spans="3:58" ht="20.25" customHeight="1" x14ac:dyDescent="0.3">
      <c r="C117" s="750"/>
      <c r="D117" s="188"/>
      <c r="E117" s="119"/>
      <c r="F117" s="119"/>
      <c r="G117" s="188"/>
      <c r="H117" s="739"/>
      <c r="I117" s="780"/>
      <c r="J117" s="119"/>
      <c r="K117" s="188"/>
      <c r="L117" s="739"/>
      <c r="M117" s="800"/>
      <c r="N117" s="739"/>
      <c r="O117" s="739"/>
      <c r="P117" s="801"/>
      <c r="Q117" s="188"/>
      <c r="R117" s="188"/>
      <c r="S117" s="188"/>
      <c r="T117" s="740"/>
      <c r="U117" s="746"/>
      <c r="V117" s="119"/>
      <c r="W117" s="119"/>
      <c r="X117" s="119"/>
      <c r="Y117" s="119"/>
      <c r="Z117" s="802"/>
      <c r="AA117" s="188"/>
      <c r="AB117" s="741"/>
      <c r="AC117" s="741"/>
      <c r="AD117" s="116"/>
      <c r="AE117" s="742"/>
      <c r="AF117" s="742"/>
      <c r="AG117" s="256"/>
      <c r="AH117" s="188"/>
      <c r="AI117" s="743"/>
      <c r="AJ117" s="256"/>
      <c r="AK117" s="256"/>
      <c r="AL117" s="757"/>
      <c r="AM117" s="744"/>
      <c r="AN117" s="757"/>
      <c r="AO117" s="745"/>
      <c r="AP117" s="745"/>
      <c r="AQ117" s="256"/>
      <c r="AR117" s="256"/>
      <c r="AS117" s="256"/>
      <c r="AT117" s="256"/>
      <c r="AU117" s="256"/>
      <c r="AV117" s="55"/>
      <c r="AW117" s="17"/>
    </row>
    <row r="118" spans="3:58" ht="20.25" customHeight="1" x14ac:dyDescent="0.3">
      <c r="C118" s="712" t="s">
        <v>1462</v>
      </c>
      <c r="D118" s="188">
        <v>15</v>
      </c>
      <c r="E118" s="119"/>
      <c r="F118" s="119" t="str">
        <f>'UID application COMBINE Mc list'!C37</f>
        <v>AC invertor driven PLC based Fabric inspection machine with fault analyzer and report generator and length measuring and cutting device.</v>
      </c>
      <c r="G118" s="188">
        <f>'UID application COMBINE Mc list'!D37</f>
        <v>12</v>
      </c>
      <c r="H118" s="739">
        <f>'UID application COMBINE Mc list'!H37</f>
        <v>7800000</v>
      </c>
      <c r="I118" s="828" t="s">
        <v>1264</v>
      </c>
      <c r="J118" s="119"/>
      <c r="K118" s="188">
        <f>SUM(K119:K122)</f>
        <v>12</v>
      </c>
      <c r="L118" s="749" t="s">
        <v>359</v>
      </c>
      <c r="M118" s="739">
        <f>SUM(M119:M122)</f>
        <v>8400000</v>
      </c>
      <c r="N118" s="739"/>
      <c r="O118" s="739"/>
      <c r="P118" s="801"/>
      <c r="Q118" s="188"/>
      <c r="R118" s="188"/>
      <c r="S118" s="188"/>
      <c r="T118" s="740"/>
      <c r="U118" s="746"/>
      <c r="V118" s="119"/>
      <c r="W118" s="119"/>
      <c r="X118" s="803">
        <v>84282011</v>
      </c>
      <c r="Y118" s="119"/>
      <c r="Z118" s="802"/>
      <c r="AA118" s="188"/>
      <c r="AB118" s="741"/>
      <c r="AC118" s="741"/>
      <c r="AD118" s="116"/>
      <c r="AE118" s="742"/>
      <c r="AF118" s="742"/>
      <c r="AG118" s="256"/>
      <c r="AH118" s="188"/>
      <c r="AI118" s="743"/>
      <c r="AJ118" s="256"/>
      <c r="AK118" s="256"/>
      <c r="AL118" s="739">
        <f>SUM(AL119:AL124)</f>
        <v>9912000</v>
      </c>
      <c r="AM118" s="757"/>
      <c r="AN118" s="739">
        <f>SUM(AN119:AN124)</f>
        <v>9912000</v>
      </c>
      <c r="AO118" s="745"/>
      <c r="AP118" s="745"/>
      <c r="AQ118" s="256"/>
      <c r="AR118" s="256"/>
      <c r="AS118" s="256"/>
      <c r="AT118" s="256"/>
      <c r="AU118" s="256"/>
      <c r="AV118" s="55"/>
      <c r="AW118" s="17"/>
    </row>
    <row r="119" spans="3:58" ht="20.25" customHeight="1" x14ac:dyDescent="0.3">
      <c r="C119" s="750"/>
      <c r="D119" s="188"/>
      <c r="E119" s="119"/>
      <c r="F119" s="119"/>
      <c r="G119" s="188"/>
      <c r="H119" s="739"/>
      <c r="I119" s="780"/>
      <c r="J119" s="119"/>
      <c r="K119" s="188">
        <v>3</v>
      </c>
      <c r="L119" s="749" t="s">
        <v>359</v>
      </c>
      <c r="M119" s="798">
        <v>2100000</v>
      </c>
      <c r="N119" s="739"/>
      <c r="O119" s="739"/>
      <c r="P119" s="801"/>
      <c r="Q119" s="188"/>
      <c r="R119" s="188"/>
      <c r="S119" s="188"/>
      <c r="T119" s="740">
        <v>2022</v>
      </c>
      <c r="U119" s="299" t="s">
        <v>1467</v>
      </c>
      <c r="V119" s="746" t="s">
        <v>1468</v>
      </c>
      <c r="W119" s="119"/>
      <c r="X119" s="803">
        <v>84282011</v>
      </c>
      <c r="Y119" s="119"/>
      <c r="Z119" s="1102" t="s">
        <v>1463</v>
      </c>
      <c r="AA119" s="188"/>
      <c r="AB119" s="741"/>
      <c r="AC119" s="741"/>
      <c r="AD119" s="116"/>
      <c r="AE119" s="742"/>
      <c r="AF119" s="742"/>
      <c r="AG119" s="256"/>
      <c r="AH119" s="188"/>
      <c r="AI119" s="743"/>
      <c r="AJ119" s="256"/>
      <c r="AK119" s="959">
        <v>44634</v>
      </c>
      <c r="AL119" s="757">
        <v>2478000</v>
      </c>
      <c r="AM119" s="744"/>
      <c r="AN119" s="757">
        <v>2009260</v>
      </c>
      <c r="AO119" s="1007">
        <v>44554</v>
      </c>
      <c r="AP119" s="745"/>
      <c r="AQ119" s="256" t="s">
        <v>1371</v>
      </c>
      <c r="AR119" s="256"/>
      <c r="AS119" s="256"/>
      <c r="AT119" s="256"/>
      <c r="AU119" s="256"/>
      <c r="AV119" s="55"/>
      <c r="AW119" s="17"/>
      <c r="AY119" s="13" t="s">
        <v>1630</v>
      </c>
      <c r="AZ119" s="1299" t="s">
        <v>1704</v>
      </c>
    </row>
    <row r="120" spans="3:58" ht="20.25" customHeight="1" x14ac:dyDescent="0.3">
      <c r="C120" s="750"/>
      <c r="D120" s="188"/>
      <c r="E120" s="119"/>
      <c r="F120" s="119"/>
      <c r="G120" s="188"/>
      <c r="H120" s="739"/>
      <c r="I120" s="780"/>
      <c r="J120" s="119"/>
      <c r="K120" s="188">
        <v>3</v>
      </c>
      <c r="L120" s="749" t="s">
        <v>359</v>
      </c>
      <c r="M120" s="798">
        <v>2100000</v>
      </c>
      <c r="N120" s="739"/>
      <c r="O120" s="739"/>
      <c r="P120" s="801"/>
      <c r="Q120" s="188"/>
      <c r="R120" s="188"/>
      <c r="S120" s="188"/>
      <c r="T120" s="740">
        <v>2022</v>
      </c>
      <c r="U120" s="299" t="s">
        <v>1467</v>
      </c>
      <c r="V120" s="746" t="s">
        <v>1469</v>
      </c>
      <c r="W120" s="119"/>
      <c r="X120" s="803">
        <v>84282011</v>
      </c>
      <c r="Y120" s="119"/>
      <c r="Z120" s="1102" t="s">
        <v>1464</v>
      </c>
      <c r="AA120" s="188"/>
      <c r="AB120" s="741"/>
      <c r="AC120" s="741"/>
      <c r="AD120" s="116"/>
      <c r="AE120" s="742"/>
      <c r="AF120" s="742"/>
      <c r="AG120" s="256"/>
      <c r="AH120" s="188"/>
      <c r="AI120" s="743"/>
      <c r="AJ120" s="256"/>
      <c r="AK120" s="256"/>
      <c r="AL120" s="757">
        <v>2478000</v>
      </c>
      <c r="AM120" s="744"/>
      <c r="AN120" s="757">
        <v>1327400</v>
      </c>
      <c r="AO120" s="1007">
        <v>44364</v>
      </c>
      <c r="AP120" s="745"/>
      <c r="AQ120" s="965" t="s">
        <v>1309</v>
      </c>
      <c r="AR120" s="256"/>
      <c r="AS120" s="256"/>
      <c r="AT120" s="256"/>
      <c r="AU120" s="256"/>
      <c r="AV120" s="55"/>
      <c r="AW120" s="17"/>
      <c r="AZ120" s="1299"/>
    </row>
    <row r="121" spans="3:58" ht="20.25" customHeight="1" x14ac:dyDescent="0.3">
      <c r="C121" s="750"/>
      <c r="D121" s="188"/>
      <c r="E121" s="119"/>
      <c r="F121" s="119"/>
      <c r="G121" s="188"/>
      <c r="H121" s="739"/>
      <c r="I121" s="780"/>
      <c r="J121" s="119"/>
      <c r="K121" s="188">
        <v>3</v>
      </c>
      <c r="L121" s="749" t="s">
        <v>359</v>
      </c>
      <c r="M121" s="798">
        <v>2100000</v>
      </c>
      <c r="N121" s="739"/>
      <c r="O121" s="739"/>
      <c r="P121" s="801"/>
      <c r="Q121" s="188"/>
      <c r="R121" s="188"/>
      <c r="S121" s="188"/>
      <c r="T121" s="740">
        <v>2022</v>
      </c>
      <c r="U121" s="299" t="s">
        <v>1467</v>
      </c>
      <c r="V121" s="746" t="s">
        <v>1470</v>
      </c>
      <c r="W121" s="119"/>
      <c r="X121" s="803">
        <v>84282011</v>
      </c>
      <c r="Y121" s="119"/>
      <c r="Z121" s="1102" t="s">
        <v>1465</v>
      </c>
      <c r="AA121" s="188"/>
      <c r="AB121" s="741"/>
      <c r="AC121" s="741"/>
      <c r="AD121" s="116"/>
      <c r="AE121" s="742"/>
      <c r="AF121" s="742"/>
      <c r="AG121" s="256"/>
      <c r="AH121" s="188"/>
      <c r="AI121" s="743"/>
      <c r="AJ121" s="256"/>
      <c r="AK121" s="256"/>
      <c r="AL121" s="757">
        <v>2478000</v>
      </c>
      <c r="AM121" s="744"/>
      <c r="AN121" s="757">
        <v>3780000</v>
      </c>
      <c r="AO121" s="745">
        <v>44634</v>
      </c>
      <c r="AP121" s="745"/>
      <c r="AQ121" s="256" t="s">
        <v>1371</v>
      </c>
      <c r="AR121" s="256"/>
      <c r="AS121" s="256"/>
      <c r="AT121" s="256"/>
      <c r="AU121" s="256"/>
      <c r="AV121" s="55"/>
      <c r="AW121" s="17"/>
      <c r="AY121" s="13">
        <f>873000-165050</f>
        <v>707950</v>
      </c>
      <c r="AZ121" s="1299"/>
    </row>
    <row r="122" spans="3:58" ht="20.25" customHeight="1" x14ac:dyDescent="0.3">
      <c r="C122" s="69"/>
      <c r="D122" s="188"/>
      <c r="E122" s="119"/>
      <c r="F122" s="119"/>
      <c r="G122" s="188"/>
      <c r="H122" s="739"/>
      <c r="I122" s="780"/>
      <c r="J122" s="119"/>
      <c r="K122" s="188">
        <v>3</v>
      </c>
      <c r="L122" s="749" t="s">
        <v>359</v>
      </c>
      <c r="M122" s="798">
        <v>2100000</v>
      </c>
      <c r="N122" s="739"/>
      <c r="O122" s="739"/>
      <c r="P122" s="801"/>
      <c r="Q122" s="188"/>
      <c r="R122" s="188"/>
      <c r="S122" s="188"/>
      <c r="T122" s="740">
        <v>2021</v>
      </c>
      <c r="U122" s="299" t="s">
        <v>1467</v>
      </c>
      <c r="V122" s="746" t="s">
        <v>1471</v>
      </c>
      <c r="W122" s="119"/>
      <c r="X122" s="803">
        <v>84282011</v>
      </c>
      <c r="Y122" s="119"/>
      <c r="Z122" s="1102" t="s">
        <v>1466</v>
      </c>
      <c r="AA122" s="188"/>
      <c r="AB122" s="741"/>
      <c r="AC122" s="741"/>
      <c r="AD122" s="116"/>
      <c r="AE122" s="742"/>
      <c r="AF122" s="742"/>
      <c r="AG122" s="256"/>
      <c r="AH122" s="188"/>
      <c r="AI122" s="743"/>
      <c r="AJ122" s="256"/>
      <c r="AK122" s="256"/>
      <c r="AL122" s="757">
        <v>2478000</v>
      </c>
      <c r="AM122" s="744"/>
      <c r="AN122" s="757">
        <v>2394000</v>
      </c>
      <c r="AO122" s="745">
        <v>44643</v>
      </c>
      <c r="AP122" s="745"/>
      <c r="AQ122" s="256" t="s">
        <v>1371</v>
      </c>
      <c r="AR122" s="256"/>
      <c r="AS122" s="256"/>
      <c r="AT122" s="256"/>
      <c r="AU122" s="256"/>
      <c r="AV122" s="55"/>
      <c r="AW122" s="17"/>
      <c r="AY122" s="13">
        <f>AL118+AL160</f>
        <v>15663320</v>
      </c>
      <c r="AZ122" s="1299"/>
      <c r="BA122" s="13">
        <f>AY121/AY122</f>
        <v>4.5197952924411935E-2</v>
      </c>
    </row>
    <row r="123" spans="3:58" ht="20.25" customHeight="1" x14ac:dyDescent="0.3">
      <c r="C123" s="69"/>
      <c r="D123" s="188"/>
      <c r="E123" s="119"/>
      <c r="F123" s="119"/>
      <c r="G123" s="188"/>
      <c r="H123" s="739"/>
      <c r="I123" s="780"/>
      <c r="J123" s="119"/>
      <c r="K123" s="188"/>
      <c r="L123" s="739"/>
      <c r="M123" s="800"/>
      <c r="N123" s="739"/>
      <c r="O123" s="739"/>
      <c r="P123" s="801"/>
      <c r="Q123" s="188"/>
      <c r="R123" s="188"/>
      <c r="S123" s="188"/>
      <c r="T123" s="740"/>
      <c r="U123" s="82"/>
      <c r="V123" s="119"/>
      <c r="W123" s="119"/>
      <c r="X123" s="119"/>
      <c r="Y123" s="119"/>
      <c r="Z123" s="802"/>
      <c r="AA123" s="188"/>
      <c r="AB123" s="741"/>
      <c r="AC123" s="741"/>
      <c r="AD123" s="116"/>
      <c r="AE123" s="742"/>
      <c r="AF123" s="742"/>
      <c r="AG123" s="256"/>
      <c r="AH123" s="188"/>
      <c r="AI123" s="743"/>
      <c r="AJ123" s="256"/>
      <c r="AK123" s="256"/>
      <c r="AL123" s="757"/>
      <c r="AM123" s="744"/>
      <c r="AN123" s="757">
        <v>393400</v>
      </c>
      <c r="AO123" s="745">
        <v>44664</v>
      </c>
      <c r="AP123" s="745"/>
      <c r="AQ123" s="256"/>
      <c r="AR123" s="256"/>
      <c r="AS123" s="256"/>
      <c r="AT123" s="256"/>
      <c r="AU123" s="256"/>
      <c r="AV123" s="55"/>
      <c r="AW123" s="17"/>
    </row>
    <row r="124" spans="3:58" ht="20.25" customHeight="1" x14ac:dyDescent="0.3">
      <c r="C124" s="69"/>
      <c r="D124" s="188"/>
      <c r="E124" s="119"/>
      <c r="F124" s="119"/>
      <c r="G124" s="188"/>
      <c r="H124" s="739"/>
      <c r="I124" s="780"/>
      <c r="J124" s="119"/>
      <c r="K124" s="188"/>
      <c r="L124" s="739"/>
      <c r="M124" s="800"/>
      <c r="N124" s="739"/>
      <c r="O124" s="739"/>
      <c r="P124" s="801"/>
      <c r="Q124" s="188"/>
      <c r="R124" s="188"/>
      <c r="S124" s="188"/>
      <c r="T124" s="740"/>
      <c r="U124" s="82"/>
      <c r="V124" s="119"/>
      <c r="W124" s="119"/>
      <c r="X124" s="119"/>
      <c r="Y124" s="119"/>
      <c r="Z124" s="802"/>
      <c r="AA124" s="188"/>
      <c r="AB124" s="1076"/>
      <c r="AC124" s="1076"/>
      <c r="AD124" s="1074"/>
      <c r="AE124" s="1075"/>
      <c r="AF124" s="1075"/>
      <c r="AG124" s="256"/>
      <c r="AH124" s="188"/>
      <c r="AI124" s="743"/>
      <c r="AJ124" s="256"/>
      <c r="AK124" s="256"/>
      <c r="AL124" s="757"/>
      <c r="AM124" s="744"/>
      <c r="AN124" s="757">
        <v>7940</v>
      </c>
      <c r="AO124" s="745">
        <v>45014</v>
      </c>
      <c r="AP124" s="745"/>
      <c r="AQ124" s="256"/>
      <c r="AR124" s="256"/>
      <c r="AS124" s="256"/>
      <c r="AT124" s="256"/>
      <c r="AU124" s="256"/>
      <c r="AV124" s="55"/>
      <c r="AW124" s="17"/>
    </row>
    <row r="125" spans="3:58" s="683" customFormat="1" ht="20.25" customHeight="1" x14ac:dyDescent="0.3">
      <c r="C125" s="1017"/>
      <c r="D125" s="1019"/>
      <c r="E125" s="1020"/>
      <c r="F125" s="1020"/>
      <c r="G125" s="1019"/>
      <c r="H125" s="1014">
        <f>H118</f>
        <v>7800000</v>
      </c>
      <c r="I125" s="1021"/>
      <c r="J125" s="1020"/>
      <c r="K125" s="1019"/>
      <c r="L125" s="1014"/>
      <c r="M125" s="1014">
        <f>M118</f>
        <v>8400000</v>
      </c>
      <c r="N125" s="1014"/>
      <c r="O125" s="1014"/>
      <c r="P125" s="1023"/>
      <c r="Q125" s="1019"/>
      <c r="R125" s="1019"/>
      <c r="S125" s="1019"/>
      <c r="T125" s="1024"/>
      <c r="U125" s="1061"/>
      <c r="V125" s="1020"/>
      <c r="W125" s="1020"/>
      <c r="X125" s="1020"/>
      <c r="Y125" s="1020"/>
      <c r="Z125" s="1026"/>
      <c r="AA125" s="1019"/>
      <c r="AB125" s="1027"/>
      <c r="AC125" s="1027"/>
      <c r="AD125" s="1028"/>
      <c r="AE125" s="1029"/>
      <c r="AF125" s="1029"/>
      <c r="AG125" s="1030"/>
      <c r="AH125" s="1019"/>
      <c r="AI125" s="1031"/>
      <c r="AJ125" s="1030"/>
      <c r="AK125" s="1030"/>
      <c r="AL125" s="1014">
        <f>AL118</f>
        <v>9912000</v>
      </c>
      <c r="AM125" s="1032"/>
      <c r="AN125" s="1014">
        <f>AN118</f>
        <v>9912000</v>
      </c>
      <c r="AO125" s="1033"/>
      <c r="AP125" s="1033"/>
      <c r="AQ125" s="1030"/>
      <c r="AR125" s="1030"/>
      <c r="AS125" s="1030"/>
      <c r="AT125" s="1030"/>
      <c r="AU125" s="1030"/>
      <c r="AV125" s="1018"/>
      <c r="AW125" s="532"/>
      <c r="BA125" s="683">
        <f>H125</f>
        <v>7800000</v>
      </c>
      <c r="BB125" s="683">
        <f>M125</f>
        <v>8400000</v>
      </c>
      <c r="BC125" s="683">
        <f>AL125</f>
        <v>9912000</v>
      </c>
      <c r="BD125" s="683">
        <f>BB125</f>
        <v>8400000</v>
      </c>
      <c r="BE125" s="683">
        <f>BD125*10%</f>
        <v>840000</v>
      </c>
      <c r="BF125" s="683">
        <f>BE125-BA125*10%</f>
        <v>60000</v>
      </c>
    </row>
    <row r="126" spans="3:58" ht="20.25" customHeight="1" x14ac:dyDescent="0.3">
      <c r="C126" s="69"/>
      <c r="D126" s="188"/>
      <c r="E126" s="119"/>
      <c r="F126" s="119"/>
      <c r="G126" s="188"/>
      <c r="H126" s="739"/>
      <c r="I126" s="780"/>
      <c r="J126" s="119"/>
      <c r="K126" s="188"/>
      <c r="L126" s="739"/>
      <c r="M126" s="800"/>
      <c r="N126" s="739"/>
      <c r="O126" s="739"/>
      <c r="P126" s="801"/>
      <c r="Q126" s="188"/>
      <c r="R126" s="188"/>
      <c r="S126" s="188"/>
      <c r="T126" s="740"/>
      <c r="U126" s="82"/>
      <c r="V126" s="119"/>
      <c r="W126" s="119"/>
      <c r="X126" s="119"/>
      <c r="Y126" s="119"/>
      <c r="Z126" s="802"/>
      <c r="AA126" s="188"/>
      <c r="AB126" s="741"/>
      <c r="AC126" s="741"/>
      <c r="AD126" s="116"/>
      <c r="AE126" s="742"/>
      <c r="AF126" s="742"/>
      <c r="AG126" s="256"/>
      <c r="AH126" s="188"/>
      <c r="AI126" s="743"/>
      <c r="AJ126" s="256"/>
      <c r="AK126" s="256"/>
      <c r="AL126" s="757"/>
      <c r="AM126" s="744"/>
      <c r="AN126" s="757"/>
      <c r="AO126" s="745"/>
      <c r="AP126" s="745"/>
      <c r="AQ126" s="256"/>
      <c r="AR126" s="256"/>
      <c r="AS126" s="256"/>
      <c r="AT126" s="256"/>
      <c r="AU126" s="256"/>
      <c r="AV126" s="55"/>
      <c r="AW126" s="17"/>
    </row>
    <row r="127" spans="3:58" ht="20.25" customHeight="1" x14ac:dyDescent="0.3">
      <c r="C127" s="69"/>
      <c r="D127" s="188">
        <v>16</v>
      </c>
      <c r="E127" s="119"/>
      <c r="F127" s="119" t="str">
        <f>'UID application COMBINE Mc list'!C38</f>
        <v>Accessories / attachments / sample machines / spares received alongwith machinery or procured from other manufacturers of the machinery under the project up to a a value of 20% of the machinery cost eligible under ATUFS mentioned at Sr. No. 7 above. (for Air compressor)</v>
      </c>
      <c r="G127" s="188" t="str">
        <f>'UID application COMBINE Mc list'!D38</f>
        <v>7 Set</v>
      </c>
      <c r="H127" s="739">
        <f>'UID application COMBINE Mc list'!H38</f>
        <v>3700000</v>
      </c>
      <c r="I127" s="780"/>
      <c r="J127" s="119"/>
      <c r="K127" s="188"/>
      <c r="L127" s="739"/>
      <c r="M127" s="800">
        <f>M128+M129</f>
        <v>8026500</v>
      </c>
      <c r="N127" s="739"/>
      <c r="O127" s="739"/>
      <c r="P127" s="801"/>
      <c r="Q127" s="188"/>
      <c r="R127" s="188"/>
      <c r="S127" s="188"/>
      <c r="T127" s="740"/>
      <c r="U127" s="82"/>
      <c r="V127" s="119"/>
      <c r="W127" s="119"/>
      <c r="X127" s="119"/>
      <c r="Y127" s="119"/>
      <c r="Z127" s="802"/>
      <c r="AA127" s="188"/>
      <c r="AB127" s="741"/>
      <c r="AC127" s="741"/>
      <c r="AD127" s="116"/>
      <c r="AE127" s="742"/>
      <c r="AF127" s="742"/>
      <c r="AG127" s="256"/>
      <c r="AH127" s="188"/>
      <c r="AI127" s="743"/>
      <c r="AJ127" s="256"/>
      <c r="AK127" s="256"/>
      <c r="AL127" s="757">
        <f>AL128+AL129</f>
        <v>8193270</v>
      </c>
      <c r="AM127" s="744"/>
      <c r="AN127" s="757">
        <f>AN128+AN129+AN130</f>
        <v>8193720</v>
      </c>
      <c r="AO127" s="745"/>
      <c r="AP127" s="745"/>
      <c r="AQ127" s="256"/>
      <c r="AR127" s="256"/>
      <c r="AS127" s="256"/>
      <c r="AT127" s="256"/>
      <c r="AU127" s="256"/>
      <c r="AV127" s="55"/>
      <c r="AW127" s="17"/>
    </row>
    <row r="128" spans="3:58" s="1010" customFormat="1" ht="20.25" customHeight="1" x14ac:dyDescent="0.3">
      <c r="C128" s="994" t="s">
        <v>1657</v>
      </c>
      <c r="D128" s="995"/>
      <c r="E128" s="996"/>
      <c r="F128" s="996"/>
      <c r="G128" s="995"/>
      <c r="H128" s="739"/>
      <c r="I128" s="997" t="s">
        <v>1475</v>
      </c>
      <c r="J128" s="996"/>
      <c r="K128" s="995">
        <v>1</v>
      </c>
      <c r="L128" s="739" t="s">
        <v>359</v>
      </c>
      <c r="M128" s="800">
        <v>926500</v>
      </c>
      <c r="N128" s="739"/>
      <c r="O128" s="739"/>
      <c r="P128" s="998"/>
      <c r="Q128" s="995"/>
      <c r="R128" s="995"/>
      <c r="S128" s="995"/>
      <c r="T128" s="1070"/>
      <c r="U128" s="1071" t="s">
        <v>1629</v>
      </c>
      <c r="V128" s="1072" t="s">
        <v>1712</v>
      </c>
      <c r="W128" s="996"/>
      <c r="X128" s="996"/>
      <c r="Y128" s="996"/>
      <c r="Z128" s="1101" t="s">
        <v>1476</v>
      </c>
      <c r="AA128" s="995"/>
      <c r="AB128" s="1002"/>
      <c r="AC128" s="1002"/>
      <c r="AD128" s="1003"/>
      <c r="AE128" s="1004"/>
      <c r="AF128" s="1004"/>
      <c r="AG128" s="965"/>
      <c r="AH128" s="995"/>
      <c r="AI128" s="1005"/>
      <c r="AJ128" s="965"/>
      <c r="AK128" s="1073">
        <v>44634</v>
      </c>
      <c r="AL128" s="917">
        <v>1093270</v>
      </c>
      <c r="AM128" s="1006"/>
      <c r="AN128" s="757">
        <v>1093720</v>
      </c>
      <c r="AO128" s="1007">
        <v>44796</v>
      </c>
      <c r="AP128" s="1007"/>
      <c r="AQ128" s="965" t="s">
        <v>1371</v>
      </c>
      <c r="AR128" s="965"/>
      <c r="AS128" s="965"/>
      <c r="AT128" s="965"/>
      <c r="AU128" s="965"/>
      <c r="AV128" s="1008"/>
      <c r="AW128" s="1009"/>
      <c r="AZ128" s="1010" t="s">
        <v>1708</v>
      </c>
    </row>
    <row r="129" spans="3:58" s="948" customFormat="1" ht="20.25" customHeight="1" x14ac:dyDescent="0.3">
      <c r="C129" s="928" t="s">
        <v>979</v>
      </c>
      <c r="D129" s="929"/>
      <c r="E129" s="830"/>
      <c r="F129" s="830"/>
      <c r="G129" s="929"/>
      <c r="H129" s="930"/>
      <c r="I129" s="931" t="s">
        <v>1477</v>
      </c>
      <c r="J129" s="830"/>
      <c r="K129" s="929">
        <v>4</v>
      </c>
      <c r="L129" s="930" t="s">
        <v>359</v>
      </c>
      <c r="M129" s="932">
        <v>7100000</v>
      </c>
      <c r="N129" s="930"/>
      <c r="O129" s="930"/>
      <c r="P129" s="933"/>
      <c r="Q129" s="929"/>
      <c r="R129" s="929"/>
      <c r="S129" s="929"/>
      <c r="T129" s="836"/>
      <c r="U129" s="934" t="s">
        <v>1658</v>
      </c>
      <c r="V129" s="1064" t="s">
        <v>1712</v>
      </c>
      <c r="W129" s="830"/>
      <c r="X129" s="830"/>
      <c r="Y129" s="830"/>
      <c r="Z129" s="935" t="s">
        <v>1478</v>
      </c>
      <c r="AA129" s="929"/>
      <c r="AB129" s="936"/>
      <c r="AC129" s="936"/>
      <c r="AD129" s="937"/>
      <c r="AE129" s="938"/>
      <c r="AF129" s="938"/>
      <c r="AG129" s="939"/>
      <c r="AH129" s="929"/>
      <c r="AI129" s="940"/>
      <c r="AJ129" s="939"/>
      <c r="AK129" s="1065">
        <v>44634</v>
      </c>
      <c r="AL129" s="941">
        <v>7100000</v>
      </c>
      <c r="AM129" s="942"/>
      <c r="AN129" s="943">
        <f>6390000</f>
        <v>6390000</v>
      </c>
      <c r="AO129" s="945">
        <v>44407</v>
      </c>
      <c r="AP129" s="945"/>
      <c r="AQ129" s="939" t="s">
        <v>1371</v>
      </c>
      <c r="AR129" s="939"/>
      <c r="AS129" s="939"/>
      <c r="AT129" s="939"/>
      <c r="AU129" s="939"/>
      <c r="AV129" s="946"/>
      <c r="AW129" s="947"/>
      <c r="AZ129" s="948" t="s">
        <v>1708</v>
      </c>
    </row>
    <row r="130" spans="3:58" ht="20.25" customHeight="1" x14ac:dyDescent="0.3">
      <c r="C130" s="69"/>
      <c r="D130" s="188"/>
      <c r="E130" s="119"/>
      <c r="F130" s="119"/>
      <c r="G130" s="188"/>
      <c r="H130" s="739"/>
      <c r="I130" s="780"/>
      <c r="J130" s="119"/>
      <c r="K130" s="188"/>
      <c r="L130" s="739"/>
      <c r="M130" s="800"/>
      <c r="N130" s="739"/>
      <c r="O130" s="739"/>
      <c r="P130" s="801"/>
      <c r="Q130" s="188"/>
      <c r="R130" s="188"/>
      <c r="S130" s="188"/>
      <c r="T130" s="740"/>
      <c r="U130" s="82"/>
      <c r="V130" s="957"/>
      <c r="W130" s="119"/>
      <c r="X130" s="119"/>
      <c r="Y130" s="119"/>
      <c r="Z130" s="802"/>
      <c r="AA130" s="188"/>
      <c r="AB130" s="962"/>
      <c r="AC130" s="962"/>
      <c r="AD130" s="961"/>
      <c r="AE130" s="963"/>
      <c r="AF130" s="963"/>
      <c r="AG130" s="256"/>
      <c r="AH130" s="188"/>
      <c r="AI130" s="743"/>
      <c r="AJ130" s="256"/>
      <c r="AK130" s="951"/>
      <c r="AL130" s="964"/>
      <c r="AM130" s="744"/>
      <c r="AN130" s="757">
        <v>710000</v>
      </c>
      <c r="AO130" s="745">
        <v>44236</v>
      </c>
      <c r="AP130" s="745"/>
      <c r="AQ130" s="256" t="s">
        <v>1309</v>
      </c>
      <c r="AR130" s="256"/>
      <c r="AS130" s="256"/>
      <c r="AT130" s="256"/>
      <c r="AU130" s="256"/>
      <c r="AV130" s="55"/>
      <c r="AW130" s="17"/>
    </row>
    <row r="131" spans="3:58" ht="20.25" customHeight="1" x14ac:dyDescent="0.3">
      <c r="C131" s="761"/>
      <c r="D131" s="762"/>
      <c r="E131" s="763"/>
      <c r="F131" s="763"/>
      <c r="G131" s="762"/>
      <c r="H131" s="764">
        <f>H127</f>
        <v>3700000</v>
      </c>
      <c r="I131" s="822"/>
      <c r="J131" s="763"/>
      <c r="K131" s="762"/>
      <c r="L131" s="764"/>
      <c r="M131" s="764">
        <f>M127</f>
        <v>8026500</v>
      </c>
      <c r="N131" s="764"/>
      <c r="O131" s="764"/>
      <c r="P131" s="824"/>
      <c r="Q131" s="762"/>
      <c r="R131" s="762"/>
      <c r="S131" s="762"/>
      <c r="T131" s="765"/>
      <c r="U131" s="833"/>
      <c r="V131" s="763"/>
      <c r="W131" s="763"/>
      <c r="X131" s="763"/>
      <c r="Y131" s="763"/>
      <c r="Z131" s="826"/>
      <c r="AA131" s="762"/>
      <c r="AB131" s="766"/>
      <c r="AC131" s="766"/>
      <c r="AD131" s="767"/>
      <c r="AE131" s="768"/>
      <c r="AF131" s="768"/>
      <c r="AG131" s="769"/>
      <c r="AH131" s="762"/>
      <c r="AI131" s="770"/>
      <c r="AJ131" s="769"/>
      <c r="AK131" s="769"/>
      <c r="AL131" s="764">
        <f>AL127</f>
        <v>8193270</v>
      </c>
      <c r="AM131" s="771"/>
      <c r="AN131" s="764">
        <f>AN127</f>
        <v>8193720</v>
      </c>
      <c r="AO131" s="772"/>
      <c r="AP131" s="772"/>
      <c r="AQ131" s="769"/>
      <c r="AR131" s="256"/>
      <c r="AS131" s="256"/>
      <c r="AT131" s="256"/>
      <c r="AU131" s="256"/>
      <c r="AV131" s="55"/>
      <c r="AW131" s="17"/>
    </row>
    <row r="132" spans="3:58" ht="20.25" customHeight="1" x14ac:dyDescent="0.3">
      <c r="C132" s="69"/>
      <c r="D132" s="188"/>
      <c r="E132" s="119"/>
      <c r="F132" s="119"/>
      <c r="G132" s="188"/>
      <c r="H132" s="739"/>
      <c r="I132" s="780"/>
      <c r="J132" s="119"/>
      <c r="K132" s="188"/>
      <c r="L132" s="739"/>
      <c r="M132" s="800"/>
      <c r="N132" s="859"/>
      <c r="O132" s="859"/>
      <c r="P132" s="860"/>
      <c r="Q132" s="724"/>
      <c r="R132" s="188"/>
      <c r="S132" s="188"/>
      <c r="T132" s="740"/>
      <c r="U132" s="82"/>
      <c r="V132" s="119"/>
      <c r="W132" s="119"/>
      <c r="X132" s="119"/>
      <c r="Y132" s="119"/>
      <c r="Z132" s="802"/>
      <c r="AA132" s="188"/>
      <c r="AB132" s="741"/>
      <c r="AC132" s="741"/>
      <c r="AD132" s="116"/>
      <c r="AE132" s="742"/>
      <c r="AF132" s="742"/>
      <c r="AG132" s="256"/>
      <c r="AH132" s="188"/>
      <c r="AI132" s="743"/>
      <c r="AJ132" s="256"/>
      <c r="AK132" s="256"/>
      <c r="AL132" s="757"/>
      <c r="AM132" s="744"/>
      <c r="AN132" s="757">
        <v>1267650</v>
      </c>
      <c r="AO132" s="1007" t="s">
        <v>1792</v>
      </c>
      <c r="AP132" s="745"/>
      <c r="AQ132" s="256" t="s">
        <v>1371</v>
      </c>
      <c r="AR132" s="256"/>
      <c r="AS132" s="256"/>
      <c r="AT132" s="256"/>
      <c r="AU132" s="256"/>
      <c r="AV132" s="55"/>
      <c r="AW132" s="17"/>
    </row>
    <row r="133" spans="3:58" ht="20.25" customHeight="1" x14ac:dyDescent="0.3">
      <c r="C133" s="69" t="s">
        <v>1514</v>
      </c>
      <c r="D133" s="188">
        <v>17</v>
      </c>
      <c r="E133" s="119"/>
      <c r="F133" s="119" t="str">
        <f>'UID application COMBINE Mc list'!C39</f>
        <v>Reverse Osmosis, Nano Filteration, Multiple stage prefabricated steel evaporator excluding civil construction.</v>
      </c>
      <c r="G133" s="188" t="str">
        <f>'UID application COMBINE Mc list'!D39</f>
        <v>1 Line</v>
      </c>
      <c r="H133" s="739">
        <f>'UID application COMBINE Mc list'!H39</f>
        <v>1000000</v>
      </c>
      <c r="I133" s="780" t="s">
        <v>1509</v>
      </c>
      <c r="J133" s="119"/>
      <c r="K133" s="188">
        <v>1</v>
      </c>
      <c r="L133" s="739" t="s">
        <v>359</v>
      </c>
      <c r="M133" s="843">
        <v>1151000</v>
      </c>
      <c r="N133" s="859"/>
      <c r="O133" s="861">
        <v>1151000</v>
      </c>
      <c r="P133" s="862" t="s">
        <v>1512</v>
      </c>
      <c r="Q133" s="724" t="s">
        <v>649</v>
      </c>
      <c r="R133" s="188" t="s">
        <v>649</v>
      </c>
      <c r="S133" s="188" t="s">
        <v>649</v>
      </c>
      <c r="T133" s="740"/>
      <c r="U133" s="82"/>
      <c r="V133" s="119"/>
      <c r="W133" s="119"/>
      <c r="X133" s="119">
        <v>84212190</v>
      </c>
      <c r="Y133" s="119"/>
      <c r="Z133" s="1101" t="s">
        <v>1513</v>
      </c>
      <c r="AA133" s="188" t="s">
        <v>649</v>
      </c>
      <c r="AB133" s="741" t="s">
        <v>649</v>
      </c>
      <c r="AC133" s="741" t="s">
        <v>649</v>
      </c>
      <c r="AD133" s="741" t="s">
        <v>649</v>
      </c>
      <c r="AE133" s="741" t="s">
        <v>649</v>
      </c>
      <c r="AF133" s="741" t="s">
        <v>649</v>
      </c>
      <c r="AG133" s="741" t="s">
        <v>649</v>
      </c>
      <c r="AH133" s="741" t="s">
        <v>649</v>
      </c>
      <c r="AI133" s="741" t="s">
        <v>649</v>
      </c>
      <c r="AJ133" s="256"/>
      <c r="AK133" s="951">
        <v>44634</v>
      </c>
      <c r="AL133" s="837">
        <v>3016080</v>
      </c>
      <c r="AM133" s="744"/>
      <c r="AN133" s="757">
        <v>845100</v>
      </c>
      <c r="AO133" s="1007" t="s">
        <v>1793</v>
      </c>
      <c r="AP133" s="745"/>
      <c r="AQ133" s="256" t="s">
        <v>1309</v>
      </c>
      <c r="AR133" s="256"/>
      <c r="AS133" s="256"/>
      <c r="AT133" s="256"/>
      <c r="AU133" s="256"/>
      <c r="AV133" s="55"/>
      <c r="AW133" s="17"/>
      <c r="AY133" s="14" t="s">
        <v>1639</v>
      </c>
      <c r="AZ133" s="14" t="s">
        <v>1709</v>
      </c>
    </row>
    <row r="134" spans="3:58" s="683" customFormat="1" ht="20.25" customHeight="1" x14ac:dyDescent="0.3">
      <c r="C134" s="1017"/>
      <c r="D134" s="1019"/>
      <c r="E134" s="1020"/>
      <c r="F134" s="1020"/>
      <c r="G134" s="1019"/>
      <c r="H134" s="1014">
        <f>H133</f>
        <v>1000000</v>
      </c>
      <c r="I134" s="1021"/>
      <c r="J134" s="1020"/>
      <c r="K134" s="1019"/>
      <c r="L134" s="1014"/>
      <c r="M134" s="1056">
        <f>M133</f>
        <v>1151000</v>
      </c>
      <c r="N134" s="1057"/>
      <c r="O134" s="1058"/>
      <c r="P134" s="1059"/>
      <c r="Q134" s="1060"/>
      <c r="R134" s="1019"/>
      <c r="S134" s="1019"/>
      <c r="T134" s="1024"/>
      <c r="U134" s="1061"/>
      <c r="V134" s="1020"/>
      <c r="W134" s="1020"/>
      <c r="X134" s="1020"/>
      <c r="Y134" s="1020"/>
      <c r="Z134" s="1026"/>
      <c r="AA134" s="1019"/>
      <c r="AB134" s="1027"/>
      <c r="AC134" s="1027"/>
      <c r="AD134" s="1027"/>
      <c r="AE134" s="1062"/>
      <c r="AF134" s="1062"/>
      <c r="AG134" s="1027"/>
      <c r="AH134" s="1027"/>
      <c r="AI134" s="1027"/>
      <c r="AJ134" s="1030"/>
      <c r="AK134" s="1030"/>
      <c r="AL134" s="1030">
        <f>SUM(AL133)</f>
        <v>3016080</v>
      </c>
      <c r="AM134" s="1030"/>
      <c r="AN134" s="1030">
        <f>SUM(AN132:AN133)</f>
        <v>2112750</v>
      </c>
      <c r="AO134" s="1030"/>
      <c r="AP134" s="1033"/>
      <c r="AQ134" s="1030"/>
      <c r="AR134" s="1030"/>
      <c r="AS134" s="1030"/>
      <c r="AT134" s="1030"/>
      <c r="AU134" s="1030"/>
      <c r="AV134" s="1018"/>
      <c r="AW134" s="532"/>
      <c r="BA134" s="683">
        <f>H134</f>
        <v>1000000</v>
      </c>
      <c r="BB134" s="683">
        <f>M134</f>
        <v>1151000</v>
      </c>
      <c r="BC134" s="683">
        <f>AN133</f>
        <v>845100</v>
      </c>
      <c r="BD134" s="683">
        <f>BB134</f>
        <v>1151000</v>
      </c>
      <c r="BE134" s="683">
        <f>BD134*10%</f>
        <v>115100</v>
      </c>
      <c r="BF134" s="683">
        <f>BE134</f>
        <v>115100</v>
      </c>
    </row>
    <row r="135" spans="3:58" ht="20.25" customHeight="1" x14ac:dyDescent="0.3">
      <c r="C135" s="69"/>
      <c r="D135" s="188"/>
      <c r="E135" s="119"/>
      <c r="F135" s="119"/>
      <c r="G135" s="188"/>
      <c r="H135" s="739"/>
      <c r="I135" s="780"/>
      <c r="J135" s="119"/>
      <c r="K135" s="188"/>
      <c r="L135" s="739"/>
      <c r="M135" s="800"/>
      <c r="N135" s="859"/>
      <c r="O135" s="859"/>
      <c r="P135" s="860"/>
      <c r="Q135" s="724"/>
      <c r="R135" s="188"/>
      <c r="S135" s="188"/>
      <c r="T135" s="740"/>
      <c r="U135" s="82"/>
      <c r="V135" s="119"/>
      <c r="W135" s="119"/>
      <c r="X135" s="119"/>
      <c r="Y135" s="119"/>
      <c r="Z135" s="802"/>
      <c r="AA135" s="188"/>
      <c r="AB135" s="741"/>
      <c r="AC135" s="741"/>
      <c r="AD135" s="116"/>
      <c r="AE135" s="742"/>
      <c r="AF135" s="742"/>
      <c r="AG135" s="256"/>
      <c r="AH135" s="188"/>
      <c r="AI135" s="743"/>
      <c r="AJ135" s="256"/>
      <c r="AK135" s="256"/>
      <c r="AL135" s="757"/>
      <c r="AM135" s="744"/>
      <c r="AN135" s="757"/>
      <c r="AO135" s="745"/>
      <c r="AP135" s="745"/>
      <c r="AQ135" s="256"/>
      <c r="AR135" s="256"/>
      <c r="AS135" s="256"/>
      <c r="AT135" s="256"/>
      <c r="AU135" s="256"/>
      <c r="AV135" s="55"/>
      <c r="AW135" s="17"/>
    </row>
    <row r="136" spans="3:58" ht="20.25" customHeight="1" x14ac:dyDescent="0.3">
      <c r="C136" s="69" t="s">
        <v>1514</v>
      </c>
      <c r="D136" s="188">
        <v>18</v>
      </c>
      <c r="E136" s="119"/>
      <c r="F136" s="119" t="str">
        <f>'UID application COMBINE Mc list'!C40</f>
        <v>Accessories / attachments / sample machines / spares received alongwith machinery or procured from other manufacturers of the machinery under the project up to a a value of 20% of the machinery cost eligible under ATUFS mentioned at Sr. No. 17 above. (for Reverse Osmosis, Nano Filteration, Multiple stage prefabricated steel evaporator excluding civil construction.)</v>
      </c>
      <c r="G136" s="188" t="str">
        <f>'UID application COMBINE Mc list'!D40</f>
        <v>2 Sets</v>
      </c>
      <c r="H136" s="739">
        <f>'UID application COMBINE Mc list'!H40</f>
        <v>700000.00000000012</v>
      </c>
      <c r="I136" s="780" t="s">
        <v>1515</v>
      </c>
      <c r="J136" s="119"/>
      <c r="K136" s="188" t="s">
        <v>977</v>
      </c>
      <c r="L136" s="739"/>
      <c r="M136" s="800">
        <v>1405000</v>
      </c>
      <c r="N136" s="859"/>
      <c r="O136" s="797">
        <v>1405000</v>
      </c>
      <c r="P136" s="862" t="s">
        <v>1512</v>
      </c>
      <c r="Q136" s="724" t="s">
        <v>649</v>
      </c>
      <c r="R136" s="188" t="s">
        <v>649</v>
      </c>
      <c r="S136" s="188" t="s">
        <v>649</v>
      </c>
      <c r="T136" s="740"/>
      <c r="U136" s="82"/>
      <c r="V136" s="119"/>
      <c r="W136" s="119"/>
      <c r="X136" s="119">
        <v>84212190</v>
      </c>
      <c r="Y136" s="119"/>
      <c r="Z136" s="1101" t="s">
        <v>1513</v>
      </c>
      <c r="AA136" s="188"/>
      <c r="AB136" s="741"/>
      <c r="AC136" s="741"/>
      <c r="AD136" s="116"/>
      <c r="AE136" s="742"/>
      <c r="AF136" s="742"/>
      <c r="AG136" s="256"/>
      <c r="AH136" s="188"/>
      <c r="AI136" s="743"/>
      <c r="AJ136" s="256"/>
      <c r="AK136" s="951">
        <v>44634</v>
      </c>
      <c r="AL136" s="837">
        <v>3016080</v>
      </c>
      <c r="AM136" s="744"/>
      <c r="AN136" s="757">
        <v>1267650</v>
      </c>
      <c r="AO136" s="1007" t="s">
        <v>1575</v>
      </c>
      <c r="AP136" s="745"/>
      <c r="AQ136" s="256" t="s">
        <v>1371</v>
      </c>
      <c r="AR136" s="256"/>
      <c r="AS136" s="256"/>
      <c r="AT136" s="256"/>
      <c r="AU136" s="256"/>
      <c r="AV136" s="55"/>
      <c r="AW136" s="17"/>
      <c r="AZ136" s="14" t="s">
        <v>1709</v>
      </c>
    </row>
    <row r="137" spans="3:58" s="948" customFormat="1" ht="15" x14ac:dyDescent="0.3">
      <c r="C137" s="928"/>
      <c r="D137" s="929"/>
      <c r="E137" s="830"/>
      <c r="F137" s="830"/>
      <c r="G137" s="929"/>
      <c r="H137" s="1066">
        <f>H136</f>
        <v>700000.00000000012</v>
      </c>
      <c r="I137" s="931"/>
      <c r="J137" s="830"/>
      <c r="K137" s="929"/>
      <c r="L137" s="930"/>
      <c r="M137" s="932">
        <f>M136</f>
        <v>1405000</v>
      </c>
      <c r="N137" s="1067"/>
      <c r="O137" s="1067"/>
      <c r="P137" s="1068"/>
      <c r="Q137" s="1069"/>
      <c r="R137" s="929"/>
      <c r="S137" s="929"/>
      <c r="T137" s="836"/>
      <c r="U137" s="848"/>
      <c r="V137" s="830"/>
      <c r="W137" s="830"/>
      <c r="X137" s="830"/>
      <c r="Y137" s="830"/>
      <c r="Z137" s="935"/>
      <c r="AA137" s="929"/>
      <c r="AB137" s="936"/>
      <c r="AC137" s="936"/>
      <c r="AD137" s="937"/>
      <c r="AE137" s="938"/>
      <c r="AF137" s="938"/>
      <c r="AG137" s="939"/>
      <c r="AH137" s="929"/>
      <c r="AI137" s="940"/>
      <c r="AJ137" s="939"/>
      <c r="AK137" s="939"/>
      <c r="AL137" s="943">
        <f>SUM(AL136)</f>
        <v>3016080</v>
      </c>
      <c r="AM137" s="942"/>
      <c r="AN137" s="943">
        <f>SUM(AN136)</f>
        <v>1267650</v>
      </c>
      <c r="AO137" s="945"/>
      <c r="AP137" s="945"/>
      <c r="AQ137" s="939"/>
      <c r="AR137" s="939"/>
      <c r="AS137" s="939"/>
      <c r="AT137" s="939"/>
      <c r="AU137" s="939"/>
      <c r="AV137" s="946"/>
      <c r="AW137" s="947"/>
    </row>
    <row r="138" spans="3:58" ht="20.25" customHeight="1" x14ac:dyDescent="0.3">
      <c r="C138" s="69"/>
      <c r="D138" s="188"/>
      <c r="E138" s="119"/>
      <c r="F138" s="119"/>
      <c r="G138" s="188"/>
      <c r="H138" s="739"/>
      <c r="I138" s="780"/>
      <c r="J138" s="119"/>
      <c r="K138" s="188"/>
      <c r="L138" s="739"/>
      <c r="M138" s="800"/>
      <c r="N138" s="859"/>
      <c r="O138" s="859"/>
      <c r="P138" s="860"/>
      <c r="Q138" s="724"/>
      <c r="R138" s="188"/>
      <c r="S138" s="188"/>
      <c r="T138" s="740"/>
      <c r="U138" s="746"/>
      <c r="V138" s="119"/>
      <c r="W138" s="119"/>
      <c r="X138" s="119"/>
      <c r="Y138" s="119"/>
      <c r="Z138" s="802"/>
      <c r="AA138" s="188"/>
      <c r="AB138" s="741"/>
      <c r="AC138" s="741"/>
      <c r="AD138" s="116"/>
      <c r="AE138" s="742"/>
      <c r="AF138" s="742"/>
      <c r="AG138" s="256"/>
      <c r="AH138" s="188"/>
      <c r="AI138" s="743"/>
      <c r="AJ138" s="256"/>
      <c r="AK138" s="256"/>
      <c r="AL138" s="757"/>
      <c r="AM138" s="744"/>
      <c r="AN138" s="757"/>
      <c r="AO138" s="745"/>
      <c r="AP138" s="745"/>
      <c r="AQ138" s="256"/>
      <c r="AR138" s="256"/>
      <c r="AS138" s="256"/>
      <c r="AT138" s="256"/>
      <c r="AU138" s="256"/>
      <c r="AV138" s="55"/>
      <c r="AW138" s="17"/>
    </row>
    <row r="139" spans="3:58" ht="20.25" customHeight="1" x14ac:dyDescent="0.3">
      <c r="C139" s="69" t="s">
        <v>1499</v>
      </c>
      <c r="D139" s="188">
        <v>19</v>
      </c>
      <c r="E139" s="119"/>
      <c r="F139" s="119" t="str">
        <f>'UID application COMBINE Mc list'!C41</f>
        <v>PLC based Husk / Coal fired boiler (Steam) with automatic control on combustion efficiency, O2 Monitoring Equipments, and with Electrostatic precipitator and Micro dust collector</v>
      </c>
      <c r="G139" s="188" t="str">
        <f>'UID application COMBINE Mc list'!D41</f>
        <v>1 Set</v>
      </c>
      <c r="H139" s="739">
        <f>'UID application COMBINE Mc list'!H41</f>
        <v>20000000</v>
      </c>
      <c r="I139" s="828" t="str">
        <f>F139</f>
        <v>PLC based Husk / Coal fired boiler (Steam) with automatic control on combustion efficiency, O2 Monitoring Equipments, and with Electrostatic precipitator and Micro dust collector</v>
      </c>
      <c r="J139" s="119"/>
      <c r="K139" s="188" t="s">
        <v>112</v>
      </c>
      <c r="L139" s="749" t="s">
        <v>359</v>
      </c>
      <c r="M139" s="800">
        <f>SUM(M140:M155)</f>
        <v>15845000</v>
      </c>
      <c r="N139" s="859"/>
      <c r="O139" s="797">
        <v>12125000</v>
      </c>
      <c r="P139" s="860"/>
      <c r="Q139" s="724" t="s">
        <v>649</v>
      </c>
      <c r="R139" s="188" t="s">
        <v>649</v>
      </c>
      <c r="S139" s="188" t="s">
        <v>649</v>
      </c>
      <c r="T139" s="836"/>
      <c r="U139" s="848"/>
      <c r="V139" s="830"/>
      <c r="W139" s="119"/>
      <c r="X139" s="119"/>
      <c r="Y139" s="119"/>
      <c r="Z139" s="849"/>
      <c r="AA139" s="188"/>
      <c r="AB139" s="741"/>
      <c r="AC139" s="741"/>
      <c r="AD139" s="116"/>
      <c r="AE139" s="742"/>
      <c r="AF139" s="742"/>
      <c r="AG139" s="256"/>
      <c r="AH139" s="188"/>
      <c r="AI139" s="743"/>
      <c r="AJ139" s="256"/>
      <c r="AK139" s="951">
        <v>44634</v>
      </c>
      <c r="AL139" s="757"/>
      <c r="AM139" s="744"/>
      <c r="AN139" s="757"/>
      <c r="AO139" s="745"/>
      <c r="AP139" s="745"/>
      <c r="AQ139" s="256"/>
      <c r="AR139" s="256"/>
      <c r="AS139" s="256"/>
      <c r="AT139" s="256"/>
      <c r="AU139" s="256"/>
      <c r="AV139" s="55"/>
      <c r="AW139" s="17"/>
    </row>
    <row r="140" spans="3:58" ht="20.25" customHeight="1" x14ac:dyDescent="0.25">
      <c r="C140" s="69"/>
      <c r="D140" s="188"/>
      <c r="E140" s="119"/>
      <c r="F140" s="119"/>
      <c r="G140" s="188"/>
      <c r="H140" s="739"/>
      <c r="I140" s="828"/>
      <c r="J140" s="119"/>
      <c r="K140" s="188"/>
      <c r="L140" s="749" t="s">
        <v>359</v>
      </c>
      <c r="M140" s="854">
        <v>50000</v>
      </c>
      <c r="N140" s="859"/>
      <c r="O140" s="859"/>
      <c r="P140" s="860"/>
      <c r="Q140" s="724"/>
      <c r="R140" s="188"/>
      <c r="S140" s="188"/>
      <c r="T140" s="740"/>
      <c r="U140" s="746"/>
      <c r="V140" s="119"/>
      <c r="W140" s="119"/>
      <c r="X140" s="803">
        <v>84021200</v>
      </c>
      <c r="Y140" s="119"/>
      <c r="Z140" s="1104" t="s">
        <v>1520</v>
      </c>
      <c r="AA140" s="188"/>
      <c r="AB140" s="741"/>
      <c r="AC140" s="741"/>
      <c r="AD140" s="116"/>
      <c r="AE140" s="742"/>
      <c r="AF140" s="742"/>
      <c r="AG140" s="256"/>
      <c r="AH140" s="188"/>
      <c r="AI140" s="743"/>
      <c r="AJ140" s="256"/>
      <c r="AK140" s="256"/>
      <c r="AL140" s="1107">
        <v>59000</v>
      </c>
      <c r="AM140" s="744"/>
      <c r="AN140" s="757">
        <v>1212500</v>
      </c>
      <c r="AO140" s="1007" t="s">
        <v>1555</v>
      </c>
      <c r="AP140" s="745"/>
      <c r="AQ140" s="256" t="s">
        <v>1309</v>
      </c>
      <c r="AR140" s="256"/>
      <c r="AS140" s="256"/>
      <c r="AT140" s="256"/>
      <c r="AU140" s="256"/>
      <c r="AV140" s="55"/>
      <c r="AW140" s="17"/>
      <c r="AY140" s="13" t="s">
        <v>1637</v>
      </c>
      <c r="AZ140" s="1298" t="s">
        <v>1710</v>
      </c>
    </row>
    <row r="141" spans="3:58" ht="20.25" customHeight="1" x14ac:dyDescent="0.25">
      <c r="C141" s="69"/>
      <c r="D141" s="188"/>
      <c r="E141" s="119"/>
      <c r="F141" s="119"/>
      <c r="G141" s="188"/>
      <c r="H141" s="739"/>
      <c r="I141" s="828"/>
      <c r="J141" s="119"/>
      <c r="K141" s="188"/>
      <c r="L141" s="749" t="s">
        <v>359</v>
      </c>
      <c r="M141" s="855">
        <v>1650000</v>
      </c>
      <c r="N141" s="859"/>
      <c r="O141" s="859"/>
      <c r="P141" s="860"/>
      <c r="Q141" s="724"/>
      <c r="R141" s="188"/>
      <c r="S141" s="188"/>
      <c r="T141" s="740"/>
      <c r="U141" s="746"/>
      <c r="V141" s="119"/>
      <c r="W141" s="119"/>
      <c r="X141" s="803">
        <v>84021200</v>
      </c>
      <c r="Y141" s="119"/>
      <c r="Z141" s="1105" t="s">
        <v>1521</v>
      </c>
      <c r="AA141" s="188"/>
      <c r="AB141" s="741"/>
      <c r="AC141" s="741"/>
      <c r="AD141" s="116"/>
      <c r="AE141" s="742"/>
      <c r="AF141" s="742"/>
      <c r="AG141" s="256"/>
      <c r="AH141" s="188"/>
      <c r="AI141" s="743"/>
      <c r="AJ141" s="256"/>
      <c r="AK141" s="256"/>
      <c r="AL141" s="1107">
        <v>1947000</v>
      </c>
      <c r="AM141" s="744"/>
      <c r="AN141" s="757">
        <v>1212500</v>
      </c>
      <c r="AO141" s="1098" t="s">
        <v>1558</v>
      </c>
      <c r="AP141" s="745"/>
      <c r="AQ141" s="256" t="s">
        <v>1309</v>
      </c>
      <c r="AR141" s="256"/>
      <c r="AS141" s="256"/>
      <c r="AT141" s="256"/>
      <c r="AU141" s="256"/>
      <c r="AV141" s="55"/>
      <c r="AW141" s="17"/>
      <c r="AY141" s="13" t="s">
        <v>1638</v>
      </c>
      <c r="AZ141" s="1298"/>
    </row>
    <row r="142" spans="3:58" ht="20.25" customHeight="1" x14ac:dyDescent="0.25">
      <c r="C142" s="69"/>
      <c r="D142" s="188"/>
      <c r="E142" s="119"/>
      <c r="F142" s="119"/>
      <c r="G142" s="188"/>
      <c r="H142" s="739"/>
      <c r="I142" s="828"/>
      <c r="J142" s="119"/>
      <c r="K142" s="188"/>
      <c r="L142" s="749" t="s">
        <v>359</v>
      </c>
      <c r="M142" s="856">
        <v>2325000</v>
      </c>
      <c r="N142" s="859"/>
      <c r="O142" s="859"/>
      <c r="P142" s="860"/>
      <c r="Q142" s="724"/>
      <c r="R142" s="188"/>
      <c r="S142" s="188"/>
      <c r="T142" s="740"/>
      <c r="U142" s="746"/>
      <c r="V142" s="119"/>
      <c r="W142" s="119"/>
      <c r="X142" s="803">
        <v>84021200</v>
      </c>
      <c r="Y142" s="119"/>
      <c r="Z142" s="1105" t="s">
        <v>1636</v>
      </c>
      <c r="AA142" s="188"/>
      <c r="AB142" s="741"/>
      <c r="AC142" s="741"/>
      <c r="AD142" s="116"/>
      <c r="AE142" s="742"/>
      <c r="AF142" s="742"/>
      <c r="AG142" s="256"/>
      <c r="AH142" s="188"/>
      <c r="AI142" s="743"/>
      <c r="AJ142" s="256"/>
      <c r="AK142" s="256"/>
      <c r="AL142" s="1107">
        <v>2743500</v>
      </c>
      <c r="AM142" s="744"/>
      <c r="AN142" s="757">
        <v>576000</v>
      </c>
      <c r="AO142" s="1098" t="s">
        <v>1559</v>
      </c>
      <c r="AP142" s="745"/>
      <c r="AQ142" s="256" t="s">
        <v>1309</v>
      </c>
      <c r="AR142" s="256"/>
      <c r="AS142" s="256"/>
      <c r="AT142" s="256"/>
      <c r="AU142" s="256"/>
      <c r="AV142" s="55"/>
      <c r="AW142" s="17"/>
      <c r="AZ142" s="1298"/>
    </row>
    <row r="143" spans="3:58" ht="20.25" customHeight="1" x14ac:dyDescent="0.25">
      <c r="C143" s="69"/>
      <c r="D143" s="188"/>
      <c r="E143" s="119"/>
      <c r="F143" s="119"/>
      <c r="G143" s="188"/>
      <c r="H143" s="739"/>
      <c r="I143" s="828"/>
      <c r="J143" s="119"/>
      <c r="K143" s="188"/>
      <c r="L143" s="749" t="s">
        <v>359</v>
      </c>
      <c r="M143" s="854">
        <v>1360000</v>
      </c>
      <c r="N143" s="859"/>
      <c r="O143" s="864"/>
      <c r="P143" s="860"/>
      <c r="Q143" s="866"/>
      <c r="R143" s="188"/>
      <c r="S143" s="188"/>
      <c r="T143" s="740"/>
      <c r="U143" s="746"/>
      <c r="V143" s="119"/>
      <c r="W143" s="119"/>
      <c r="X143" s="803">
        <v>84021200</v>
      </c>
      <c r="Y143" s="119"/>
      <c r="Z143" s="1104" t="s">
        <v>1523</v>
      </c>
      <c r="AA143" s="188"/>
      <c r="AB143" s="741"/>
      <c r="AC143" s="741"/>
      <c r="AD143" s="116"/>
      <c r="AE143" s="742"/>
      <c r="AF143" s="742"/>
      <c r="AG143" s="256"/>
      <c r="AH143" s="188"/>
      <c r="AI143" s="743"/>
      <c r="AJ143" s="256"/>
      <c r="AK143" s="256"/>
      <c r="AL143" s="1107">
        <v>1604800</v>
      </c>
      <c r="AM143" s="744"/>
      <c r="AN143" s="757">
        <v>11882500</v>
      </c>
      <c r="AO143" s="1007" t="s">
        <v>1556</v>
      </c>
      <c r="AP143" s="745"/>
      <c r="AQ143" s="256" t="s">
        <v>1371</v>
      </c>
      <c r="AR143" s="256"/>
      <c r="AS143" s="256"/>
      <c r="AT143" s="256"/>
      <c r="AU143" s="256"/>
      <c r="AV143" s="55"/>
      <c r="AW143" s="17"/>
      <c r="AZ143" s="1298"/>
    </row>
    <row r="144" spans="3:58" ht="20.25" customHeight="1" x14ac:dyDescent="0.25">
      <c r="C144" s="69"/>
      <c r="D144" s="188"/>
      <c r="E144" s="119"/>
      <c r="F144" s="119"/>
      <c r="G144" s="188"/>
      <c r="H144" s="739"/>
      <c r="I144" s="828"/>
      <c r="J144" s="119"/>
      <c r="K144" s="188"/>
      <c r="L144" s="749" t="s">
        <v>359</v>
      </c>
      <c r="M144" s="854">
        <v>1100000</v>
      </c>
      <c r="N144" s="859"/>
      <c r="O144" s="864"/>
      <c r="P144" s="860"/>
      <c r="Q144" s="866"/>
      <c r="R144" s="188"/>
      <c r="S144" s="188"/>
      <c r="T144" s="740"/>
      <c r="U144" s="746"/>
      <c r="V144" s="119"/>
      <c r="W144" s="119"/>
      <c r="X144" s="803">
        <v>84021200</v>
      </c>
      <c r="Y144" s="119"/>
      <c r="Z144" s="1105" t="s">
        <v>1524</v>
      </c>
      <c r="AA144" s="188"/>
      <c r="AB144" s="741"/>
      <c r="AC144" s="741"/>
      <c r="AD144" s="116"/>
      <c r="AE144" s="742"/>
      <c r="AF144" s="742"/>
      <c r="AG144" s="256"/>
      <c r="AH144" s="188"/>
      <c r="AI144" s="743"/>
      <c r="AJ144" s="256"/>
      <c r="AK144" s="256"/>
      <c r="AL144" s="1107">
        <v>1298000</v>
      </c>
      <c r="AM144" s="744"/>
      <c r="AN144" s="757">
        <v>1689600</v>
      </c>
      <c r="AO144" s="1007" t="s">
        <v>1557</v>
      </c>
      <c r="AP144" s="745"/>
      <c r="AQ144" s="256" t="s">
        <v>1371</v>
      </c>
      <c r="AR144" s="256"/>
      <c r="AS144" s="256"/>
      <c r="AT144" s="256"/>
      <c r="AU144" s="256"/>
      <c r="AV144" s="55"/>
      <c r="AW144" s="17"/>
      <c r="AZ144" s="1298"/>
    </row>
    <row r="145" spans="3:57" ht="20.25" customHeight="1" x14ac:dyDescent="0.25">
      <c r="C145" s="69"/>
      <c r="D145" s="188"/>
      <c r="E145" s="119"/>
      <c r="F145" s="119"/>
      <c r="G145" s="188"/>
      <c r="H145" s="739"/>
      <c r="I145" s="828"/>
      <c r="J145" s="119"/>
      <c r="K145" s="188"/>
      <c r="L145" s="749" t="s">
        <v>359</v>
      </c>
      <c r="M145" s="854">
        <v>1450000</v>
      </c>
      <c r="N145" s="859"/>
      <c r="O145" s="864"/>
      <c r="P145" s="860"/>
      <c r="Q145" s="866"/>
      <c r="R145" s="188"/>
      <c r="S145" s="188"/>
      <c r="T145" s="740"/>
      <c r="U145" s="746"/>
      <c r="V145" s="119"/>
      <c r="W145" s="119"/>
      <c r="X145" s="803">
        <v>84021200</v>
      </c>
      <c r="Y145" s="119"/>
      <c r="Z145" s="1105" t="s">
        <v>1525</v>
      </c>
      <c r="AA145" s="188"/>
      <c r="AB145" s="741"/>
      <c r="AC145" s="741"/>
      <c r="AD145" s="116"/>
      <c r="AE145" s="742"/>
      <c r="AF145" s="742"/>
      <c r="AG145" s="256"/>
      <c r="AH145" s="188"/>
      <c r="AI145" s="743"/>
      <c r="AJ145" s="256"/>
      <c r="AK145" s="256"/>
      <c r="AL145" s="1107">
        <v>1711000</v>
      </c>
      <c r="AM145" s="744"/>
      <c r="AN145" s="757"/>
      <c r="AO145" s="1007"/>
      <c r="AP145" s="745"/>
      <c r="AQ145" s="256"/>
      <c r="AR145" s="256"/>
      <c r="AS145" s="256"/>
      <c r="AT145" s="256"/>
      <c r="AU145" s="256"/>
      <c r="AV145" s="55"/>
      <c r="AW145" s="17"/>
      <c r="AZ145" s="1298"/>
    </row>
    <row r="146" spans="3:57" ht="20.25" customHeight="1" x14ac:dyDescent="0.25">
      <c r="C146" s="69"/>
      <c r="D146" s="188"/>
      <c r="E146" s="119"/>
      <c r="F146" s="119"/>
      <c r="G146" s="188"/>
      <c r="H146" s="739"/>
      <c r="I146" s="828"/>
      <c r="J146" s="119"/>
      <c r="K146" s="188"/>
      <c r="L146" s="749" t="s">
        <v>359</v>
      </c>
      <c r="M146" s="797">
        <v>1920000</v>
      </c>
      <c r="N146" s="857"/>
      <c r="O146" s="865"/>
      <c r="P146" s="860"/>
      <c r="Q146" s="858"/>
      <c r="R146" s="188"/>
      <c r="S146" s="188"/>
      <c r="T146" s="740"/>
      <c r="U146" s="746"/>
      <c r="V146" s="119"/>
      <c r="W146" s="119"/>
      <c r="X146" s="803">
        <v>84021200</v>
      </c>
      <c r="Y146" s="119"/>
      <c r="Z146" s="1105" t="s">
        <v>1526</v>
      </c>
      <c r="AA146" s="188"/>
      <c r="AB146" s="741"/>
      <c r="AC146" s="741"/>
      <c r="AD146" s="116"/>
      <c r="AE146" s="742"/>
      <c r="AF146" s="742"/>
      <c r="AG146" s="256"/>
      <c r="AH146" s="188"/>
      <c r="AI146" s="743"/>
      <c r="AJ146" s="256"/>
      <c r="AK146" s="256"/>
      <c r="AL146" s="1107">
        <v>2265600</v>
      </c>
      <c r="AM146" s="744"/>
      <c r="AN146" s="757"/>
      <c r="AO146" s="1007"/>
      <c r="AP146" s="745"/>
      <c r="AQ146" s="256"/>
      <c r="AR146" s="256"/>
      <c r="AS146" s="256"/>
      <c r="AT146" s="256"/>
      <c r="AU146" s="256"/>
      <c r="AV146" s="55"/>
      <c r="AW146" s="17"/>
      <c r="AZ146" s="1298"/>
    </row>
    <row r="147" spans="3:57" ht="20.25" customHeight="1" x14ac:dyDescent="0.25">
      <c r="C147" s="69"/>
      <c r="D147" s="188"/>
      <c r="E147" s="119"/>
      <c r="F147" s="119"/>
      <c r="G147" s="188"/>
      <c r="H147" s="739"/>
      <c r="I147" s="828"/>
      <c r="J147" s="119"/>
      <c r="K147" s="188"/>
      <c r="L147" s="749" t="s">
        <v>359</v>
      </c>
      <c r="M147" s="797">
        <v>825000</v>
      </c>
      <c r="N147" s="739"/>
      <c r="O147" s="755"/>
      <c r="P147" s="860"/>
      <c r="Q147" s="188"/>
      <c r="R147" s="188"/>
      <c r="S147" s="188"/>
      <c r="T147" s="740"/>
      <c r="U147" s="746"/>
      <c r="V147" s="119"/>
      <c r="W147" s="119"/>
      <c r="X147" s="803">
        <v>84021200</v>
      </c>
      <c r="Y147" s="119"/>
      <c r="Z147" s="1106" t="s">
        <v>1527</v>
      </c>
      <c r="AA147" s="188"/>
      <c r="AB147" s="741"/>
      <c r="AC147" s="741"/>
      <c r="AD147" s="116"/>
      <c r="AE147" s="742"/>
      <c r="AF147" s="742"/>
      <c r="AG147" s="256"/>
      <c r="AH147" s="188"/>
      <c r="AI147" s="743"/>
      <c r="AJ147" s="256"/>
      <c r="AK147" s="256"/>
      <c r="AL147" s="1107">
        <v>973500</v>
      </c>
      <c r="AM147" s="744"/>
      <c r="AN147" s="757"/>
      <c r="AO147" s="1007"/>
      <c r="AP147" s="745"/>
      <c r="AQ147" s="256"/>
      <c r="AR147" s="256"/>
      <c r="AS147" s="256"/>
      <c r="AT147" s="256"/>
      <c r="AU147" s="256"/>
      <c r="AV147" s="55"/>
      <c r="AW147" s="17"/>
      <c r="AZ147" s="1298"/>
    </row>
    <row r="148" spans="3:57" ht="20.25" customHeight="1" x14ac:dyDescent="0.25">
      <c r="C148" s="69"/>
      <c r="D148" s="188"/>
      <c r="E148" s="119"/>
      <c r="F148" s="119"/>
      <c r="G148" s="188"/>
      <c r="H148" s="739"/>
      <c r="I148" s="828"/>
      <c r="J148" s="119"/>
      <c r="K148" s="188"/>
      <c r="L148" s="749" t="s">
        <v>359</v>
      </c>
      <c r="M148" s="797">
        <v>120000</v>
      </c>
      <c r="N148" s="739"/>
      <c r="O148" s="755"/>
      <c r="P148" s="860"/>
      <c r="Q148" s="188"/>
      <c r="R148" s="188"/>
      <c r="S148" s="188"/>
      <c r="T148" s="740"/>
      <c r="U148" s="746"/>
      <c r="V148" s="119"/>
      <c r="W148" s="119"/>
      <c r="X148" s="803">
        <v>84021200</v>
      </c>
      <c r="Y148" s="119"/>
      <c r="Z148" s="1105" t="s">
        <v>1528</v>
      </c>
      <c r="AA148" s="188"/>
      <c r="AB148" s="741"/>
      <c r="AC148" s="741"/>
      <c r="AD148" s="116"/>
      <c r="AE148" s="742"/>
      <c r="AF148" s="742"/>
      <c r="AG148" s="256"/>
      <c r="AH148" s="188"/>
      <c r="AI148" s="743"/>
      <c r="AJ148" s="256"/>
      <c r="AK148" s="256"/>
      <c r="AL148" s="1107">
        <v>141600</v>
      </c>
      <c r="AM148" s="744"/>
      <c r="AN148" s="757"/>
      <c r="AO148" s="1007"/>
      <c r="AP148" s="745"/>
      <c r="AQ148" s="256"/>
      <c r="AR148" s="256"/>
      <c r="AS148" s="256"/>
      <c r="AT148" s="256"/>
      <c r="AU148" s="256"/>
      <c r="AV148" s="55"/>
      <c r="AW148" s="17"/>
      <c r="AZ148" s="1298"/>
    </row>
    <row r="149" spans="3:57" ht="20.25" customHeight="1" x14ac:dyDescent="0.25">
      <c r="C149" s="69"/>
      <c r="D149" s="188"/>
      <c r="E149" s="119"/>
      <c r="F149" s="119"/>
      <c r="G149" s="188"/>
      <c r="H149" s="739"/>
      <c r="I149" s="828"/>
      <c r="J149" s="119"/>
      <c r="K149" s="188"/>
      <c r="L149" s="749" t="s">
        <v>359</v>
      </c>
      <c r="M149" s="797">
        <v>230000</v>
      </c>
      <c r="N149" s="739"/>
      <c r="O149" s="755"/>
      <c r="P149" s="860"/>
      <c r="Q149" s="188"/>
      <c r="R149" s="188"/>
      <c r="S149" s="188"/>
      <c r="T149" s="740"/>
      <c r="U149" s="746"/>
      <c r="V149" s="119"/>
      <c r="W149" s="119"/>
      <c r="X149" s="803">
        <v>84021200</v>
      </c>
      <c r="Y149" s="119"/>
      <c r="Z149" s="1105" t="s">
        <v>1529</v>
      </c>
      <c r="AA149" s="188"/>
      <c r="AB149" s="741"/>
      <c r="AC149" s="741"/>
      <c r="AD149" s="116"/>
      <c r="AE149" s="742"/>
      <c r="AF149" s="742"/>
      <c r="AG149" s="256"/>
      <c r="AH149" s="188"/>
      <c r="AI149" s="743"/>
      <c r="AJ149" s="256"/>
      <c r="AK149" s="256"/>
      <c r="AL149" s="1107">
        <v>271400</v>
      </c>
      <c r="AM149" s="744"/>
      <c r="AN149" s="757"/>
      <c r="AO149" s="1007"/>
      <c r="AP149" s="745"/>
      <c r="AQ149" s="256"/>
      <c r="AR149" s="256"/>
      <c r="AS149" s="256"/>
      <c r="AT149" s="256"/>
      <c r="AU149" s="256"/>
      <c r="AV149" s="55"/>
      <c r="AW149" s="17"/>
      <c r="AZ149" s="1298"/>
    </row>
    <row r="150" spans="3:57" ht="20.25" customHeight="1" x14ac:dyDescent="0.25">
      <c r="C150" s="69"/>
      <c r="D150" s="188"/>
      <c r="E150" s="119"/>
      <c r="F150" s="119"/>
      <c r="G150" s="188"/>
      <c r="H150" s="739"/>
      <c r="I150" s="828"/>
      <c r="J150" s="119"/>
      <c r="K150" s="188"/>
      <c r="L150" s="749" t="s">
        <v>359</v>
      </c>
      <c r="M150" s="797">
        <v>570000</v>
      </c>
      <c r="N150" s="739"/>
      <c r="O150" s="755"/>
      <c r="P150" s="860"/>
      <c r="Q150" s="188"/>
      <c r="R150" s="188"/>
      <c r="S150" s="188"/>
      <c r="T150" s="740"/>
      <c r="U150" s="746"/>
      <c r="V150" s="119"/>
      <c r="W150" s="119"/>
      <c r="X150" s="803">
        <v>84021200</v>
      </c>
      <c r="Y150" s="119"/>
      <c r="Z150" s="1105" t="s">
        <v>1530</v>
      </c>
      <c r="AA150" s="188"/>
      <c r="AB150" s="741"/>
      <c r="AC150" s="741"/>
      <c r="AD150" s="116"/>
      <c r="AE150" s="742"/>
      <c r="AF150" s="742"/>
      <c r="AG150" s="256"/>
      <c r="AH150" s="188"/>
      <c r="AI150" s="743"/>
      <c r="AJ150" s="256"/>
      <c r="AK150" s="256"/>
      <c r="AL150" s="1107">
        <v>672600</v>
      </c>
      <c r="AM150" s="744"/>
      <c r="AN150" s="757"/>
      <c r="AO150" s="1007"/>
      <c r="AP150" s="745"/>
      <c r="AQ150" s="256"/>
      <c r="AR150" s="256"/>
      <c r="AS150" s="256"/>
      <c r="AT150" s="256"/>
      <c r="AU150" s="256"/>
      <c r="AV150" s="55"/>
      <c r="AW150" s="17"/>
      <c r="AZ150" s="1298"/>
    </row>
    <row r="151" spans="3:57" ht="20.25" customHeight="1" x14ac:dyDescent="0.25">
      <c r="C151" s="69"/>
      <c r="D151" s="188"/>
      <c r="E151" s="119"/>
      <c r="F151" s="119"/>
      <c r="G151" s="188"/>
      <c r="H151" s="739"/>
      <c r="I151" s="828"/>
      <c r="J151" s="119"/>
      <c r="K151" s="188"/>
      <c r="L151" s="749" t="s">
        <v>359</v>
      </c>
      <c r="M151" s="797">
        <v>1710000</v>
      </c>
      <c r="N151" s="739"/>
      <c r="O151" s="755"/>
      <c r="P151" s="860"/>
      <c r="Q151" s="188"/>
      <c r="R151" s="188"/>
      <c r="S151" s="188"/>
      <c r="T151" s="740"/>
      <c r="U151" s="746"/>
      <c r="V151" s="119"/>
      <c r="W151" s="119"/>
      <c r="X151" s="803">
        <v>84021200</v>
      </c>
      <c r="Y151" s="119"/>
      <c r="Z151" s="1105" t="s">
        <v>1632</v>
      </c>
      <c r="AA151" s="188"/>
      <c r="AB151" s="741"/>
      <c r="AC151" s="741"/>
      <c r="AD151" s="116"/>
      <c r="AE151" s="742"/>
      <c r="AF151" s="742"/>
      <c r="AG151" s="256"/>
      <c r="AH151" s="188"/>
      <c r="AI151" s="743"/>
      <c r="AJ151" s="256"/>
      <c r="AK151" s="256"/>
      <c r="AL151" s="1107">
        <v>2017800</v>
      </c>
      <c r="AM151" s="744"/>
      <c r="AN151" s="757"/>
      <c r="AO151" s="1098"/>
      <c r="AP151" s="745"/>
      <c r="AQ151" s="256"/>
      <c r="AR151" s="256"/>
      <c r="AS151" s="256"/>
      <c r="AT151" s="256"/>
      <c r="AU151" s="256"/>
      <c r="AV151" s="55"/>
      <c r="AW151" s="17"/>
      <c r="AZ151" s="1298"/>
    </row>
    <row r="152" spans="3:57" ht="20.25" customHeight="1" x14ac:dyDescent="0.25">
      <c r="C152" s="69"/>
      <c r="D152" s="188"/>
      <c r="E152" s="119"/>
      <c r="F152" s="119"/>
      <c r="G152" s="188"/>
      <c r="H152" s="739"/>
      <c r="I152" s="828"/>
      <c r="J152" s="119"/>
      <c r="K152" s="188"/>
      <c r="L152" s="749" t="s">
        <v>359</v>
      </c>
      <c r="M152" s="847">
        <v>355000</v>
      </c>
      <c r="N152" s="739"/>
      <c r="O152" s="755"/>
      <c r="P152" s="860"/>
      <c r="Q152" s="188"/>
      <c r="R152" s="188"/>
      <c r="S152" s="188"/>
      <c r="T152" s="740"/>
      <c r="U152" s="746"/>
      <c r="V152" s="119"/>
      <c r="W152" s="119"/>
      <c r="X152" s="803">
        <v>84021200</v>
      </c>
      <c r="Y152" s="119"/>
      <c r="Z152" s="1105" t="s">
        <v>1532</v>
      </c>
      <c r="AA152" s="188"/>
      <c r="AB152" s="741"/>
      <c r="AC152" s="741"/>
      <c r="AD152" s="116"/>
      <c r="AE152" s="742"/>
      <c r="AF152" s="742"/>
      <c r="AG152" s="256"/>
      <c r="AH152" s="188"/>
      <c r="AI152" s="743"/>
      <c r="AJ152" s="256"/>
      <c r="AK152" s="256"/>
      <c r="AL152" s="1107">
        <v>418900</v>
      </c>
      <c r="AM152" s="744"/>
      <c r="AN152" s="757"/>
      <c r="AO152" s="1007"/>
      <c r="AP152" s="745"/>
      <c r="AQ152" s="256"/>
      <c r="AR152" s="256"/>
      <c r="AS152" s="256"/>
      <c r="AT152" s="256"/>
      <c r="AU152" s="256"/>
      <c r="AV152" s="55"/>
      <c r="AW152" s="17"/>
      <c r="AZ152" s="1298"/>
    </row>
    <row r="153" spans="3:57" ht="20.25" customHeight="1" x14ac:dyDescent="0.25">
      <c r="C153" s="69"/>
      <c r="D153" s="188"/>
      <c r="E153" s="119"/>
      <c r="F153" s="119"/>
      <c r="G153" s="188"/>
      <c r="H153" s="739"/>
      <c r="I153" s="828"/>
      <c r="J153" s="119"/>
      <c r="K153" s="188"/>
      <c r="L153" s="749" t="s">
        <v>359</v>
      </c>
      <c r="M153" s="798">
        <v>230000</v>
      </c>
      <c r="N153" s="739"/>
      <c r="O153" s="755"/>
      <c r="P153" s="860"/>
      <c r="Q153" s="188"/>
      <c r="R153" s="188"/>
      <c r="S153" s="188"/>
      <c r="T153" s="740"/>
      <c r="U153" s="746"/>
      <c r="V153" s="119"/>
      <c r="W153" s="119"/>
      <c r="X153" s="803">
        <v>84021200</v>
      </c>
      <c r="Y153" s="119"/>
      <c r="Z153" s="1105" t="s">
        <v>1633</v>
      </c>
      <c r="AA153" s="188"/>
      <c r="AB153" s="741"/>
      <c r="AC153" s="741"/>
      <c r="AD153" s="116"/>
      <c r="AE153" s="742"/>
      <c r="AF153" s="742"/>
      <c r="AG153" s="256"/>
      <c r="AH153" s="188"/>
      <c r="AI153" s="743"/>
      <c r="AJ153" s="256"/>
      <c r="AK153" s="256"/>
      <c r="AL153" s="1107">
        <v>271400</v>
      </c>
      <c r="AM153" s="744"/>
      <c r="AN153" s="757"/>
      <c r="AO153" s="1007"/>
      <c r="AP153" s="745"/>
      <c r="AQ153" s="256"/>
      <c r="AR153" s="256"/>
      <c r="AS153" s="256"/>
      <c r="AT153" s="256"/>
      <c r="AU153" s="256"/>
      <c r="AV153" s="55"/>
      <c r="AW153" s="17"/>
      <c r="AZ153" s="1298"/>
    </row>
    <row r="154" spans="3:57" ht="20.25" customHeight="1" x14ac:dyDescent="0.25">
      <c r="C154" s="69"/>
      <c r="D154" s="188"/>
      <c r="E154" s="119"/>
      <c r="F154" s="119"/>
      <c r="G154" s="188"/>
      <c r="H154" s="739"/>
      <c r="I154" s="828"/>
      <c r="J154" s="119"/>
      <c r="K154" s="188"/>
      <c r="L154" s="749" t="s">
        <v>359</v>
      </c>
      <c r="M154" s="798">
        <v>150000</v>
      </c>
      <c r="N154" s="739"/>
      <c r="O154" s="755"/>
      <c r="P154" s="860"/>
      <c r="Q154" s="188"/>
      <c r="R154" s="188"/>
      <c r="S154" s="188"/>
      <c r="T154" s="740"/>
      <c r="U154" s="746"/>
      <c r="V154" s="119"/>
      <c r="W154" s="119"/>
      <c r="X154" s="803">
        <v>84021200</v>
      </c>
      <c r="Y154" s="119"/>
      <c r="Z154" s="1105" t="s">
        <v>1634</v>
      </c>
      <c r="AA154" s="188"/>
      <c r="AB154" s="741"/>
      <c r="AC154" s="741"/>
      <c r="AD154" s="116"/>
      <c r="AE154" s="742"/>
      <c r="AF154" s="742"/>
      <c r="AG154" s="256"/>
      <c r="AH154" s="188"/>
      <c r="AI154" s="743"/>
      <c r="AJ154" s="256"/>
      <c r="AK154" s="256"/>
      <c r="AL154" s="1107">
        <v>177000</v>
      </c>
      <c r="AM154" s="744"/>
      <c r="AN154" s="757"/>
      <c r="AO154" s="1007"/>
      <c r="AP154" s="745"/>
      <c r="AQ154" s="256"/>
      <c r="AR154" s="256"/>
      <c r="AS154" s="256"/>
      <c r="AT154" s="256"/>
      <c r="AU154" s="256"/>
      <c r="AV154" s="55"/>
      <c r="AW154" s="17"/>
      <c r="AZ154" s="1298"/>
    </row>
    <row r="155" spans="3:57" ht="20.25" customHeight="1" x14ac:dyDescent="0.3">
      <c r="C155" s="69"/>
      <c r="D155" s="188"/>
      <c r="E155" s="119"/>
      <c r="F155" s="119"/>
      <c r="G155" s="188"/>
      <c r="H155" s="739"/>
      <c r="I155" s="829" t="s">
        <v>1536</v>
      </c>
      <c r="J155" s="119"/>
      <c r="K155" s="188"/>
      <c r="L155" s="749"/>
      <c r="M155" s="867">
        <v>1800000</v>
      </c>
      <c r="N155" s="739"/>
      <c r="O155" s="755"/>
      <c r="P155" s="860"/>
      <c r="Q155" s="188"/>
      <c r="R155" s="188"/>
      <c r="S155" s="188"/>
      <c r="T155" s="740"/>
      <c r="U155" s="746"/>
      <c r="V155" s="119"/>
      <c r="W155" s="119"/>
      <c r="X155" s="803"/>
      <c r="Y155" s="850"/>
      <c r="Z155" s="1304" t="s">
        <v>1635</v>
      </c>
      <c r="AA155" s="118"/>
      <c r="AB155" s="906"/>
      <c r="AC155" s="906"/>
      <c r="AD155" s="907"/>
      <c r="AE155" s="908"/>
      <c r="AF155" s="908"/>
      <c r="AG155" s="909"/>
      <c r="AH155" s="118"/>
      <c r="AI155" s="910"/>
      <c r="AJ155" s="909"/>
      <c r="AK155" s="909"/>
      <c r="AL155" s="1306">
        <f>1800000+324000</f>
        <v>2124000</v>
      </c>
      <c r="AM155" s="744"/>
      <c r="AN155" s="757">
        <v>1908000</v>
      </c>
      <c r="AO155" s="1007" t="s">
        <v>1575</v>
      </c>
      <c r="AP155" s="745"/>
      <c r="AQ155" s="256" t="s">
        <v>1371</v>
      </c>
      <c r="AR155" s="256"/>
      <c r="AS155" s="256"/>
      <c r="AT155" s="256"/>
      <c r="AU155" s="256"/>
      <c r="AV155" s="55"/>
      <c r="AW155" s="17"/>
      <c r="AZ155" s="1298"/>
    </row>
    <row r="156" spans="3:57" ht="20.25" customHeight="1" x14ac:dyDescent="0.3">
      <c r="C156" s="69"/>
      <c r="D156" s="188"/>
      <c r="E156" s="119"/>
      <c r="F156" s="119"/>
      <c r="G156" s="188"/>
      <c r="H156" s="739"/>
      <c r="I156" s="829"/>
      <c r="J156" s="119"/>
      <c r="K156" s="188"/>
      <c r="L156" s="749"/>
      <c r="M156" s="867"/>
      <c r="N156" s="739"/>
      <c r="O156" s="755"/>
      <c r="P156" s="860"/>
      <c r="Q156" s="188"/>
      <c r="R156" s="188"/>
      <c r="S156" s="188"/>
      <c r="T156" s="740"/>
      <c r="U156" s="746"/>
      <c r="V156" s="119"/>
      <c r="W156" s="119"/>
      <c r="X156" s="803"/>
      <c r="Y156" s="850"/>
      <c r="Z156" s="1305"/>
      <c r="AA156" s="118"/>
      <c r="AB156" s="906"/>
      <c r="AC156" s="906"/>
      <c r="AD156" s="907"/>
      <c r="AE156" s="908"/>
      <c r="AF156" s="908"/>
      <c r="AG156" s="909"/>
      <c r="AH156" s="118"/>
      <c r="AI156" s="910"/>
      <c r="AJ156" s="909"/>
      <c r="AK156" s="909"/>
      <c r="AL156" s="1307"/>
      <c r="AM156" s="744"/>
      <c r="AN156" s="757">
        <v>472261</v>
      </c>
      <c r="AO156" s="1007" t="s">
        <v>1561</v>
      </c>
      <c r="AP156" s="745"/>
      <c r="AQ156" s="965" t="s">
        <v>1309</v>
      </c>
      <c r="AR156" s="256"/>
      <c r="AS156" s="256"/>
      <c r="AT156" s="256"/>
      <c r="AU156" s="256"/>
      <c r="AV156" s="55"/>
      <c r="AW156" s="17"/>
      <c r="AZ156" s="1298"/>
    </row>
    <row r="157" spans="3:57" s="683" customFormat="1" ht="20.25" customHeight="1" x14ac:dyDescent="0.25">
      <c r="C157" s="1017"/>
      <c r="D157" s="1019"/>
      <c r="E157" s="1020"/>
      <c r="F157" s="1020"/>
      <c r="G157" s="1019"/>
      <c r="H157" s="1014">
        <f>H139</f>
        <v>20000000</v>
      </c>
      <c r="I157" s="1035"/>
      <c r="J157" s="1020"/>
      <c r="K157" s="1019"/>
      <c r="L157" s="1049"/>
      <c r="M157" s="1014">
        <f>M139</f>
        <v>15845000</v>
      </c>
      <c r="N157" s="1014"/>
      <c r="O157" s="1050"/>
      <c r="P157" s="1051"/>
      <c r="Q157" s="1019"/>
      <c r="R157" s="1019"/>
      <c r="S157" s="1019"/>
      <c r="T157" s="1024"/>
      <c r="U157" s="1025"/>
      <c r="V157" s="1020"/>
      <c r="W157" s="1020"/>
      <c r="X157" s="1052"/>
      <c r="Y157" s="1053"/>
      <c r="Z157" s="1054"/>
      <c r="AA157" s="1019"/>
      <c r="AB157" s="1027"/>
      <c r="AC157" s="1027"/>
      <c r="AD157" s="1028"/>
      <c r="AE157" s="1029"/>
      <c r="AF157" s="1029"/>
      <c r="AG157" s="1030"/>
      <c r="AH157" s="1019"/>
      <c r="AI157" s="1031"/>
      <c r="AJ157" s="1030"/>
      <c r="AK157" s="1030"/>
      <c r="AL157" s="1055">
        <f>SUM(AL140:AL156)</f>
        <v>18697100</v>
      </c>
      <c r="AM157" s="1032"/>
      <c r="AN157" s="1055">
        <f>SUM(AN140:AN156)</f>
        <v>18953361</v>
      </c>
      <c r="AO157" s="1033"/>
      <c r="AP157" s="1033"/>
      <c r="AQ157" s="1030"/>
      <c r="AR157" s="1030"/>
      <c r="AS157" s="1030"/>
      <c r="AT157" s="1030"/>
      <c r="AU157" s="1030"/>
      <c r="AV157" s="1018"/>
      <c r="AW157" s="532"/>
      <c r="BA157" s="683">
        <f>H157</f>
        <v>20000000</v>
      </c>
      <c r="BB157" s="683">
        <f>M157</f>
        <v>15845000</v>
      </c>
      <c r="BC157" s="683">
        <f>AL157</f>
        <v>18697100</v>
      </c>
      <c r="BD157" s="683">
        <f>MIN(BA157,BB157,BC157)</f>
        <v>15845000</v>
      </c>
      <c r="BE157" s="683">
        <f>BD157*10%</f>
        <v>1584500</v>
      </c>
    </row>
    <row r="158" spans="3:57" ht="20.25" customHeight="1" x14ac:dyDescent="0.25">
      <c r="C158" s="69"/>
      <c r="D158" s="188"/>
      <c r="E158" s="119"/>
      <c r="F158" s="119"/>
      <c r="G158" s="188"/>
      <c r="H158" s="739"/>
      <c r="I158" s="829"/>
      <c r="J158" s="119"/>
      <c r="K158" s="188"/>
      <c r="L158" s="749"/>
      <c r="M158" s="867"/>
      <c r="N158" s="739"/>
      <c r="O158" s="755"/>
      <c r="P158" s="860"/>
      <c r="Q158" s="188"/>
      <c r="R158" s="188"/>
      <c r="S158" s="188"/>
      <c r="T158" s="740"/>
      <c r="U158" s="746"/>
      <c r="V158" s="119"/>
      <c r="W158" s="119"/>
      <c r="X158" s="803"/>
      <c r="Y158" s="850"/>
      <c r="Z158" s="852"/>
      <c r="AA158" s="188"/>
      <c r="AB158" s="741"/>
      <c r="AC158" s="741"/>
      <c r="AD158" s="116"/>
      <c r="AE158" s="742"/>
      <c r="AF158" s="742"/>
      <c r="AG158" s="256"/>
      <c r="AH158" s="188"/>
      <c r="AI158" s="743"/>
      <c r="AJ158" s="256"/>
      <c r="AK158" s="256"/>
      <c r="AL158" s="868"/>
      <c r="AM158" s="744"/>
      <c r="AN158" s="757"/>
      <c r="AO158" s="745"/>
      <c r="AP158" s="745"/>
      <c r="AQ158" s="256"/>
      <c r="AR158" s="256"/>
      <c r="AS158" s="256"/>
      <c r="AT158" s="256"/>
      <c r="AU158" s="256"/>
      <c r="AV158" s="55"/>
      <c r="AW158" s="17"/>
    </row>
    <row r="159" spans="3:57" ht="20.25" customHeight="1" x14ac:dyDescent="0.3">
      <c r="C159" s="69"/>
      <c r="D159" s="188"/>
      <c r="E159" s="119"/>
      <c r="F159" s="119"/>
      <c r="G159" s="188"/>
      <c r="H159" s="739"/>
      <c r="I159" s="780"/>
      <c r="J159" s="119"/>
      <c r="K159" s="188"/>
      <c r="L159" s="739"/>
      <c r="M159" s="800"/>
      <c r="N159" s="739"/>
      <c r="O159" s="755"/>
      <c r="P159" s="860"/>
      <c r="Q159" s="188"/>
      <c r="R159" s="188"/>
      <c r="S159" s="188"/>
      <c r="T159" s="740"/>
      <c r="U159" s="746"/>
      <c r="V159" s="119"/>
      <c r="W159" s="119"/>
      <c r="X159" s="119"/>
      <c r="Y159" s="850"/>
      <c r="Z159" s="794"/>
      <c r="AA159" s="188"/>
      <c r="AB159" s="741"/>
      <c r="AC159" s="741"/>
      <c r="AD159" s="116"/>
      <c r="AE159" s="742"/>
      <c r="AF159" s="742"/>
      <c r="AG159" s="256"/>
      <c r="AH159" s="188"/>
      <c r="AI159" s="743"/>
      <c r="AJ159" s="256"/>
      <c r="AK159" s="256"/>
      <c r="AL159" s="757"/>
      <c r="AM159" s="744"/>
      <c r="AN159" s="757"/>
      <c r="AO159" s="745"/>
      <c r="AP159" s="745"/>
      <c r="AQ159" s="256"/>
      <c r="AR159" s="256"/>
      <c r="AS159" s="256"/>
      <c r="AT159" s="256"/>
      <c r="AU159" s="256"/>
      <c r="AV159" s="55"/>
      <c r="AW159" s="17"/>
    </row>
    <row r="160" spans="3:57" ht="20.25" customHeight="1" x14ac:dyDescent="0.3">
      <c r="C160" s="712" t="s">
        <v>1462</v>
      </c>
      <c r="D160" s="188">
        <v>20</v>
      </c>
      <c r="E160" s="119"/>
      <c r="F160" s="119" t="str">
        <f>'UID application COMBINE Mc list'!C42</f>
        <v>Fabric automatic reversing machine</v>
      </c>
      <c r="G160" s="188">
        <v>3</v>
      </c>
      <c r="H160" s="739">
        <f>'UID application COMBINE Mc list'!H42</f>
        <v>13200000</v>
      </c>
      <c r="I160" s="829" t="s">
        <v>1272</v>
      </c>
      <c r="J160" s="119"/>
      <c r="K160" s="188">
        <f>K161+K162</f>
        <v>2</v>
      </c>
      <c r="L160" s="739"/>
      <c r="M160" s="797">
        <f>M161+M162</f>
        <v>4874000</v>
      </c>
      <c r="N160" s="739"/>
      <c r="O160" s="749">
        <v>4874000</v>
      </c>
      <c r="P160" s="801"/>
      <c r="Q160" s="188"/>
      <c r="R160" s="188"/>
      <c r="S160" s="188"/>
      <c r="T160" s="740"/>
      <c r="U160" s="746"/>
      <c r="V160" s="119"/>
      <c r="W160" s="119"/>
      <c r="X160" s="119"/>
      <c r="Y160" s="850"/>
      <c r="Z160" s="794"/>
      <c r="AA160" s="188"/>
      <c r="AB160" s="741"/>
      <c r="AC160" s="741"/>
      <c r="AD160" s="116"/>
      <c r="AE160" s="742"/>
      <c r="AF160" s="742"/>
      <c r="AG160" s="256"/>
      <c r="AH160" s="188"/>
      <c r="AI160" s="743"/>
      <c r="AJ160" s="256"/>
      <c r="AK160" s="951">
        <v>44634</v>
      </c>
      <c r="AL160" s="757">
        <f>SUM(AL161:AL164)</f>
        <v>5751320</v>
      </c>
      <c r="AM160" s="744"/>
      <c r="AN160" s="757">
        <f>SUM(AN161:AN164)</f>
        <v>5751320</v>
      </c>
      <c r="AO160" s="745"/>
      <c r="AP160" s="745"/>
      <c r="AQ160" s="256"/>
      <c r="AR160" s="256"/>
      <c r="AS160" s="256"/>
      <c r="AT160" s="256"/>
      <c r="AU160" s="256"/>
      <c r="AV160" s="55"/>
      <c r="AW160" s="17"/>
      <c r="AZ160" s="1299" t="s">
        <v>1711</v>
      </c>
    </row>
    <row r="161" spans="3:57" ht="20.25" customHeight="1" x14ac:dyDescent="0.3">
      <c r="C161" s="69"/>
      <c r="D161" s="188"/>
      <c r="E161" s="119"/>
      <c r="F161" s="119"/>
      <c r="G161" s="188"/>
      <c r="H161" s="739"/>
      <c r="I161" s="829" t="s">
        <v>1272</v>
      </c>
      <c r="J161" s="119"/>
      <c r="K161" s="827">
        <v>1</v>
      </c>
      <c r="L161" s="749" t="s">
        <v>359</v>
      </c>
      <c r="M161" s="797">
        <v>2437000</v>
      </c>
      <c r="N161" s="739"/>
      <c r="O161" s="739"/>
      <c r="P161" s="801"/>
      <c r="Q161" s="188"/>
      <c r="R161" s="188"/>
      <c r="S161" s="188"/>
      <c r="T161" s="835">
        <v>2022</v>
      </c>
      <c r="U161" s="746" t="s">
        <v>1631</v>
      </c>
      <c r="V161" s="803">
        <v>1923</v>
      </c>
      <c r="W161" s="119" t="s">
        <v>1474</v>
      </c>
      <c r="X161" s="834">
        <v>84289090</v>
      </c>
      <c r="Y161" s="119"/>
      <c r="Z161" s="1103" t="s">
        <v>1472</v>
      </c>
      <c r="AA161" s="188"/>
      <c r="AB161" s="741"/>
      <c r="AC161" s="741"/>
      <c r="AD161" s="116"/>
      <c r="AE161" s="742"/>
      <c r="AF161" s="742"/>
      <c r="AG161" s="256"/>
      <c r="AH161" s="188"/>
      <c r="AI161" s="743"/>
      <c r="AJ161" s="256"/>
      <c r="AK161" s="256"/>
      <c r="AL161" s="757">
        <v>2875660</v>
      </c>
      <c r="AM161" s="744"/>
      <c r="AN161" s="757">
        <v>2437000</v>
      </c>
      <c r="AO161" s="1007">
        <v>44554</v>
      </c>
      <c r="AP161" s="745"/>
      <c r="AQ161" s="256" t="s">
        <v>1371</v>
      </c>
      <c r="AR161" s="256"/>
      <c r="AS161" s="256"/>
      <c r="AT161" s="256"/>
      <c r="AU161" s="256"/>
      <c r="AV161" s="55"/>
      <c r="AW161" s="17"/>
      <c r="AY161" s="13">
        <f>AL160+AL118</f>
        <v>15663320</v>
      </c>
      <c r="AZ161" s="1299"/>
    </row>
    <row r="162" spans="3:57" ht="20.25" customHeight="1" x14ac:dyDescent="0.3">
      <c r="C162" s="69"/>
      <c r="D162" s="188"/>
      <c r="E162" s="119"/>
      <c r="F162" s="119"/>
      <c r="G162" s="188"/>
      <c r="H162" s="739"/>
      <c r="I162" s="829" t="s">
        <v>1272</v>
      </c>
      <c r="J162" s="119"/>
      <c r="K162" s="827">
        <v>1</v>
      </c>
      <c r="L162" s="749" t="s">
        <v>359</v>
      </c>
      <c r="M162" s="797">
        <v>2437000</v>
      </c>
      <c r="N162" s="739"/>
      <c r="O162" s="739"/>
      <c r="P162" s="801"/>
      <c r="Q162" s="188"/>
      <c r="R162" s="188"/>
      <c r="S162" s="188"/>
      <c r="T162" s="835">
        <v>2022</v>
      </c>
      <c r="U162" s="746" t="s">
        <v>1631</v>
      </c>
      <c r="V162" s="803">
        <v>1924</v>
      </c>
      <c r="W162" s="119" t="s">
        <v>1474</v>
      </c>
      <c r="X162" s="834">
        <v>84289090</v>
      </c>
      <c r="Y162" s="119"/>
      <c r="Z162" s="1103" t="s">
        <v>1473</v>
      </c>
      <c r="AA162" s="188"/>
      <c r="AB162" s="741"/>
      <c r="AC162" s="741"/>
      <c r="AD162" s="116"/>
      <c r="AE162" s="742"/>
      <c r="AF162" s="742"/>
      <c r="AG162" s="256"/>
      <c r="AH162" s="188"/>
      <c r="AI162" s="743"/>
      <c r="AJ162" s="256"/>
      <c r="AK162" s="256"/>
      <c r="AL162" s="757">
        <v>2875660</v>
      </c>
      <c r="AM162" s="744"/>
      <c r="AN162" s="757">
        <v>2388260</v>
      </c>
      <c r="AO162" s="1007">
        <v>409891</v>
      </c>
      <c r="AP162" s="745"/>
      <c r="AQ162" s="256" t="s">
        <v>1371</v>
      </c>
      <c r="AR162" s="256"/>
      <c r="AS162" s="256"/>
      <c r="AT162" s="256"/>
      <c r="AU162" s="256"/>
      <c r="AV162" s="55"/>
      <c r="AW162" s="17"/>
      <c r="AY162" s="13" t="s">
        <v>1610</v>
      </c>
      <c r="AZ162" s="1299"/>
    </row>
    <row r="163" spans="3:57" ht="20.25" customHeight="1" x14ac:dyDescent="0.3">
      <c r="C163" s="69"/>
      <c r="D163" s="188"/>
      <c r="E163" s="119"/>
      <c r="F163" s="119"/>
      <c r="G163" s="188"/>
      <c r="H163" s="739"/>
      <c r="I163" s="829"/>
      <c r="J163" s="119"/>
      <c r="K163" s="827"/>
      <c r="L163" s="749"/>
      <c r="M163" s="800"/>
      <c r="N163" s="739"/>
      <c r="O163" s="739"/>
      <c r="P163" s="801"/>
      <c r="Q163" s="188"/>
      <c r="R163" s="188"/>
      <c r="S163" s="188"/>
      <c r="T163" s="835"/>
      <c r="U163" s="746"/>
      <c r="V163" s="803"/>
      <c r="W163" s="119"/>
      <c r="X163" s="834"/>
      <c r="Y163" s="119"/>
      <c r="Z163" s="802"/>
      <c r="AA163" s="188"/>
      <c r="AB163" s="741"/>
      <c r="AC163" s="741"/>
      <c r="AD163" s="116"/>
      <c r="AE163" s="742"/>
      <c r="AF163" s="742"/>
      <c r="AG163" s="256"/>
      <c r="AH163" s="188"/>
      <c r="AI163" s="743"/>
      <c r="AJ163" s="256"/>
      <c r="AK163" s="256"/>
      <c r="AL163" s="757"/>
      <c r="AM163" s="744"/>
      <c r="AN163" s="757">
        <v>926060</v>
      </c>
      <c r="AO163" s="1007">
        <v>409891</v>
      </c>
      <c r="AP163" s="745"/>
      <c r="AQ163" s="256" t="s">
        <v>1371</v>
      </c>
      <c r="AR163" s="256"/>
      <c r="AS163" s="256"/>
      <c r="AT163" s="256"/>
      <c r="AU163" s="256"/>
      <c r="AV163" s="55"/>
      <c r="AW163" s="17"/>
      <c r="AZ163" s="1299"/>
    </row>
    <row r="164" spans="3:57" ht="20.25" customHeight="1" x14ac:dyDescent="0.3">
      <c r="C164" s="69"/>
      <c r="D164" s="188"/>
      <c r="E164" s="119"/>
      <c r="F164" s="119"/>
      <c r="G164" s="188"/>
      <c r="H164" s="739"/>
      <c r="I164" s="829"/>
      <c r="J164" s="119"/>
      <c r="K164" s="827"/>
      <c r="L164" s="749"/>
      <c r="M164" s="800"/>
      <c r="N164" s="739"/>
      <c r="O164" s="739"/>
      <c r="P164" s="801"/>
      <c r="Q164" s="188"/>
      <c r="R164" s="188"/>
      <c r="S164" s="188"/>
      <c r="T164" s="835"/>
      <c r="U164" s="746"/>
      <c r="V164" s="803"/>
      <c r="W164" s="119"/>
      <c r="X164" s="834"/>
      <c r="Y164" s="119"/>
      <c r="Z164" s="802"/>
      <c r="AA164" s="188"/>
      <c r="AB164" s="741"/>
      <c r="AC164" s="741"/>
      <c r="AD164" s="116"/>
      <c r="AE164" s="742"/>
      <c r="AF164" s="742"/>
      <c r="AG164" s="256"/>
      <c r="AH164" s="188"/>
      <c r="AI164" s="743"/>
      <c r="AJ164" s="256"/>
      <c r="AK164" s="256"/>
      <c r="AL164" s="757"/>
      <c r="AM164" s="744"/>
      <c r="AN164" s="757" t="s">
        <v>1170</v>
      </c>
      <c r="AO164" s="745"/>
      <c r="AP164" s="745"/>
      <c r="AQ164" s="256"/>
      <c r="AR164" s="256"/>
      <c r="AS164" s="256"/>
      <c r="AT164" s="256"/>
      <c r="AU164" s="256"/>
      <c r="AV164" s="55"/>
      <c r="AW164" s="17"/>
      <c r="AZ164" s="1299"/>
    </row>
    <row r="165" spans="3:57" s="869" customFormat="1" ht="20.25" customHeight="1" x14ac:dyDescent="0.3">
      <c r="C165" s="890"/>
      <c r="D165" s="871"/>
      <c r="E165" s="872"/>
      <c r="F165" s="872"/>
      <c r="G165" s="871"/>
      <c r="H165" s="873">
        <f>H160</f>
        <v>13200000</v>
      </c>
      <c r="I165" s="846"/>
      <c r="J165" s="872"/>
      <c r="K165" s="871"/>
      <c r="L165" s="873"/>
      <c r="M165" s="1014">
        <f>M160</f>
        <v>4874000</v>
      </c>
      <c r="N165" s="873"/>
      <c r="O165" s="873"/>
      <c r="P165" s="875"/>
      <c r="Q165" s="871"/>
      <c r="R165" s="871"/>
      <c r="S165" s="871"/>
      <c r="T165" s="876"/>
      <c r="U165" s="877"/>
      <c r="V165" s="872"/>
      <c r="W165" s="872"/>
      <c r="X165" s="872"/>
      <c r="Y165" s="872"/>
      <c r="Z165" s="878"/>
      <c r="AA165" s="871"/>
      <c r="AB165" s="879"/>
      <c r="AC165" s="879"/>
      <c r="AD165" s="880"/>
      <c r="AE165" s="881"/>
      <c r="AF165" s="881"/>
      <c r="AG165" s="882"/>
      <c r="AH165" s="871"/>
      <c r="AI165" s="883"/>
      <c r="AJ165" s="882"/>
      <c r="AK165" s="882"/>
      <c r="AL165" s="1139">
        <f>AL160</f>
        <v>5751320</v>
      </c>
      <c r="AM165" s="886"/>
      <c r="AN165" s="1108">
        <f>AN160</f>
        <v>5751320</v>
      </c>
      <c r="AO165" s="887"/>
      <c r="AP165" s="887"/>
      <c r="AQ165" s="882"/>
      <c r="AR165" s="882"/>
      <c r="AS165" s="882"/>
      <c r="AT165" s="882"/>
      <c r="AU165" s="882"/>
      <c r="AV165" s="888"/>
      <c r="AW165" s="889"/>
      <c r="BA165" s="869">
        <f>H165</f>
        <v>13200000</v>
      </c>
      <c r="BB165" s="869">
        <f>M165</f>
        <v>4874000</v>
      </c>
      <c r="BC165" s="869">
        <f>AL165</f>
        <v>5751320</v>
      </c>
      <c r="BD165" s="13">
        <f>MIN(BA165,BB165,BC165)</f>
        <v>4874000</v>
      </c>
      <c r="BE165" s="686">
        <f>BD165*10%</f>
        <v>487400</v>
      </c>
    </row>
    <row r="166" spans="3:57" ht="50.25" customHeight="1" x14ac:dyDescent="0.3">
      <c r="C166" s="712" t="s">
        <v>1462</v>
      </c>
      <c r="D166" s="188">
        <v>21</v>
      </c>
      <c r="E166" s="13"/>
      <c r="F166" s="746" t="s">
        <v>1769</v>
      </c>
      <c r="G166" s="188"/>
      <c r="H166" s="739"/>
      <c r="I166" s="828" t="s">
        <v>1770</v>
      </c>
      <c r="J166" s="119"/>
      <c r="K166" s="188">
        <v>2</v>
      </c>
      <c r="L166" s="739"/>
      <c r="M166" s="800">
        <v>6840000</v>
      </c>
      <c r="N166" s="739"/>
      <c r="O166" s="739"/>
      <c r="P166" s="801"/>
      <c r="Q166" s="188"/>
      <c r="R166" s="188"/>
      <c r="S166" s="188"/>
      <c r="T166" s="835">
        <v>2022</v>
      </c>
      <c r="U166" s="746" t="s">
        <v>1771</v>
      </c>
      <c r="V166" s="781">
        <v>1971</v>
      </c>
      <c r="W166" s="746" t="s">
        <v>1772</v>
      </c>
      <c r="X166" s="119"/>
      <c r="Y166" s="119"/>
      <c r="Z166" s="1101" t="s">
        <v>1773</v>
      </c>
      <c r="AA166" s="188"/>
      <c r="AB166" s="741"/>
      <c r="AC166" s="741"/>
      <c r="AD166" s="116"/>
      <c r="AE166" s="742"/>
      <c r="AF166" s="742"/>
      <c r="AG166" s="256"/>
      <c r="AH166" s="188"/>
      <c r="AI166" s="743"/>
      <c r="AJ166" s="256"/>
      <c r="AK166" s="256"/>
      <c r="AL166" s="757">
        <v>8071200</v>
      </c>
      <c r="AM166" s="744"/>
      <c r="AN166" s="757">
        <f>6703200-6840</f>
        <v>6696360</v>
      </c>
      <c r="AO166" s="1007" t="s">
        <v>1789</v>
      </c>
      <c r="AP166" s="745"/>
      <c r="AQ166" s="256"/>
      <c r="AR166" s="256"/>
      <c r="AS166" s="256"/>
      <c r="AT166" s="256"/>
      <c r="AU166" s="256"/>
      <c r="AV166" s="55"/>
      <c r="AW166" s="17"/>
    </row>
    <row r="167" spans="3:57" ht="20.25" customHeight="1" x14ac:dyDescent="0.3">
      <c r="C167" s="69"/>
      <c r="D167" s="188"/>
      <c r="E167" s="13"/>
      <c r="F167" s="746"/>
      <c r="G167" s="188"/>
      <c r="H167" s="739"/>
      <c r="I167" s="828"/>
      <c r="J167" s="119"/>
      <c r="K167" s="188"/>
      <c r="L167" s="739"/>
      <c r="M167" s="800"/>
      <c r="N167" s="739"/>
      <c r="O167" s="739"/>
      <c r="P167" s="801"/>
      <c r="Q167" s="188"/>
      <c r="R167" s="188"/>
      <c r="S167" s="188"/>
      <c r="T167" s="835"/>
      <c r="U167" s="746"/>
      <c r="V167" s="781"/>
      <c r="W167" s="746"/>
      <c r="X167" s="119"/>
      <c r="Y167" s="119"/>
      <c r="Z167" s="1101"/>
      <c r="AA167" s="188"/>
      <c r="AB167" s="989"/>
      <c r="AC167" s="989"/>
      <c r="AD167" s="988"/>
      <c r="AE167" s="990"/>
      <c r="AF167" s="990"/>
      <c r="AG167" s="256"/>
      <c r="AH167" s="188"/>
      <c r="AI167" s="743"/>
      <c r="AJ167" s="256"/>
      <c r="AK167" s="256"/>
      <c r="AL167" s="757"/>
      <c r="AM167" s="744"/>
      <c r="AN167" s="757">
        <v>165050</v>
      </c>
      <c r="AO167" s="1010" t="s">
        <v>1776</v>
      </c>
      <c r="AP167" s="745"/>
      <c r="AQ167" s="256"/>
      <c r="AR167" s="256"/>
      <c r="AS167" s="256"/>
      <c r="AT167" s="256"/>
      <c r="AU167" s="256"/>
      <c r="AV167" s="55"/>
      <c r="AW167" s="17"/>
    </row>
    <row r="168" spans="3:57" ht="20.25" customHeight="1" x14ac:dyDescent="0.3">
      <c r="C168" s="69"/>
      <c r="D168" s="188"/>
      <c r="E168" s="13"/>
      <c r="F168" s="746"/>
      <c r="G168" s="188"/>
      <c r="H168" s="739"/>
      <c r="I168" s="828"/>
      <c r="J168" s="119"/>
      <c r="K168" s="188"/>
      <c r="L168" s="739"/>
      <c r="M168" s="800"/>
      <c r="N168" s="739"/>
      <c r="O168" s="739"/>
      <c r="P168" s="801"/>
      <c r="Q168" s="188"/>
      <c r="R168" s="188"/>
      <c r="S168" s="188"/>
      <c r="T168" s="835"/>
      <c r="U168" s="746"/>
      <c r="V168" s="781"/>
      <c r="W168" s="746"/>
      <c r="X168" s="119"/>
      <c r="Y168" s="119"/>
      <c r="Z168" s="1101"/>
      <c r="AA168" s="188"/>
      <c r="AB168" s="989"/>
      <c r="AC168" s="989"/>
      <c r="AD168" s="988"/>
      <c r="AE168" s="990"/>
      <c r="AF168" s="990"/>
      <c r="AG168" s="256"/>
      <c r="AH168" s="188"/>
      <c r="AI168" s="743"/>
      <c r="AJ168" s="256"/>
      <c r="AK168" s="256"/>
      <c r="AL168" s="757"/>
      <c r="AM168" s="744"/>
      <c r="AN168" s="757">
        <v>764307</v>
      </c>
      <c r="AO168" s="1007" t="s">
        <v>1775</v>
      </c>
      <c r="AP168" s="745"/>
      <c r="AQ168" s="256"/>
      <c r="AR168" s="256"/>
      <c r="AS168" s="256"/>
      <c r="AT168" s="256"/>
      <c r="AU168" s="256"/>
      <c r="AV168" s="55"/>
      <c r="AW168" s="17"/>
    </row>
    <row r="169" spans="3:57" ht="20.25" customHeight="1" x14ac:dyDescent="0.3">
      <c r="C169" s="69"/>
      <c r="D169" s="188"/>
      <c r="E169" s="13"/>
      <c r="F169" s="746"/>
      <c r="G169" s="188"/>
      <c r="H169" s="739"/>
      <c r="I169" s="828"/>
      <c r="J169" s="119"/>
      <c r="K169" s="188"/>
      <c r="L169" s="739"/>
      <c r="M169" s="800"/>
      <c r="N169" s="739"/>
      <c r="O169" s="739"/>
      <c r="P169" s="801"/>
      <c r="Q169" s="188"/>
      <c r="R169" s="188"/>
      <c r="S169" s="188"/>
      <c r="T169" s="835"/>
      <c r="U169" s="746"/>
      <c r="V169" s="781"/>
      <c r="W169" s="746"/>
      <c r="X169" s="119"/>
      <c r="Y169" s="119"/>
      <c r="Z169" s="1101"/>
      <c r="AA169" s="188"/>
      <c r="AB169" s="989"/>
      <c r="AC169" s="989"/>
      <c r="AD169" s="988"/>
      <c r="AE169" s="990"/>
      <c r="AF169" s="990"/>
      <c r="AG169" s="256"/>
      <c r="AH169" s="188"/>
      <c r="AI169" s="743"/>
      <c r="AJ169" s="256"/>
      <c r="AK169" s="256"/>
      <c r="AL169" s="757"/>
      <c r="AM169" s="744"/>
      <c r="AN169" s="757">
        <v>411720</v>
      </c>
      <c r="AO169" s="1007" t="s">
        <v>1777</v>
      </c>
      <c r="AP169" s="745"/>
      <c r="AQ169" s="256"/>
      <c r="AR169" s="256"/>
      <c r="AS169" s="256"/>
      <c r="AT169" s="256"/>
      <c r="AU169" s="256"/>
      <c r="AV169" s="55"/>
      <c r="AW169" s="17"/>
    </row>
    <row r="170" spans="3:57" s="1010" customFormat="1" ht="72" customHeight="1" x14ac:dyDescent="0.3">
      <c r="C170" s="994"/>
      <c r="D170" s="995"/>
      <c r="E170" s="996"/>
      <c r="F170" s="996"/>
      <c r="G170" s="995"/>
      <c r="H170" s="739"/>
      <c r="I170" s="997"/>
      <c r="J170" s="996"/>
      <c r="K170" s="995"/>
      <c r="L170" s="739"/>
      <c r="M170" s="800">
        <v>6840000</v>
      </c>
      <c r="N170" s="739"/>
      <c r="O170" s="739"/>
      <c r="P170" s="998"/>
      <c r="Q170" s="995"/>
      <c r="R170" s="995"/>
      <c r="S170" s="995"/>
      <c r="T170" s="999">
        <v>2022</v>
      </c>
      <c r="U170" s="1000" t="s">
        <v>1771</v>
      </c>
      <c r="V170" s="1001">
        <v>1972</v>
      </c>
      <c r="W170" s="1000" t="s">
        <v>1772</v>
      </c>
      <c r="X170" s="996"/>
      <c r="Y170" s="996"/>
      <c r="Z170" s="1101" t="s">
        <v>1774</v>
      </c>
      <c r="AA170" s="995"/>
      <c r="AB170" s="1002"/>
      <c r="AC170" s="1002"/>
      <c r="AD170" s="1003"/>
      <c r="AE170" s="1004"/>
      <c r="AF170" s="1004"/>
      <c r="AG170" s="965"/>
      <c r="AH170" s="995"/>
      <c r="AI170" s="1005"/>
      <c r="AJ170" s="965"/>
      <c r="AK170" s="965"/>
      <c r="AL170" s="757">
        <v>8071200</v>
      </c>
      <c r="AM170" s="1006"/>
      <c r="AN170" s="757">
        <f>7314003-6840</f>
        <v>7307163</v>
      </c>
      <c r="AO170" s="1007" t="s">
        <v>1778</v>
      </c>
      <c r="AP170" s="1007"/>
      <c r="AQ170" s="965"/>
      <c r="AR170" s="965"/>
      <c r="AS170" s="965"/>
      <c r="AT170" s="965"/>
      <c r="AU170" s="965"/>
      <c r="AV170" s="1008"/>
      <c r="AW170" s="1009"/>
    </row>
    <row r="171" spans="3:57" ht="20.25" customHeight="1" x14ac:dyDescent="0.3">
      <c r="C171" s="69"/>
      <c r="D171" s="188"/>
      <c r="E171" s="119"/>
      <c r="F171" s="119"/>
      <c r="G171" s="188"/>
      <c r="H171" s="739"/>
      <c r="I171" s="780"/>
      <c r="J171" s="119"/>
      <c r="K171" s="188"/>
      <c r="L171" s="739"/>
      <c r="M171" s="800">
        <f>M166+M170</f>
        <v>13680000</v>
      </c>
      <c r="N171" s="739"/>
      <c r="O171" s="739"/>
      <c r="P171" s="801"/>
      <c r="Q171" s="188"/>
      <c r="R171" s="188"/>
      <c r="S171" s="188"/>
      <c r="T171" s="740"/>
      <c r="U171" s="746"/>
      <c r="V171" s="119"/>
      <c r="W171" s="119"/>
      <c r="X171" s="119"/>
      <c r="Y171" s="119"/>
      <c r="Z171" s="802"/>
      <c r="AA171" s="188"/>
      <c r="AB171" s="989"/>
      <c r="AC171" s="989"/>
      <c r="AD171" s="988"/>
      <c r="AE171" s="990"/>
      <c r="AF171" s="990"/>
      <c r="AG171" s="256"/>
      <c r="AH171" s="188"/>
      <c r="AI171" s="743"/>
      <c r="AJ171" s="256"/>
      <c r="AK171" s="256"/>
      <c r="AL171" s="757"/>
      <c r="AM171" s="757"/>
      <c r="AN171" s="1120">
        <v>337200</v>
      </c>
      <c r="AO171" s="745">
        <v>45398</v>
      </c>
      <c r="AP171" s="745"/>
      <c r="AQ171" s="256"/>
      <c r="AR171" s="256"/>
      <c r="AS171" s="256"/>
      <c r="AT171" s="256"/>
      <c r="AU171" s="256"/>
      <c r="AV171" s="55"/>
      <c r="AW171" s="17"/>
    </row>
    <row r="172" spans="3:57" ht="20.25" customHeight="1" x14ac:dyDescent="0.3">
      <c r="C172" s="69"/>
      <c r="D172" s="188"/>
      <c r="E172" s="119"/>
      <c r="F172" s="119"/>
      <c r="G172" s="188"/>
      <c r="H172" s="739"/>
      <c r="I172" s="780"/>
      <c r="J172" s="119"/>
      <c r="K172" s="188"/>
      <c r="L172" s="739"/>
      <c r="M172" s="800"/>
      <c r="N172" s="739"/>
      <c r="O172" s="739"/>
      <c r="P172" s="801"/>
      <c r="Q172" s="188"/>
      <c r="R172" s="188"/>
      <c r="S172" s="188"/>
      <c r="T172" s="740"/>
      <c r="U172" s="746"/>
      <c r="V172" s="119"/>
      <c r="W172" s="119"/>
      <c r="X172" s="119"/>
      <c r="Y172" s="119"/>
      <c r="Z172" s="802"/>
      <c r="AA172" s="188"/>
      <c r="AB172" s="989"/>
      <c r="AC172" s="989"/>
      <c r="AD172" s="988"/>
      <c r="AE172" s="990"/>
      <c r="AF172" s="990"/>
      <c r="AG172" s="256"/>
      <c r="AH172" s="188"/>
      <c r="AI172" s="743"/>
      <c r="AJ172" s="256"/>
      <c r="AK172" s="256"/>
      <c r="AL172" s="757"/>
      <c r="AM172" s="757"/>
      <c r="AN172" s="1120">
        <v>340000</v>
      </c>
      <c r="AO172" s="745">
        <v>44305</v>
      </c>
      <c r="AP172" s="745"/>
      <c r="AQ172" s="256"/>
      <c r="AR172" s="256"/>
      <c r="AS172" s="256"/>
      <c r="AT172" s="256"/>
      <c r="AU172" s="256"/>
      <c r="AV172" s="55"/>
      <c r="AW172" s="17"/>
    </row>
    <row r="173" spans="3:57" ht="20.25" customHeight="1" x14ac:dyDescent="0.3">
      <c r="C173" s="69"/>
      <c r="D173" s="188"/>
      <c r="E173" s="119"/>
      <c r="F173" s="119"/>
      <c r="G173" s="188"/>
      <c r="H173" s="739"/>
      <c r="I173" s="780"/>
      <c r="J173" s="119"/>
      <c r="K173" s="188"/>
      <c r="L173" s="739"/>
      <c r="M173" s="800"/>
      <c r="N173" s="739"/>
      <c r="O173" s="739"/>
      <c r="P173" s="801"/>
      <c r="Q173" s="188"/>
      <c r="R173" s="188"/>
      <c r="S173" s="188"/>
      <c r="T173" s="740"/>
      <c r="U173" s="746"/>
      <c r="V173" s="119"/>
      <c r="W173" s="119"/>
      <c r="X173" s="119"/>
      <c r="Y173" s="119"/>
      <c r="Z173" s="802"/>
      <c r="AA173" s="188"/>
      <c r="AB173" s="1076"/>
      <c r="AC173" s="1076"/>
      <c r="AD173" s="1074"/>
      <c r="AE173" s="1075"/>
      <c r="AF173" s="1075"/>
      <c r="AG173" s="256"/>
      <c r="AH173" s="188"/>
      <c r="AI173" s="743"/>
      <c r="AJ173" s="256"/>
      <c r="AK173" s="256"/>
      <c r="AL173" s="757"/>
      <c r="AM173" s="744"/>
      <c r="AN173" s="1120">
        <v>106920</v>
      </c>
      <c r="AO173" s="745">
        <v>44565</v>
      </c>
      <c r="AP173" s="745"/>
      <c r="AQ173" s="256"/>
      <c r="AR173" s="256"/>
      <c r="AS173" s="256"/>
      <c r="AT173" s="256"/>
      <c r="AU173" s="256"/>
      <c r="AV173" s="55"/>
      <c r="AW173" s="17"/>
    </row>
    <row r="174" spans="3:57" ht="20.25" customHeight="1" x14ac:dyDescent="0.3">
      <c r="C174" s="69"/>
      <c r="D174" s="188"/>
      <c r="E174" s="119"/>
      <c r="F174" s="119"/>
      <c r="G174" s="188"/>
      <c r="H174" s="739"/>
      <c r="I174" s="780"/>
      <c r="J174" s="119"/>
      <c r="K174" s="188"/>
      <c r="L174" s="739"/>
      <c r="M174" s="800"/>
      <c r="N174" s="739"/>
      <c r="O174" s="739"/>
      <c r="P174" s="801"/>
      <c r="Q174" s="188"/>
      <c r="R174" s="188"/>
      <c r="S174" s="188"/>
      <c r="T174" s="740"/>
      <c r="U174" s="746"/>
      <c r="V174" s="119"/>
      <c r="W174" s="119"/>
      <c r="X174" s="119"/>
      <c r="Y174" s="119"/>
      <c r="Z174" s="802"/>
      <c r="AA174" s="188"/>
      <c r="AB174" s="1076"/>
      <c r="AC174" s="1076"/>
      <c r="AD174" s="1074"/>
      <c r="AE174" s="1075"/>
      <c r="AF174" s="1075"/>
      <c r="AG174" s="256"/>
      <c r="AH174" s="188"/>
      <c r="AI174" s="743"/>
      <c r="AJ174" s="256"/>
      <c r="AK174" s="256"/>
      <c r="AL174" s="757"/>
      <c r="AM174" s="744"/>
      <c r="AN174" s="782">
        <v>6840</v>
      </c>
      <c r="AO174" s="1155" t="s">
        <v>1578</v>
      </c>
      <c r="AP174" s="745"/>
      <c r="AQ174" s="256"/>
      <c r="AR174" s="256"/>
      <c r="AS174" s="256"/>
      <c r="AT174" s="256"/>
      <c r="AU174" s="256"/>
      <c r="AV174" s="55"/>
      <c r="AW174" s="17"/>
    </row>
    <row r="175" spans="3:57" ht="20.25" customHeight="1" x14ac:dyDescent="0.3">
      <c r="C175" s="69"/>
      <c r="D175" s="188"/>
      <c r="E175" s="119"/>
      <c r="F175" s="119"/>
      <c r="G175" s="188"/>
      <c r="H175" s="739"/>
      <c r="I175" s="780"/>
      <c r="J175" s="119"/>
      <c r="K175" s="188"/>
      <c r="L175" s="739"/>
      <c r="M175" s="800"/>
      <c r="N175" s="739"/>
      <c r="O175" s="739"/>
      <c r="P175" s="801"/>
      <c r="Q175" s="188"/>
      <c r="R175" s="188"/>
      <c r="S175" s="188"/>
      <c r="T175" s="740"/>
      <c r="U175" s="746"/>
      <c r="V175" s="119"/>
      <c r="W175" s="119"/>
      <c r="X175" s="119"/>
      <c r="Y175" s="119"/>
      <c r="Z175" s="802"/>
      <c r="AA175" s="188"/>
      <c r="AB175" s="989"/>
      <c r="AC175" s="989"/>
      <c r="AD175" s="988"/>
      <c r="AE175" s="990"/>
      <c r="AF175" s="990"/>
      <c r="AG175" s="256"/>
      <c r="AH175" s="188"/>
      <c r="AI175" s="743"/>
      <c r="AJ175" s="256"/>
      <c r="AK175" s="256"/>
      <c r="AL175" s="757"/>
      <c r="AM175" s="744"/>
      <c r="AN175" s="782">
        <v>6840</v>
      </c>
      <c r="AO175" s="1155" t="s">
        <v>1578</v>
      </c>
      <c r="AP175" s="745"/>
      <c r="AQ175" s="256"/>
      <c r="AR175" s="256"/>
      <c r="AS175" s="256"/>
      <c r="AT175" s="256"/>
      <c r="AU175" s="256"/>
      <c r="AV175" s="55"/>
      <c r="AW175" s="17"/>
    </row>
    <row r="176" spans="3:57" s="993" customFormat="1" ht="20.25" customHeight="1" x14ac:dyDescent="0.3">
      <c r="C176" s="805"/>
      <c r="D176" s="806"/>
      <c r="E176" s="807"/>
      <c r="F176" s="807"/>
      <c r="G176" s="806"/>
      <c r="H176" s="808"/>
      <c r="I176" s="809"/>
      <c r="J176" s="807"/>
      <c r="K176" s="806"/>
      <c r="L176" s="808"/>
      <c r="M176" s="810"/>
      <c r="N176" s="808"/>
      <c r="O176" s="808"/>
      <c r="P176" s="811"/>
      <c r="Q176" s="806"/>
      <c r="R176" s="806"/>
      <c r="S176" s="806"/>
      <c r="T176" s="812"/>
      <c r="U176" s="813"/>
      <c r="V176" s="807"/>
      <c r="W176" s="807"/>
      <c r="X176" s="807"/>
      <c r="Y176" s="807"/>
      <c r="Z176" s="814"/>
      <c r="AA176" s="806"/>
      <c r="AB176" s="815"/>
      <c r="AC176" s="815"/>
      <c r="AD176" s="816"/>
      <c r="AE176" s="817"/>
      <c r="AF176" s="817"/>
      <c r="AG176" s="818"/>
      <c r="AH176" s="806"/>
      <c r="AI176" s="819"/>
      <c r="AJ176" s="818"/>
      <c r="AK176" s="818"/>
      <c r="AL176" s="1137">
        <f>AL166+AL170</f>
        <v>16142400</v>
      </c>
      <c r="AM176" s="1138"/>
      <c r="AN176" s="1137">
        <f>SUM(AN166:AN175)</f>
        <v>16142400</v>
      </c>
      <c r="AO176" s="821"/>
      <c r="AP176" s="821"/>
      <c r="AQ176" s="818"/>
      <c r="AR176" s="818"/>
      <c r="AS176" s="818"/>
      <c r="AT176" s="818"/>
      <c r="AU176" s="818"/>
      <c r="AV176" s="991"/>
      <c r="AW176" s="992"/>
    </row>
    <row r="177" spans="3:58" ht="20.25" customHeight="1" x14ac:dyDescent="0.3">
      <c r="C177" s="69"/>
      <c r="D177" s="188"/>
      <c r="E177" s="119"/>
      <c r="F177" s="119"/>
      <c r="G177" s="188"/>
      <c r="H177" s="739"/>
      <c r="I177" s="780"/>
      <c r="J177" s="119"/>
      <c r="K177" s="188"/>
      <c r="L177" s="739"/>
      <c r="M177" s="800"/>
      <c r="N177" s="739"/>
      <c r="O177" s="739"/>
      <c r="P177" s="801"/>
      <c r="Q177" s="188"/>
      <c r="R177" s="188"/>
      <c r="S177" s="188"/>
      <c r="T177" s="740"/>
      <c r="U177" s="746"/>
      <c r="V177" s="119"/>
      <c r="W177" s="119"/>
      <c r="X177" s="119"/>
      <c r="Y177" s="119"/>
      <c r="Z177" s="802"/>
      <c r="AA177" s="188"/>
      <c r="AB177" s="989"/>
      <c r="AC177" s="989"/>
      <c r="AD177" s="988"/>
      <c r="AE177" s="990"/>
      <c r="AF177" s="990"/>
      <c r="AG177" s="256"/>
      <c r="AH177" s="188"/>
      <c r="AI177" s="743"/>
      <c r="AJ177" s="256"/>
      <c r="AK177" s="256"/>
      <c r="AL177" s="757"/>
      <c r="AM177" s="744"/>
      <c r="AN177" s="757"/>
      <c r="AO177" s="745"/>
      <c r="AP177" s="745"/>
      <c r="AQ177" s="256"/>
      <c r="AR177" s="256"/>
      <c r="AS177" s="256"/>
      <c r="AT177" s="256"/>
      <c r="AU177" s="256"/>
      <c r="AV177" s="55"/>
      <c r="AW177" s="17"/>
    </row>
    <row r="178" spans="3:58" s="1010" customFormat="1" ht="20.25" customHeight="1" x14ac:dyDescent="0.3">
      <c r="C178" s="1010" t="s">
        <v>1713</v>
      </c>
      <c r="D178" s="1109">
        <v>22</v>
      </c>
      <c r="E178" s="1110" t="s">
        <v>1714</v>
      </c>
      <c r="F178" s="1111"/>
      <c r="G178" s="1109"/>
      <c r="H178" s="1112"/>
      <c r="I178" s="1110" t="s">
        <v>1714</v>
      </c>
      <c r="J178" s="1113"/>
      <c r="K178" s="1114">
        <v>1</v>
      </c>
      <c r="L178" s="1113" t="s">
        <v>818</v>
      </c>
      <c r="M178" s="1113">
        <v>164500</v>
      </c>
      <c r="N178" s="1113">
        <v>88.05</v>
      </c>
      <c r="O178" s="1113">
        <f>M178*N178</f>
        <v>14484225</v>
      </c>
      <c r="P178" s="1113"/>
      <c r="Q178" s="1113"/>
      <c r="R178" s="1113"/>
      <c r="S178" s="1113"/>
      <c r="T178" s="1113"/>
      <c r="U178" s="1113"/>
      <c r="V178" s="1113" t="s">
        <v>1715</v>
      </c>
      <c r="W178" s="1113"/>
      <c r="X178" s="1114">
        <v>84454000</v>
      </c>
      <c r="Y178" s="1113"/>
      <c r="Z178" s="1115" t="s">
        <v>1716</v>
      </c>
      <c r="AA178" s="1116" t="s">
        <v>1742</v>
      </c>
      <c r="AB178" s="1117" t="s">
        <v>887</v>
      </c>
      <c r="AC178" s="1117"/>
      <c r="AD178" s="1117"/>
      <c r="AE178" s="1117"/>
      <c r="AG178" s="1010" t="s">
        <v>1717</v>
      </c>
      <c r="AH178" s="1010" t="s">
        <v>1718</v>
      </c>
      <c r="AI178" s="1010" t="s">
        <v>1413</v>
      </c>
      <c r="AK178" s="1118">
        <v>44946</v>
      </c>
      <c r="AL178" s="758">
        <v>164500</v>
      </c>
      <c r="AM178" s="1010">
        <v>88.05</v>
      </c>
      <c r="AN178" s="758">
        <f>AL178*AM178</f>
        <v>14484225</v>
      </c>
      <c r="AO178" s="1119"/>
      <c r="AQ178" s="1010" t="s">
        <v>1371</v>
      </c>
      <c r="AV178" s="1116"/>
      <c r="BB178" s="1010">
        <f>AN178</f>
        <v>14484225</v>
      </c>
      <c r="BC178" s="1010">
        <f>AN178</f>
        <v>14484225</v>
      </c>
      <c r="BD178" s="1010">
        <f>MIN(BA178,BB178,BC178)</f>
        <v>14484225</v>
      </c>
      <c r="BE178" s="1010">
        <f>BD178*10%</f>
        <v>1448422.5</v>
      </c>
      <c r="BF178" s="1010">
        <f>BE178</f>
        <v>1448422.5</v>
      </c>
    </row>
    <row r="179" spans="3:58" ht="20.25" customHeight="1" thickBot="1" x14ac:dyDescent="0.35">
      <c r="C179" s="69"/>
      <c r="D179" s="194"/>
      <c r="E179" s="43"/>
      <c r="F179" s="43"/>
      <c r="G179" s="44"/>
      <c r="H179" s="776"/>
      <c r="I179" s="44"/>
      <c r="J179" s="44"/>
      <c r="K179" s="44"/>
      <c r="L179" s="44"/>
      <c r="M179" s="44"/>
      <c r="N179" s="44"/>
      <c r="O179" s="44"/>
      <c r="P179" s="44"/>
      <c r="Q179" s="44"/>
      <c r="R179" s="44"/>
      <c r="S179" s="44"/>
      <c r="T179" s="44"/>
      <c r="U179" s="44"/>
      <c r="V179" s="44"/>
      <c r="W179" s="44"/>
      <c r="X179" s="44"/>
      <c r="Y179" s="44"/>
      <c r="Z179" s="188"/>
      <c r="AA179" s="44"/>
      <c r="AB179" s="83"/>
      <c r="AC179" s="83"/>
      <c r="AD179" s="74"/>
      <c r="AE179" s="72"/>
      <c r="AF179" s="255"/>
      <c r="AG179" s="256"/>
      <c r="AH179" s="256"/>
      <c r="AI179" s="256"/>
      <c r="AJ179" s="256"/>
      <c r="AK179" s="256"/>
      <c r="AL179" s="757"/>
      <c r="AM179" s="256"/>
      <c r="AN179" s="757"/>
      <c r="AO179" s="257"/>
      <c r="AP179" s="256"/>
      <c r="AQ179" s="256"/>
      <c r="AR179" s="256"/>
      <c r="AS179" s="256"/>
      <c r="AT179" s="256"/>
      <c r="AU179" s="256"/>
      <c r="AV179" s="55"/>
      <c r="AW179" s="17"/>
    </row>
    <row r="180" spans="3:58" ht="20.25" customHeight="1" thickBot="1" x14ac:dyDescent="0.35">
      <c r="C180" s="660"/>
      <c r="D180" s="47"/>
      <c r="E180" s="1217" t="s">
        <v>124</v>
      </c>
      <c r="F180" s="1218"/>
      <c r="G180" s="47"/>
      <c r="H180" s="777">
        <f>H12+H23+H32+H38+H47+H55+H71+H78+H82+H93+H102+H125+H47+H116+H165+H157++H137+H134+H131</f>
        <v>1606801000</v>
      </c>
      <c r="I180" s="52"/>
      <c r="J180" s="52"/>
      <c r="K180" s="52"/>
      <c r="L180" s="48">
        <f>SUM(L5:L179)</f>
        <v>0</v>
      </c>
      <c r="M180" s="264"/>
      <c r="N180" s="264"/>
      <c r="O180" s="265">
        <f>SUM(O13:O13)</f>
        <v>0</v>
      </c>
      <c r="P180" s="52"/>
      <c r="Q180" s="52"/>
      <c r="R180" s="52"/>
      <c r="S180" s="52"/>
      <c r="T180" s="52"/>
      <c r="U180" s="52"/>
      <c r="V180" s="52"/>
      <c r="W180" s="52"/>
      <c r="X180" s="52"/>
      <c r="Y180" s="52"/>
      <c r="Z180" s="49"/>
      <c r="AA180" s="50"/>
      <c r="AB180" s="53"/>
      <c r="AC180" s="53"/>
      <c r="AD180" s="51"/>
      <c r="AE180" s="75">
        <f>SUM(AE5:AE179)</f>
        <v>0</v>
      </c>
      <c r="AF180" s="67"/>
      <c r="AG180" s="68"/>
      <c r="AH180" s="68"/>
      <c r="AI180" s="68"/>
      <c r="AJ180" s="68"/>
      <c r="AK180" s="68"/>
      <c r="AL180" s="791"/>
      <c r="AM180" s="68"/>
      <c r="AN180" s="263">
        <f>AN12+AN23+AN32+AN38+AN47+AN55+AN71+AN78+AN82+AN93+AN102+AN116+AN125+AN131+AN137+AN157+AN165+AN176+AN178</f>
        <v>1514169519</v>
      </c>
      <c r="AO180" s="77"/>
      <c r="AP180" s="68"/>
      <c r="AQ180" s="68"/>
      <c r="AR180" s="68"/>
      <c r="AS180" s="68"/>
      <c r="AT180" s="68"/>
      <c r="AU180" s="68"/>
      <c r="AV180" s="64">
        <f>SUM(AV13:AV179)</f>
        <v>0</v>
      </c>
      <c r="AW180" s="57">
        <f>SUM(AW13:AW179)</f>
        <v>0</v>
      </c>
      <c r="BA180" s="263">
        <f t="shared" ref="BA180:BF180" si="1">SUM(BA5:BA179)</f>
        <v>1571443800.045198</v>
      </c>
      <c r="BB180" s="263">
        <f t="shared" si="1"/>
        <v>2697068203.1939998</v>
      </c>
      <c r="BC180" s="263">
        <f t="shared" si="1"/>
        <v>1479762805</v>
      </c>
      <c r="BD180" s="263">
        <f t="shared" si="1"/>
        <v>1433740378.0999999</v>
      </c>
      <c r="BE180" s="263">
        <f t="shared" si="1"/>
        <v>143374037.81</v>
      </c>
      <c r="BF180" s="263">
        <f t="shared" si="1"/>
        <v>3418378.41</v>
      </c>
    </row>
    <row r="181" spans="3:58" ht="20.25" customHeight="1" thickBot="1" x14ac:dyDescent="0.35">
      <c r="E181" s="9"/>
      <c r="G181" s="54"/>
      <c r="H181" s="773"/>
      <c r="I181" s="13"/>
      <c r="J181" s="13"/>
      <c r="K181" s="13"/>
      <c r="L181" s="13"/>
      <c r="M181" s="13"/>
      <c r="N181" s="13"/>
      <c r="O181" s="13"/>
      <c r="P181" s="13"/>
      <c r="Q181" s="13"/>
      <c r="R181" s="13"/>
      <c r="S181" s="13"/>
      <c r="T181" s="13"/>
      <c r="U181" s="13"/>
      <c r="V181" s="13"/>
      <c r="W181" s="13"/>
      <c r="X181" s="13"/>
      <c r="Y181" s="13"/>
      <c r="Z181" s="13"/>
      <c r="AA181" s="13"/>
      <c r="AV181" s="58">
        <f>+AV180+AW180</f>
        <v>0</v>
      </c>
      <c r="AW181" s="17">
        <f>+AV181/2</f>
        <v>0</v>
      </c>
    </row>
    <row r="184" spans="3:58" ht="20.25" customHeight="1" x14ac:dyDescent="0.3">
      <c r="E184" s="987"/>
      <c r="BE184" s="13">
        <f>BE180+BE178</f>
        <v>144822460.31</v>
      </c>
      <c r="BF184" s="13" t="s">
        <v>1738</v>
      </c>
    </row>
    <row r="185" spans="3:58" ht="20.25" customHeight="1" x14ac:dyDescent="0.3">
      <c r="E185" s="987"/>
      <c r="AN185" s="778">
        <f>AN180+AN178</f>
        <v>1528653744</v>
      </c>
    </row>
    <row r="186" spans="3:58" ht="20.25" customHeight="1" x14ac:dyDescent="0.3">
      <c r="BD186" s="13">
        <v>1405000</v>
      </c>
      <c r="BE186" s="13">
        <f>BE180+BE178</f>
        <v>144822460.31</v>
      </c>
      <c r="BF186" s="13" t="s">
        <v>1739</v>
      </c>
    </row>
    <row r="187" spans="3:58" ht="20.25" customHeight="1" x14ac:dyDescent="0.3">
      <c r="BE187" s="13">
        <f>BE184-BE186</f>
        <v>0</v>
      </c>
    </row>
    <row r="188" spans="3:58" ht="20.25" customHeight="1" x14ac:dyDescent="0.3">
      <c r="BD188" s="13">
        <v>7100000</v>
      </c>
    </row>
    <row r="189" spans="3:58" ht="20.25" customHeight="1" x14ac:dyDescent="0.3">
      <c r="BD189" s="13">
        <v>926500</v>
      </c>
    </row>
    <row r="190" spans="3:58" ht="20.25" customHeight="1" x14ac:dyDescent="0.3">
      <c r="BD190" s="13">
        <v>4680000</v>
      </c>
    </row>
    <row r="191" spans="3:58" ht="20.25" customHeight="1" x14ac:dyDescent="0.3">
      <c r="BD191" s="13">
        <v>1660000</v>
      </c>
    </row>
    <row r="208" spans="4:48" ht="20.25" customHeight="1" x14ac:dyDescent="0.3">
      <c r="D208" s="13"/>
      <c r="E208" s="13"/>
      <c r="G208" s="54"/>
      <c r="H208" s="778"/>
      <c r="I208" s="13"/>
      <c r="J208" s="13"/>
      <c r="K208" s="13"/>
      <c r="L208" s="13"/>
      <c r="M208" s="13"/>
      <c r="N208" s="13"/>
      <c r="O208" s="13"/>
      <c r="P208" s="13"/>
      <c r="Q208" s="13"/>
      <c r="R208" s="13"/>
      <c r="S208" s="13"/>
      <c r="T208" s="13"/>
      <c r="U208" s="13"/>
      <c r="V208" s="13"/>
      <c r="W208" s="13"/>
      <c r="X208" s="13"/>
      <c r="Y208" s="13"/>
      <c r="Z208" s="13"/>
      <c r="AA208" s="13"/>
      <c r="AB208" s="13"/>
      <c r="AC208" s="13"/>
      <c r="AD208" s="14"/>
      <c r="AE208" s="14"/>
      <c r="AV208" s="13"/>
    </row>
    <row r="209" spans="4:48" ht="20.25" customHeight="1" x14ac:dyDescent="0.3">
      <c r="D209" s="13"/>
      <c r="E209" s="13"/>
      <c r="G209" s="54"/>
      <c r="H209" s="778"/>
      <c r="I209" s="13"/>
      <c r="J209" s="13"/>
      <c r="K209" s="13"/>
      <c r="L209" s="13"/>
      <c r="M209" s="13"/>
      <c r="N209" s="13"/>
      <c r="O209" s="13"/>
      <c r="P209" s="13"/>
      <c r="Q209" s="13"/>
      <c r="R209" s="13"/>
      <c r="S209" s="13"/>
      <c r="T209" s="13"/>
      <c r="U209" s="13"/>
      <c r="V209" s="13"/>
      <c r="W209" s="13"/>
      <c r="X209" s="13"/>
      <c r="Y209" s="13"/>
      <c r="Z209" s="13"/>
      <c r="AA209" s="13"/>
      <c r="AB209" s="13"/>
      <c r="AC209" s="13"/>
      <c r="AD209" s="14"/>
      <c r="AE209" s="14"/>
      <c r="AV209" s="13"/>
    </row>
    <row r="210" spans="4:48" ht="20.25" customHeight="1" x14ac:dyDescent="0.3">
      <c r="D210" s="13"/>
      <c r="E210" s="13"/>
      <c r="G210" s="54"/>
      <c r="H210" s="778"/>
      <c r="I210" s="13"/>
      <c r="J210" s="13"/>
      <c r="K210" s="13"/>
      <c r="L210" s="13"/>
      <c r="M210" s="13"/>
      <c r="N210" s="13"/>
      <c r="O210" s="13"/>
      <c r="P210" s="13"/>
      <c r="Q210" s="13"/>
      <c r="R210" s="13"/>
      <c r="S210" s="13"/>
      <c r="T210" s="13"/>
      <c r="U210" s="13"/>
      <c r="V210" s="13"/>
      <c r="W210" s="13"/>
      <c r="X210" s="13"/>
      <c r="Y210" s="13"/>
      <c r="Z210" s="13"/>
      <c r="AA210" s="13"/>
      <c r="AB210" s="13"/>
      <c r="AC210" s="13"/>
      <c r="AD210" s="14"/>
      <c r="AE210" s="14"/>
      <c r="AV210" s="13"/>
    </row>
    <row r="211" spans="4:48" ht="20.25" customHeight="1" x14ac:dyDescent="0.3">
      <c r="D211" s="13"/>
      <c r="E211" s="13"/>
      <c r="G211" s="54"/>
      <c r="H211" s="778"/>
      <c r="I211" s="13"/>
      <c r="J211" s="13"/>
      <c r="K211" s="13"/>
      <c r="L211" s="13"/>
      <c r="M211" s="13"/>
      <c r="N211" s="13"/>
      <c r="O211" s="13"/>
      <c r="P211" s="13"/>
      <c r="Q211" s="13"/>
      <c r="R211" s="13"/>
      <c r="S211" s="13"/>
      <c r="T211" s="13"/>
      <c r="U211" s="13"/>
      <c r="V211" s="13"/>
      <c r="W211" s="13"/>
      <c r="X211" s="13"/>
      <c r="Y211" s="13"/>
      <c r="Z211" s="13"/>
      <c r="AA211" s="13"/>
      <c r="AB211" s="13"/>
      <c r="AC211" s="13"/>
      <c r="AD211" s="14"/>
      <c r="AE211" s="14"/>
      <c r="AV211" s="13"/>
    </row>
    <row r="1048572" spans="41:41" ht="20.25" customHeight="1" x14ac:dyDescent="0.3">
      <c r="AO1048572" s="745"/>
    </row>
  </sheetData>
  <mergeCells count="65">
    <mergeCell ref="AG7:AG10"/>
    <mergeCell ref="AH21:AH22"/>
    <mergeCell ref="AM21:AM22"/>
    <mergeCell ref="AN21:AN22"/>
    <mergeCell ref="AO21:AO22"/>
    <mergeCell ref="AG14:AG22"/>
    <mergeCell ref="AH19:AH20"/>
    <mergeCell ref="E180:F180"/>
    <mergeCell ref="AO35:AO36"/>
    <mergeCell ref="AU21:AU22"/>
    <mergeCell ref="Q29:Q30"/>
    <mergeCell ref="R29:R30"/>
    <mergeCell ref="S29:S30"/>
    <mergeCell ref="AA29:AA30"/>
    <mergeCell ref="AF29:AF30"/>
    <mergeCell ref="AP35:AP36"/>
    <mergeCell ref="AQ35:AQ36"/>
    <mergeCell ref="AP21:AP22"/>
    <mergeCell ref="AG35:AG36"/>
    <mergeCell ref="AH35:AH36"/>
    <mergeCell ref="AI35:AI36"/>
    <mergeCell ref="AL35:AL36"/>
    <mergeCell ref="AM35:AM36"/>
    <mergeCell ref="P58:P67"/>
    <mergeCell ref="Z155:Z156"/>
    <mergeCell ref="AL155:AL156"/>
    <mergeCell ref="BB19:BB20"/>
    <mergeCell ref="BB21:BB22"/>
    <mergeCell ref="BB29:BB30"/>
    <mergeCell ref="BB52:BB53"/>
    <mergeCell ref="AZ95:AZ99"/>
    <mergeCell ref="AP19:AP20"/>
    <mergeCell ref="AD35:AD36"/>
    <mergeCell ref="AE35:AE36"/>
    <mergeCell ref="AF35:AF36"/>
    <mergeCell ref="AG29:AG30"/>
    <mergeCell ref="AN35:AN36"/>
    <mergeCell ref="P35:P36"/>
    <mergeCell ref="W35:W36"/>
    <mergeCell ref="AL52:AL53"/>
    <mergeCell ref="Z35:Z36"/>
    <mergeCell ref="AA35:AA36"/>
    <mergeCell ref="AB35:AB36"/>
    <mergeCell ref="AC35:AC36"/>
    <mergeCell ref="AZ5:AZ10"/>
    <mergeCell ref="AZ14:AZ22"/>
    <mergeCell ref="AZ29:AZ30"/>
    <mergeCell ref="AZ34:AZ36"/>
    <mergeCell ref="AZ160:AZ164"/>
    <mergeCell ref="AZ52:AZ53"/>
    <mergeCell ref="AZ57:AZ69"/>
    <mergeCell ref="AZ73:AZ76"/>
    <mergeCell ref="AZ79:AZ80"/>
    <mergeCell ref="AZ84:AZ91"/>
    <mergeCell ref="AZ40:AZ46"/>
    <mergeCell ref="AZ110:AZ114"/>
    <mergeCell ref="AZ119:AZ122"/>
    <mergeCell ref="AZ140:AZ156"/>
    <mergeCell ref="AU19:AU20"/>
    <mergeCell ref="AQ15:AQ22"/>
    <mergeCell ref="AR15:AR22"/>
    <mergeCell ref="AL29:AL30"/>
    <mergeCell ref="AM19:AM20"/>
    <mergeCell ref="AN19:AN20"/>
    <mergeCell ref="AO19:AO20"/>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119"/>
  <sheetViews>
    <sheetView zoomScale="80" zoomScaleNormal="80" workbookViewId="0">
      <pane xSplit="7" ySplit="22" topLeftCell="H41" activePane="bottomRight" state="frozen"/>
      <selection pane="topRight" activeCell="H1" sqref="H1"/>
      <selection pane="bottomLeft" activeCell="A23" sqref="A23"/>
      <selection pane="bottomRight" activeCell="H46" sqref="H46"/>
    </sheetView>
  </sheetViews>
  <sheetFormatPr defaultColWidth="9.109375" defaultRowHeight="13.2" x14ac:dyDescent="0.3"/>
  <cols>
    <col min="1" max="1" width="5.44140625" style="7" customWidth="1"/>
    <col min="2" max="2" width="33.109375" style="8" customWidth="1"/>
    <col min="3" max="3" width="26.109375" style="9" customWidth="1"/>
    <col min="4" max="4" width="7.5546875" style="10" customWidth="1"/>
    <col min="5" max="6" width="10.6640625" style="7" customWidth="1"/>
    <col min="7" max="7" width="18" style="711" bestFit="1" customWidth="1"/>
    <col min="8" max="14" width="34" style="970" customWidth="1"/>
    <col min="15" max="15" width="15.5546875" style="12" customWidth="1"/>
    <col min="16" max="16" width="9.33203125" style="13" customWidth="1"/>
    <col min="17" max="17" width="9.88671875" style="14" customWidth="1"/>
    <col min="18" max="18" width="31.88671875" style="14" customWidth="1"/>
    <col min="19" max="19" width="31" style="14" customWidth="1"/>
    <col min="20" max="20" width="16.5546875" style="12" customWidth="1"/>
    <col min="21" max="21" width="10.109375" style="12" customWidth="1"/>
    <col min="22" max="23" width="11.5546875" style="15" customWidth="1"/>
    <col min="24" max="24" width="9.109375" style="663"/>
    <col min="25" max="25" width="15.6640625" style="15" customWidth="1"/>
    <col min="26" max="27" width="9.109375" style="13"/>
    <col min="28" max="28" width="13.44140625" style="13" customWidth="1"/>
    <col min="29" max="35" width="9.109375" style="13"/>
    <col min="36" max="36" width="12.109375" style="13" bestFit="1" customWidth="1"/>
    <col min="37" max="16384" width="9.109375" style="13"/>
  </cols>
  <sheetData>
    <row r="1" spans="1:39" hidden="1" x14ac:dyDescent="0.3">
      <c r="D1" s="16"/>
      <c r="E1" s="10"/>
      <c r="F1" s="10"/>
      <c r="G1" s="675"/>
    </row>
    <row r="2" spans="1:39" hidden="1" x14ac:dyDescent="0.3">
      <c r="C2" s="85"/>
      <c r="D2" s="16"/>
      <c r="E2" s="1315" t="s">
        <v>192</v>
      </c>
      <c r="F2" s="1316"/>
      <c r="G2" s="675"/>
    </row>
    <row r="3" spans="1:39" hidden="1" x14ac:dyDescent="0.3">
      <c r="C3" s="87"/>
      <c r="D3" s="88"/>
      <c r="E3" s="1317" t="s">
        <v>193</v>
      </c>
      <c r="F3" s="1318"/>
      <c r="G3" s="676"/>
    </row>
    <row r="4" spans="1:39" hidden="1" x14ac:dyDescent="0.3">
      <c r="C4" s="87"/>
      <c r="D4" s="88"/>
      <c r="E4" s="17"/>
      <c r="G4" s="676"/>
    </row>
    <row r="5" spans="1:39" hidden="1" x14ac:dyDescent="0.3">
      <c r="B5" s="18"/>
      <c r="C5" s="18" t="s">
        <v>194</v>
      </c>
      <c r="D5" s="10" t="s">
        <v>195</v>
      </c>
      <c r="E5" s="88" t="s">
        <v>1204</v>
      </c>
      <c r="G5" s="677"/>
    </row>
    <row r="6" spans="1:39" hidden="1" x14ac:dyDescent="0.3">
      <c r="B6" s="18"/>
      <c r="C6" s="18" t="s">
        <v>196</v>
      </c>
      <c r="D6" s="10" t="s">
        <v>195</v>
      </c>
      <c r="E6" s="88" t="s">
        <v>1205</v>
      </c>
      <c r="G6" s="677"/>
    </row>
    <row r="7" spans="1:39" ht="13.8" hidden="1" thickBot="1" x14ac:dyDescent="0.35">
      <c r="C7" s="87"/>
      <c r="D7" s="88"/>
      <c r="E7" s="17"/>
      <c r="G7" s="676"/>
    </row>
    <row r="8" spans="1:39" ht="13.8" thickBot="1" x14ac:dyDescent="0.35">
      <c r="A8" s="91" t="s">
        <v>198</v>
      </c>
      <c r="B8" s="1319" t="s">
        <v>199</v>
      </c>
      <c r="C8" s="1320"/>
      <c r="D8" s="1320"/>
      <c r="E8" s="1320"/>
      <c r="F8" s="1321"/>
      <c r="G8" s="676"/>
    </row>
    <row r="9" spans="1:39" ht="13.8" thickBot="1" x14ac:dyDescent="0.35">
      <c r="G9" s="678" t="s">
        <v>200</v>
      </c>
    </row>
    <row r="10" spans="1:39" ht="27" thickBot="1" x14ac:dyDescent="0.35">
      <c r="A10" s="19" t="s">
        <v>201</v>
      </c>
      <c r="B10" s="1322" t="s">
        <v>202</v>
      </c>
      <c r="C10" s="1323"/>
      <c r="D10" s="1324" t="s">
        <v>203</v>
      </c>
      <c r="E10" s="1326" t="s">
        <v>204</v>
      </c>
      <c r="F10" s="1327"/>
      <c r="G10" s="1344" t="s">
        <v>205</v>
      </c>
      <c r="H10" s="1346" t="s">
        <v>206</v>
      </c>
      <c r="I10" s="982"/>
      <c r="J10" s="982"/>
      <c r="K10" s="982"/>
      <c r="L10" s="982"/>
      <c r="M10" s="982"/>
      <c r="N10" s="982"/>
      <c r="O10" s="1347" t="s">
        <v>207</v>
      </c>
      <c r="P10" s="1350" t="s">
        <v>208</v>
      </c>
      <c r="Q10" s="1351"/>
      <c r="R10" s="1208" t="s">
        <v>209</v>
      </c>
      <c r="S10" s="1356" t="s">
        <v>210</v>
      </c>
      <c r="T10" s="1351" t="s">
        <v>211</v>
      </c>
      <c r="U10" s="1358" t="s">
        <v>212</v>
      </c>
      <c r="V10" s="1359"/>
      <c r="W10" s="1214" t="s">
        <v>213</v>
      </c>
    </row>
    <row r="11" spans="1:39" x14ac:dyDescent="0.3">
      <c r="A11" s="1333"/>
      <c r="B11" s="1208"/>
      <c r="C11" s="1336"/>
      <c r="D11" s="1325"/>
      <c r="E11" s="1328"/>
      <c r="F11" s="1329"/>
      <c r="G11" s="1345"/>
      <c r="H11" s="1343"/>
      <c r="I11" s="983"/>
      <c r="J11" s="983"/>
      <c r="K11" s="983"/>
      <c r="L11" s="983"/>
      <c r="M11" s="983"/>
      <c r="N11" s="983"/>
      <c r="O11" s="1348"/>
      <c r="P11" s="1352"/>
      <c r="Q11" s="1353"/>
      <c r="R11" s="1335"/>
      <c r="S11" s="1357"/>
      <c r="T11" s="1353"/>
      <c r="U11" s="1360"/>
      <c r="V11" s="1361"/>
      <c r="W11" s="1332"/>
    </row>
    <row r="12" spans="1:39" ht="13.8" thickBot="1" x14ac:dyDescent="0.35">
      <c r="A12" s="1334"/>
      <c r="B12" s="1335"/>
      <c r="C12" s="1337"/>
      <c r="D12" s="1325"/>
      <c r="E12" s="1330"/>
      <c r="F12" s="1331"/>
      <c r="G12" s="1345"/>
      <c r="H12" s="1343"/>
      <c r="I12" s="983"/>
      <c r="J12" s="983"/>
      <c r="K12" s="983"/>
      <c r="L12" s="983"/>
      <c r="M12" s="983"/>
      <c r="N12" s="983"/>
      <c r="O12" s="1348"/>
      <c r="P12" s="1352"/>
      <c r="Q12" s="1353"/>
      <c r="R12" s="1335"/>
      <c r="S12" s="1357"/>
      <c r="T12" s="1353"/>
      <c r="U12" s="1360"/>
      <c r="V12" s="1361"/>
      <c r="W12" s="1332"/>
    </row>
    <row r="13" spans="1:39" ht="13.8" thickBot="1" x14ac:dyDescent="0.35">
      <c r="A13" s="1334"/>
      <c r="B13" s="1335"/>
      <c r="C13" s="1337"/>
      <c r="D13" s="1325"/>
      <c r="E13" s="1339" t="s">
        <v>215</v>
      </c>
      <c r="F13" s="1340"/>
      <c r="G13" s="1345"/>
      <c r="H13" s="1343"/>
      <c r="I13" s="983"/>
      <c r="J13" s="983"/>
      <c r="K13" s="983"/>
      <c r="L13" s="983"/>
      <c r="M13" s="983"/>
      <c r="N13" s="983"/>
      <c r="O13" s="1348"/>
      <c r="P13" s="1354"/>
      <c r="Q13" s="1355"/>
      <c r="R13" s="1335"/>
      <c r="S13" s="1357"/>
      <c r="T13" s="1353"/>
      <c r="U13" s="1360"/>
      <c r="V13" s="1361"/>
      <c r="W13" s="1332"/>
    </row>
    <row r="14" spans="1:39" ht="13.8" thickBot="1" x14ac:dyDescent="0.35">
      <c r="A14" s="1334"/>
      <c r="B14" s="1335"/>
      <c r="C14" s="1337"/>
      <c r="D14" s="1325"/>
      <c r="E14" s="1341" t="s">
        <v>216</v>
      </c>
      <c r="F14" s="1341" t="s">
        <v>217</v>
      </c>
      <c r="G14" s="1345"/>
      <c r="H14" s="1343" t="s">
        <v>218</v>
      </c>
      <c r="I14" s="983"/>
      <c r="J14" s="983"/>
      <c r="K14" s="983"/>
      <c r="L14" s="983"/>
      <c r="M14" s="983"/>
      <c r="N14" s="983"/>
      <c r="O14" s="1348"/>
      <c r="P14" s="1336"/>
      <c r="Q14" s="1208"/>
      <c r="R14" s="1335"/>
      <c r="S14" s="1357"/>
      <c r="T14" s="1353"/>
      <c r="U14" s="1362"/>
      <c r="V14" s="1363"/>
      <c r="W14" s="1332"/>
    </row>
    <row r="15" spans="1:39" x14ac:dyDescent="0.3">
      <c r="A15" s="1334"/>
      <c r="B15" s="1335"/>
      <c r="C15" s="1337"/>
      <c r="D15" s="1325"/>
      <c r="E15" s="1342"/>
      <c r="F15" s="1342"/>
      <c r="G15" s="1345"/>
      <c r="H15" s="1343"/>
      <c r="I15" s="983"/>
      <c r="J15" s="983"/>
      <c r="K15" s="983"/>
      <c r="L15" s="983"/>
      <c r="M15" s="983"/>
      <c r="N15" s="983"/>
      <c r="O15" s="1348"/>
      <c r="P15" s="1337"/>
      <c r="Q15" s="1335"/>
      <c r="R15" s="1335"/>
      <c r="S15" s="1357"/>
      <c r="T15" s="1353"/>
      <c r="U15" s="1214" t="s">
        <v>219</v>
      </c>
      <c r="V15" s="1356" t="s">
        <v>220</v>
      </c>
      <c r="W15" s="1332"/>
      <c r="AK15" s="13">
        <v>277</v>
      </c>
      <c r="AL15" s="13">
        <v>207</v>
      </c>
      <c r="AM15" s="13">
        <f>AK15-AL15</f>
        <v>70</v>
      </c>
    </row>
    <row r="16" spans="1:39" x14ac:dyDescent="0.3">
      <c r="A16" s="1334"/>
      <c r="B16" s="1335"/>
      <c r="C16" s="1337"/>
      <c r="D16" s="1325"/>
      <c r="E16" s="1342"/>
      <c r="F16" s="1342"/>
      <c r="G16" s="1345"/>
      <c r="H16" s="1343"/>
      <c r="I16" s="983"/>
      <c r="J16" s="983"/>
      <c r="K16" s="983"/>
      <c r="L16" s="983"/>
      <c r="M16" s="983"/>
      <c r="N16" s="983"/>
      <c r="O16" s="1348"/>
      <c r="P16" s="1337"/>
      <c r="Q16" s="1335"/>
      <c r="R16" s="1335"/>
      <c r="S16" s="1357"/>
      <c r="T16" s="1353"/>
      <c r="U16" s="1332"/>
      <c r="V16" s="1357"/>
      <c r="W16" s="1332"/>
      <c r="AL16" s="13">
        <f>AL15/AK15</f>
        <v>0.74729241877256314</v>
      </c>
      <c r="AM16" s="679">
        <f>AM15/AK15</f>
        <v>0.25270758122743681</v>
      </c>
    </row>
    <row r="17" spans="1:39" ht="13.8" thickBot="1" x14ac:dyDescent="0.35">
      <c r="A17" s="1334"/>
      <c r="B17" s="1335"/>
      <c r="C17" s="1337"/>
      <c r="D17" s="1325"/>
      <c r="E17" s="1342"/>
      <c r="F17" s="1342"/>
      <c r="G17" s="1345"/>
      <c r="H17" s="1343"/>
      <c r="I17" s="983"/>
      <c r="J17" s="983"/>
      <c r="K17" s="983"/>
      <c r="L17" s="983"/>
      <c r="M17" s="983"/>
      <c r="N17" s="983"/>
      <c r="O17" s="1349"/>
      <c r="P17" s="1337"/>
      <c r="Q17" s="1335"/>
      <c r="R17" s="1335"/>
      <c r="S17" s="1357"/>
      <c r="T17" s="1353"/>
      <c r="U17" s="1332"/>
      <c r="V17" s="1357"/>
      <c r="W17" s="1332"/>
    </row>
    <row r="18" spans="1:39" ht="27" thickBot="1" x14ac:dyDescent="0.35">
      <c r="A18" s="1334"/>
      <c r="B18" s="1209"/>
      <c r="C18" s="1338"/>
      <c r="D18" s="1325"/>
      <c r="E18" s="1342"/>
      <c r="F18" s="1342"/>
      <c r="G18" s="1345"/>
      <c r="H18" s="1343"/>
      <c r="I18" s="983"/>
      <c r="J18" s="983"/>
      <c r="K18" s="983"/>
      <c r="L18" s="983"/>
      <c r="M18" s="983"/>
      <c r="N18" s="983"/>
      <c r="O18" s="100" t="s">
        <v>221</v>
      </c>
      <c r="P18" s="1338"/>
      <c r="Q18" s="1209"/>
      <c r="R18" s="1335"/>
      <c r="S18" s="1357"/>
      <c r="T18" s="1353"/>
      <c r="U18" s="1332"/>
      <c r="V18" s="1357"/>
      <c r="W18" s="1332"/>
    </row>
    <row r="19" spans="1:39" x14ac:dyDescent="0.3">
      <c r="A19" s="1334"/>
      <c r="B19" s="1208" t="s">
        <v>1</v>
      </c>
      <c r="C19" s="1336" t="s">
        <v>2</v>
      </c>
      <c r="D19" s="1325"/>
      <c r="E19" s="1342"/>
      <c r="F19" s="1342"/>
      <c r="G19" s="1345"/>
      <c r="H19" s="1343"/>
      <c r="I19" s="983" t="s">
        <v>1756</v>
      </c>
      <c r="J19" s="983" t="s">
        <v>1757</v>
      </c>
      <c r="K19" s="983" t="s">
        <v>1758</v>
      </c>
      <c r="L19" s="983" t="s">
        <v>1760</v>
      </c>
      <c r="M19" s="983" t="s">
        <v>1761</v>
      </c>
      <c r="N19" s="983" t="s">
        <v>839</v>
      </c>
      <c r="O19" s="1208" t="s">
        <v>222</v>
      </c>
      <c r="P19" s="1214" t="s">
        <v>92</v>
      </c>
      <c r="Q19" s="1208" t="s">
        <v>93</v>
      </c>
      <c r="R19" s="1335"/>
      <c r="S19" s="1357"/>
      <c r="T19" s="1353"/>
      <c r="U19" s="1332"/>
      <c r="V19" s="1357"/>
      <c r="W19" s="1332"/>
    </row>
    <row r="20" spans="1:39" ht="13.8" thickBot="1" x14ac:dyDescent="0.35">
      <c r="A20" s="1334"/>
      <c r="B20" s="1335"/>
      <c r="C20" s="1337"/>
      <c r="D20" s="1325"/>
      <c r="E20" s="1342"/>
      <c r="F20" s="1342"/>
      <c r="G20" s="1345"/>
      <c r="H20" s="1343"/>
      <c r="I20" s="983"/>
      <c r="J20" s="983"/>
      <c r="K20" s="983"/>
      <c r="L20" s="983"/>
      <c r="M20" s="983"/>
      <c r="N20" s="983"/>
      <c r="O20" s="1335"/>
      <c r="P20" s="1332"/>
      <c r="Q20" s="1335"/>
      <c r="R20" s="1335"/>
      <c r="S20" s="1357"/>
      <c r="T20" s="1353"/>
      <c r="U20" s="1332"/>
      <c r="V20" s="1357"/>
      <c r="W20" s="1332"/>
      <c r="Y20" s="59" t="s">
        <v>425</v>
      </c>
      <c r="Z20" s="86" t="s">
        <v>1039</v>
      </c>
      <c r="AA20" s="86" t="s">
        <v>1182</v>
      </c>
      <c r="AB20" s="86" t="s">
        <v>1206</v>
      </c>
      <c r="AC20" s="86" t="s">
        <v>1207</v>
      </c>
      <c r="AD20" s="86" t="s">
        <v>1208</v>
      </c>
      <c r="AE20" s="86"/>
      <c r="AG20" s="13" t="s">
        <v>1209</v>
      </c>
      <c r="AK20" s="12" t="s">
        <v>1192</v>
      </c>
      <c r="AM20" s="13" t="s">
        <v>1210</v>
      </c>
    </row>
    <row r="21" spans="1:39" s="17" customFormat="1" ht="13.8" thickBot="1" x14ac:dyDescent="0.35">
      <c r="A21" s="21">
        <v>1</v>
      </c>
      <c r="B21" s="22">
        <f>+A21+1</f>
        <v>2</v>
      </c>
      <c r="C21" s="23">
        <f t="shared" ref="C21:W21" si="0">+B21+1</f>
        <v>3</v>
      </c>
      <c r="D21" s="22">
        <f t="shared" si="0"/>
        <v>4</v>
      </c>
      <c r="E21" s="24">
        <f t="shared" si="0"/>
        <v>5</v>
      </c>
      <c r="F21" s="22">
        <f t="shared" si="0"/>
        <v>6</v>
      </c>
      <c r="G21" s="680">
        <f>+F21+1</f>
        <v>7</v>
      </c>
      <c r="H21" s="971">
        <f t="shared" si="0"/>
        <v>8</v>
      </c>
      <c r="I21" s="971"/>
      <c r="J21" s="971"/>
      <c r="K21" s="971"/>
      <c r="L21" s="971"/>
      <c r="M21" s="971"/>
      <c r="N21" s="971"/>
      <c r="O21" s="22">
        <f>+H21+1</f>
        <v>9</v>
      </c>
      <c r="P21" s="22">
        <f t="shared" si="0"/>
        <v>10</v>
      </c>
      <c r="Q21" s="22">
        <f t="shared" si="0"/>
        <v>11</v>
      </c>
      <c r="R21" s="22">
        <f t="shared" si="0"/>
        <v>12</v>
      </c>
      <c r="S21" s="22">
        <f t="shared" si="0"/>
        <v>13</v>
      </c>
      <c r="T21" s="22">
        <f t="shared" si="0"/>
        <v>14</v>
      </c>
      <c r="U21" s="22">
        <f t="shared" si="0"/>
        <v>15</v>
      </c>
      <c r="V21" s="22">
        <f t="shared" si="0"/>
        <v>16</v>
      </c>
      <c r="W21" s="22">
        <f t="shared" si="0"/>
        <v>17</v>
      </c>
      <c r="X21" s="662"/>
      <c r="Y21" s="359"/>
    </row>
    <row r="22" spans="1:39" x14ac:dyDescent="0.3">
      <c r="A22" s="26"/>
      <c r="B22" s="27"/>
      <c r="C22" s="28"/>
      <c r="D22" s="29"/>
      <c r="E22" s="26"/>
      <c r="F22" s="29"/>
      <c r="G22" s="681"/>
      <c r="H22" s="972"/>
      <c r="I22" s="972"/>
      <c r="J22" s="972"/>
      <c r="K22" s="972"/>
      <c r="L22" s="972"/>
      <c r="M22" s="972"/>
      <c r="N22" s="972"/>
      <c r="O22" s="31"/>
      <c r="P22" s="31"/>
      <c r="Q22" s="32"/>
      <c r="R22" s="33"/>
      <c r="S22" s="33"/>
      <c r="T22" s="31"/>
      <c r="U22" s="31"/>
      <c r="V22" s="32"/>
      <c r="W22" s="32"/>
    </row>
    <row r="23" spans="1:39" ht="92.4" x14ac:dyDescent="0.3">
      <c r="A23" s="40">
        <v>1</v>
      </c>
      <c r="B23" s="139" t="s">
        <v>1211</v>
      </c>
      <c r="C23" s="28"/>
      <c r="D23" s="40">
        <v>48</v>
      </c>
      <c r="E23" s="26"/>
      <c r="F23" s="38" t="s">
        <v>224</v>
      </c>
      <c r="G23" s="682">
        <v>197316000</v>
      </c>
      <c r="H23" s="973">
        <v>187920000.00000003</v>
      </c>
      <c r="I23" s="973">
        <f>'For uploading'!O5</f>
        <v>187829200</v>
      </c>
      <c r="J23" s="973">
        <f>'For uploading'!AN12</f>
        <v>184273883</v>
      </c>
      <c r="K23" s="973">
        <f>MIN(H23:J23)</f>
        <v>184273883</v>
      </c>
      <c r="L23" s="973">
        <f>K23</f>
        <v>184273883</v>
      </c>
      <c r="M23" s="973"/>
      <c r="N23" s="973"/>
      <c r="O23" s="36" t="s">
        <v>225</v>
      </c>
      <c r="P23" s="36" t="s">
        <v>1212</v>
      </c>
      <c r="Q23" s="36" t="s">
        <v>1213</v>
      </c>
      <c r="R23" s="35" t="s">
        <v>1214</v>
      </c>
      <c r="S23" s="35" t="s">
        <v>1211</v>
      </c>
      <c r="T23" s="36" t="s">
        <v>227</v>
      </c>
      <c r="U23" s="36" t="s">
        <v>228</v>
      </c>
      <c r="V23" s="32"/>
      <c r="W23" s="36" t="s">
        <v>1215</v>
      </c>
      <c r="X23" s="663" t="s">
        <v>1216</v>
      </c>
      <c r="Y23" s="15" t="s">
        <v>1217</v>
      </c>
      <c r="Z23" s="13" t="s">
        <v>887</v>
      </c>
      <c r="AA23" s="13" t="s">
        <v>347</v>
      </c>
      <c r="AB23" s="13">
        <v>2132000</v>
      </c>
      <c r="AC23" s="13">
        <v>90</v>
      </c>
      <c r="AD23" s="13">
        <f>(AB23*AC23)/10^7</f>
        <v>19.187999999999999</v>
      </c>
      <c r="AG23" s="683">
        <f t="shared" ref="AG23:AG42" si="1">H23/10^7</f>
        <v>18.792000000000002</v>
      </c>
      <c r="AK23" s="13">
        <f>AG23*AM16</f>
        <v>4.7488808664259929</v>
      </c>
      <c r="AM23" s="13">
        <f>177.59+87.22</f>
        <v>264.81</v>
      </c>
    </row>
    <row r="24" spans="1:39" ht="129.6" x14ac:dyDescent="0.3">
      <c r="A24" s="40">
        <f>A23+1</f>
        <v>2</v>
      </c>
      <c r="B24" s="139" t="s">
        <v>1218</v>
      </c>
      <c r="C24" s="28"/>
      <c r="D24" s="40">
        <f>208+32</f>
        <v>240</v>
      </c>
      <c r="E24" s="26"/>
      <c r="F24" s="38" t="s">
        <v>224</v>
      </c>
      <c r="G24" s="682">
        <f>900244800+143942400</f>
        <v>1044187200</v>
      </c>
      <c r="H24" s="974">
        <f>857376000+137088000</f>
        <v>994464000</v>
      </c>
      <c r="I24" s="974">
        <f>'For uploading'!O23</f>
        <v>957458060</v>
      </c>
      <c r="J24" s="974">
        <f>'For uploading'!AN23</f>
        <v>941669537</v>
      </c>
      <c r="K24" s="973">
        <f t="shared" ref="K24:K42" si="2">MIN(H24:J24)</f>
        <v>941669537</v>
      </c>
      <c r="L24" s="973">
        <f>K24</f>
        <v>941669537</v>
      </c>
      <c r="M24" s="973"/>
      <c r="N24" s="973"/>
      <c r="O24" s="36" t="s">
        <v>225</v>
      </c>
      <c r="P24" s="36" t="s">
        <v>1212</v>
      </c>
      <c r="Q24" s="36" t="s">
        <v>1219</v>
      </c>
      <c r="R24" s="35" t="s">
        <v>1220</v>
      </c>
      <c r="S24" s="35" t="s">
        <v>1218</v>
      </c>
      <c r="T24" s="36" t="s">
        <v>227</v>
      </c>
      <c r="U24" s="36" t="s">
        <v>228</v>
      </c>
      <c r="V24" s="32"/>
      <c r="W24" s="36" t="s">
        <v>1215</v>
      </c>
      <c r="X24" s="663" t="s">
        <v>1216</v>
      </c>
      <c r="Y24" s="15" t="s">
        <v>1221</v>
      </c>
      <c r="Z24" s="13" t="s">
        <v>888</v>
      </c>
      <c r="AA24" s="13" t="s">
        <v>347</v>
      </c>
      <c r="AB24" s="13">
        <f>9480600+1523200</f>
        <v>11003800</v>
      </c>
      <c r="AC24" s="13">
        <v>90</v>
      </c>
      <c r="AD24" s="13">
        <f>(AB24*AC24)/10^7</f>
        <v>99.034199999999998</v>
      </c>
      <c r="AF24" s="683">
        <f>AD24/207*208</f>
        <v>99.512626086956516</v>
      </c>
      <c r="AG24" s="683">
        <f t="shared" si="1"/>
        <v>99.446399999999997</v>
      </c>
    </row>
    <row r="25" spans="1:39" ht="26.4" x14ac:dyDescent="0.3">
      <c r="A25" s="684">
        <f t="shared" ref="A25:A42" si="3">A24+1</f>
        <v>3</v>
      </c>
      <c r="B25" s="139" t="s">
        <v>1222</v>
      </c>
      <c r="C25" s="28"/>
      <c r="D25" s="40">
        <v>1</v>
      </c>
      <c r="E25" s="26"/>
      <c r="F25" s="38" t="s">
        <v>224</v>
      </c>
      <c r="G25" s="682">
        <v>8505000</v>
      </c>
      <c r="H25" s="974">
        <v>8100000.0000000009</v>
      </c>
      <c r="I25" s="974">
        <v>0</v>
      </c>
      <c r="J25" s="974">
        <v>0</v>
      </c>
      <c r="K25" s="973">
        <f t="shared" si="2"/>
        <v>0</v>
      </c>
      <c r="L25" s="973"/>
      <c r="M25" s="973"/>
      <c r="N25" s="973"/>
      <c r="O25" s="36" t="s">
        <v>225</v>
      </c>
      <c r="P25" s="36" t="s">
        <v>1212</v>
      </c>
      <c r="Q25" s="36" t="s">
        <v>1223</v>
      </c>
      <c r="R25" s="35" t="s">
        <v>1222</v>
      </c>
      <c r="S25" s="35" t="s">
        <v>1222</v>
      </c>
      <c r="T25" s="36" t="s">
        <v>227</v>
      </c>
      <c r="U25" s="36" t="s">
        <v>228</v>
      </c>
      <c r="V25" s="32"/>
      <c r="W25" s="36" t="s">
        <v>1215</v>
      </c>
      <c r="Y25" s="685" t="s">
        <v>1224</v>
      </c>
      <c r="Z25" s="686"/>
      <c r="AA25" s="686"/>
      <c r="AB25" s="686"/>
      <c r="AC25" s="686"/>
      <c r="AD25" s="686"/>
      <c r="AE25" s="686"/>
      <c r="AF25" s="686"/>
      <c r="AG25" s="686">
        <f t="shared" si="1"/>
        <v>0.81</v>
      </c>
    </row>
    <row r="26" spans="1:39" ht="52.8" x14ac:dyDescent="0.3">
      <c r="A26" s="40">
        <f t="shared" si="3"/>
        <v>4</v>
      </c>
      <c r="B26" s="687" t="s">
        <v>1592</v>
      </c>
      <c r="C26" s="28"/>
      <c r="D26" s="40">
        <f>1+3</f>
        <v>4</v>
      </c>
      <c r="E26" s="26"/>
      <c r="F26" s="38" t="s">
        <v>224</v>
      </c>
      <c r="G26" s="682">
        <f>51975000+8505000</f>
        <v>60480000</v>
      </c>
      <c r="H26" s="974">
        <f>49500000+8100000</f>
        <v>57600000</v>
      </c>
      <c r="I26" s="974">
        <f>'For uploading'!O32</f>
        <v>51088000</v>
      </c>
      <c r="J26" s="974">
        <f>'For uploading'!AN32</f>
        <v>50507240</v>
      </c>
      <c r="K26" s="973">
        <f t="shared" si="2"/>
        <v>50507240</v>
      </c>
      <c r="L26" s="973">
        <f>K26</f>
        <v>50507240</v>
      </c>
      <c r="M26" s="973"/>
      <c r="N26" s="973"/>
      <c r="O26" s="36" t="s">
        <v>225</v>
      </c>
      <c r="P26" s="36" t="s">
        <v>1212</v>
      </c>
      <c r="Q26" s="36" t="s">
        <v>1226</v>
      </c>
      <c r="R26" s="35" t="s">
        <v>1227</v>
      </c>
      <c r="S26" s="688" t="s">
        <v>1225</v>
      </c>
      <c r="T26" s="36" t="s">
        <v>227</v>
      </c>
      <c r="U26" s="36" t="s">
        <v>228</v>
      </c>
      <c r="V26" s="32"/>
      <c r="W26" s="36" t="s">
        <v>1215</v>
      </c>
      <c r="X26" s="663" t="s">
        <v>1216</v>
      </c>
      <c r="Y26" s="15" t="s">
        <v>1228</v>
      </c>
      <c r="Z26" s="13" t="s">
        <v>1229</v>
      </c>
      <c r="AA26" s="13" t="s">
        <v>1230</v>
      </c>
      <c r="AB26" s="13">
        <f>(515000/3*4)+(105000)</f>
        <v>791666.66666666663</v>
      </c>
      <c r="AC26" s="13">
        <v>83</v>
      </c>
      <c r="AD26" s="13">
        <f>((AB26*AC26))/10^7</f>
        <v>6.5708333333333329</v>
      </c>
      <c r="AG26" s="683">
        <f t="shared" si="1"/>
        <v>5.76</v>
      </c>
      <c r="AK26" s="13">
        <f>AG26*AM16</f>
        <v>1.4555956678700359</v>
      </c>
      <c r="AM26" s="13">
        <v>50.69</v>
      </c>
    </row>
    <row r="27" spans="1:39" ht="26.4" x14ac:dyDescent="0.3">
      <c r="A27" s="40">
        <f t="shared" si="3"/>
        <v>5</v>
      </c>
      <c r="B27" s="139" t="s">
        <v>1231</v>
      </c>
      <c r="C27" s="28"/>
      <c r="D27" s="40" t="s">
        <v>1232</v>
      </c>
      <c r="E27" s="26"/>
      <c r="F27" s="38" t="s">
        <v>224</v>
      </c>
      <c r="G27" s="682">
        <f>33075000+15120000</f>
        <v>48195000</v>
      </c>
      <c r="H27" s="974">
        <f>31500000+14400000</f>
        <v>45900000</v>
      </c>
      <c r="I27" s="974">
        <f>'For uploading'!O38</f>
        <v>11330629.1</v>
      </c>
      <c r="J27" s="974">
        <f>'For uploading'!AN38</f>
        <v>22211120</v>
      </c>
      <c r="K27" s="973">
        <f t="shared" si="2"/>
        <v>11330629.1</v>
      </c>
      <c r="L27" s="973"/>
      <c r="M27" s="973">
        <f>K27</f>
        <v>11330629.1</v>
      </c>
      <c r="N27" s="973" t="s">
        <v>1762</v>
      </c>
      <c r="O27" s="36" t="s">
        <v>225</v>
      </c>
      <c r="P27" s="36" t="s">
        <v>1212</v>
      </c>
      <c r="Q27" s="36" t="s">
        <v>1233</v>
      </c>
      <c r="R27" s="35" t="s">
        <v>1231</v>
      </c>
      <c r="S27" s="35" t="s">
        <v>1231</v>
      </c>
      <c r="T27" s="36" t="s">
        <v>227</v>
      </c>
      <c r="U27" s="36" t="s">
        <v>228</v>
      </c>
      <c r="V27" s="32"/>
      <c r="W27" s="36" t="s">
        <v>1215</v>
      </c>
      <c r="X27" s="663" t="s">
        <v>1216</v>
      </c>
      <c r="Y27" s="15" t="s">
        <v>1234</v>
      </c>
      <c r="Z27" s="13" t="s">
        <v>887</v>
      </c>
      <c r="AA27" s="13" t="s">
        <v>347</v>
      </c>
      <c r="AB27" s="13">
        <f>(128611*3)+(128611*2)</f>
        <v>643055</v>
      </c>
      <c r="AC27" s="13">
        <v>90</v>
      </c>
      <c r="AD27" s="13">
        <f>(AB27*AC27)/10^7</f>
        <v>5.7874949999999998</v>
      </c>
      <c r="AE27" s="689"/>
      <c r="AG27" s="683">
        <f t="shared" si="1"/>
        <v>4.59</v>
      </c>
    </row>
    <row r="28" spans="1:39" x14ac:dyDescent="0.3">
      <c r="A28" s="40">
        <f t="shared" si="3"/>
        <v>6</v>
      </c>
      <c r="B28" s="139" t="s">
        <v>1235</v>
      </c>
      <c r="C28" s="28"/>
      <c r="D28" s="40" t="s">
        <v>1236</v>
      </c>
      <c r="E28" s="26"/>
      <c r="F28" s="38" t="s">
        <v>224</v>
      </c>
      <c r="G28" s="682">
        <f>34162800+3690000</f>
        <v>37852800</v>
      </c>
      <c r="H28" s="974">
        <f>32536000+3000000</f>
        <v>35536000</v>
      </c>
      <c r="I28" s="974">
        <f>SUM('For uploading'!M41:M46)</f>
        <v>15078495</v>
      </c>
      <c r="J28" s="974">
        <f>'For uploading'!AN47</f>
        <v>17792624</v>
      </c>
      <c r="K28" s="973">
        <f t="shared" si="2"/>
        <v>15078495</v>
      </c>
      <c r="L28" s="973">
        <f>K28</f>
        <v>15078495</v>
      </c>
      <c r="M28" s="973"/>
      <c r="N28" s="973"/>
      <c r="O28" s="36" t="s">
        <v>225</v>
      </c>
      <c r="P28" s="36" t="s">
        <v>1212</v>
      </c>
      <c r="Q28" s="36" t="s">
        <v>1237</v>
      </c>
      <c r="R28" s="35" t="s">
        <v>1235</v>
      </c>
      <c r="S28" s="35" t="s">
        <v>1235</v>
      </c>
      <c r="T28" s="36" t="s">
        <v>227</v>
      </c>
      <c r="U28" s="36" t="s">
        <v>228</v>
      </c>
      <c r="V28" s="32"/>
      <c r="W28" s="36" t="s">
        <v>1215</v>
      </c>
      <c r="Y28" s="690" t="s">
        <v>1238</v>
      </c>
      <c r="Z28" s="691" t="s">
        <v>1239</v>
      </c>
      <c r="AA28" s="691" t="s">
        <v>359</v>
      </c>
      <c r="AB28" s="691">
        <f>688574*14</f>
        <v>9640036</v>
      </c>
      <c r="AC28" s="691">
        <v>1</v>
      </c>
      <c r="AD28" s="691">
        <f>(AB28*AC28)/10^7</f>
        <v>0.96400359999999996</v>
      </c>
      <c r="AE28" s="691"/>
      <c r="AF28" s="686"/>
      <c r="AG28" s="686">
        <f t="shared" si="1"/>
        <v>3.5535999999999999</v>
      </c>
    </row>
    <row r="29" spans="1:39" ht="42" x14ac:dyDescent="0.3">
      <c r="A29" s="40">
        <f t="shared" si="3"/>
        <v>7</v>
      </c>
      <c r="B29" s="139" t="s">
        <v>1614</v>
      </c>
      <c r="C29" s="28"/>
      <c r="D29" s="40">
        <v>2</v>
      </c>
      <c r="E29" s="26"/>
      <c r="F29" s="38" t="s">
        <v>224</v>
      </c>
      <c r="G29" s="682">
        <f>37044000*0+37422000</f>
        <v>37422000</v>
      </c>
      <c r="H29" s="974">
        <f>35280000*0+35640000</f>
        <v>35640000</v>
      </c>
      <c r="I29" s="974">
        <f>'For uploading'!H55</f>
        <v>35640000</v>
      </c>
      <c r="J29" s="974">
        <f>'For uploading'!AN55</f>
        <v>34012664</v>
      </c>
      <c r="K29" s="973">
        <f t="shared" si="2"/>
        <v>34012664</v>
      </c>
      <c r="L29" s="973">
        <f>K29</f>
        <v>34012664</v>
      </c>
      <c r="M29" s="973"/>
      <c r="N29" s="973"/>
      <c r="O29" s="36" t="s">
        <v>225</v>
      </c>
      <c r="P29" s="36" t="s">
        <v>1212</v>
      </c>
      <c r="Q29" s="36" t="s">
        <v>1241</v>
      </c>
      <c r="R29" s="35" t="s">
        <v>1240</v>
      </c>
      <c r="S29" s="35" t="s">
        <v>1240</v>
      </c>
      <c r="T29" s="36" t="s">
        <v>227</v>
      </c>
      <c r="U29" s="36" t="s">
        <v>228</v>
      </c>
      <c r="V29" s="32"/>
      <c r="W29" s="36" t="s">
        <v>1215</v>
      </c>
      <c r="X29" s="663" t="s">
        <v>1216</v>
      </c>
      <c r="Y29" s="15" t="s">
        <v>1242</v>
      </c>
      <c r="Z29" s="13" t="s">
        <v>1243</v>
      </c>
      <c r="AA29" s="13" t="s">
        <v>347</v>
      </c>
      <c r="AB29" s="13">
        <v>392000</v>
      </c>
      <c r="AC29" s="13">
        <v>90</v>
      </c>
      <c r="AD29" s="13">
        <f>(AB29*AC29)/10^7</f>
        <v>3.528</v>
      </c>
      <c r="AG29" s="683">
        <f t="shared" si="1"/>
        <v>3.5640000000000001</v>
      </c>
      <c r="AK29" s="13">
        <f>AG29*AM16</f>
        <v>0.90064981949458478</v>
      </c>
      <c r="AM29" s="13">
        <v>34.67</v>
      </c>
    </row>
    <row r="30" spans="1:39" ht="79.2" x14ac:dyDescent="0.3">
      <c r="A30" s="40">
        <f t="shared" si="3"/>
        <v>8</v>
      </c>
      <c r="B30" s="35"/>
      <c r="C30" s="139" t="s">
        <v>1244</v>
      </c>
      <c r="D30" s="40">
        <f>10+1+2</f>
        <v>13</v>
      </c>
      <c r="E30" s="26"/>
      <c r="F30" s="38" t="s">
        <v>224</v>
      </c>
      <c r="G30" s="682">
        <f>7560000+76752000+2804400</f>
        <v>87116400</v>
      </c>
      <c r="H30" s="974">
        <f>7200000+62400000+2280000</f>
        <v>71880000</v>
      </c>
      <c r="I30" s="974">
        <f>'For uploading'!M71</f>
        <v>63600000</v>
      </c>
      <c r="J30" s="974">
        <f>'For uploading'!AN71</f>
        <v>75049839</v>
      </c>
      <c r="K30" s="973">
        <f t="shared" si="2"/>
        <v>63600000</v>
      </c>
      <c r="L30" s="973">
        <f>K30</f>
        <v>63600000</v>
      </c>
      <c r="M30" s="973"/>
      <c r="N30" s="973"/>
      <c r="O30" s="36" t="s">
        <v>225</v>
      </c>
      <c r="P30" s="36" t="s">
        <v>1212</v>
      </c>
      <c r="Q30" s="36" t="s">
        <v>1245</v>
      </c>
      <c r="R30" s="35" t="s">
        <v>1244</v>
      </c>
      <c r="S30" s="35" t="s">
        <v>1244</v>
      </c>
      <c r="T30" s="36" t="s">
        <v>227</v>
      </c>
      <c r="U30" s="36" t="s">
        <v>228</v>
      </c>
      <c r="V30" s="32"/>
      <c r="W30" s="36" t="s">
        <v>1215</v>
      </c>
      <c r="Y30" s="685"/>
      <c r="Z30" s="686"/>
      <c r="AA30" s="686"/>
      <c r="AB30" s="686"/>
      <c r="AC30" s="686"/>
      <c r="AD30" s="686"/>
      <c r="AE30" s="686"/>
      <c r="AF30" s="686"/>
      <c r="AG30" s="686">
        <f t="shared" si="1"/>
        <v>7.1879999999999997</v>
      </c>
    </row>
    <row r="31" spans="1:39" ht="26.4" x14ac:dyDescent="0.3">
      <c r="A31" s="40">
        <f t="shared" si="3"/>
        <v>9</v>
      </c>
      <c r="B31" s="35"/>
      <c r="C31" s="139" t="s">
        <v>1246</v>
      </c>
      <c r="D31" s="40">
        <v>1</v>
      </c>
      <c r="E31" s="26"/>
      <c r="F31" s="38" t="s">
        <v>224</v>
      </c>
      <c r="G31" s="682">
        <v>5535000</v>
      </c>
      <c r="H31" s="973">
        <v>4500000</v>
      </c>
      <c r="I31" s="973">
        <f>'For uploading'!M78</f>
        <v>4100000</v>
      </c>
      <c r="J31" s="973">
        <f>'For uploading'!AN78</f>
        <v>4895936</v>
      </c>
      <c r="K31" s="973">
        <f t="shared" si="2"/>
        <v>4100000</v>
      </c>
      <c r="L31" s="973"/>
      <c r="M31" s="973">
        <f>K31</f>
        <v>4100000</v>
      </c>
      <c r="N31" s="973" t="s">
        <v>1763</v>
      </c>
      <c r="O31" s="36" t="s">
        <v>225</v>
      </c>
      <c r="P31" s="36" t="s">
        <v>1247</v>
      </c>
      <c r="Q31" s="36">
        <v>27</v>
      </c>
      <c r="R31" s="35" t="s">
        <v>1248</v>
      </c>
      <c r="S31" s="35" t="s">
        <v>1246</v>
      </c>
      <c r="T31" s="36" t="s">
        <v>227</v>
      </c>
      <c r="U31" s="36" t="s">
        <v>228</v>
      </c>
      <c r="V31" s="32"/>
      <c r="W31" s="36" t="s">
        <v>1249</v>
      </c>
      <c r="X31" s="663" t="s">
        <v>1250</v>
      </c>
      <c r="Y31" s="15" t="s">
        <v>1251</v>
      </c>
      <c r="Z31" s="13" t="s">
        <v>1239</v>
      </c>
      <c r="AA31" s="13" t="s">
        <v>359</v>
      </c>
      <c r="AB31" s="13">
        <v>4100000</v>
      </c>
      <c r="AC31" s="13">
        <v>1</v>
      </c>
      <c r="AD31" s="13">
        <f>(AB31*AC31)/10^7</f>
        <v>0.41</v>
      </c>
      <c r="AG31" s="683">
        <f t="shared" si="1"/>
        <v>0.45</v>
      </c>
    </row>
    <row r="32" spans="1:39" ht="79.2" x14ac:dyDescent="0.3">
      <c r="A32" s="40">
        <f t="shared" si="3"/>
        <v>10</v>
      </c>
      <c r="B32" s="35"/>
      <c r="C32" s="139" t="s">
        <v>75</v>
      </c>
      <c r="D32" s="40" t="s">
        <v>1193</v>
      </c>
      <c r="E32" s="26"/>
      <c r="F32" s="38" t="s">
        <v>224</v>
      </c>
      <c r="G32" s="682">
        <v>1230000.0000000002</v>
      </c>
      <c r="H32" s="974">
        <v>1000000</v>
      </c>
      <c r="I32" s="974">
        <v>0</v>
      </c>
      <c r="J32" s="974"/>
      <c r="K32" s="973">
        <f t="shared" si="2"/>
        <v>0</v>
      </c>
      <c r="L32" s="973"/>
      <c r="M32" s="973"/>
      <c r="N32" s="973"/>
      <c r="O32" s="36" t="s">
        <v>225</v>
      </c>
      <c r="P32" s="36" t="s">
        <v>1247</v>
      </c>
      <c r="Q32" s="36">
        <v>82</v>
      </c>
      <c r="R32" s="35" t="s">
        <v>75</v>
      </c>
      <c r="S32" s="35" t="s">
        <v>75</v>
      </c>
      <c r="T32" s="36" t="s">
        <v>227</v>
      </c>
      <c r="U32" s="36" t="s">
        <v>228</v>
      </c>
      <c r="V32" s="32"/>
      <c r="W32" s="36" t="s">
        <v>101</v>
      </c>
      <c r="X32" s="663" t="s">
        <v>1250</v>
      </c>
      <c r="Y32" s="15" t="s">
        <v>1252</v>
      </c>
      <c r="Z32" s="13" t="s">
        <v>1239</v>
      </c>
      <c r="AA32" s="13" t="s">
        <v>359</v>
      </c>
      <c r="AB32" s="13">
        <v>513884</v>
      </c>
      <c r="AC32" s="13">
        <v>1</v>
      </c>
      <c r="AD32" s="13">
        <f>(AB32*AC32)/10^7</f>
        <v>5.1388400000000001E-2</v>
      </c>
      <c r="AG32" s="683">
        <f t="shared" si="1"/>
        <v>0.1</v>
      </c>
    </row>
    <row r="33" spans="1:33" ht="66" x14ac:dyDescent="0.3">
      <c r="A33" s="40">
        <f t="shared" si="3"/>
        <v>11</v>
      </c>
      <c r="B33" s="35"/>
      <c r="C33" s="139" t="s">
        <v>1253</v>
      </c>
      <c r="D33" s="40">
        <v>4</v>
      </c>
      <c r="E33" s="26"/>
      <c r="F33" s="38" t="s">
        <v>224</v>
      </c>
      <c r="G33" s="682">
        <v>42804000</v>
      </c>
      <c r="H33" s="974">
        <v>34800000</v>
      </c>
      <c r="I33" s="974">
        <f>'For uploading'!M93</f>
        <v>34800000</v>
      </c>
      <c r="J33" s="974">
        <f>'For uploading'!AN93</f>
        <v>41100101</v>
      </c>
      <c r="K33" s="973">
        <f t="shared" si="2"/>
        <v>34800000</v>
      </c>
      <c r="L33" s="973">
        <f>K33</f>
        <v>34800000</v>
      </c>
      <c r="M33" s="973"/>
      <c r="N33" s="973"/>
      <c r="O33" s="36" t="s">
        <v>225</v>
      </c>
      <c r="P33" s="36" t="s">
        <v>1212</v>
      </c>
      <c r="Q33" s="36" t="s">
        <v>1254</v>
      </c>
      <c r="R33" s="35" t="s">
        <v>1253</v>
      </c>
      <c r="S33" s="35" t="s">
        <v>1253</v>
      </c>
      <c r="T33" s="36" t="s">
        <v>227</v>
      </c>
      <c r="U33" s="36" t="s">
        <v>228</v>
      </c>
      <c r="V33" s="32"/>
      <c r="W33" s="36" t="s">
        <v>1215</v>
      </c>
      <c r="X33" s="663" t="s">
        <v>1250</v>
      </c>
      <c r="Y33" s="15" t="s">
        <v>1255</v>
      </c>
      <c r="Z33" s="13" t="s">
        <v>1239</v>
      </c>
      <c r="AA33" s="13" t="s">
        <v>359</v>
      </c>
      <c r="AB33" s="13">
        <v>34800000</v>
      </c>
      <c r="AC33" s="13">
        <v>1</v>
      </c>
      <c r="AD33" s="13">
        <f>(AB33*AC33)/10^7</f>
        <v>3.48</v>
      </c>
      <c r="AG33" s="683">
        <f t="shared" si="1"/>
        <v>3.48</v>
      </c>
    </row>
    <row r="34" spans="1:33" ht="92.4" x14ac:dyDescent="0.3">
      <c r="A34" s="40">
        <f t="shared" si="3"/>
        <v>12</v>
      </c>
      <c r="B34" s="692"/>
      <c r="C34" s="139" t="s">
        <v>1256</v>
      </c>
      <c r="D34" s="40">
        <v>2</v>
      </c>
      <c r="E34" s="26"/>
      <c r="F34" s="38" t="s">
        <v>224</v>
      </c>
      <c r="G34" s="682">
        <v>60516000.000000007</v>
      </c>
      <c r="H34" s="974">
        <v>49200000</v>
      </c>
      <c r="I34" s="974">
        <f>'For uploading'!M102</f>
        <v>49200000</v>
      </c>
      <c r="J34" s="974">
        <f>'For uploading'!AN102</f>
        <v>58114056</v>
      </c>
      <c r="K34" s="973">
        <f t="shared" si="2"/>
        <v>49200000</v>
      </c>
      <c r="L34" s="973">
        <f>K34</f>
        <v>49200000</v>
      </c>
      <c r="M34" s="973"/>
      <c r="N34" s="973"/>
      <c r="O34" s="36" t="s">
        <v>225</v>
      </c>
      <c r="P34" s="36" t="s">
        <v>1212</v>
      </c>
      <c r="Q34" s="36" t="s">
        <v>1257</v>
      </c>
      <c r="R34" s="35" t="s">
        <v>1258</v>
      </c>
      <c r="S34" s="35" t="s">
        <v>1256</v>
      </c>
      <c r="T34" s="36" t="s">
        <v>227</v>
      </c>
      <c r="U34" s="36" t="s">
        <v>228</v>
      </c>
      <c r="V34" s="32"/>
      <c r="W34" s="36" t="s">
        <v>1215</v>
      </c>
      <c r="X34" s="663" t="s">
        <v>1250</v>
      </c>
      <c r="Y34" s="15" t="s">
        <v>1255</v>
      </c>
      <c r="Z34" s="13" t="s">
        <v>1239</v>
      </c>
      <c r="AA34" s="13" t="s">
        <v>359</v>
      </c>
      <c r="AB34" s="13">
        <v>49200000</v>
      </c>
      <c r="AC34" s="13">
        <v>1</v>
      </c>
      <c r="AD34" s="13">
        <f>(AB34*AC34)/10^7</f>
        <v>4.92</v>
      </c>
      <c r="AG34" s="683">
        <f t="shared" si="1"/>
        <v>4.92</v>
      </c>
    </row>
    <row r="35" spans="1:33" ht="66" x14ac:dyDescent="0.3">
      <c r="A35" s="684">
        <f t="shared" si="3"/>
        <v>13</v>
      </c>
      <c r="B35" s="35"/>
      <c r="C35" s="139" t="s">
        <v>1259</v>
      </c>
      <c r="D35" s="40" t="s">
        <v>112</v>
      </c>
      <c r="E35" s="26"/>
      <c r="F35" s="38" t="s">
        <v>224</v>
      </c>
      <c r="G35" s="682">
        <v>3542400</v>
      </c>
      <c r="H35" s="974">
        <v>2880000</v>
      </c>
      <c r="I35" s="974">
        <v>0</v>
      </c>
      <c r="J35" s="974"/>
      <c r="K35" s="973">
        <f t="shared" si="2"/>
        <v>0</v>
      </c>
      <c r="L35" s="973"/>
      <c r="M35" s="973"/>
      <c r="N35" s="973"/>
      <c r="O35" s="36" t="s">
        <v>225</v>
      </c>
      <c r="P35" s="36" t="s">
        <v>1247</v>
      </c>
      <c r="Q35" s="36" t="s">
        <v>1260</v>
      </c>
      <c r="R35" s="35" t="s">
        <v>1259</v>
      </c>
      <c r="S35" s="35" t="s">
        <v>1259</v>
      </c>
      <c r="T35" s="36" t="s">
        <v>227</v>
      </c>
      <c r="U35" s="36" t="s">
        <v>228</v>
      </c>
      <c r="V35" s="32"/>
      <c r="W35" s="36" t="s">
        <v>1249</v>
      </c>
      <c r="AG35" s="13">
        <f t="shared" si="1"/>
        <v>0.28799999999999998</v>
      </c>
    </row>
    <row r="36" spans="1:33" ht="145.19999999999999" x14ac:dyDescent="0.3">
      <c r="A36" s="40">
        <f t="shared" si="3"/>
        <v>14</v>
      </c>
      <c r="B36" s="35"/>
      <c r="C36" s="139" t="s">
        <v>1261</v>
      </c>
      <c r="D36" s="40" t="s">
        <v>1262</v>
      </c>
      <c r="E36" s="26"/>
      <c r="F36" s="38" t="s">
        <v>224</v>
      </c>
      <c r="G36" s="682">
        <f>4704750+3198000</f>
        <v>7902750</v>
      </c>
      <c r="H36" s="974">
        <f>3825000+2600000</f>
        <v>6425000</v>
      </c>
      <c r="I36" s="974">
        <f>'For uploading'!M116</f>
        <v>7900000</v>
      </c>
      <c r="J36" s="974">
        <f>'For uploading'!AN116</f>
        <v>9323959</v>
      </c>
      <c r="K36" s="973">
        <f t="shared" si="2"/>
        <v>6425000</v>
      </c>
      <c r="L36" s="973"/>
      <c r="M36" s="973">
        <f>K36</f>
        <v>6425000</v>
      </c>
      <c r="N36" s="973" t="s">
        <v>1764</v>
      </c>
      <c r="O36" s="36" t="s">
        <v>225</v>
      </c>
      <c r="P36" s="36" t="s">
        <v>1212</v>
      </c>
      <c r="Q36" s="36" t="s">
        <v>1257</v>
      </c>
      <c r="R36" s="35" t="s">
        <v>1263</v>
      </c>
      <c r="S36" s="35" t="s">
        <v>1261</v>
      </c>
      <c r="T36" s="36" t="s">
        <v>227</v>
      </c>
      <c r="U36" s="36" t="s">
        <v>228</v>
      </c>
      <c r="V36" s="32"/>
      <c r="W36" s="36" t="s">
        <v>105</v>
      </c>
      <c r="AG36" s="13">
        <f t="shared" si="1"/>
        <v>0.64249999999999996</v>
      </c>
    </row>
    <row r="37" spans="1:33" ht="79.2" x14ac:dyDescent="0.3">
      <c r="A37" s="40">
        <f t="shared" si="3"/>
        <v>15</v>
      </c>
      <c r="B37" s="35"/>
      <c r="C37" s="139" t="s">
        <v>1264</v>
      </c>
      <c r="D37" s="40">
        <f>9+3</f>
        <v>12</v>
      </c>
      <c r="E37" s="26"/>
      <c r="F37" s="38" t="s">
        <v>224</v>
      </c>
      <c r="G37" s="682">
        <f>7195500+2399000</f>
        <v>9594500</v>
      </c>
      <c r="H37" s="974">
        <f>5850000+1950000</f>
        <v>7800000</v>
      </c>
      <c r="I37" s="974">
        <f>'For uploading'!M125</f>
        <v>8400000</v>
      </c>
      <c r="J37" s="974">
        <f>'For uploading'!AN125</f>
        <v>9912000</v>
      </c>
      <c r="K37" s="973">
        <f t="shared" si="2"/>
        <v>7800000</v>
      </c>
      <c r="L37" s="973">
        <f>K37</f>
        <v>7800000</v>
      </c>
      <c r="M37" s="973"/>
      <c r="N37" s="973"/>
      <c r="O37" s="36" t="s">
        <v>225</v>
      </c>
      <c r="P37" s="36" t="s">
        <v>1247</v>
      </c>
      <c r="Q37" s="36">
        <v>71</v>
      </c>
      <c r="R37" s="35" t="s">
        <v>1264</v>
      </c>
      <c r="S37" s="35" t="s">
        <v>1264</v>
      </c>
      <c r="T37" s="36" t="s">
        <v>227</v>
      </c>
      <c r="U37" s="36" t="s">
        <v>228</v>
      </c>
      <c r="V37" s="32"/>
      <c r="W37" s="36" t="s">
        <v>101</v>
      </c>
      <c r="Y37" s="15" t="s">
        <v>1265</v>
      </c>
      <c r="Z37" s="13" t="s">
        <v>1239</v>
      </c>
      <c r="AA37" s="13" t="s">
        <v>359</v>
      </c>
      <c r="AB37" s="13">
        <f>700000*9</f>
        <v>6300000</v>
      </c>
      <c r="AC37" s="13">
        <v>1</v>
      </c>
      <c r="AD37" s="13">
        <f>(AB37*AC37)/10^7</f>
        <v>0.63</v>
      </c>
      <c r="AG37" s="683">
        <f t="shared" si="1"/>
        <v>0.78</v>
      </c>
    </row>
    <row r="38" spans="1:33" ht="145.19999999999999" x14ac:dyDescent="0.3">
      <c r="A38" s="40">
        <f t="shared" si="3"/>
        <v>16</v>
      </c>
      <c r="B38" s="35"/>
      <c r="C38" s="139" t="s">
        <v>1266</v>
      </c>
      <c r="D38" s="40" t="s">
        <v>1267</v>
      </c>
      <c r="E38" s="26"/>
      <c r="F38" s="38" t="s">
        <v>224</v>
      </c>
      <c r="G38" s="682">
        <f>2460000+861000+1230000</f>
        <v>4551000</v>
      </c>
      <c r="H38" s="974">
        <f>2000000+700000+1000000</f>
        <v>3700000</v>
      </c>
      <c r="I38" s="974">
        <f>'For uploading'!M131</f>
        <v>8026500</v>
      </c>
      <c r="J38" s="974">
        <f>'For uploading'!AN131</f>
        <v>8193720</v>
      </c>
      <c r="K38" s="973">
        <f t="shared" si="2"/>
        <v>3700000</v>
      </c>
      <c r="L38" s="973"/>
      <c r="M38" s="973">
        <f>K38</f>
        <v>3700000</v>
      </c>
      <c r="N38" s="973" t="s">
        <v>1765</v>
      </c>
      <c r="O38" s="36" t="s">
        <v>225</v>
      </c>
      <c r="P38" s="36" t="s">
        <v>1212</v>
      </c>
      <c r="Q38" s="36" t="s">
        <v>1268</v>
      </c>
      <c r="R38" s="35" t="s">
        <v>1263</v>
      </c>
      <c r="S38" s="35" t="s">
        <v>1269</v>
      </c>
      <c r="T38" s="36" t="s">
        <v>227</v>
      </c>
      <c r="U38" s="36" t="s">
        <v>228</v>
      </c>
      <c r="V38" s="32"/>
      <c r="W38" s="36" t="s">
        <v>1215</v>
      </c>
      <c r="AG38" s="13">
        <f t="shared" si="1"/>
        <v>0.37</v>
      </c>
    </row>
    <row r="39" spans="1:33" ht="66" x14ac:dyDescent="0.3">
      <c r="A39" s="684">
        <f t="shared" si="3"/>
        <v>17</v>
      </c>
      <c r="B39" s="35"/>
      <c r="C39" s="139" t="s">
        <v>80</v>
      </c>
      <c r="D39" s="40" t="s">
        <v>970</v>
      </c>
      <c r="E39" s="26"/>
      <c r="F39" s="38" t="s">
        <v>224</v>
      </c>
      <c r="G39" s="682">
        <v>1230000.0000000002</v>
      </c>
      <c r="H39" s="974">
        <v>1000000</v>
      </c>
      <c r="I39" s="974">
        <f>'For uploading'!M134</f>
        <v>1151000</v>
      </c>
      <c r="J39" s="974">
        <f>I39</f>
        <v>1151000</v>
      </c>
      <c r="K39" s="973">
        <f t="shared" si="2"/>
        <v>1000000</v>
      </c>
      <c r="L39" s="973">
        <f>K39</f>
        <v>1000000</v>
      </c>
      <c r="M39" s="973"/>
      <c r="N39" s="973"/>
      <c r="O39" s="36" t="s">
        <v>225</v>
      </c>
      <c r="P39" s="36" t="s">
        <v>1247</v>
      </c>
      <c r="Q39" s="36">
        <v>9</v>
      </c>
      <c r="R39" s="35" t="s">
        <v>80</v>
      </c>
      <c r="S39" s="35" t="s">
        <v>80</v>
      </c>
      <c r="T39" s="36" t="s">
        <v>227</v>
      </c>
      <c r="U39" s="36" t="s">
        <v>228</v>
      </c>
      <c r="V39" s="32"/>
      <c r="W39" s="36" t="s">
        <v>1249</v>
      </c>
      <c r="AG39" s="13">
        <f t="shared" si="1"/>
        <v>0.1</v>
      </c>
    </row>
    <row r="40" spans="1:33" ht="198" x14ac:dyDescent="0.3">
      <c r="A40" s="684">
        <f t="shared" si="3"/>
        <v>18</v>
      </c>
      <c r="B40" s="35"/>
      <c r="C40" s="139" t="s">
        <v>1270</v>
      </c>
      <c r="D40" s="40" t="s">
        <v>1194</v>
      </c>
      <c r="E40" s="26"/>
      <c r="F40" s="38" t="s">
        <v>224</v>
      </c>
      <c r="G40" s="682">
        <v>861000.00000000012</v>
      </c>
      <c r="H40" s="974">
        <v>700000.00000000012</v>
      </c>
      <c r="I40" s="974"/>
      <c r="J40" s="974"/>
      <c r="K40" s="973">
        <f>K39*20%</f>
        <v>200000</v>
      </c>
      <c r="L40" s="973">
        <f>K40</f>
        <v>200000</v>
      </c>
      <c r="M40" s="973">
        <f>G40</f>
        <v>861000.00000000012</v>
      </c>
      <c r="N40" s="973" t="s">
        <v>1767</v>
      </c>
      <c r="O40" s="36" t="s">
        <v>225</v>
      </c>
      <c r="P40" s="36" t="s">
        <v>1247</v>
      </c>
      <c r="Q40" s="36">
        <v>9</v>
      </c>
      <c r="R40" s="35" t="s">
        <v>1263</v>
      </c>
      <c r="S40" s="35" t="s">
        <v>1270</v>
      </c>
      <c r="T40" s="36" t="s">
        <v>227</v>
      </c>
      <c r="U40" s="36" t="s">
        <v>228</v>
      </c>
      <c r="V40" s="32"/>
      <c r="W40" s="36" t="s">
        <v>1249</v>
      </c>
      <c r="AG40" s="13">
        <f t="shared" si="1"/>
        <v>7.0000000000000007E-2</v>
      </c>
    </row>
    <row r="41" spans="1:33" ht="105.6" x14ac:dyDescent="0.3">
      <c r="A41" s="40">
        <f t="shared" si="3"/>
        <v>19</v>
      </c>
      <c r="B41" s="35" t="s">
        <v>1500</v>
      </c>
      <c r="C41" s="139" t="s">
        <v>1271</v>
      </c>
      <c r="D41" s="40" t="s">
        <v>112</v>
      </c>
      <c r="E41" s="26"/>
      <c r="F41" s="38" t="s">
        <v>224</v>
      </c>
      <c r="G41" s="682">
        <f>14913750*0+24600000</f>
        <v>24600000</v>
      </c>
      <c r="H41" s="974">
        <f>12125000*0+20000000</f>
        <v>20000000</v>
      </c>
      <c r="I41" s="974">
        <f>'For uploading'!M157-'For uploading'!M155</f>
        <v>14045000</v>
      </c>
      <c r="J41" s="974">
        <f>'For uploading'!AN157-2124000</f>
        <v>16829361</v>
      </c>
      <c r="K41" s="973">
        <f t="shared" si="2"/>
        <v>14045000</v>
      </c>
      <c r="L41" s="973"/>
      <c r="M41" s="973">
        <f>K41</f>
        <v>14045000</v>
      </c>
      <c r="N41" s="973" t="s">
        <v>1766</v>
      </c>
      <c r="O41" s="36" t="s">
        <v>225</v>
      </c>
      <c r="P41" s="36" t="s">
        <v>1247</v>
      </c>
      <c r="Q41" s="36">
        <v>73</v>
      </c>
      <c r="R41" s="35" t="s">
        <v>81</v>
      </c>
      <c r="S41" s="35" t="s">
        <v>1271</v>
      </c>
      <c r="T41" s="36" t="s">
        <v>227</v>
      </c>
      <c r="U41" s="36" t="s">
        <v>228</v>
      </c>
      <c r="V41" s="32"/>
      <c r="W41" s="36" t="s">
        <v>1249</v>
      </c>
      <c r="Y41" s="15" t="s">
        <v>806</v>
      </c>
      <c r="Z41" s="13" t="s">
        <v>1239</v>
      </c>
      <c r="AA41" s="13" t="s">
        <v>359</v>
      </c>
      <c r="AB41" s="13">
        <f>12125000+1920000</f>
        <v>14045000</v>
      </c>
      <c r="AC41" s="13">
        <v>1</v>
      </c>
      <c r="AD41" s="13">
        <f>(AB41*AC41)/10^7</f>
        <v>1.4045000000000001</v>
      </c>
      <c r="AG41" s="683">
        <f t="shared" si="1"/>
        <v>2</v>
      </c>
    </row>
    <row r="42" spans="1:33" ht="27" thickBot="1" x14ac:dyDescent="0.35">
      <c r="A42" s="40">
        <f t="shared" si="3"/>
        <v>20</v>
      </c>
      <c r="B42" s="35"/>
      <c r="C42" s="139" t="s">
        <v>1272</v>
      </c>
      <c r="D42" s="40">
        <f>2+1</f>
        <v>3</v>
      </c>
      <c r="E42" s="26"/>
      <c r="F42" s="38" t="s">
        <v>224</v>
      </c>
      <c r="G42" s="682">
        <f>7380000+7560000</f>
        <v>14940000</v>
      </c>
      <c r="H42" s="974">
        <f>6000000+7200000</f>
        <v>13200000</v>
      </c>
      <c r="I42" s="974">
        <f>'For uploading'!M165</f>
        <v>4874000</v>
      </c>
      <c r="J42" s="974">
        <f>'For uploading'!AN165</f>
        <v>5751320</v>
      </c>
      <c r="K42" s="973">
        <f t="shared" si="2"/>
        <v>4874000</v>
      </c>
      <c r="L42" s="973">
        <f>K42</f>
        <v>4874000</v>
      </c>
      <c r="M42" s="973"/>
      <c r="N42" s="973"/>
      <c r="O42" s="36" t="s">
        <v>225</v>
      </c>
      <c r="P42" s="36" t="s">
        <v>1247</v>
      </c>
      <c r="Q42" s="36">
        <v>19</v>
      </c>
      <c r="R42" s="35" t="s">
        <v>1272</v>
      </c>
      <c r="S42" s="35" t="s">
        <v>1272</v>
      </c>
      <c r="T42" s="36" t="s">
        <v>227</v>
      </c>
      <c r="U42" s="36" t="s">
        <v>228</v>
      </c>
      <c r="V42" s="32"/>
      <c r="W42" s="36" t="s">
        <v>1249</v>
      </c>
      <c r="X42" s="663" t="s">
        <v>1250</v>
      </c>
      <c r="Y42" s="15" t="s">
        <v>1265</v>
      </c>
      <c r="Z42" s="13" t="s">
        <v>1239</v>
      </c>
      <c r="AA42" s="13" t="s">
        <v>359</v>
      </c>
      <c r="AB42" s="13">
        <f>2437000*2</f>
        <v>4874000</v>
      </c>
      <c r="AC42" s="13">
        <v>1</v>
      </c>
      <c r="AD42" s="13">
        <f>(AB42*AC42)/10^7</f>
        <v>0.4874</v>
      </c>
      <c r="AG42" s="683">
        <f t="shared" si="1"/>
        <v>1.32</v>
      </c>
    </row>
    <row r="43" spans="1:33" ht="13.8" thickBot="1" x14ac:dyDescent="0.35">
      <c r="A43" s="191"/>
      <c r="B43" s="1364" t="s">
        <v>1273</v>
      </c>
      <c r="C43" s="1365"/>
      <c r="D43" s="664"/>
      <c r="E43" s="191"/>
      <c r="F43" s="665"/>
      <c r="G43" s="693">
        <f t="shared" ref="G43:M43" si="4">SUM(G23:G42)</f>
        <v>1698381050</v>
      </c>
      <c r="H43" s="975">
        <f t="shared" si="4"/>
        <v>1582245000</v>
      </c>
      <c r="I43" s="975">
        <f t="shared" si="4"/>
        <v>1454520884.0999999</v>
      </c>
      <c r="J43" s="975">
        <f t="shared" si="4"/>
        <v>1480788360</v>
      </c>
      <c r="K43" s="975">
        <f t="shared" si="4"/>
        <v>1426616448.0999999</v>
      </c>
      <c r="L43" s="975">
        <f t="shared" si="4"/>
        <v>1387015819</v>
      </c>
      <c r="M43" s="975">
        <f t="shared" si="4"/>
        <v>40461629.100000001</v>
      </c>
      <c r="N43" s="975"/>
      <c r="O43" s="559"/>
      <c r="P43" s="559"/>
      <c r="Q43" s="559"/>
      <c r="R43" s="330"/>
      <c r="S43" s="330"/>
      <c r="T43" s="559"/>
      <c r="U43" s="559"/>
      <c r="V43" s="327"/>
      <c r="W43" s="559"/>
      <c r="AD43" s="13">
        <f>SUM(AD22:AD42)</f>
        <v>146.45582033333335</v>
      </c>
      <c r="AG43" s="13">
        <f>SUM(AG22:AG42)</f>
        <v>158.22449999999995</v>
      </c>
    </row>
    <row r="44" spans="1:33" x14ac:dyDescent="0.3">
      <c r="A44" s="10"/>
      <c r="B44" s="694"/>
      <c r="C44" s="695"/>
      <c r="D44" s="203"/>
      <c r="E44" s="10"/>
      <c r="F44" s="666"/>
      <c r="G44" s="696"/>
      <c r="H44" s="976">
        <v>1581745000</v>
      </c>
      <c r="I44" s="976"/>
      <c r="J44" s="976"/>
      <c r="K44" s="976"/>
      <c r="L44" s="976"/>
      <c r="M44" s="976"/>
      <c r="N44" s="976"/>
      <c r="O44" s="442"/>
      <c r="P44" s="442"/>
      <c r="Q44" s="442"/>
      <c r="R44" s="163"/>
      <c r="S44" s="163"/>
      <c r="T44" s="442"/>
      <c r="U44" s="442"/>
      <c r="V44" s="59"/>
      <c r="W44" s="442"/>
    </row>
    <row r="45" spans="1:33" x14ac:dyDescent="0.3">
      <c r="A45" s="10"/>
      <c r="B45" s="694"/>
      <c r="C45" s="695" t="s">
        <v>1759</v>
      </c>
      <c r="D45" s="203"/>
      <c r="E45" s="10"/>
      <c r="F45" s="666"/>
      <c r="G45" s="696"/>
      <c r="H45" s="976">
        <v>0</v>
      </c>
      <c r="I45" s="976">
        <f>'For uploading'!O178</f>
        <v>14484225</v>
      </c>
      <c r="J45" s="976">
        <f>'For uploading'!AN178</f>
        <v>14484225</v>
      </c>
      <c r="K45" s="976">
        <f>I45</f>
        <v>14484225</v>
      </c>
      <c r="L45" s="976"/>
      <c r="M45" s="976">
        <f>K45</f>
        <v>14484225</v>
      </c>
      <c r="N45" s="976"/>
      <c r="O45" s="442"/>
      <c r="P45" s="442"/>
      <c r="Q45" s="442"/>
      <c r="R45" s="163"/>
      <c r="S45" s="163"/>
      <c r="T45" s="442"/>
      <c r="U45" s="442"/>
      <c r="V45" s="59"/>
      <c r="W45" s="442"/>
      <c r="X45" s="969"/>
      <c r="Y45" s="968"/>
    </row>
    <row r="46" spans="1:33" x14ac:dyDescent="0.3">
      <c r="A46" s="10"/>
      <c r="B46" s="694"/>
      <c r="C46" s="695"/>
      <c r="D46" s="203"/>
      <c r="E46" s="10"/>
      <c r="F46" s="666"/>
      <c r="G46" s="696"/>
      <c r="H46" s="976">
        <f>H43-H44</f>
        <v>500000</v>
      </c>
      <c r="I46" s="976"/>
      <c r="J46" s="976"/>
      <c r="K46" s="976">
        <f>K43+K45</f>
        <v>1441100673.0999999</v>
      </c>
      <c r="L46" s="976">
        <f>L43+L45</f>
        <v>1387015819</v>
      </c>
      <c r="M46" s="976">
        <f>M43+M45</f>
        <v>54945854.100000001</v>
      </c>
      <c r="N46" s="976"/>
      <c r="O46" s="442">
        <f>K46*10%</f>
        <v>144110067.31</v>
      </c>
      <c r="P46" s="442"/>
      <c r="Q46" s="442"/>
      <c r="R46" s="163"/>
      <c r="S46" s="163"/>
      <c r="T46" s="442"/>
      <c r="U46" s="442"/>
      <c r="V46" s="59"/>
      <c r="W46" s="442"/>
      <c r="AD46" s="697">
        <f>AD43/AG43</f>
        <v>0.92562037063370972</v>
      </c>
    </row>
    <row r="47" spans="1:33" x14ac:dyDescent="0.3">
      <c r="A47" s="10"/>
      <c r="B47" s="694"/>
      <c r="C47" s="695"/>
      <c r="D47" s="203"/>
      <c r="E47" s="10"/>
      <c r="F47" s="666"/>
      <c r="G47" s="696"/>
      <c r="H47" s="976"/>
      <c r="I47" s="976"/>
      <c r="J47" s="976"/>
      <c r="K47" s="986">
        <f>K46*10%/10^7</f>
        <v>14.411006731000001</v>
      </c>
      <c r="L47" s="986">
        <f>L46*10%/10^7</f>
        <v>13.87015819</v>
      </c>
      <c r="M47" s="986">
        <f>M46*10%/10^7</f>
        <v>0.54945854100000002</v>
      </c>
      <c r="N47" s="986"/>
      <c r="O47" s="442"/>
      <c r="P47" s="442"/>
      <c r="Q47" s="442"/>
      <c r="R47" s="163"/>
      <c r="S47" s="163"/>
      <c r="T47" s="442"/>
      <c r="U47" s="442"/>
      <c r="V47" s="59"/>
      <c r="W47" s="442"/>
      <c r="X47" s="969"/>
      <c r="Y47" s="968"/>
      <c r="AD47" s="697"/>
    </row>
    <row r="48" spans="1:33" x14ac:dyDescent="0.3">
      <c r="A48" s="10"/>
      <c r="B48" s="694"/>
      <c r="C48" s="695"/>
      <c r="D48" s="203"/>
      <c r="E48" s="10"/>
      <c r="F48" s="666"/>
      <c r="G48" s="696"/>
      <c r="H48" s="976"/>
      <c r="I48" s="976"/>
      <c r="J48" s="976"/>
      <c r="K48" s="976"/>
      <c r="L48" s="976"/>
      <c r="M48" s="976"/>
      <c r="N48" s="976"/>
      <c r="O48" s="442"/>
      <c r="P48" s="442"/>
      <c r="Q48" s="442"/>
      <c r="R48" s="163"/>
      <c r="S48" s="163"/>
      <c r="T48" s="442"/>
      <c r="U48" s="442"/>
      <c r="V48" s="59"/>
      <c r="W48" s="442"/>
      <c r="X48" s="969"/>
      <c r="Y48" s="968"/>
      <c r="AD48" s="697"/>
    </row>
    <row r="49" spans="1:30" x14ac:dyDescent="0.3">
      <c r="A49" s="10"/>
      <c r="B49" s="694"/>
      <c r="C49" s="695"/>
      <c r="D49" s="203"/>
      <c r="E49" s="10"/>
      <c r="F49" s="666"/>
      <c r="G49" s="696"/>
      <c r="H49" s="976"/>
      <c r="I49" s="976"/>
      <c r="J49" s="976"/>
      <c r="K49" s="976"/>
      <c r="L49" s="976"/>
      <c r="M49" s="976"/>
      <c r="N49" s="976"/>
      <c r="O49" s="442"/>
      <c r="P49" s="442"/>
      <c r="Q49" s="442"/>
      <c r="R49" s="163"/>
      <c r="S49" s="163"/>
      <c r="T49" s="442"/>
      <c r="U49" s="442"/>
      <c r="V49" s="59"/>
      <c r="W49" s="442"/>
      <c r="X49" s="969"/>
      <c r="Y49" s="968"/>
      <c r="AD49" s="697"/>
    </row>
    <row r="50" spans="1:30" x14ac:dyDescent="0.3">
      <c r="A50" s="10"/>
      <c r="B50" s="694"/>
      <c r="C50" s="695"/>
      <c r="D50" s="203"/>
      <c r="E50" s="10"/>
      <c r="F50" s="666"/>
      <c r="G50" s="696"/>
      <c r="H50" s="976"/>
      <c r="I50" s="976"/>
      <c r="J50" s="976"/>
      <c r="K50" s="976"/>
      <c r="L50" s="976"/>
      <c r="M50" s="976"/>
      <c r="N50" s="976"/>
      <c r="O50" s="442"/>
      <c r="P50" s="442"/>
      <c r="Q50" s="442"/>
      <c r="R50" s="163"/>
      <c r="S50" s="163"/>
      <c r="T50" s="442"/>
      <c r="U50" s="442"/>
      <c r="V50" s="59"/>
      <c r="W50" s="442"/>
      <c r="X50" s="969"/>
      <c r="Y50" s="968"/>
      <c r="AD50" s="697"/>
    </row>
    <row r="51" spans="1:30" x14ac:dyDescent="0.3">
      <c r="A51" s="10"/>
      <c r="B51" s="694"/>
      <c r="C51" s="695"/>
      <c r="D51" s="203"/>
      <c r="E51" s="10"/>
      <c r="F51" s="666"/>
      <c r="G51" s="696"/>
      <c r="H51" s="976"/>
      <c r="I51" s="976"/>
      <c r="J51" s="976"/>
      <c r="K51" s="976"/>
      <c r="L51" s="976"/>
      <c r="M51" s="976"/>
      <c r="N51" s="976"/>
      <c r="O51" s="442"/>
      <c r="P51" s="442"/>
      <c r="Q51" s="442"/>
      <c r="R51" s="163"/>
      <c r="S51" s="163"/>
      <c r="T51" s="442"/>
      <c r="U51" s="442"/>
      <c r="V51" s="59"/>
      <c r="W51" s="442"/>
      <c r="X51" s="969"/>
      <c r="Y51" s="968"/>
      <c r="AD51" s="697"/>
    </row>
    <row r="52" spans="1:30" ht="13.8" thickBot="1" x14ac:dyDescent="0.35">
      <c r="A52" s="10"/>
      <c r="B52" s="694"/>
      <c r="C52" s="695"/>
      <c r="D52" s="203"/>
      <c r="E52" s="10"/>
      <c r="F52" s="666"/>
      <c r="G52" s="696"/>
      <c r="H52" s="976"/>
      <c r="I52" s="976"/>
      <c r="J52" s="976"/>
      <c r="K52" s="976"/>
      <c r="L52" s="976"/>
      <c r="M52" s="976"/>
      <c r="N52" s="976"/>
      <c r="O52" s="442"/>
      <c r="P52" s="442"/>
      <c r="Q52" s="442"/>
      <c r="R52" s="163"/>
      <c r="S52" s="163"/>
      <c r="T52" s="442"/>
      <c r="U52" s="442"/>
      <c r="V52" s="59"/>
      <c r="W52" s="442"/>
      <c r="X52" s="969"/>
      <c r="Y52" s="968"/>
      <c r="AD52" s="697"/>
    </row>
    <row r="53" spans="1:30" ht="13.8" thickBot="1" x14ac:dyDescent="0.35">
      <c r="A53" s="91" t="s">
        <v>237</v>
      </c>
      <c r="B53" s="1366" t="s">
        <v>238</v>
      </c>
      <c r="C53" s="1367"/>
      <c r="G53" s="676"/>
      <c r="H53" s="977"/>
      <c r="I53" s="977"/>
      <c r="J53" s="977"/>
      <c r="K53" s="977"/>
      <c r="L53" s="977"/>
      <c r="M53" s="977"/>
      <c r="N53" s="977"/>
      <c r="Q53" s="13"/>
      <c r="R53" s="13"/>
      <c r="S53" s="13"/>
      <c r="T53" s="13"/>
      <c r="U53" s="13"/>
    </row>
    <row r="54" spans="1:30" ht="13.8" thickBot="1" x14ac:dyDescent="0.35">
      <c r="G54" s="678" t="s">
        <v>200</v>
      </c>
      <c r="Q54" s="13"/>
      <c r="R54" s="13"/>
      <c r="S54" s="13"/>
      <c r="T54" s="13"/>
      <c r="U54" s="13"/>
    </row>
    <row r="55" spans="1:30" ht="27" thickBot="1" x14ac:dyDescent="0.35">
      <c r="A55" s="19" t="s">
        <v>201</v>
      </c>
      <c r="B55" s="1219" t="s">
        <v>239</v>
      </c>
      <c r="C55" s="1220"/>
      <c r="D55" s="1221" t="s">
        <v>240</v>
      </c>
      <c r="E55" s="1369" t="s">
        <v>241</v>
      </c>
      <c r="F55" s="1327"/>
      <c r="G55" s="1344" t="s">
        <v>242</v>
      </c>
      <c r="H55" s="1346" t="s">
        <v>243</v>
      </c>
      <c r="I55" s="982"/>
      <c r="J55" s="982"/>
      <c r="K55" s="982"/>
      <c r="L55" s="982"/>
      <c r="M55" s="982"/>
      <c r="N55" s="982"/>
      <c r="O55" s="1208" t="s">
        <v>244</v>
      </c>
      <c r="Q55" s="13"/>
      <c r="R55" s="13"/>
      <c r="S55" s="13"/>
      <c r="T55" s="13"/>
      <c r="U55" s="13"/>
    </row>
    <row r="56" spans="1:30" x14ac:dyDescent="0.3">
      <c r="A56" s="1333"/>
      <c r="B56" s="1208"/>
      <c r="C56" s="1336"/>
      <c r="D56" s="1368"/>
      <c r="E56" s="1370"/>
      <c r="F56" s="1329"/>
      <c r="G56" s="1345"/>
      <c r="H56" s="1343"/>
      <c r="I56" s="983"/>
      <c r="J56" s="983"/>
      <c r="K56" s="983"/>
      <c r="L56" s="983"/>
      <c r="M56" s="983"/>
      <c r="N56" s="983"/>
      <c r="O56" s="1335"/>
      <c r="Q56" s="13"/>
      <c r="R56" s="13"/>
      <c r="S56" s="13"/>
      <c r="T56" s="13"/>
      <c r="U56" s="13"/>
    </row>
    <row r="57" spans="1:30" x14ac:dyDescent="0.3">
      <c r="A57" s="1334"/>
      <c r="B57" s="1335"/>
      <c r="C57" s="1337"/>
      <c r="D57" s="1368"/>
      <c r="E57" s="1370"/>
      <c r="F57" s="1329"/>
      <c r="G57" s="1345"/>
      <c r="H57" s="1343"/>
      <c r="I57" s="983"/>
      <c r="J57" s="983"/>
      <c r="K57" s="983"/>
      <c r="L57" s="983"/>
      <c r="M57" s="983"/>
      <c r="N57" s="983"/>
      <c r="O57" s="1335"/>
      <c r="Q57" s="13"/>
      <c r="R57" s="13"/>
      <c r="S57" s="13"/>
      <c r="T57" s="13"/>
      <c r="U57" s="13"/>
    </row>
    <row r="58" spans="1:30" x14ac:dyDescent="0.3">
      <c r="A58" s="1334"/>
      <c r="B58" s="1335"/>
      <c r="C58" s="1337"/>
      <c r="D58" s="1368"/>
      <c r="E58" s="1372" t="s">
        <v>215</v>
      </c>
      <c r="F58" s="1373"/>
      <c r="G58" s="1345"/>
      <c r="H58" s="1343"/>
      <c r="I58" s="983"/>
      <c r="J58" s="983"/>
      <c r="K58" s="983"/>
      <c r="L58" s="983"/>
      <c r="M58" s="983"/>
      <c r="N58" s="983"/>
      <c r="O58" s="1335"/>
      <c r="Q58" s="13"/>
      <c r="R58" s="13"/>
      <c r="S58" s="13"/>
      <c r="T58" s="13"/>
      <c r="U58" s="13"/>
    </row>
    <row r="59" spans="1:30" x14ac:dyDescent="0.3">
      <c r="A59" s="1334"/>
      <c r="B59" s="1335"/>
      <c r="C59" s="1337"/>
      <c r="D59" s="1368"/>
      <c r="E59" s="1374" t="s">
        <v>245</v>
      </c>
      <c r="F59" s="1377" t="s">
        <v>246</v>
      </c>
      <c r="G59" s="1345"/>
      <c r="H59" s="1343" t="s">
        <v>247</v>
      </c>
      <c r="I59" s="983"/>
      <c r="J59" s="983"/>
      <c r="K59" s="983"/>
      <c r="L59" s="983"/>
      <c r="M59" s="983"/>
      <c r="N59" s="983"/>
      <c r="O59" s="1335"/>
      <c r="Q59" s="13"/>
      <c r="R59" s="13"/>
      <c r="S59" s="13"/>
      <c r="T59" s="13"/>
      <c r="U59" s="13"/>
      <c r="V59" s="13"/>
      <c r="W59" s="14"/>
    </row>
    <row r="60" spans="1:30" x14ac:dyDescent="0.3">
      <c r="A60" s="1334"/>
      <c r="B60" s="1335"/>
      <c r="C60" s="1337"/>
      <c r="D60" s="1368"/>
      <c r="E60" s="1375"/>
      <c r="F60" s="1378"/>
      <c r="G60" s="1345"/>
      <c r="H60" s="1343"/>
      <c r="I60" s="983"/>
      <c r="J60" s="983"/>
      <c r="K60" s="983"/>
      <c r="L60" s="983"/>
      <c r="M60" s="983"/>
      <c r="N60" s="983"/>
      <c r="O60" s="1335"/>
      <c r="Q60" s="13"/>
      <c r="R60" s="13"/>
      <c r="S60" s="13"/>
      <c r="T60" s="13"/>
      <c r="U60" s="13"/>
      <c r="V60" s="13"/>
      <c r="W60" s="14"/>
    </row>
    <row r="61" spans="1:30" x14ac:dyDescent="0.3">
      <c r="A61" s="1334"/>
      <c r="B61" s="1335"/>
      <c r="C61" s="1337"/>
      <c r="D61" s="1368"/>
      <c r="E61" s="1375"/>
      <c r="F61" s="1378"/>
      <c r="G61" s="1345"/>
      <c r="H61" s="1343"/>
      <c r="I61" s="983"/>
      <c r="J61" s="983"/>
      <c r="K61" s="983"/>
      <c r="L61" s="983"/>
      <c r="M61" s="983"/>
      <c r="N61" s="983"/>
      <c r="O61" s="1335"/>
      <c r="Q61" s="13"/>
      <c r="R61" s="13"/>
      <c r="S61" s="13"/>
      <c r="T61" s="13"/>
      <c r="U61" s="13"/>
      <c r="V61" s="13"/>
      <c r="W61" s="14"/>
    </row>
    <row r="62" spans="1:30" x14ac:dyDescent="0.3">
      <c r="A62" s="1334"/>
      <c r="B62" s="1335"/>
      <c r="C62" s="1337"/>
      <c r="D62" s="1368"/>
      <c r="E62" s="1375"/>
      <c r="F62" s="1378"/>
      <c r="G62" s="1345"/>
      <c r="H62" s="1343"/>
      <c r="I62" s="983"/>
      <c r="J62" s="983"/>
      <c r="K62" s="983"/>
      <c r="L62" s="983"/>
      <c r="M62" s="983"/>
      <c r="N62" s="983"/>
      <c r="O62" s="1335"/>
      <c r="Q62" s="13"/>
      <c r="R62" s="13"/>
      <c r="S62" s="13"/>
      <c r="T62" s="13"/>
      <c r="U62" s="13"/>
      <c r="V62" s="13"/>
      <c r="W62" s="14"/>
    </row>
    <row r="63" spans="1:30" ht="13.8" thickBot="1" x14ac:dyDescent="0.35">
      <c r="A63" s="1334"/>
      <c r="B63" s="1209"/>
      <c r="C63" s="1338"/>
      <c r="D63" s="1368"/>
      <c r="E63" s="1375"/>
      <c r="F63" s="1378"/>
      <c r="G63" s="1345"/>
      <c r="H63" s="1343"/>
      <c r="I63" s="983"/>
      <c r="J63" s="983"/>
      <c r="K63" s="983"/>
      <c r="L63" s="983"/>
      <c r="M63" s="983"/>
      <c r="N63" s="983"/>
      <c r="O63" s="1335"/>
      <c r="Q63" s="13"/>
      <c r="R63" s="13"/>
      <c r="S63" s="13"/>
      <c r="T63" s="13"/>
      <c r="U63" s="13"/>
      <c r="V63" s="13"/>
      <c r="W63" s="14"/>
    </row>
    <row r="64" spans="1:30" x14ac:dyDescent="0.3">
      <c r="A64" s="1334"/>
      <c r="B64" s="1208" t="s">
        <v>1</v>
      </c>
      <c r="C64" s="1336" t="s">
        <v>2</v>
      </c>
      <c r="D64" s="1368"/>
      <c r="E64" s="1375"/>
      <c r="F64" s="1378"/>
      <c r="G64" s="1345"/>
      <c r="H64" s="1343"/>
      <c r="I64" s="983"/>
      <c r="J64" s="983"/>
      <c r="K64" s="983"/>
      <c r="L64" s="983"/>
      <c r="M64" s="983"/>
      <c r="N64" s="983"/>
      <c r="O64" s="1335"/>
      <c r="Q64" s="13"/>
      <c r="R64" s="13"/>
      <c r="S64" s="13"/>
      <c r="T64" s="13"/>
      <c r="U64" s="13"/>
      <c r="V64" s="13"/>
      <c r="W64" s="14"/>
    </row>
    <row r="65" spans="1:23" ht="13.8" thickBot="1" x14ac:dyDescent="0.35">
      <c r="A65" s="1371"/>
      <c r="B65" s="1209"/>
      <c r="C65" s="1338"/>
      <c r="D65" s="1222"/>
      <c r="E65" s="1376"/>
      <c r="F65" s="1379"/>
      <c r="G65" s="1381"/>
      <c r="H65" s="1380"/>
      <c r="I65" s="984"/>
      <c r="J65" s="984"/>
      <c r="K65" s="984"/>
      <c r="L65" s="984"/>
      <c r="M65" s="984"/>
      <c r="N65" s="984"/>
      <c r="O65" s="1209"/>
      <c r="Q65" s="13"/>
      <c r="R65" s="13"/>
      <c r="S65" s="13"/>
      <c r="T65" s="13"/>
      <c r="U65" s="13"/>
      <c r="V65" s="13"/>
      <c r="W65" s="14"/>
    </row>
    <row r="66" spans="1:23" ht="13.8" thickBot="1" x14ac:dyDescent="0.35">
      <c r="A66" s="130">
        <v>1</v>
      </c>
      <c r="B66" s="131">
        <f>+A66+1</f>
        <v>2</v>
      </c>
      <c r="C66" s="132">
        <f t="shared" ref="C66:H66" si="5">+B66+1</f>
        <v>3</v>
      </c>
      <c r="D66" s="131">
        <f t="shared" si="5"/>
        <v>4</v>
      </c>
      <c r="E66" s="131">
        <f t="shared" si="5"/>
        <v>5</v>
      </c>
      <c r="F66" s="131">
        <f t="shared" si="5"/>
        <v>6</v>
      </c>
      <c r="G66" s="698">
        <f>+F66+1</f>
        <v>7</v>
      </c>
      <c r="H66" s="978">
        <f t="shared" si="5"/>
        <v>8</v>
      </c>
      <c r="I66" s="978"/>
      <c r="J66" s="978"/>
      <c r="K66" s="978"/>
      <c r="L66" s="978"/>
      <c r="M66" s="978"/>
      <c r="N66" s="978"/>
      <c r="O66" s="131">
        <f>+H66+1</f>
        <v>9</v>
      </c>
      <c r="Q66" s="13"/>
      <c r="R66" s="13"/>
      <c r="S66" s="13"/>
      <c r="T66" s="13"/>
      <c r="U66" s="13"/>
      <c r="V66" s="13"/>
      <c r="W66" s="14"/>
    </row>
    <row r="67" spans="1:23" x14ac:dyDescent="0.3">
      <c r="A67" s="133"/>
      <c r="B67" s="699"/>
      <c r="C67" s="135"/>
      <c r="D67" s="133"/>
      <c r="E67" s="136"/>
      <c r="F67" s="136"/>
      <c r="G67" s="700"/>
      <c r="H67" s="979"/>
      <c r="I67" s="979"/>
      <c r="J67" s="979"/>
      <c r="K67" s="979"/>
      <c r="L67" s="979"/>
      <c r="M67" s="979"/>
      <c r="N67" s="979"/>
      <c r="O67" s="138"/>
      <c r="Q67" s="13"/>
      <c r="R67" s="13"/>
      <c r="S67" s="13"/>
      <c r="T67" s="13"/>
      <c r="U67" s="13"/>
      <c r="V67" s="13"/>
      <c r="W67" s="14"/>
    </row>
    <row r="68" spans="1:23" x14ac:dyDescent="0.3">
      <c r="A68" s="26"/>
      <c r="B68" s="701" t="s">
        <v>1274</v>
      </c>
      <c r="C68" s="35"/>
      <c r="D68" s="26"/>
      <c r="E68" s="29"/>
      <c r="F68" s="29"/>
      <c r="G68" s="681"/>
      <c r="H68" s="972"/>
      <c r="I68" s="972"/>
      <c r="J68" s="972"/>
      <c r="K68" s="972"/>
      <c r="L68" s="972"/>
      <c r="M68" s="972"/>
      <c r="N68" s="972"/>
      <c r="O68" s="31"/>
      <c r="Q68" s="13"/>
      <c r="R68" s="13"/>
      <c r="S68" s="13"/>
      <c r="T68" s="13"/>
      <c r="U68" s="13"/>
      <c r="V68" s="13"/>
      <c r="W68" s="14"/>
    </row>
    <row r="69" spans="1:23" x14ac:dyDescent="0.3">
      <c r="A69" s="26">
        <v>1</v>
      </c>
      <c r="B69" s="702" t="s">
        <v>1275</v>
      </c>
      <c r="C69" s="35"/>
      <c r="D69" s="703">
        <v>1</v>
      </c>
      <c r="E69" s="29"/>
      <c r="F69" s="140" t="s">
        <v>224</v>
      </c>
      <c r="G69" s="681">
        <v>3832500</v>
      </c>
      <c r="H69" s="972">
        <v>3650000</v>
      </c>
      <c r="I69" s="972"/>
      <c r="J69" s="972"/>
      <c r="K69" s="972"/>
      <c r="L69" s="972"/>
      <c r="M69" s="972"/>
      <c r="N69" s="972"/>
      <c r="O69" s="142" t="s">
        <v>225</v>
      </c>
      <c r="Q69" s="13"/>
      <c r="R69" s="13"/>
      <c r="S69" s="13"/>
      <c r="T69" s="13"/>
      <c r="U69" s="13"/>
      <c r="V69" s="13"/>
      <c r="W69" s="14"/>
    </row>
    <row r="70" spans="1:23" x14ac:dyDescent="0.3">
      <c r="A70" s="26"/>
      <c r="B70" s="704"/>
      <c r="C70" s="705" t="s">
        <v>1276</v>
      </c>
      <c r="D70" s="703"/>
      <c r="E70" s="29"/>
      <c r="F70" s="140"/>
      <c r="G70" s="681"/>
      <c r="H70" s="972"/>
      <c r="I70" s="972"/>
      <c r="J70" s="972"/>
      <c r="K70" s="972"/>
      <c r="L70" s="972"/>
      <c r="M70" s="972"/>
      <c r="N70" s="972"/>
      <c r="O70" s="142"/>
      <c r="Q70" s="13"/>
      <c r="R70" s="13"/>
      <c r="S70" s="13"/>
      <c r="T70" s="13"/>
      <c r="U70" s="13"/>
      <c r="V70" s="13"/>
      <c r="W70" s="14"/>
    </row>
    <row r="71" spans="1:23" ht="26.4" x14ac:dyDescent="0.3">
      <c r="A71" s="26">
        <f>+A69+1</f>
        <v>2</v>
      </c>
      <c r="B71" s="706"/>
      <c r="C71" s="35" t="s">
        <v>1277</v>
      </c>
      <c r="D71" s="703">
        <v>1</v>
      </c>
      <c r="E71" s="29"/>
      <c r="F71" s="140" t="s">
        <v>224</v>
      </c>
      <c r="G71" s="681">
        <v>984000</v>
      </c>
      <c r="H71" s="972">
        <v>800000</v>
      </c>
      <c r="I71" s="972"/>
      <c r="J71" s="972"/>
      <c r="K71" s="972"/>
      <c r="L71" s="972"/>
      <c r="M71" s="972"/>
      <c r="N71" s="972"/>
      <c r="O71" s="142" t="s">
        <v>225</v>
      </c>
      <c r="Q71" s="13"/>
      <c r="R71" s="13"/>
      <c r="S71" s="13"/>
      <c r="T71" s="13"/>
      <c r="U71" s="13"/>
      <c r="V71" s="13"/>
      <c r="W71" s="14"/>
    </row>
    <row r="72" spans="1:23" ht="14.4" x14ac:dyDescent="0.3">
      <c r="A72" s="26">
        <f>+A71+1</f>
        <v>3</v>
      </c>
      <c r="B72" s="706"/>
      <c r="C72" s="35" t="s">
        <v>1278</v>
      </c>
      <c r="D72" s="703">
        <v>1</v>
      </c>
      <c r="E72" s="29"/>
      <c r="F72" s="140" t="s">
        <v>224</v>
      </c>
      <c r="G72" s="681">
        <v>1783499.9999999998</v>
      </c>
      <c r="H72" s="972">
        <v>1450000</v>
      </c>
      <c r="I72" s="972"/>
      <c r="J72" s="972"/>
      <c r="K72" s="972"/>
      <c r="L72" s="972"/>
      <c r="M72" s="972"/>
      <c r="N72" s="972"/>
      <c r="O72" s="142" t="s">
        <v>225</v>
      </c>
      <c r="Q72" s="13"/>
      <c r="R72" s="13"/>
      <c r="S72" s="13"/>
      <c r="T72" s="13"/>
      <c r="U72" s="13"/>
      <c r="V72" s="13"/>
      <c r="W72" s="14"/>
    </row>
    <row r="73" spans="1:23" ht="14.4" x14ac:dyDescent="0.3">
      <c r="A73" s="26">
        <f>+A72+1</f>
        <v>4</v>
      </c>
      <c r="B73" s="706"/>
      <c r="C73" s="35" t="s">
        <v>1279</v>
      </c>
      <c r="D73" s="703">
        <v>1</v>
      </c>
      <c r="E73" s="29"/>
      <c r="F73" s="140" t="s">
        <v>224</v>
      </c>
      <c r="G73" s="681">
        <v>184500</v>
      </c>
      <c r="H73" s="972">
        <v>150000</v>
      </c>
      <c r="I73" s="972"/>
      <c r="J73" s="972"/>
      <c r="K73" s="972"/>
      <c r="L73" s="972"/>
      <c r="M73" s="972"/>
      <c r="N73" s="972"/>
      <c r="O73" s="142" t="s">
        <v>225</v>
      </c>
      <c r="Q73" s="13"/>
      <c r="R73" s="13"/>
      <c r="S73" s="13"/>
      <c r="T73" s="13"/>
      <c r="U73" s="13"/>
      <c r="V73" s="13"/>
      <c r="W73" s="14"/>
    </row>
    <row r="74" spans="1:23" ht="14.4" x14ac:dyDescent="0.3">
      <c r="A74" s="26">
        <f>+A73+1</f>
        <v>5</v>
      </c>
      <c r="B74" s="706"/>
      <c r="C74" s="35" t="s">
        <v>1280</v>
      </c>
      <c r="D74" s="703">
        <v>1</v>
      </c>
      <c r="E74" s="29"/>
      <c r="F74" s="140" t="s">
        <v>224</v>
      </c>
      <c r="G74" s="681">
        <v>1845000</v>
      </c>
      <c r="H74" s="972">
        <v>1500000</v>
      </c>
      <c r="I74" s="972"/>
      <c r="J74" s="972"/>
      <c r="K74" s="972"/>
      <c r="L74" s="972"/>
      <c r="M74" s="972"/>
      <c r="N74" s="972"/>
      <c r="O74" s="142" t="s">
        <v>225</v>
      </c>
      <c r="Q74" s="13"/>
      <c r="R74" s="13"/>
      <c r="S74" s="13"/>
      <c r="T74" s="13"/>
      <c r="U74" s="13"/>
      <c r="V74" s="13"/>
      <c r="W74" s="14"/>
    </row>
    <row r="75" spans="1:23" ht="14.4" x14ac:dyDescent="0.3">
      <c r="A75" s="26">
        <f>+A74+1</f>
        <v>6</v>
      </c>
      <c r="B75" s="706"/>
      <c r="C75" s="35" t="s">
        <v>1281</v>
      </c>
      <c r="D75" s="703" t="s">
        <v>104</v>
      </c>
      <c r="E75" s="29"/>
      <c r="F75" s="140" t="s">
        <v>224</v>
      </c>
      <c r="G75" s="681">
        <v>3690000</v>
      </c>
      <c r="H75" s="972">
        <v>3000000</v>
      </c>
      <c r="I75" s="972"/>
      <c r="J75" s="972"/>
      <c r="K75" s="972"/>
      <c r="L75" s="972"/>
      <c r="M75" s="972"/>
      <c r="N75" s="972"/>
      <c r="O75" s="142" t="s">
        <v>225</v>
      </c>
      <c r="Q75" s="13"/>
      <c r="R75" s="13"/>
      <c r="S75" s="13"/>
      <c r="T75" s="13"/>
      <c r="U75" s="13"/>
      <c r="V75" s="13"/>
      <c r="W75" s="14"/>
    </row>
    <row r="76" spans="1:23" ht="14.4" x14ac:dyDescent="0.3">
      <c r="A76" s="26"/>
      <c r="B76" s="706"/>
      <c r="C76" s="705" t="s">
        <v>1282</v>
      </c>
      <c r="D76" s="703"/>
      <c r="E76" s="29"/>
      <c r="F76" s="140"/>
      <c r="G76" s="681"/>
      <c r="H76" s="972"/>
      <c r="I76" s="972"/>
      <c r="J76" s="972"/>
      <c r="K76" s="972"/>
      <c r="L76" s="972"/>
      <c r="M76" s="972"/>
      <c r="N76" s="972"/>
      <c r="O76" s="142"/>
      <c r="Q76" s="13"/>
      <c r="R76" s="13"/>
      <c r="S76" s="13"/>
      <c r="T76" s="13"/>
      <c r="U76" s="13"/>
      <c r="V76" s="13"/>
      <c r="W76" s="14"/>
    </row>
    <row r="77" spans="1:23" ht="14.4" x14ac:dyDescent="0.3">
      <c r="A77" s="26">
        <f>+A75+1</f>
        <v>7</v>
      </c>
      <c r="B77" s="706"/>
      <c r="C77" s="35" t="s">
        <v>1283</v>
      </c>
      <c r="D77" s="703">
        <v>1</v>
      </c>
      <c r="E77" s="29"/>
      <c r="F77" s="140" t="s">
        <v>224</v>
      </c>
      <c r="G77" s="681">
        <v>4305000</v>
      </c>
      <c r="H77" s="972">
        <v>3500000</v>
      </c>
      <c r="I77" s="972"/>
      <c r="J77" s="972"/>
      <c r="K77" s="972"/>
      <c r="L77" s="972"/>
      <c r="M77" s="972"/>
      <c r="N77" s="972"/>
      <c r="O77" s="142" t="s">
        <v>225</v>
      </c>
      <c r="Q77" s="13"/>
      <c r="R77" s="13"/>
      <c r="S77" s="13"/>
      <c r="T77" s="13"/>
      <c r="U77" s="13"/>
      <c r="V77" s="13"/>
      <c r="W77" s="14"/>
    </row>
    <row r="78" spans="1:23" ht="14.4" x14ac:dyDescent="0.3">
      <c r="A78" s="26">
        <f>+A77+1</f>
        <v>8</v>
      </c>
      <c r="B78" s="706"/>
      <c r="C78" s="35" t="s">
        <v>1284</v>
      </c>
      <c r="D78" s="703">
        <v>1</v>
      </c>
      <c r="E78" s="29"/>
      <c r="F78" s="140" t="s">
        <v>224</v>
      </c>
      <c r="G78" s="707">
        <f>6150000*0+703000-550+57700</f>
        <v>760150</v>
      </c>
      <c r="H78" s="972">
        <f>5000000*0+575000</f>
        <v>575000</v>
      </c>
      <c r="I78" s="972"/>
      <c r="J78" s="972"/>
      <c r="K78" s="972"/>
      <c r="L78" s="972"/>
      <c r="M78" s="972"/>
      <c r="N78" s="972"/>
      <c r="O78" s="142" t="s">
        <v>225</v>
      </c>
      <c r="Q78" s="13"/>
      <c r="R78" s="13"/>
      <c r="S78" s="13"/>
      <c r="T78" s="13"/>
      <c r="U78" s="13"/>
      <c r="V78" s="13"/>
      <c r="W78" s="14"/>
    </row>
    <row r="79" spans="1:23" ht="14.4" x14ac:dyDescent="0.3">
      <c r="A79" s="26">
        <f>+A78+1</f>
        <v>9</v>
      </c>
      <c r="B79" s="706"/>
      <c r="C79" s="35" t="s">
        <v>1285</v>
      </c>
      <c r="D79" s="703">
        <v>1</v>
      </c>
      <c r="E79" s="29"/>
      <c r="F79" s="140" t="s">
        <v>224</v>
      </c>
      <c r="G79" s="707">
        <v>2214000</v>
      </c>
      <c r="H79" s="972">
        <v>1800000</v>
      </c>
      <c r="I79" s="972"/>
      <c r="J79" s="972"/>
      <c r="K79" s="972"/>
      <c r="L79" s="972"/>
      <c r="M79" s="972"/>
      <c r="N79" s="972"/>
      <c r="O79" s="142" t="s">
        <v>225</v>
      </c>
      <c r="Q79" s="13"/>
      <c r="R79" s="13"/>
      <c r="S79" s="13"/>
      <c r="T79" s="13"/>
      <c r="U79" s="13"/>
      <c r="V79" s="13"/>
      <c r="W79" s="14"/>
    </row>
    <row r="80" spans="1:23" ht="14.4" x14ac:dyDescent="0.3">
      <c r="A80" s="26">
        <f>+A79+1</f>
        <v>10</v>
      </c>
      <c r="B80" s="706"/>
      <c r="C80" s="35" t="s">
        <v>1184</v>
      </c>
      <c r="D80" s="703">
        <v>1</v>
      </c>
      <c r="E80" s="29"/>
      <c r="F80" s="140" t="s">
        <v>224</v>
      </c>
      <c r="G80" s="707">
        <v>1845000</v>
      </c>
      <c r="H80" s="972">
        <v>1500000</v>
      </c>
      <c r="I80" s="972"/>
      <c r="J80" s="972"/>
      <c r="K80" s="972"/>
      <c r="L80" s="972"/>
      <c r="M80" s="972"/>
      <c r="N80" s="972"/>
      <c r="O80" s="142" t="s">
        <v>225</v>
      </c>
      <c r="Q80" s="13"/>
      <c r="R80" s="13"/>
      <c r="S80" s="13"/>
      <c r="T80" s="13"/>
      <c r="U80" s="13"/>
      <c r="V80" s="13"/>
      <c r="W80" s="14"/>
    </row>
    <row r="81" spans="1:23" ht="26.4" x14ac:dyDescent="0.3">
      <c r="A81" s="26">
        <f>+A80+1</f>
        <v>11</v>
      </c>
      <c r="B81" s="706"/>
      <c r="C81" s="35" t="s">
        <v>1286</v>
      </c>
      <c r="D81" s="703">
        <v>1</v>
      </c>
      <c r="E81" s="29"/>
      <c r="F81" s="140" t="s">
        <v>224</v>
      </c>
      <c r="G81" s="707">
        <f>15375000*0+3075000</f>
        <v>3075000</v>
      </c>
      <c r="H81" s="972">
        <f>12500000*0+2500000</f>
        <v>2500000</v>
      </c>
      <c r="I81" s="972"/>
      <c r="J81" s="972"/>
      <c r="K81" s="972"/>
      <c r="L81" s="972"/>
      <c r="M81" s="972"/>
      <c r="N81" s="972"/>
      <c r="O81" s="142" t="s">
        <v>225</v>
      </c>
      <c r="Q81" s="13"/>
      <c r="R81" s="13"/>
      <c r="S81" s="13"/>
      <c r="T81" s="13"/>
      <c r="U81" s="13"/>
      <c r="V81" s="13"/>
      <c r="W81" s="14"/>
    </row>
    <row r="82" spans="1:23" ht="14.4" x14ac:dyDescent="0.3">
      <c r="A82" s="26"/>
      <c r="B82" s="706"/>
      <c r="C82" s="705" t="s">
        <v>1287</v>
      </c>
      <c r="D82" s="703"/>
      <c r="E82" s="29"/>
      <c r="F82" s="140"/>
      <c r="G82" s="707"/>
      <c r="H82" s="972"/>
      <c r="I82" s="972"/>
      <c r="J82" s="972"/>
      <c r="K82" s="972"/>
      <c r="L82" s="972"/>
      <c r="M82" s="972"/>
      <c r="N82" s="972"/>
      <c r="O82" s="142"/>
      <c r="Q82" s="13"/>
      <c r="R82" s="13"/>
      <c r="S82" s="13"/>
      <c r="T82" s="13"/>
      <c r="U82" s="13"/>
      <c r="V82" s="13"/>
      <c r="W82" s="14"/>
    </row>
    <row r="83" spans="1:23" ht="26.4" x14ac:dyDescent="0.3">
      <c r="A83" s="26">
        <f>+A81+1</f>
        <v>12</v>
      </c>
      <c r="B83" s="706"/>
      <c r="C83" s="35" t="s">
        <v>1288</v>
      </c>
      <c r="D83" s="703" t="s">
        <v>104</v>
      </c>
      <c r="E83" s="29"/>
      <c r="F83" s="140" t="s">
        <v>224</v>
      </c>
      <c r="G83" s="707">
        <v>615000.00000000012</v>
      </c>
      <c r="H83" s="972">
        <v>500000</v>
      </c>
      <c r="I83" s="972"/>
      <c r="J83" s="972"/>
      <c r="K83" s="972"/>
      <c r="L83" s="972"/>
      <c r="M83" s="972"/>
      <c r="N83" s="972"/>
      <c r="O83" s="142" t="s">
        <v>225</v>
      </c>
      <c r="Q83" s="13"/>
      <c r="R83" s="13"/>
      <c r="S83" s="13"/>
      <c r="T83" s="13"/>
      <c r="U83" s="13"/>
      <c r="V83" s="13"/>
      <c r="W83" s="14"/>
    </row>
    <row r="84" spans="1:23" ht="14.4" x14ac:dyDescent="0.3">
      <c r="A84" s="26"/>
      <c r="B84" s="706"/>
      <c r="C84" s="705" t="s">
        <v>1195</v>
      </c>
      <c r="D84" s="703"/>
      <c r="E84" s="29"/>
      <c r="F84" s="140"/>
      <c r="G84" s="707"/>
      <c r="H84" s="972"/>
      <c r="I84" s="972"/>
      <c r="J84" s="972"/>
      <c r="K84" s="972"/>
      <c r="L84" s="972"/>
      <c r="M84" s="972"/>
      <c r="N84" s="972"/>
      <c r="O84" s="142"/>
      <c r="Q84" s="13"/>
      <c r="R84" s="13"/>
      <c r="S84" s="13"/>
      <c r="T84" s="13"/>
      <c r="U84" s="13"/>
      <c r="V84" s="13"/>
      <c r="W84" s="14"/>
    </row>
    <row r="85" spans="1:23" ht="26.4" x14ac:dyDescent="0.3">
      <c r="A85" s="26">
        <f>+A83+1</f>
        <v>13</v>
      </c>
      <c r="B85" s="706"/>
      <c r="C85" s="35" t="s">
        <v>1196</v>
      </c>
      <c r="D85" s="703">
        <v>1</v>
      </c>
      <c r="E85" s="29"/>
      <c r="F85" s="140" t="s">
        <v>224</v>
      </c>
      <c r="G85" s="707">
        <v>9227460</v>
      </c>
      <c r="H85" s="972">
        <v>7502000</v>
      </c>
      <c r="I85" s="972"/>
      <c r="J85" s="972"/>
      <c r="K85" s="972"/>
      <c r="L85" s="972"/>
      <c r="M85" s="972"/>
      <c r="N85" s="972"/>
      <c r="O85" s="142" t="s">
        <v>225</v>
      </c>
      <c r="Q85" s="13"/>
      <c r="R85" s="13"/>
      <c r="S85" s="13"/>
      <c r="T85" s="13"/>
      <c r="U85" s="13"/>
      <c r="V85" s="13"/>
      <c r="W85" s="14"/>
    </row>
    <row r="86" spans="1:23" ht="26.4" x14ac:dyDescent="0.3">
      <c r="A86" s="26">
        <f>+A85+1</f>
        <v>14</v>
      </c>
      <c r="B86" s="706"/>
      <c r="C86" s="35" t="s">
        <v>1197</v>
      </c>
      <c r="D86" s="703">
        <v>1</v>
      </c>
      <c r="E86" s="29"/>
      <c r="F86" s="140" t="s">
        <v>224</v>
      </c>
      <c r="G86" s="707">
        <v>1230000.0000000002</v>
      </c>
      <c r="H86" s="972">
        <v>1000000</v>
      </c>
      <c r="I86" s="972"/>
      <c r="J86" s="972"/>
      <c r="K86" s="972"/>
      <c r="L86" s="972"/>
      <c r="M86" s="972"/>
      <c r="N86" s="972"/>
      <c r="O86" s="142" t="s">
        <v>225</v>
      </c>
      <c r="Q86" s="13"/>
      <c r="R86" s="13"/>
      <c r="S86" s="13"/>
      <c r="T86" s="13"/>
      <c r="U86" s="13"/>
      <c r="V86" s="13"/>
      <c r="W86" s="14"/>
    </row>
    <row r="87" spans="1:23" ht="26.4" x14ac:dyDescent="0.3">
      <c r="A87" s="26">
        <f>+A86+1</f>
        <v>15</v>
      </c>
      <c r="B87" s="706"/>
      <c r="C87" s="35" t="s">
        <v>1289</v>
      </c>
      <c r="D87" s="703">
        <v>1</v>
      </c>
      <c r="E87" s="29"/>
      <c r="F87" s="140" t="s">
        <v>224</v>
      </c>
      <c r="G87" s="707">
        <v>922500</v>
      </c>
      <c r="H87" s="972">
        <v>750000</v>
      </c>
      <c r="I87" s="972"/>
      <c r="J87" s="972"/>
      <c r="K87" s="972"/>
      <c r="L87" s="972"/>
      <c r="M87" s="972"/>
      <c r="N87" s="972"/>
      <c r="O87" s="142" t="s">
        <v>225</v>
      </c>
      <c r="Q87" s="13"/>
      <c r="R87" s="13"/>
      <c r="S87" s="13"/>
      <c r="T87" s="13"/>
      <c r="U87" s="13"/>
      <c r="V87" s="13"/>
      <c r="W87" s="14"/>
    </row>
    <row r="88" spans="1:23" ht="14.4" x14ac:dyDescent="0.3">
      <c r="A88" s="26"/>
      <c r="B88" s="706"/>
      <c r="C88" s="705" t="s">
        <v>1185</v>
      </c>
      <c r="D88" s="703"/>
      <c r="E88" s="29"/>
      <c r="F88" s="140"/>
      <c r="G88" s="707"/>
      <c r="H88" s="972"/>
      <c r="I88" s="972"/>
      <c r="J88" s="972"/>
      <c r="K88" s="972"/>
      <c r="L88" s="972"/>
      <c r="M88" s="972"/>
      <c r="N88" s="972"/>
      <c r="O88" s="142"/>
      <c r="Q88" s="13"/>
      <c r="R88" s="13"/>
      <c r="S88" s="13"/>
      <c r="T88" s="13"/>
      <c r="U88" s="13"/>
      <c r="V88" s="13"/>
      <c r="W88" s="14"/>
    </row>
    <row r="89" spans="1:23" ht="14.4" x14ac:dyDescent="0.3">
      <c r="A89" s="26">
        <f>+A87+1</f>
        <v>16</v>
      </c>
      <c r="B89" s="706"/>
      <c r="C89" s="35" t="s">
        <v>1290</v>
      </c>
      <c r="D89" s="703">
        <v>1</v>
      </c>
      <c r="E89" s="29"/>
      <c r="F89" s="140" t="s">
        <v>224</v>
      </c>
      <c r="G89" s="707">
        <v>7380000</v>
      </c>
      <c r="H89" s="972">
        <v>6000000</v>
      </c>
      <c r="I89" s="972"/>
      <c r="J89" s="972"/>
      <c r="K89" s="972"/>
      <c r="L89" s="972"/>
      <c r="M89" s="972"/>
      <c r="N89" s="972"/>
      <c r="O89" s="142" t="s">
        <v>225</v>
      </c>
      <c r="Q89" s="13"/>
      <c r="R89" s="13"/>
      <c r="S89" s="13"/>
      <c r="T89" s="13"/>
      <c r="U89" s="13"/>
      <c r="V89" s="13"/>
      <c r="W89" s="14"/>
    </row>
    <row r="90" spans="1:23" ht="14.4" x14ac:dyDescent="0.3">
      <c r="A90" s="26">
        <f t="shared" ref="A90:A97" si="6">+A89+1</f>
        <v>17</v>
      </c>
      <c r="B90" s="706"/>
      <c r="C90" s="35" t="s">
        <v>1186</v>
      </c>
      <c r="D90" s="703">
        <v>1</v>
      </c>
      <c r="E90" s="29"/>
      <c r="F90" s="140" t="s">
        <v>224</v>
      </c>
      <c r="G90" s="707">
        <v>3377580</v>
      </c>
      <c r="H90" s="972">
        <v>2746000</v>
      </c>
      <c r="I90" s="972"/>
      <c r="J90" s="972"/>
      <c r="K90" s="972"/>
      <c r="L90" s="972"/>
      <c r="M90" s="972"/>
      <c r="N90" s="972"/>
      <c r="O90" s="142" t="s">
        <v>225</v>
      </c>
      <c r="Q90" s="13"/>
      <c r="R90" s="13"/>
      <c r="S90" s="13"/>
      <c r="T90" s="13"/>
      <c r="U90" s="13"/>
      <c r="V90" s="13"/>
      <c r="W90" s="14"/>
    </row>
    <row r="91" spans="1:23" ht="14.4" x14ac:dyDescent="0.3">
      <c r="A91" s="26">
        <f t="shared" si="6"/>
        <v>18</v>
      </c>
      <c r="B91" s="706"/>
      <c r="C91" s="35" t="s">
        <v>1291</v>
      </c>
      <c r="D91" s="703">
        <v>3</v>
      </c>
      <c r="E91" s="29"/>
      <c r="F91" s="140" t="s">
        <v>224</v>
      </c>
      <c r="G91" s="707">
        <v>21586499.999999996</v>
      </c>
      <c r="H91" s="972">
        <v>17550000</v>
      </c>
      <c r="I91" s="972"/>
      <c r="J91" s="972"/>
      <c r="K91" s="972"/>
      <c r="L91" s="972"/>
      <c r="M91" s="972"/>
      <c r="N91" s="972"/>
      <c r="O91" s="142" t="s">
        <v>225</v>
      </c>
      <c r="Q91" s="13"/>
      <c r="R91" s="13"/>
      <c r="S91" s="13"/>
      <c r="T91" s="13"/>
      <c r="U91" s="13"/>
      <c r="V91" s="13"/>
      <c r="W91" s="14"/>
    </row>
    <row r="92" spans="1:23" ht="14.4" x14ac:dyDescent="0.3">
      <c r="A92" s="26">
        <f t="shared" si="6"/>
        <v>19</v>
      </c>
      <c r="B92" s="706"/>
      <c r="C92" s="35" t="s">
        <v>1186</v>
      </c>
      <c r="D92" s="703">
        <v>1</v>
      </c>
      <c r="E92" s="29"/>
      <c r="F92" s="140" t="s">
        <v>224</v>
      </c>
      <c r="G92" s="707">
        <v>3602670</v>
      </c>
      <c r="H92" s="972">
        <v>2929000</v>
      </c>
      <c r="I92" s="972"/>
      <c r="J92" s="972"/>
      <c r="K92" s="972"/>
      <c r="L92" s="972"/>
      <c r="M92" s="972"/>
      <c r="N92" s="972"/>
      <c r="O92" s="142" t="s">
        <v>225</v>
      </c>
      <c r="Q92" s="13"/>
      <c r="R92" s="13"/>
      <c r="S92" s="13"/>
      <c r="T92" s="13"/>
      <c r="U92" s="13"/>
      <c r="V92" s="13"/>
      <c r="W92" s="14"/>
    </row>
    <row r="93" spans="1:23" ht="14.4" x14ac:dyDescent="0.3">
      <c r="A93" s="26">
        <f t="shared" si="6"/>
        <v>20</v>
      </c>
      <c r="B93" s="706"/>
      <c r="C93" s="35" t="s">
        <v>1292</v>
      </c>
      <c r="D93" s="703">
        <v>1</v>
      </c>
      <c r="E93" s="29"/>
      <c r="F93" s="140" t="s">
        <v>224</v>
      </c>
      <c r="G93" s="707">
        <v>8856000</v>
      </c>
      <c r="H93" s="972">
        <v>7200000</v>
      </c>
      <c r="I93" s="972"/>
      <c r="J93" s="972"/>
      <c r="K93" s="972"/>
      <c r="L93" s="972"/>
      <c r="M93" s="972"/>
      <c r="N93" s="972"/>
      <c r="O93" s="142" t="s">
        <v>225</v>
      </c>
      <c r="Q93" s="13"/>
      <c r="R93" s="13"/>
      <c r="S93" s="13"/>
      <c r="T93" s="13"/>
      <c r="U93" s="13"/>
      <c r="V93" s="13"/>
      <c r="W93" s="14"/>
    </row>
    <row r="94" spans="1:23" ht="14.4" x14ac:dyDescent="0.3">
      <c r="A94" s="26">
        <f t="shared" si="6"/>
        <v>21</v>
      </c>
      <c r="B94" s="706"/>
      <c r="C94" s="35" t="s">
        <v>1186</v>
      </c>
      <c r="D94" s="703">
        <v>1</v>
      </c>
      <c r="E94" s="29"/>
      <c r="F94" s="140" t="s">
        <v>224</v>
      </c>
      <c r="G94" s="707">
        <v>4052850</v>
      </c>
      <c r="H94" s="972">
        <v>3295000</v>
      </c>
      <c r="I94" s="972"/>
      <c r="J94" s="972"/>
      <c r="K94" s="972"/>
      <c r="L94" s="972"/>
      <c r="M94" s="972"/>
      <c r="N94" s="972"/>
      <c r="O94" s="142" t="s">
        <v>225</v>
      </c>
      <c r="Q94" s="13"/>
      <c r="R94" s="13"/>
      <c r="S94" s="13"/>
      <c r="T94" s="13"/>
      <c r="U94" s="13"/>
      <c r="V94" s="13"/>
      <c r="W94" s="14"/>
    </row>
    <row r="95" spans="1:23" ht="26.4" x14ac:dyDescent="0.3">
      <c r="A95" s="26">
        <f t="shared" si="6"/>
        <v>22</v>
      </c>
      <c r="B95" s="706"/>
      <c r="C95" s="35" t="s">
        <v>1293</v>
      </c>
      <c r="D95" s="703">
        <v>1</v>
      </c>
      <c r="E95" s="29"/>
      <c r="F95" s="140" t="s">
        <v>224</v>
      </c>
      <c r="G95" s="707">
        <v>6150000</v>
      </c>
      <c r="H95" s="972">
        <v>5000000</v>
      </c>
      <c r="I95" s="972"/>
      <c r="J95" s="972"/>
      <c r="K95" s="972"/>
      <c r="L95" s="972"/>
      <c r="M95" s="972"/>
      <c r="N95" s="972"/>
      <c r="O95" s="142" t="s">
        <v>225</v>
      </c>
      <c r="Q95" s="13"/>
      <c r="R95" s="13"/>
      <c r="S95" s="13"/>
      <c r="T95" s="13"/>
      <c r="U95" s="13"/>
      <c r="V95" s="13"/>
      <c r="W95" s="14"/>
    </row>
    <row r="96" spans="1:23" ht="39.6" x14ac:dyDescent="0.3">
      <c r="A96" s="26">
        <f t="shared" si="6"/>
        <v>23</v>
      </c>
      <c r="B96" s="706"/>
      <c r="C96" s="35" t="s">
        <v>1294</v>
      </c>
      <c r="D96" s="703">
        <v>1</v>
      </c>
      <c r="E96" s="29"/>
      <c r="F96" s="140" t="s">
        <v>224</v>
      </c>
      <c r="G96" s="707">
        <v>9840000.0000000019</v>
      </c>
      <c r="H96" s="972">
        <v>8000000</v>
      </c>
      <c r="I96" s="972"/>
      <c r="J96" s="972"/>
      <c r="K96" s="972"/>
      <c r="L96" s="972"/>
      <c r="M96" s="972"/>
      <c r="N96" s="972"/>
      <c r="O96" s="142" t="s">
        <v>225</v>
      </c>
      <c r="Q96" s="13"/>
      <c r="R96" s="13"/>
      <c r="S96" s="13"/>
      <c r="T96" s="13"/>
      <c r="U96" s="13"/>
      <c r="V96" s="13"/>
      <c r="W96" s="14"/>
    </row>
    <row r="97" spans="1:23" ht="26.4" x14ac:dyDescent="0.3">
      <c r="A97" s="26">
        <f t="shared" si="6"/>
        <v>24</v>
      </c>
      <c r="B97" s="706"/>
      <c r="C97" s="35" t="s">
        <v>1187</v>
      </c>
      <c r="D97" s="703">
        <v>1</v>
      </c>
      <c r="E97" s="29"/>
      <c r="F97" s="140" t="s">
        <v>224</v>
      </c>
      <c r="G97" s="707">
        <v>7380000</v>
      </c>
      <c r="H97" s="972">
        <v>6000000</v>
      </c>
      <c r="I97" s="972"/>
      <c r="J97" s="972"/>
      <c r="K97" s="972"/>
      <c r="L97" s="972"/>
      <c r="M97" s="972"/>
      <c r="N97" s="972"/>
      <c r="O97" s="142" t="s">
        <v>225</v>
      </c>
      <c r="Q97" s="13"/>
      <c r="R97" s="13"/>
      <c r="S97" s="13"/>
      <c r="T97" s="13"/>
      <c r="U97" s="13"/>
      <c r="V97" s="13"/>
      <c r="W97" s="14"/>
    </row>
    <row r="98" spans="1:23" ht="14.4" x14ac:dyDescent="0.3">
      <c r="A98" s="26"/>
      <c r="B98" s="706"/>
      <c r="C98" s="705" t="s">
        <v>1198</v>
      </c>
      <c r="D98" s="703"/>
      <c r="E98" s="29"/>
      <c r="F98" s="140"/>
      <c r="G98" s="707"/>
      <c r="H98" s="972"/>
      <c r="I98" s="972"/>
      <c r="J98" s="972"/>
      <c r="K98" s="972"/>
      <c r="L98" s="972"/>
      <c r="M98" s="972"/>
      <c r="N98" s="972"/>
      <c r="O98" s="142"/>
      <c r="Q98" s="13"/>
      <c r="R98" s="13"/>
      <c r="S98" s="13"/>
      <c r="T98" s="13"/>
      <c r="U98" s="13"/>
      <c r="V98" s="13"/>
      <c r="W98" s="14"/>
    </row>
    <row r="99" spans="1:23" ht="14.4" x14ac:dyDescent="0.3">
      <c r="A99" s="26">
        <f>+A97+1</f>
        <v>25</v>
      </c>
      <c r="B99" s="706"/>
      <c r="C99" s="35" t="s">
        <v>1295</v>
      </c>
      <c r="D99" s="703">
        <v>1</v>
      </c>
      <c r="E99" s="29"/>
      <c r="F99" s="140" t="s">
        <v>224</v>
      </c>
      <c r="G99" s="707">
        <f>43050000</f>
        <v>43050000</v>
      </c>
      <c r="H99" s="972">
        <f>35000000</f>
        <v>35000000</v>
      </c>
      <c r="I99" s="972"/>
      <c r="J99" s="972"/>
      <c r="K99" s="972"/>
      <c r="L99" s="972"/>
      <c r="M99" s="972"/>
      <c r="N99" s="972"/>
      <c r="O99" s="142" t="s">
        <v>225</v>
      </c>
      <c r="Q99" s="13"/>
      <c r="R99" s="13"/>
      <c r="S99" s="13"/>
      <c r="T99" s="13"/>
      <c r="U99" s="13"/>
      <c r="V99" s="13"/>
      <c r="W99" s="14"/>
    </row>
    <row r="100" spans="1:23" ht="14.4" x14ac:dyDescent="0.3">
      <c r="A100" s="26">
        <f t="shared" ref="A100:A107" si="7">+A99+1</f>
        <v>26</v>
      </c>
      <c r="B100" s="706"/>
      <c r="C100" s="35" t="s">
        <v>1199</v>
      </c>
      <c r="D100" s="703">
        <v>6</v>
      </c>
      <c r="E100" s="29"/>
      <c r="F100" s="140" t="s">
        <v>224</v>
      </c>
      <c r="G100" s="707">
        <v>4797000</v>
      </c>
      <c r="H100" s="972">
        <v>3900000</v>
      </c>
      <c r="I100" s="972"/>
      <c r="J100" s="972"/>
      <c r="K100" s="972"/>
      <c r="L100" s="972"/>
      <c r="M100" s="972"/>
      <c r="N100" s="972"/>
      <c r="O100" s="142" t="s">
        <v>225</v>
      </c>
      <c r="Q100" s="13"/>
      <c r="R100" s="13"/>
      <c r="S100" s="13"/>
      <c r="T100" s="13"/>
      <c r="U100" s="13"/>
      <c r="V100" s="13"/>
      <c r="W100" s="14"/>
    </row>
    <row r="101" spans="1:23" ht="14.4" x14ac:dyDescent="0.3">
      <c r="A101" s="26">
        <f t="shared" si="7"/>
        <v>27</v>
      </c>
      <c r="B101" s="706"/>
      <c r="C101" s="35" t="s">
        <v>1296</v>
      </c>
      <c r="D101" s="703">
        <v>2</v>
      </c>
      <c r="E101" s="29"/>
      <c r="F101" s="140" t="s">
        <v>224</v>
      </c>
      <c r="G101" s="707">
        <v>5658000.0000000009</v>
      </c>
      <c r="H101" s="972">
        <v>4600000</v>
      </c>
      <c r="I101" s="972"/>
      <c r="J101" s="972"/>
      <c r="K101" s="972"/>
      <c r="L101" s="972"/>
      <c r="M101" s="972"/>
      <c r="N101" s="972"/>
      <c r="O101" s="142" t="s">
        <v>225</v>
      </c>
      <c r="Q101" s="13"/>
      <c r="R101" s="13"/>
      <c r="S101" s="13"/>
      <c r="T101" s="13"/>
      <c r="U101" s="13"/>
      <c r="V101" s="13"/>
      <c r="W101" s="14"/>
    </row>
    <row r="102" spans="1:23" ht="14.4" x14ac:dyDescent="0.3">
      <c r="A102" s="26">
        <f t="shared" si="7"/>
        <v>28</v>
      </c>
      <c r="B102" s="706"/>
      <c r="C102" s="35" t="s">
        <v>1297</v>
      </c>
      <c r="D102" s="703">
        <v>1</v>
      </c>
      <c r="E102" s="29"/>
      <c r="F102" s="140" t="s">
        <v>224</v>
      </c>
      <c r="G102" s="707">
        <f>6150000*0+4305000</f>
        <v>4305000</v>
      </c>
      <c r="H102" s="972">
        <f>5000000*0+3500000</f>
        <v>3500000</v>
      </c>
      <c r="I102" s="972"/>
      <c r="J102" s="972"/>
      <c r="K102" s="972"/>
      <c r="L102" s="972"/>
      <c r="M102" s="972"/>
      <c r="N102" s="972"/>
      <c r="O102" s="142" t="s">
        <v>225</v>
      </c>
      <c r="Q102" s="13"/>
      <c r="R102" s="13"/>
      <c r="S102" s="13"/>
      <c r="T102" s="13"/>
      <c r="U102" s="13"/>
      <c r="V102" s="13"/>
      <c r="W102" s="14"/>
    </row>
    <row r="103" spans="1:23" ht="26.4" x14ac:dyDescent="0.3">
      <c r="A103" s="26">
        <f t="shared" si="7"/>
        <v>29</v>
      </c>
      <c r="B103" s="706"/>
      <c r="C103" s="35" t="s">
        <v>1200</v>
      </c>
      <c r="D103" s="703">
        <v>1</v>
      </c>
      <c r="E103" s="29"/>
      <c r="F103" s="140" t="s">
        <v>224</v>
      </c>
      <c r="G103" s="707">
        <f>9840000*0+3690000</f>
        <v>3690000</v>
      </c>
      <c r="H103" s="972">
        <f>8000000*0+3000000</f>
        <v>3000000</v>
      </c>
      <c r="I103" s="972"/>
      <c r="J103" s="972"/>
      <c r="K103" s="972"/>
      <c r="L103" s="972"/>
      <c r="M103" s="972"/>
      <c r="N103" s="972"/>
      <c r="O103" s="142" t="s">
        <v>225</v>
      </c>
      <c r="Q103" s="13"/>
      <c r="R103" s="13"/>
      <c r="S103" s="13"/>
      <c r="T103" s="13"/>
      <c r="U103" s="13"/>
      <c r="V103" s="13"/>
      <c r="W103" s="14"/>
    </row>
    <row r="104" spans="1:23" ht="14.4" x14ac:dyDescent="0.3">
      <c r="A104" s="26">
        <f t="shared" si="7"/>
        <v>30</v>
      </c>
      <c r="B104" s="706"/>
      <c r="C104" s="35" t="s">
        <v>1201</v>
      </c>
      <c r="D104" s="703">
        <v>1</v>
      </c>
      <c r="E104" s="29"/>
      <c r="F104" s="140" t="s">
        <v>224</v>
      </c>
      <c r="G104" s="707">
        <v>4305000</v>
      </c>
      <c r="H104" s="972">
        <v>3500000</v>
      </c>
      <c r="I104" s="972"/>
      <c r="J104" s="972"/>
      <c r="K104" s="972"/>
      <c r="L104" s="972"/>
      <c r="M104" s="972"/>
      <c r="N104" s="972"/>
      <c r="O104" s="142" t="s">
        <v>225</v>
      </c>
      <c r="Q104" s="13"/>
      <c r="R104" s="13"/>
      <c r="S104" s="13"/>
      <c r="T104" s="13"/>
      <c r="U104" s="13"/>
      <c r="V104" s="13"/>
      <c r="W104" s="14"/>
    </row>
    <row r="105" spans="1:23" ht="14.4" x14ac:dyDescent="0.3">
      <c r="A105" s="26">
        <f t="shared" si="7"/>
        <v>31</v>
      </c>
      <c r="B105" s="706"/>
      <c r="C105" s="35" t="s">
        <v>40</v>
      </c>
      <c r="D105" s="703">
        <v>1</v>
      </c>
      <c r="E105" s="29"/>
      <c r="F105" s="140" t="s">
        <v>224</v>
      </c>
      <c r="G105" s="707">
        <v>5535000</v>
      </c>
      <c r="H105" s="972">
        <v>4500000</v>
      </c>
      <c r="I105" s="972"/>
      <c r="J105" s="972"/>
      <c r="K105" s="972"/>
      <c r="L105" s="972"/>
      <c r="M105" s="972"/>
      <c r="N105" s="972"/>
      <c r="O105" s="142" t="s">
        <v>225</v>
      </c>
      <c r="Q105" s="13"/>
      <c r="R105" s="13"/>
      <c r="S105" s="13"/>
      <c r="T105" s="13"/>
      <c r="U105" s="13"/>
      <c r="V105" s="13"/>
      <c r="W105" s="14"/>
    </row>
    <row r="106" spans="1:23" ht="14.4" x14ac:dyDescent="0.3">
      <c r="A106" s="26">
        <f t="shared" si="7"/>
        <v>32</v>
      </c>
      <c r="B106" s="706"/>
      <c r="C106" s="35" t="s">
        <v>273</v>
      </c>
      <c r="D106" s="703">
        <v>1</v>
      </c>
      <c r="E106" s="29"/>
      <c r="F106" s="140" t="s">
        <v>224</v>
      </c>
      <c r="G106" s="707">
        <f>7257000*0+5535000</f>
        <v>5535000</v>
      </c>
      <c r="H106" s="972">
        <f>5900000*0+4500000</f>
        <v>4500000</v>
      </c>
      <c r="I106" s="972"/>
      <c r="J106" s="972"/>
      <c r="K106" s="972"/>
      <c r="L106" s="972"/>
      <c r="M106" s="972"/>
      <c r="N106" s="972"/>
      <c r="O106" s="142" t="s">
        <v>225</v>
      </c>
      <c r="Q106" s="13"/>
      <c r="R106" s="13"/>
      <c r="S106" s="13"/>
      <c r="T106" s="13"/>
      <c r="U106" s="13"/>
      <c r="V106" s="13"/>
      <c r="W106" s="14"/>
    </row>
    <row r="107" spans="1:23" ht="39.6" x14ac:dyDescent="0.3">
      <c r="A107" s="26">
        <f t="shared" si="7"/>
        <v>33</v>
      </c>
      <c r="B107" s="706"/>
      <c r="C107" s="35" t="s">
        <v>1202</v>
      </c>
      <c r="D107" s="703">
        <v>1</v>
      </c>
      <c r="E107" s="29"/>
      <c r="F107" s="140" t="s">
        <v>224</v>
      </c>
      <c r="G107" s="681">
        <v>2460000.0000000005</v>
      </c>
      <c r="H107" s="972">
        <v>2000000</v>
      </c>
      <c r="I107" s="972"/>
      <c r="J107" s="972"/>
      <c r="K107" s="972"/>
      <c r="L107" s="972"/>
      <c r="M107" s="972"/>
      <c r="N107" s="972"/>
      <c r="O107" s="142" t="s">
        <v>225</v>
      </c>
      <c r="Q107" s="13"/>
      <c r="R107" s="13"/>
      <c r="S107" s="13"/>
      <c r="T107" s="13"/>
      <c r="U107" s="13"/>
      <c r="V107" s="13"/>
      <c r="W107" s="14"/>
    </row>
    <row r="108" spans="1:23" ht="14.4" x14ac:dyDescent="0.3">
      <c r="A108" s="26"/>
      <c r="B108" s="706"/>
      <c r="C108" s="705" t="s">
        <v>1183</v>
      </c>
      <c r="D108" s="703"/>
      <c r="E108" s="29"/>
      <c r="F108" s="140"/>
      <c r="G108" s="681"/>
      <c r="H108" s="972"/>
      <c r="I108" s="972"/>
      <c r="J108" s="972"/>
      <c r="K108" s="972"/>
      <c r="L108" s="972"/>
      <c r="M108" s="972"/>
      <c r="N108" s="972"/>
      <c r="O108" s="142"/>
      <c r="Q108" s="13"/>
      <c r="R108" s="13"/>
      <c r="S108" s="13"/>
      <c r="T108" s="13"/>
      <c r="U108" s="13"/>
      <c r="V108" s="13"/>
      <c r="W108" s="14"/>
    </row>
    <row r="109" spans="1:23" ht="39.6" x14ac:dyDescent="0.3">
      <c r="A109" s="26">
        <f>+A107+1</f>
        <v>34</v>
      </c>
      <c r="B109" s="706"/>
      <c r="C109" s="35" t="s">
        <v>1298</v>
      </c>
      <c r="D109" s="703">
        <v>1</v>
      </c>
      <c r="E109" s="29"/>
      <c r="F109" s="140" t="s">
        <v>224</v>
      </c>
      <c r="G109" s="681">
        <v>3075000</v>
      </c>
      <c r="H109" s="972">
        <v>2500000</v>
      </c>
      <c r="I109" s="972"/>
      <c r="J109" s="972"/>
      <c r="K109" s="972"/>
      <c r="L109" s="972"/>
      <c r="M109" s="972"/>
      <c r="N109" s="972"/>
      <c r="O109" s="142" t="s">
        <v>225</v>
      </c>
      <c r="Q109" s="13"/>
      <c r="R109" s="13"/>
      <c r="S109" s="13"/>
      <c r="T109" s="13"/>
      <c r="U109" s="13"/>
      <c r="V109" s="13"/>
      <c r="W109" s="14"/>
    </row>
    <row r="110" spans="1:23" ht="66" x14ac:dyDescent="0.3">
      <c r="A110" s="26">
        <f>+A109+1</f>
        <v>35</v>
      </c>
      <c r="B110" s="706"/>
      <c r="C110" s="35" t="s">
        <v>1299</v>
      </c>
      <c r="D110" s="703">
        <v>1</v>
      </c>
      <c r="E110" s="29"/>
      <c r="F110" s="140" t="s">
        <v>224</v>
      </c>
      <c r="G110" s="681">
        <v>3075000</v>
      </c>
      <c r="H110" s="972">
        <v>2500000</v>
      </c>
      <c r="I110" s="972"/>
      <c r="J110" s="972"/>
      <c r="K110" s="972"/>
      <c r="L110" s="972"/>
      <c r="M110" s="972"/>
      <c r="N110" s="972"/>
      <c r="O110" s="142" t="s">
        <v>225</v>
      </c>
      <c r="Q110" s="13"/>
      <c r="R110" s="13"/>
      <c r="S110" s="13"/>
      <c r="T110" s="13"/>
      <c r="U110" s="13"/>
      <c r="V110" s="13"/>
      <c r="W110" s="14"/>
    </row>
    <row r="111" spans="1:23" ht="14.4" x14ac:dyDescent="0.3">
      <c r="A111" s="26">
        <f>+A110+1</f>
        <v>36</v>
      </c>
      <c r="B111" s="706"/>
      <c r="C111" s="35" t="s">
        <v>1203</v>
      </c>
      <c r="D111" s="703">
        <v>1</v>
      </c>
      <c r="E111" s="29"/>
      <c r="F111" s="140" t="s">
        <v>224</v>
      </c>
      <c r="G111" s="681">
        <v>2460000.0000000005</v>
      </c>
      <c r="H111" s="972">
        <v>2000000</v>
      </c>
      <c r="I111" s="972"/>
      <c r="J111" s="972"/>
      <c r="K111" s="972"/>
      <c r="L111" s="972"/>
      <c r="M111" s="972"/>
      <c r="N111" s="972"/>
      <c r="O111" s="142" t="s">
        <v>225</v>
      </c>
      <c r="Q111" s="13"/>
      <c r="R111" s="13"/>
      <c r="S111" s="13"/>
      <c r="T111" s="13"/>
      <c r="U111" s="13"/>
      <c r="V111" s="13"/>
      <c r="W111" s="14"/>
    </row>
    <row r="112" spans="1:23" ht="26.4" x14ac:dyDescent="0.3">
      <c r="A112" s="26">
        <f>+A111+1</f>
        <v>37</v>
      </c>
      <c r="B112" s="706"/>
      <c r="C112" s="35" t="s">
        <v>1190</v>
      </c>
      <c r="D112" s="703">
        <v>1</v>
      </c>
      <c r="E112" s="29"/>
      <c r="F112" s="140" t="s">
        <v>224</v>
      </c>
      <c r="G112" s="681">
        <v>12300000</v>
      </c>
      <c r="H112" s="972">
        <v>10000000</v>
      </c>
      <c r="I112" s="972"/>
      <c r="J112" s="972"/>
      <c r="K112" s="972"/>
      <c r="L112" s="972"/>
      <c r="M112" s="972"/>
      <c r="N112" s="972"/>
      <c r="O112" s="142" t="s">
        <v>225</v>
      </c>
      <c r="Q112" s="13"/>
      <c r="R112" s="13"/>
      <c r="S112" s="13"/>
      <c r="T112" s="13"/>
      <c r="U112" s="13"/>
      <c r="V112" s="13"/>
      <c r="W112" s="14"/>
    </row>
    <row r="113" spans="1:23" ht="26.4" x14ac:dyDescent="0.3">
      <c r="A113" s="26">
        <f>+A112+1</f>
        <v>38</v>
      </c>
      <c r="B113" s="706"/>
      <c r="C113" s="35" t="s">
        <v>1188</v>
      </c>
      <c r="D113" s="703">
        <v>1</v>
      </c>
      <c r="E113" s="29"/>
      <c r="F113" s="140" t="s">
        <v>224</v>
      </c>
      <c r="G113" s="681">
        <v>2460000.0000000005</v>
      </c>
      <c r="H113" s="972">
        <v>2000000</v>
      </c>
      <c r="I113" s="972"/>
      <c r="J113" s="972"/>
      <c r="K113" s="972"/>
      <c r="L113" s="972"/>
      <c r="M113" s="972"/>
      <c r="N113" s="972"/>
      <c r="O113" s="142" t="s">
        <v>225</v>
      </c>
      <c r="Q113" s="13"/>
      <c r="R113" s="13"/>
      <c r="S113" s="13"/>
      <c r="T113" s="13"/>
      <c r="U113" s="13"/>
      <c r="V113" s="13"/>
      <c r="W113" s="14"/>
    </row>
    <row r="114" spans="1:23" ht="14.4" x14ac:dyDescent="0.3">
      <c r="A114" s="26">
        <f>+A113+1</f>
        <v>39</v>
      </c>
      <c r="B114" s="706"/>
      <c r="C114" s="35" t="s">
        <v>1189</v>
      </c>
      <c r="D114" s="703">
        <v>1</v>
      </c>
      <c r="E114" s="29"/>
      <c r="F114" s="140" t="s">
        <v>224</v>
      </c>
      <c r="G114" s="681">
        <v>1845000</v>
      </c>
      <c r="H114" s="972">
        <v>1500000</v>
      </c>
      <c r="I114" s="972"/>
      <c r="J114" s="972"/>
      <c r="K114" s="972"/>
      <c r="L114" s="972"/>
      <c r="M114" s="972"/>
      <c r="N114" s="972"/>
      <c r="O114" s="142" t="s">
        <v>225</v>
      </c>
      <c r="Q114" s="13"/>
      <c r="R114" s="13"/>
      <c r="S114" s="13"/>
      <c r="T114" s="13"/>
      <c r="U114" s="13"/>
      <c r="V114" s="13"/>
      <c r="W114" s="14"/>
    </row>
    <row r="115" spans="1:23" x14ac:dyDescent="0.3">
      <c r="A115" s="26"/>
      <c r="B115" s="701"/>
      <c r="C115" s="35"/>
      <c r="D115" s="703"/>
      <c r="E115" s="29"/>
      <c r="F115" s="140"/>
      <c r="G115" s="681"/>
      <c r="H115" s="972"/>
      <c r="I115" s="972"/>
      <c r="J115" s="972"/>
      <c r="K115" s="972"/>
      <c r="L115" s="972"/>
      <c r="M115" s="972"/>
      <c r="N115" s="972"/>
      <c r="O115" s="142" t="s">
        <v>225</v>
      </c>
      <c r="Q115" s="13"/>
      <c r="R115" s="13"/>
      <c r="S115" s="13"/>
      <c r="T115" s="13"/>
      <c r="U115" s="13"/>
      <c r="V115" s="13"/>
      <c r="W115" s="14"/>
    </row>
    <row r="116" spans="1:23" ht="13.8" thickBot="1" x14ac:dyDescent="0.35">
      <c r="A116" s="42"/>
      <c r="B116" s="708"/>
      <c r="C116" s="43"/>
      <c r="D116" s="44"/>
      <c r="E116" s="44"/>
      <c r="F116" s="123"/>
      <c r="G116" s="709"/>
      <c r="H116" s="980"/>
      <c r="I116" s="980"/>
      <c r="J116" s="980"/>
      <c r="K116" s="980"/>
      <c r="L116" s="980"/>
      <c r="M116" s="980"/>
      <c r="N116" s="980"/>
      <c r="O116" s="44"/>
      <c r="Q116" s="13"/>
      <c r="R116" s="13"/>
      <c r="S116" s="13"/>
      <c r="T116" s="13"/>
      <c r="U116" s="13"/>
      <c r="V116" s="13"/>
      <c r="W116" s="14"/>
    </row>
    <row r="117" spans="1:23" ht="13.8" thickBot="1" x14ac:dyDescent="0.35">
      <c r="A117" s="46"/>
      <c r="B117" s="1217" t="s">
        <v>1300</v>
      </c>
      <c r="C117" s="1218"/>
      <c r="D117" s="47"/>
      <c r="E117" s="159"/>
      <c r="F117" s="127"/>
      <c r="G117" s="710">
        <f>SUM(G67:G116)</f>
        <v>213289210</v>
      </c>
      <c r="H117" s="981">
        <f>SUM(H67:H116)</f>
        <v>173897000</v>
      </c>
      <c r="I117" s="985"/>
      <c r="J117" s="985"/>
      <c r="K117" s="985"/>
      <c r="L117" s="985"/>
      <c r="M117" s="985"/>
      <c r="N117" s="985"/>
      <c r="O117" s="49"/>
      <c r="Q117" s="13"/>
      <c r="R117" s="13"/>
      <c r="S117" s="13"/>
      <c r="T117" s="13"/>
      <c r="U117" s="13"/>
      <c r="V117" s="13"/>
      <c r="W117" s="14"/>
    </row>
    <row r="118" spans="1:23" x14ac:dyDescent="0.3">
      <c r="B118" s="9"/>
      <c r="D118" s="54"/>
      <c r="E118" s="13"/>
      <c r="F118" s="12"/>
      <c r="G118" s="676"/>
      <c r="O118" s="13"/>
      <c r="Q118" s="13"/>
      <c r="R118" s="13"/>
      <c r="S118" s="13"/>
      <c r="T118" s="13"/>
      <c r="U118" s="13"/>
      <c r="V118" s="13"/>
      <c r="W118" s="14"/>
    </row>
    <row r="119" spans="1:23" x14ac:dyDescent="0.3">
      <c r="B119" s="9"/>
      <c r="D119" s="54"/>
      <c r="E119" s="13"/>
      <c r="F119" s="12"/>
      <c r="G119" s="676"/>
      <c r="O119" s="13"/>
      <c r="Q119" s="13"/>
      <c r="R119" s="13"/>
      <c r="S119" s="13"/>
      <c r="T119" s="13"/>
      <c r="U119" s="13"/>
      <c r="V119" s="13"/>
      <c r="W119" s="14"/>
    </row>
  </sheetData>
  <mergeCells count="49">
    <mergeCell ref="B117:C117"/>
    <mergeCell ref="H55:H58"/>
    <mergeCell ref="O55:O65"/>
    <mergeCell ref="A56:A65"/>
    <mergeCell ref="B56:B63"/>
    <mergeCell ref="C56:C63"/>
    <mergeCell ref="E58:F58"/>
    <mergeCell ref="E59:E65"/>
    <mergeCell ref="F59:F65"/>
    <mergeCell ref="H59:H65"/>
    <mergeCell ref="B64:B65"/>
    <mergeCell ref="G55:G65"/>
    <mergeCell ref="B43:C43"/>
    <mergeCell ref="B53:C53"/>
    <mergeCell ref="B55:C55"/>
    <mergeCell ref="D55:D65"/>
    <mergeCell ref="E55:F57"/>
    <mergeCell ref="C64:C65"/>
    <mergeCell ref="U15:U20"/>
    <mergeCell ref="V15:V20"/>
    <mergeCell ref="B19:B20"/>
    <mergeCell ref="C19:C20"/>
    <mergeCell ref="O19:O20"/>
    <mergeCell ref="P19:P20"/>
    <mergeCell ref="Q19:Q20"/>
    <mergeCell ref="T10:T20"/>
    <mergeCell ref="U10:V14"/>
    <mergeCell ref="W10:W20"/>
    <mergeCell ref="A11:A20"/>
    <mergeCell ref="B11:B18"/>
    <mergeCell ref="C11:C18"/>
    <mergeCell ref="E13:F13"/>
    <mergeCell ref="E14:E20"/>
    <mergeCell ref="F14:F20"/>
    <mergeCell ref="H14:H20"/>
    <mergeCell ref="G10:G20"/>
    <mergeCell ref="H10:H13"/>
    <mergeCell ref="O10:O17"/>
    <mergeCell ref="P10:Q13"/>
    <mergeCell ref="R10:R20"/>
    <mergeCell ref="S10:S20"/>
    <mergeCell ref="P14:P18"/>
    <mergeCell ref="Q14:Q18"/>
    <mergeCell ref="E2:F2"/>
    <mergeCell ref="E3:F3"/>
    <mergeCell ref="B8:F8"/>
    <mergeCell ref="B10:C10"/>
    <mergeCell ref="D10:D20"/>
    <mergeCell ref="E10:F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BI1048495"/>
  <sheetViews>
    <sheetView topLeftCell="A4" zoomScaleNormal="100" workbookViewId="0">
      <pane xSplit="3" ySplit="2" topLeftCell="D94" activePane="bottomRight" state="frozen"/>
      <selection activeCell="A4" sqref="A4"/>
      <selection pane="topRight" activeCell="E4" sqref="E4"/>
      <selection pane="bottomLeft" activeCell="A5" sqref="A5"/>
      <selection pane="bottomRight" activeCell="L100" sqref="L100:L101"/>
    </sheetView>
  </sheetViews>
  <sheetFormatPr defaultColWidth="8.109375" defaultRowHeight="20.25" customHeight="1" x14ac:dyDescent="0.3"/>
  <cols>
    <col min="1" max="1" width="1" style="13" customWidth="1"/>
    <col min="2" max="2" width="5.109375" style="13" customWidth="1"/>
    <col min="3" max="3" width="8.109375" style="1154"/>
    <col min="4" max="4" width="18.88671875" style="1140" customWidth="1"/>
    <col min="5" max="5" width="7.33203125" style="10" bestFit="1" customWidth="1"/>
    <col min="6" max="6" width="18.5546875" style="779" bestFit="1" customWidth="1"/>
    <col min="7" max="7" width="24.6640625" style="14" customWidth="1"/>
    <col min="8" max="8" width="8.109375" style="14"/>
    <col min="9" max="9" width="0" style="14" hidden="1" customWidth="1"/>
    <col min="10" max="10" width="17.88671875" style="14" hidden="1" customWidth="1"/>
    <col min="11" max="11" width="13.5546875" style="14" hidden="1" customWidth="1"/>
    <col min="12" max="12" width="18.5546875" style="1196" bestFit="1" customWidth="1"/>
    <col min="13" max="13" width="17.44140625" style="14" customWidth="1"/>
    <col min="14" max="16" width="0" style="14" hidden="1" customWidth="1"/>
    <col min="17" max="17" width="8.109375" style="14"/>
    <col min="18" max="18" width="11.44140625" style="14" hidden="1" customWidth="1"/>
    <col min="19" max="20" width="0" style="14" hidden="1" customWidth="1"/>
    <col min="21" max="21" width="19.88671875" style="14" hidden="1" customWidth="1"/>
    <col min="22" max="22" width="0" style="14" hidden="1" customWidth="1"/>
    <col min="23" max="23" width="22.6640625" style="12" customWidth="1"/>
    <col min="24" max="24" width="15.44140625" style="12" customWidth="1"/>
    <col min="25" max="25" width="11.33203125" style="1153" customWidth="1"/>
    <col min="26" max="28" width="0" style="1153" hidden="1" customWidth="1"/>
    <col min="29" max="29" width="8.5546875" style="13" hidden="1" customWidth="1"/>
    <col min="30" max="30" width="11.109375" style="13" hidden="1" customWidth="1"/>
    <col min="31" max="33" width="0" style="13" hidden="1" customWidth="1"/>
    <col min="34" max="34" width="10.109375" style="13" hidden="1" customWidth="1"/>
    <col min="35" max="35" width="17.88671875" style="778" hidden="1" customWidth="1"/>
    <col min="36" max="36" width="0" style="13" hidden="1" customWidth="1"/>
    <col min="37" max="37" width="21.6640625" style="778" hidden="1" customWidth="1"/>
    <col min="38" max="38" width="11.109375" style="78" hidden="1" customWidth="1"/>
    <col min="39" max="44" width="0" style="13" hidden="1" customWidth="1"/>
    <col min="45" max="45" width="0" style="12" hidden="1" customWidth="1"/>
    <col min="46" max="46" width="0" style="13" hidden="1" customWidth="1"/>
    <col min="47" max="47" width="52.109375" style="13" hidden="1" customWidth="1"/>
    <col min="48" max="48" width="63.109375" style="13" hidden="1" customWidth="1"/>
    <col min="49" max="49" width="0" style="13" hidden="1" customWidth="1"/>
    <col min="50" max="50" width="18.5546875" style="13" hidden="1" customWidth="1"/>
    <col min="51" max="57" width="0" style="13" hidden="1" customWidth="1"/>
    <col min="58" max="16384" width="8.109375" style="13"/>
  </cols>
  <sheetData>
    <row r="1" spans="3:51" ht="20.25" customHeight="1" x14ac:dyDescent="0.3">
      <c r="C1" s="1175"/>
      <c r="D1" s="1173"/>
      <c r="E1" s="1172"/>
      <c r="F1" s="1178"/>
      <c r="G1" s="1094"/>
      <c r="H1" s="1094"/>
      <c r="I1" s="1094"/>
      <c r="J1" s="1094"/>
      <c r="K1" s="1094"/>
      <c r="L1" s="1185"/>
      <c r="M1" s="1094"/>
      <c r="N1" s="1094"/>
      <c r="O1" s="1094"/>
      <c r="P1" s="1094"/>
      <c r="Q1" s="1094"/>
      <c r="R1" s="1094"/>
      <c r="S1" s="1094"/>
      <c r="T1" s="1094"/>
      <c r="U1" s="1094"/>
      <c r="V1" s="1094"/>
      <c r="W1" s="1176"/>
      <c r="X1" s="1176"/>
      <c r="Y1" s="1177"/>
    </row>
    <row r="2" spans="3:51" ht="20.25" customHeight="1" x14ac:dyDescent="0.3">
      <c r="C2" s="1175"/>
      <c r="D2" s="1179" t="s">
        <v>1749</v>
      </c>
      <c r="E2" s="1180"/>
      <c r="F2" s="1178"/>
      <c r="G2" s="1094"/>
      <c r="H2" s="1094"/>
      <c r="I2" s="1094"/>
      <c r="J2" s="1094"/>
      <c r="K2" s="1094"/>
      <c r="L2" s="1185"/>
      <c r="M2" s="1094"/>
      <c r="N2" s="1094"/>
      <c r="O2" s="1094"/>
      <c r="P2" s="1094"/>
      <c r="Q2" s="1094"/>
      <c r="R2" s="1094"/>
      <c r="S2" s="1094"/>
      <c r="T2" s="1094"/>
      <c r="U2" s="1094"/>
      <c r="V2" s="1094"/>
      <c r="W2" s="1176"/>
      <c r="X2" s="1176"/>
      <c r="Y2" s="1177"/>
      <c r="AL2" s="13"/>
    </row>
    <row r="3" spans="3:51" ht="20.25" customHeight="1" x14ac:dyDescent="0.3">
      <c r="C3" s="1175"/>
      <c r="D3" s="1179" t="s">
        <v>1751</v>
      </c>
      <c r="E3" s="1180"/>
      <c r="F3" s="1178"/>
      <c r="G3" s="1094"/>
      <c r="H3" s="1094"/>
      <c r="I3" s="1094"/>
      <c r="J3" s="1094"/>
      <c r="K3" s="1094"/>
      <c r="L3" s="1185"/>
      <c r="M3" s="1094"/>
      <c r="N3" s="1094"/>
      <c r="O3" s="1094"/>
      <c r="P3" s="1094"/>
      <c r="Q3" s="1094"/>
      <c r="R3" s="1094"/>
      <c r="S3" s="1094"/>
      <c r="T3" s="1094"/>
      <c r="U3" s="1094"/>
      <c r="V3" s="1094"/>
      <c r="W3" s="1176"/>
      <c r="X3" s="1176"/>
      <c r="Y3" s="1177"/>
      <c r="AL3" s="13"/>
    </row>
    <row r="4" spans="3:51" ht="20.25" customHeight="1" x14ac:dyDescent="0.3">
      <c r="C4" s="1410" t="s">
        <v>1866</v>
      </c>
      <c r="D4" s="1411"/>
      <c r="E4" s="1411"/>
      <c r="F4" s="1411"/>
      <c r="G4" s="1411"/>
      <c r="H4" s="1411"/>
      <c r="I4" s="1411"/>
      <c r="J4" s="1411"/>
      <c r="K4" s="1411"/>
      <c r="L4" s="1411"/>
      <c r="M4" s="1411"/>
      <c r="N4" s="1411"/>
      <c r="O4" s="1411"/>
      <c r="P4" s="1411"/>
      <c r="Q4" s="1411"/>
      <c r="R4" s="1411"/>
      <c r="S4" s="1411"/>
      <c r="T4" s="1411"/>
      <c r="U4" s="1411"/>
      <c r="V4" s="1411"/>
      <c r="W4" s="1411"/>
      <c r="X4" s="1411"/>
      <c r="Y4" s="1412"/>
      <c r="AL4" s="13"/>
    </row>
    <row r="5" spans="3:51" s="1078" customFormat="1" ht="44.25" customHeight="1" x14ac:dyDescent="0.3">
      <c r="C5" s="1393" t="s">
        <v>1798</v>
      </c>
      <c r="D5" s="1393"/>
      <c r="E5" s="1180" t="s">
        <v>1794</v>
      </c>
      <c r="F5" s="1181" t="s">
        <v>1799</v>
      </c>
      <c r="G5" s="1182" t="s">
        <v>1800</v>
      </c>
      <c r="H5" s="1182" t="s">
        <v>1802</v>
      </c>
      <c r="I5" s="1182"/>
      <c r="J5" s="1182"/>
      <c r="K5" s="1182"/>
      <c r="L5" s="1184" t="s">
        <v>1801</v>
      </c>
      <c r="M5" s="1182" t="s">
        <v>1795</v>
      </c>
      <c r="N5" s="1182"/>
      <c r="O5" s="1182"/>
      <c r="P5" s="1182"/>
      <c r="Q5" s="1182" t="s">
        <v>1796</v>
      </c>
      <c r="R5" s="1182"/>
      <c r="S5" s="1182" t="s">
        <v>1784</v>
      </c>
      <c r="T5" s="1182"/>
      <c r="U5" s="1182"/>
      <c r="V5" s="1182"/>
      <c r="W5" s="1183" t="s">
        <v>1822</v>
      </c>
      <c r="X5" s="1183" t="s">
        <v>1783</v>
      </c>
      <c r="Y5" s="1164" t="s">
        <v>1797</v>
      </c>
      <c r="Z5" s="1163"/>
      <c r="AA5" s="1158"/>
      <c r="AB5" s="1158"/>
      <c r="AC5" s="1157" t="s">
        <v>1781</v>
      </c>
      <c r="AD5" s="1159"/>
      <c r="AE5" s="1157" t="s">
        <v>1782</v>
      </c>
      <c r="AF5" s="1159"/>
      <c r="AG5" s="1159"/>
      <c r="AH5" s="1159"/>
      <c r="AI5" s="1160">
        <f>778600+571200</f>
        <v>1349800</v>
      </c>
      <c r="AJ5" s="1159"/>
      <c r="AK5" s="1160" t="s">
        <v>1791</v>
      </c>
      <c r="AL5" s="1159" t="s">
        <v>1790</v>
      </c>
      <c r="AM5" s="1159"/>
      <c r="AN5" s="1159"/>
      <c r="AO5" s="1159"/>
      <c r="AP5" s="1159"/>
      <c r="AQ5" s="1159"/>
      <c r="AS5" s="1084"/>
    </row>
    <row r="6" spans="3:51" ht="30.75" customHeight="1" x14ac:dyDescent="0.3">
      <c r="C6" s="1172">
        <v>1</v>
      </c>
      <c r="D6" s="1394" t="str">
        <f>'UID application COMBINE Mc list'!B23</f>
        <v xml:space="preserve">Two-for-one Twister operating at the speed of 8000 rpm with cradle, drop wires and overfeed system. </v>
      </c>
      <c r="E6" s="1395">
        <f>'UID application COMBINE Mc list'!D23</f>
        <v>48</v>
      </c>
      <c r="F6" s="1396">
        <f>'UID application COMBINE Mc list'!H23</f>
        <v>187920000.00000003</v>
      </c>
      <c r="G6" s="1397" t="s">
        <v>1654</v>
      </c>
      <c r="H6" s="1390">
        <v>48</v>
      </c>
      <c r="I6" s="1182" t="s">
        <v>347</v>
      </c>
      <c r="J6" s="1184"/>
      <c r="K6" s="1185"/>
      <c r="L6" s="1391">
        <v>187829200</v>
      </c>
      <c r="M6" s="1392" t="s">
        <v>1301</v>
      </c>
      <c r="N6" s="1182" t="s">
        <v>649</v>
      </c>
      <c r="O6" s="1182" t="s">
        <v>649</v>
      </c>
      <c r="P6" s="1182" t="s">
        <v>649</v>
      </c>
      <c r="Q6" s="1174">
        <v>2021</v>
      </c>
      <c r="R6" s="1094" t="s">
        <v>1640</v>
      </c>
      <c r="S6" s="1094" t="s">
        <v>1585</v>
      </c>
      <c r="T6" s="1094" t="s">
        <v>1581</v>
      </c>
      <c r="U6" s="1174">
        <v>84453090</v>
      </c>
      <c r="V6" s="1182"/>
      <c r="W6" s="1164" t="s">
        <v>1316</v>
      </c>
      <c r="X6" s="1164">
        <v>5992086</v>
      </c>
      <c r="Y6" s="1164" t="s">
        <v>889</v>
      </c>
      <c r="AD6" s="1153" t="s">
        <v>1415</v>
      </c>
      <c r="AE6" s="1156" t="s">
        <v>1416</v>
      </c>
      <c r="AF6" s="103" t="s">
        <v>1411</v>
      </c>
      <c r="AG6" s="103"/>
      <c r="AH6" s="103"/>
      <c r="AI6" s="778">
        <v>99100</v>
      </c>
      <c r="AJ6" s="103">
        <f>AK6/99100</f>
        <v>88.01</v>
      </c>
      <c r="AK6" s="788">
        <v>8721791</v>
      </c>
      <c r="AL6" s="103" t="s">
        <v>1321</v>
      </c>
      <c r="AM6" s="103" t="s">
        <v>1308</v>
      </c>
      <c r="AN6" s="103" t="s">
        <v>1309</v>
      </c>
      <c r="AO6" s="103" t="s">
        <v>1310</v>
      </c>
      <c r="AP6" s="716"/>
      <c r="AQ6" s="716"/>
      <c r="AR6" s="103" t="s">
        <v>1311</v>
      </c>
      <c r="AS6" s="20"/>
      <c r="AV6" s="14" t="s">
        <v>1598</v>
      </c>
      <c r="AW6" s="1298" t="s">
        <v>1695</v>
      </c>
    </row>
    <row r="7" spans="3:51" ht="30.75" customHeight="1" x14ac:dyDescent="0.3">
      <c r="C7" s="1172"/>
      <c r="D7" s="1394"/>
      <c r="E7" s="1395"/>
      <c r="F7" s="1396"/>
      <c r="G7" s="1397"/>
      <c r="H7" s="1390"/>
      <c r="I7" s="1182"/>
      <c r="J7" s="1182"/>
      <c r="K7" s="1094"/>
      <c r="L7" s="1391"/>
      <c r="M7" s="1392"/>
      <c r="N7" s="1182"/>
      <c r="O7" s="1182"/>
      <c r="P7" s="1182"/>
      <c r="Q7" s="1174">
        <v>2021</v>
      </c>
      <c r="R7" s="1094" t="s">
        <v>1640</v>
      </c>
      <c r="S7" s="1094" t="s">
        <v>1583</v>
      </c>
      <c r="T7" s="1094" t="s">
        <v>1581</v>
      </c>
      <c r="U7" s="1174">
        <v>84453090</v>
      </c>
      <c r="V7" s="1182"/>
      <c r="W7" s="1164" t="s">
        <v>1303</v>
      </c>
      <c r="X7" s="1164">
        <v>6307908</v>
      </c>
      <c r="Y7" s="1164" t="s">
        <v>889</v>
      </c>
      <c r="Z7" s="714" t="s">
        <v>889</v>
      </c>
      <c r="AA7" s="719" t="s">
        <v>1306</v>
      </c>
      <c r="AB7" s="722" t="s">
        <v>649</v>
      </c>
      <c r="AC7" s="1094" t="s">
        <v>1317</v>
      </c>
      <c r="AD7" s="1283" t="s">
        <v>1302</v>
      </c>
      <c r="AE7" s="1095" t="s">
        <v>1419</v>
      </c>
      <c r="AF7" s="103" t="s">
        <v>1411</v>
      </c>
      <c r="AG7" s="103"/>
      <c r="AH7" s="949"/>
      <c r="AI7" s="912">
        <v>710666.67</v>
      </c>
      <c r="AJ7" s="103">
        <f>AK7/611566.67</f>
        <v>85.319999534964836</v>
      </c>
      <c r="AK7" s="788">
        <v>52178868</v>
      </c>
      <c r="AL7" s="103" t="s">
        <v>1323</v>
      </c>
      <c r="AM7" s="103" t="s">
        <v>1323</v>
      </c>
      <c r="AN7" s="103" t="s">
        <v>1191</v>
      </c>
      <c r="AO7" s="103" t="s">
        <v>1310</v>
      </c>
      <c r="AP7" s="103"/>
      <c r="AQ7" s="103"/>
      <c r="AR7" s="103" t="s">
        <v>1312</v>
      </c>
      <c r="AS7" s="20"/>
      <c r="AU7" s="13" t="s">
        <v>1319</v>
      </c>
      <c r="AV7" s="13">
        <f>99100/2</f>
        <v>49550</v>
      </c>
      <c r="AW7" s="1298"/>
      <c r="AY7" s="13">
        <f>AI7*88.1</f>
        <v>62609733.626999997</v>
      </c>
    </row>
    <row r="8" spans="3:51" ht="30.75" customHeight="1" x14ac:dyDescent="0.3">
      <c r="C8" s="1172"/>
      <c r="D8" s="1394"/>
      <c r="E8" s="1395"/>
      <c r="F8" s="1396"/>
      <c r="G8" s="1397"/>
      <c r="H8" s="1390"/>
      <c r="I8" s="1182"/>
      <c r="J8" s="1182"/>
      <c r="K8" s="1094"/>
      <c r="L8" s="1391"/>
      <c r="M8" s="1392"/>
      <c r="N8" s="1182"/>
      <c r="O8" s="1182"/>
      <c r="P8" s="1182"/>
      <c r="Q8" s="1174">
        <v>2021</v>
      </c>
      <c r="R8" s="1094" t="s">
        <v>1640</v>
      </c>
      <c r="S8" s="1094" t="s">
        <v>1584</v>
      </c>
      <c r="T8" s="1094" t="s">
        <v>1581</v>
      </c>
      <c r="U8" s="1174">
        <v>84453090</v>
      </c>
      <c r="V8" s="1182"/>
      <c r="W8" s="1164" t="s">
        <v>1590</v>
      </c>
      <c r="X8" s="1164">
        <v>6183154</v>
      </c>
      <c r="Y8" s="1164" t="s">
        <v>889</v>
      </c>
      <c r="Z8" s="714" t="s">
        <v>889</v>
      </c>
      <c r="AA8" s="719" t="s">
        <v>1306</v>
      </c>
      <c r="AB8" s="722" t="s">
        <v>649</v>
      </c>
      <c r="AC8" s="1094" t="s">
        <v>1317</v>
      </c>
      <c r="AD8" s="1283"/>
      <c r="AE8" s="1095" t="s">
        <v>1417</v>
      </c>
      <c r="AF8" s="103"/>
      <c r="AG8" s="103"/>
      <c r="AH8" s="949">
        <v>44607</v>
      </c>
      <c r="AI8" s="788">
        <v>710666.67</v>
      </c>
      <c r="AJ8" s="103">
        <f>AK8/611566.67</f>
        <v>85.194999263122028</v>
      </c>
      <c r="AK8" s="788">
        <v>52102422</v>
      </c>
      <c r="AL8" s="103" t="s">
        <v>1308</v>
      </c>
      <c r="AM8" s="103" t="s">
        <v>1308</v>
      </c>
      <c r="AN8" s="103" t="s">
        <v>1191</v>
      </c>
      <c r="AO8" s="103" t="s">
        <v>1310</v>
      </c>
      <c r="AP8" s="103"/>
      <c r="AQ8" s="103"/>
      <c r="AR8" s="103" t="s">
        <v>1312</v>
      </c>
      <c r="AS8" s="20"/>
      <c r="AV8" s="13">
        <v>611566</v>
      </c>
      <c r="AW8" s="1298"/>
      <c r="AY8" s="13">
        <f>AI8*88.1</f>
        <v>62609733.626999997</v>
      </c>
    </row>
    <row r="9" spans="3:51" ht="33" customHeight="1" x14ac:dyDescent="0.3">
      <c r="C9" s="1172"/>
      <c r="D9" s="1394"/>
      <c r="E9" s="1395"/>
      <c r="F9" s="1396"/>
      <c r="G9" s="1397"/>
      <c r="H9" s="1390"/>
      <c r="I9" s="1182"/>
      <c r="J9" s="1182"/>
      <c r="K9" s="1094"/>
      <c r="L9" s="1391"/>
      <c r="M9" s="1392"/>
      <c r="N9" s="1182"/>
      <c r="O9" s="1182"/>
      <c r="P9" s="1182"/>
      <c r="Q9" s="1174">
        <v>2021</v>
      </c>
      <c r="R9" s="1094" t="s">
        <v>1640</v>
      </c>
      <c r="S9" s="1094" t="s">
        <v>1586</v>
      </c>
      <c r="T9" s="1094" t="s">
        <v>1581</v>
      </c>
      <c r="U9" s="1174">
        <v>84453090</v>
      </c>
      <c r="V9" s="1182"/>
      <c r="W9" s="1164" t="s">
        <v>1315</v>
      </c>
      <c r="X9" s="1164">
        <v>5916588</v>
      </c>
      <c r="Y9" s="1164" t="s">
        <v>889</v>
      </c>
      <c r="Z9" s="714" t="s">
        <v>889</v>
      </c>
      <c r="AA9" s="719" t="s">
        <v>1306</v>
      </c>
      <c r="AB9" s="722" t="s">
        <v>649</v>
      </c>
      <c r="AC9" s="1094" t="s">
        <v>1318</v>
      </c>
      <c r="AD9" s="1283"/>
      <c r="AE9" s="1095" t="s">
        <v>1418</v>
      </c>
      <c r="AF9" s="103"/>
      <c r="AG9" s="103"/>
      <c r="AH9" s="949"/>
      <c r="AI9" s="788">
        <v>355333.33</v>
      </c>
      <c r="AJ9" s="103">
        <f>AK9/305783.33</f>
        <v>87.499998773641451</v>
      </c>
      <c r="AK9" s="788">
        <f>26756041</f>
        <v>26756041</v>
      </c>
      <c r="AL9" s="103" t="s">
        <v>1307</v>
      </c>
      <c r="AM9" s="103" t="s">
        <v>1307</v>
      </c>
      <c r="AN9" s="103" t="s">
        <v>1191</v>
      </c>
      <c r="AO9" s="103" t="s">
        <v>1310</v>
      </c>
      <c r="AP9" s="103"/>
      <c r="AQ9" s="103"/>
      <c r="AR9" s="103" t="s">
        <v>1312</v>
      </c>
      <c r="AS9" s="20"/>
      <c r="AW9" s="1298"/>
      <c r="AY9" s="13">
        <f>AI9*88.1</f>
        <v>31304866.373</v>
      </c>
    </row>
    <row r="10" spans="3:51" ht="20.25" customHeight="1" thickBot="1" x14ac:dyDescent="0.35">
      <c r="C10" s="1166"/>
      <c r="D10" s="1167"/>
      <c r="E10" s="1166"/>
      <c r="F10" s="859"/>
      <c r="G10" s="1167"/>
      <c r="H10" s="1166"/>
      <c r="I10" s="859"/>
      <c r="J10" s="859"/>
      <c r="K10" s="859"/>
      <c r="L10" s="859"/>
      <c r="M10" s="1167"/>
      <c r="N10" s="1166"/>
      <c r="O10" s="1166"/>
      <c r="P10" s="1166"/>
      <c r="Q10" s="1170"/>
      <c r="R10" s="1167"/>
      <c r="S10" s="1167"/>
      <c r="T10" s="1167"/>
      <c r="U10" s="1167"/>
      <c r="V10" s="1167"/>
      <c r="W10" s="1166"/>
      <c r="X10" s="1166"/>
      <c r="Y10" s="1169"/>
      <c r="Z10" s="252"/>
      <c r="AA10" s="34"/>
      <c r="AB10" s="723"/>
      <c r="AC10" s="724"/>
      <c r="AD10" s="70"/>
      <c r="AE10" s="36"/>
      <c r="AF10" s="250"/>
      <c r="AG10" s="70"/>
      <c r="AH10" s="70"/>
      <c r="AI10" s="789"/>
      <c r="AJ10" s="253"/>
      <c r="AK10" s="757"/>
      <c r="AL10" s="79"/>
      <c r="AM10" s="79"/>
      <c r="AN10" s="70"/>
      <c r="AO10" s="70"/>
      <c r="AP10" s="70"/>
      <c r="AQ10" s="70"/>
      <c r="AR10" s="70"/>
      <c r="AS10" s="55"/>
      <c r="AT10" s="17"/>
    </row>
    <row r="11" spans="3:51" ht="33.75" customHeight="1" thickBot="1" x14ac:dyDescent="0.35">
      <c r="C11" s="1166">
        <v>2</v>
      </c>
      <c r="D11" s="1413" t="str">
        <f>'UID application COMBINE Mc list'!B24</f>
        <v>Air Jet Loom without Build in Air Compressor with  Weft Insertion Rate (WIR) not less than 1200 mtrs per minutes without Electronic Dobby / Electronic Jacquard.</v>
      </c>
      <c r="E11" s="1387">
        <f>'UID application COMBINE Mc list'!D24</f>
        <v>240</v>
      </c>
      <c r="F11" s="1384">
        <f>'UID application COMBINE Mc list'!H24</f>
        <v>994464000</v>
      </c>
      <c r="G11" s="1413" t="str">
        <f>D11</f>
        <v>Air Jet Loom without Build in Air Compressor with  Weft Insertion Rate (WIR) not less than 1200 mtrs per minutes without Electronic Dobby / Electronic Jacquard.</v>
      </c>
      <c r="H11" s="1387">
        <v>239</v>
      </c>
      <c r="I11" s="859" t="s">
        <v>347</v>
      </c>
      <c r="J11" s="859"/>
      <c r="K11" s="859"/>
      <c r="L11" s="1384">
        <v>957458060</v>
      </c>
      <c r="M11" s="1433" t="s">
        <v>1324</v>
      </c>
      <c r="N11" s="1166" t="s">
        <v>649</v>
      </c>
      <c r="O11" s="1166" t="s">
        <v>649</v>
      </c>
      <c r="P11" s="1166" t="s">
        <v>649</v>
      </c>
      <c r="Q11" s="1430" t="s">
        <v>1803</v>
      </c>
      <c r="R11" s="1096"/>
      <c r="S11" s="1096"/>
      <c r="T11" s="1096"/>
      <c r="U11" s="1186">
        <v>84463090</v>
      </c>
      <c r="V11" s="1096"/>
      <c r="W11" s="1166" t="s">
        <v>1809</v>
      </c>
      <c r="X11" s="1166">
        <v>5585228</v>
      </c>
      <c r="Y11" s="1169" t="s">
        <v>888</v>
      </c>
      <c r="Z11" s="1144" t="s">
        <v>888</v>
      </c>
      <c r="AA11" s="719" t="s">
        <v>1306</v>
      </c>
      <c r="AB11" s="722" t="s">
        <v>649</v>
      </c>
      <c r="AD11" s="1250" t="s">
        <v>1328</v>
      </c>
      <c r="AE11" s="188" t="s">
        <v>649</v>
      </c>
      <c r="AF11" s="188" t="s">
        <v>649</v>
      </c>
      <c r="AG11" s="256"/>
      <c r="AH11" s="256"/>
      <c r="AI11" s="758" t="s">
        <v>1605</v>
      </c>
      <c r="AJ11" s="911">
        <f>AK11/11003824</f>
        <v>75.284611694988939</v>
      </c>
      <c r="AK11" s="913">
        <f>SUM(AK12:AK16)</f>
        <v>828418617</v>
      </c>
      <c r="AL11" s="745" t="s">
        <v>1746</v>
      </c>
      <c r="AM11" s="745" t="s">
        <v>1746</v>
      </c>
      <c r="AN11" s="256" t="s">
        <v>1371</v>
      </c>
      <c r="AO11" s="255" t="s">
        <v>1310</v>
      </c>
      <c r="AP11" s="256"/>
      <c r="AQ11" s="256"/>
      <c r="AR11" s="256"/>
      <c r="AS11" s="55"/>
      <c r="AT11" s="17"/>
      <c r="AV11" s="14" t="s">
        <v>1722</v>
      </c>
      <c r="AW11" s="1298" t="s">
        <v>1696</v>
      </c>
    </row>
    <row r="12" spans="3:51" ht="27.75" customHeight="1" x14ac:dyDescent="0.3">
      <c r="C12" s="1166"/>
      <c r="D12" s="1414"/>
      <c r="E12" s="1388"/>
      <c r="F12" s="1385"/>
      <c r="G12" s="1414"/>
      <c r="H12" s="1388"/>
      <c r="I12" s="859"/>
      <c r="J12" s="859"/>
      <c r="K12" s="859"/>
      <c r="L12" s="1385"/>
      <c r="M12" s="1434"/>
      <c r="N12" s="1166"/>
      <c r="O12" s="1166"/>
      <c r="P12" s="1166"/>
      <c r="Q12" s="1431"/>
      <c r="R12" s="1167" t="s">
        <v>1325</v>
      </c>
      <c r="S12" s="1165" t="s">
        <v>1595</v>
      </c>
      <c r="T12" s="1167"/>
      <c r="U12" s="1186">
        <v>84463090</v>
      </c>
      <c r="V12" s="1167"/>
      <c r="W12" s="1166" t="s">
        <v>1808</v>
      </c>
      <c r="X12" s="1166">
        <v>6151804</v>
      </c>
      <c r="Y12" s="1169" t="s">
        <v>888</v>
      </c>
      <c r="Z12" s="1144" t="s">
        <v>888</v>
      </c>
      <c r="AA12" s="751"/>
      <c r="AB12" s="752"/>
      <c r="AC12" s="1149" t="s">
        <v>1329</v>
      </c>
      <c r="AD12" s="1251"/>
      <c r="AE12" s="1095" t="s">
        <v>1414</v>
      </c>
      <c r="AF12" s="743"/>
      <c r="AG12" s="256"/>
      <c r="AH12" s="256"/>
      <c r="AI12" s="757" t="s">
        <v>1330</v>
      </c>
      <c r="AJ12" s="744">
        <f>AK12/2061000</f>
        <v>86.35</v>
      </c>
      <c r="AK12" s="912">
        <v>177967350</v>
      </c>
      <c r="AL12" s="745" t="s">
        <v>1365</v>
      </c>
      <c r="AM12" s="745" t="str">
        <f>AL12</f>
        <v>27.09.2021</v>
      </c>
      <c r="AN12" s="1226" t="s">
        <v>1371</v>
      </c>
      <c r="AO12" s="1249" t="s">
        <v>1310</v>
      </c>
      <c r="AP12" s="256"/>
      <c r="AQ12" s="256"/>
      <c r="AR12" s="256" t="s">
        <v>1372</v>
      </c>
      <c r="AS12" s="55"/>
      <c r="AT12" s="17"/>
      <c r="AU12" s="13" t="s">
        <v>1334</v>
      </c>
      <c r="AV12" s="14" t="s">
        <v>1602</v>
      </c>
      <c r="AW12" s="1298"/>
      <c r="AX12" s="13">
        <f>2061000+2061000+2061000+1374000+2097000+1349800</f>
        <v>11003800</v>
      </c>
      <c r="AY12" s="13">
        <f>2061000*88.45</f>
        <v>182295450</v>
      </c>
    </row>
    <row r="13" spans="3:51" ht="24.75" customHeight="1" x14ac:dyDescent="0.3">
      <c r="C13" s="1166"/>
      <c r="D13" s="1414"/>
      <c r="E13" s="1388"/>
      <c r="F13" s="1385"/>
      <c r="G13" s="1414"/>
      <c r="H13" s="1388"/>
      <c r="I13" s="859"/>
      <c r="J13" s="859"/>
      <c r="K13" s="859"/>
      <c r="L13" s="1385"/>
      <c r="M13" s="1434"/>
      <c r="N13" s="1166"/>
      <c r="O13" s="1166"/>
      <c r="P13" s="1166"/>
      <c r="Q13" s="1431"/>
      <c r="R13" s="1167" t="s">
        <v>1325</v>
      </c>
      <c r="S13" s="1167" t="s">
        <v>1332</v>
      </c>
      <c r="T13" s="1167"/>
      <c r="U13" s="1186">
        <v>84463090</v>
      </c>
      <c r="V13" s="1167"/>
      <c r="W13" s="1166" t="s">
        <v>1807</v>
      </c>
      <c r="X13" s="1166">
        <v>6672133</v>
      </c>
      <c r="Y13" s="1169" t="s">
        <v>888</v>
      </c>
      <c r="Z13" s="1144" t="s">
        <v>888</v>
      </c>
      <c r="AA13" s="1141"/>
      <c r="AB13" s="1146"/>
      <c r="AC13" s="1149" t="s">
        <v>1333</v>
      </c>
      <c r="AD13" s="1251"/>
      <c r="AE13" s="1095" t="s">
        <v>1421</v>
      </c>
      <c r="AF13" s="743"/>
      <c r="AG13" s="256"/>
      <c r="AH13" s="951">
        <v>44630</v>
      </c>
      <c r="AI13" s="757" t="s">
        <v>1330</v>
      </c>
      <c r="AJ13" s="744">
        <f>AK13/2061000</f>
        <v>87.177999999999997</v>
      </c>
      <c r="AK13" s="757">
        <v>179673858</v>
      </c>
      <c r="AL13" s="745" t="s">
        <v>1366</v>
      </c>
      <c r="AM13" s="745" t="str">
        <f>AL13</f>
        <v>21.10.2021</v>
      </c>
      <c r="AN13" s="1249"/>
      <c r="AO13" s="1249"/>
      <c r="AP13" s="256"/>
      <c r="AQ13" s="256"/>
      <c r="AR13" s="256" t="s">
        <v>1372</v>
      </c>
      <c r="AS13" s="55"/>
      <c r="AT13" s="17"/>
      <c r="AU13" s="13" t="s">
        <v>1346</v>
      </c>
      <c r="AV13" s="14" t="s">
        <v>1642</v>
      </c>
      <c r="AW13" s="1298"/>
      <c r="AY13" s="13">
        <f>2061000*88.1</f>
        <v>181574100</v>
      </c>
    </row>
    <row r="14" spans="3:51" ht="28.5" customHeight="1" x14ac:dyDescent="0.3">
      <c r="C14" s="1166"/>
      <c r="D14" s="1414"/>
      <c r="E14" s="1388"/>
      <c r="F14" s="1385"/>
      <c r="G14" s="1414"/>
      <c r="H14" s="1388"/>
      <c r="I14" s="859"/>
      <c r="J14" s="859"/>
      <c r="K14" s="859"/>
      <c r="L14" s="1385"/>
      <c r="M14" s="1434"/>
      <c r="N14" s="1166"/>
      <c r="O14" s="1166"/>
      <c r="P14" s="1166"/>
      <c r="Q14" s="1431"/>
      <c r="R14" s="1167" t="s">
        <v>1325</v>
      </c>
      <c r="S14" s="1167" t="s">
        <v>1336</v>
      </c>
      <c r="T14" s="1167"/>
      <c r="U14" s="1186">
        <v>84463090</v>
      </c>
      <c r="V14" s="1167"/>
      <c r="W14" s="1166" t="s">
        <v>1806</v>
      </c>
      <c r="X14" s="1166">
        <v>7666893</v>
      </c>
      <c r="Y14" s="1169" t="s">
        <v>888</v>
      </c>
      <c r="Z14" s="1144" t="s">
        <v>888</v>
      </c>
      <c r="AA14" s="1141"/>
      <c r="AB14" s="1146"/>
      <c r="AC14" s="1149" t="s">
        <v>1337</v>
      </c>
      <c r="AD14" s="1251"/>
      <c r="AE14" s="1095" t="s">
        <v>1420</v>
      </c>
      <c r="AF14" s="743"/>
      <c r="AG14" s="256"/>
      <c r="AH14" s="256"/>
      <c r="AI14" s="757" t="s">
        <v>1330</v>
      </c>
      <c r="AJ14" s="744">
        <f>AK14/2061000</f>
        <v>84.965000000000003</v>
      </c>
      <c r="AK14" s="757">
        <v>175112865</v>
      </c>
      <c r="AL14" s="745" t="s">
        <v>1367</v>
      </c>
      <c r="AM14" s="745" t="str">
        <f>AL14</f>
        <v>06.12.2021</v>
      </c>
      <c r="AN14" s="1249"/>
      <c r="AO14" s="1249"/>
      <c r="AP14" s="256"/>
      <c r="AQ14" s="256"/>
      <c r="AR14" s="256" t="s">
        <v>1372</v>
      </c>
      <c r="AS14" s="55"/>
      <c r="AT14" s="17"/>
      <c r="AU14" s="13" t="s">
        <v>1338</v>
      </c>
      <c r="AV14" s="14" t="s">
        <v>1603</v>
      </c>
      <c r="AW14" s="1298"/>
      <c r="AY14" s="13">
        <f>2061000*86.6</f>
        <v>178482600</v>
      </c>
    </row>
    <row r="15" spans="3:51" ht="31.5" customHeight="1" x14ac:dyDescent="0.3">
      <c r="C15" s="1166"/>
      <c r="D15" s="1414"/>
      <c r="E15" s="1388"/>
      <c r="F15" s="1385"/>
      <c r="G15" s="1414"/>
      <c r="H15" s="1388"/>
      <c r="I15" s="859"/>
      <c r="J15" s="859"/>
      <c r="K15" s="1168"/>
      <c r="L15" s="1385"/>
      <c r="M15" s="1434"/>
      <c r="N15" s="1166"/>
      <c r="O15" s="1166"/>
      <c r="P15" s="1166"/>
      <c r="Q15" s="1431"/>
      <c r="R15" s="1167" t="s">
        <v>1325</v>
      </c>
      <c r="S15" s="1167" t="s">
        <v>1339</v>
      </c>
      <c r="T15" s="1167"/>
      <c r="U15" s="1186">
        <v>84463090</v>
      </c>
      <c r="V15" s="1167"/>
      <c r="W15" s="1166" t="s">
        <v>1805</v>
      </c>
      <c r="X15" s="1166">
        <v>6992270</v>
      </c>
      <c r="Y15" s="1169" t="s">
        <v>888</v>
      </c>
      <c r="Z15" s="1144" t="s">
        <v>888</v>
      </c>
      <c r="AA15" s="1141"/>
      <c r="AB15" s="1146"/>
      <c r="AC15" s="1149" t="s">
        <v>1341</v>
      </c>
      <c r="AD15" s="1251"/>
      <c r="AE15" s="1095" t="s">
        <v>1422</v>
      </c>
      <c r="AF15" s="743"/>
      <c r="AG15" s="256"/>
      <c r="AH15" s="256"/>
      <c r="AI15" s="757" t="s">
        <v>1342</v>
      </c>
      <c r="AJ15" s="744">
        <f>AK15/1374000</f>
        <v>85.8</v>
      </c>
      <c r="AK15" s="758">
        <v>117889200</v>
      </c>
      <c r="AL15" s="745" t="s">
        <v>1370</v>
      </c>
      <c r="AM15" s="745" t="str">
        <f>AL15</f>
        <v>14.02.2022</v>
      </c>
      <c r="AN15" s="1249"/>
      <c r="AO15" s="1249"/>
      <c r="AP15" s="256"/>
      <c r="AQ15" s="256"/>
      <c r="AR15" s="256" t="s">
        <v>1372</v>
      </c>
      <c r="AS15" s="55"/>
      <c r="AT15" s="17"/>
      <c r="AU15" s="13" t="s">
        <v>1343</v>
      </c>
      <c r="AW15" s="1298"/>
      <c r="AY15" s="13">
        <f>1374000*86.9</f>
        <v>119400600.00000001</v>
      </c>
    </row>
    <row r="16" spans="3:51" ht="20.25" customHeight="1" x14ac:dyDescent="0.3">
      <c r="C16" s="1166"/>
      <c r="D16" s="1415"/>
      <c r="E16" s="1389"/>
      <c r="F16" s="1386"/>
      <c r="G16" s="1415"/>
      <c r="H16" s="1389"/>
      <c r="I16" s="859"/>
      <c r="J16" s="859"/>
      <c r="K16" s="859"/>
      <c r="L16" s="1386"/>
      <c r="M16" s="1435"/>
      <c r="N16" s="1166"/>
      <c r="O16" s="1166"/>
      <c r="P16" s="1166"/>
      <c r="Q16" s="1432"/>
      <c r="R16" s="1167" t="s">
        <v>1325</v>
      </c>
      <c r="S16" s="1167" t="s">
        <v>1361</v>
      </c>
      <c r="T16" s="1167"/>
      <c r="U16" s="1186">
        <v>84463090</v>
      </c>
      <c r="V16" s="1167"/>
      <c r="W16" s="1166" t="s">
        <v>1804</v>
      </c>
      <c r="X16" s="1166">
        <v>7870055</v>
      </c>
      <c r="Y16" s="1169" t="s">
        <v>888</v>
      </c>
      <c r="Z16" s="1144" t="s">
        <v>888</v>
      </c>
      <c r="AA16" s="1141"/>
      <c r="AB16" s="1146"/>
      <c r="AC16" s="1149" t="s">
        <v>1353</v>
      </c>
      <c r="AD16" s="1251"/>
      <c r="AE16" s="1141" t="s">
        <v>1754</v>
      </c>
      <c r="AF16" s="743"/>
      <c r="AG16" s="256"/>
      <c r="AH16" s="256"/>
      <c r="AI16" s="757" t="s">
        <v>1354</v>
      </c>
      <c r="AJ16" s="1147">
        <f>AK16/2097000</f>
        <v>84.776034334763949</v>
      </c>
      <c r="AK16" s="1145">
        <v>177775344</v>
      </c>
      <c r="AL16" s="1143" t="s">
        <v>1368</v>
      </c>
      <c r="AM16" s="1143" t="str">
        <f>AL16</f>
        <v>03.01.2022</v>
      </c>
      <c r="AN16" s="1249"/>
      <c r="AO16" s="1249"/>
      <c r="AP16" s="256"/>
      <c r="AQ16" s="256"/>
      <c r="AR16" s="1142" t="s">
        <v>1372</v>
      </c>
      <c r="AS16" s="55"/>
      <c r="AT16" s="17"/>
      <c r="AU16" s="13" t="s">
        <v>1346</v>
      </c>
      <c r="AW16" s="1298"/>
      <c r="AY16" s="1150">
        <f>2097000*85.85</f>
        <v>180027450</v>
      </c>
    </row>
    <row r="17" spans="3:51" ht="20.25" customHeight="1" x14ac:dyDescent="0.3">
      <c r="C17" s="1166"/>
      <c r="D17" s="1167"/>
      <c r="E17" s="1166"/>
      <c r="F17" s="859"/>
      <c r="G17" s="1167"/>
      <c r="H17" s="1166"/>
      <c r="I17" s="859"/>
      <c r="J17" s="859"/>
      <c r="K17" s="859"/>
      <c r="L17" s="859"/>
      <c r="M17" s="1167"/>
      <c r="N17" s="1166"/>
      <c r="O17" s="1166"/>
      <c r="P17" s="1166"/>
      <c r="Q17" s="1170"/>
      <c r="R17" s="1167"/>
      <c r="S17" s="1167"/>
      <c r="T17" s="1167"/>
      <c r="U17" s="1167"/>
      <c r="V17" s="1167"/>
      <c r="W17" s="1166"/>
      <c r="X17" s="1166"/>
      <c r="Y17" s="1169"/>
      <c r="Z17" s="1144"/>
      <c r="AA17" s="1141"/>
      <c r="AB17" s="1146"/>
      <c r="AC17" s="1146"/>
      <c r="AD17" s="256"/>
      <c r="AE17" s="188"/>
      <c r="AF17" s="743"/>
      <c r="AG17" s="256"/>
      <c r="AH17" s="256"/>
      <c r="AI17" s="757"/>
      <c r="AJ17" s="744"/>
      <c r="AK17" s="757"/>
      <c r="AL17" s="745"/>
      <c r="AM17" s="745"/>
      <c r="AN17" s="256"/>
      <c r="AO17" s="256"/>
      <c r="AP17" s="256"/>
      <c r="AQ17" s="256"/>
      <c r="AR17" s="256"/>
      <c r="AS17" s="55"/>
      <c r="AT17" s="17"/>
    </row>
    <row r="18" spans="3:51" ht="57.75" customHeight="1" x14ac:dyDescent="0.3">
      <c r="C18" s="1166">
        <v>3</v>
      </c>
      <c r="D18" s="1165" t="str">
        <f>'UID application COMBINE Mc list'!B25</f>
        <v>Ultrasonic cleaning machines for Reed</v>
      </c>
      <c r="E18" s="1192">
        <f>'UID application COMBINE Mc list'!D25</f>
        <v>1</v>
      </c>
      <c r="F18" s="1168">
        <f>'UID application COMBINE Mc list'!H25</f>
        <v>8100000.0000000009</v>
      </c>
      <c r="G18" s="1424" t="s">
        <v>649</v>
      </c>
      <c r="H18" s="1425"/>
      <c r="I18" s="1425"/>
      <c r="J18" s="1425"/>
      <c r="K18" s="1425"/>
      <c r="L18" s="1425"/>
      <c r="M18" s="1425"/>
      <c r="N18" s="1425"/>
      <c r="O18" s="1425"/>
      <c r="P18" s="1425"/>
      <c r="Q18" s="1425"/>
      <c r="R18" s="1425"/>
      <c r="S18" s="1425"/>
      <c r="T18" s="1425"/>
      <c r="U18" s="1425"/>
      <c r="V18" s="1425"/>
      <c r="W18" s="1425"/>
      <c r="X18" s="1425"/>
      <c r="Y18" s="1426"/>
      <c r="Z18" s="1144"/>
      <c r="AA18" s="1141"/>
      <c r="AB18" s="1146"/>
      <c r="AC18" s="1146"/>
      <c r="AD18" s="256"/>
      <c r="AE18" s="188"/>
      <c r="AF18" s="743"/>
      <c r="AG18" s="256"/>
      <c r="AH18" s="256"/>
      <c r="AI18" s="757"/>
      <c r="AJ18" s="744"/>
      <c r="AK18" s="757"/>
      <c r="AL18" s="745"/>
      <c r="AM18" s="745"/>
      <c r="AN18" s="256"/>
      <c r="AO18" s="256"/>
      <c r="AP18" s="256"/>
      <c r="AQ18" s="256"/>
      <c r="AR18" s="256"/>
      <c r="AS18" s="55"/>
      <c r="AT18" s="17"/>
    </row>
    <row r="19" spans="3:51" ht="20.25" customHeight="1" x14ac:dyDescent="0.3">
      <c r="C19" s="1166"/>
      <c r="D19" s="1165"/>
      <c r="E19" s="1192"/>
      <c r="F19" s="1168"/>
      <c r="G19" s="1165"/>
      <c r="H19" s="1192"/>
      <c r="I19" s="1168"/>
      <c r="J19" s="1168"/>
      <c r="K19" s="1168"/>
      <c r="L19" s="1168"/>
      <c r="M19" s="1165"/>
      <c r="N19" s="1192"/>
      <c r="O19" s="1192"/>
      <c r="P19" s="1192"/>
      <c r="Q19" s="1193"/>
      <c r="R19" s="1165"/>
      <c r="S19" s="1165"/>
      <c r="T19" s="1165"/>
      <c r="U19" s="1165"/>
      <c r="V19" s="1165"/>
      <c r="W19" s="1192"/>
      <c r="X19" s="1192"/>
      <c r="Y19" s="1169"/>
      <c r="Z19" s="1144"/>
      <c r="AA19" s="1141"/>
      <c r="AB19" s="1146"/>
      <c r="AC19" s="1146"/>
      <c r="AD19" s="256"/>
      <c r="AE19" s="188"/>
      <c r="AF19" s="743"/>
      <c r="AG19" s="256"/>
      <c r="AH19" s="256"/>
      <c r="AI19" s="757"/>
      <c r="AJ19" s="744"/>
      <c r="AK19" s="757"/>
      <c r="AL19" s="745"/>
      <c r="AM19" s="745"/>
      <c r="AN19" s="256"/>
      <c r="AO19" s="256"/>
      <c r="AP19" s="256"/>
      <c r="AQ19" s="256"/>
      <c r="AR19" s="256"/>
      <c r="AS19" s="55"/>
      <c r="AT19" s="17"/>
    </row>
    <row r="20" spans="3:51" ht="39" customHeight="1" x14ac:dyDescent="0.3">
      <c r="C20" s="1398">
        <v>4</v>
      </c>
      <c r="D20" s="1400" t="str">
        <f>'UID application COMBINE Mc list'!B26</f>
        <v xml:space="preserve">Automatic Drawing in/Warp reaching, Tying and Leasing-in machine </v>
      </c>
      <c r="E20" s="1382">
        <f>'UID application COMBINE Mc list'!D26</f>
        <v>4</v>
      </c>
      <c r="F20" s="1401">
        <f>'UID application COMBINE Mc list'!H26</f>
        <v>57600000</v>
      </c>
      <c r="G20" s="1406" t="str">
        <f>D20</f>
        <v xml:space="preserve">Automatic Drawing in/Warp reaching, Tying and Leasing-in machine </v>
      </c>
      <c r="H20" s="1382">
        <v>4</v>
      </c>
      <c r="I20" s="1168"/>
      <c r="J20" s="1168"/>
      <c r="K20" s="1168"/>
      <c r="L20" s="1401">
        <v>51088000</v>
      </c>
      <c r="M20" s="1402" t="s">
        <v>1375</v>
      </c>
      <c r="N20" s="1382" t="s">
        <v>649</v>
      </c>
      <c r="O20" s="1382" t="s">
        <v>649</v>
      </c>
      <c r="P20" s="1382" t="s">
        <v>649</v>
      </c>
      <c r="Q20" s="1416">
        <v>2021</v>
      </c>
      <c r="R20" s="1197" t="s">
        <v>1376</v>
      </c>
      <c r="S20" s="1197" t="s">
        <v>1378</v>
      </c>
      <c r="T20" s="1197"/>
      <c r="U20" s="1198">
        <v>84481900</v>
      </c>
      <c r="V20" s="1197"/>
      <c r="W20" s="1382">
        <v>2801510</v>
      </c>
      <c r="X20" s="1382">
        <v>5202083</v>
      </c>
      <c r="Y20" s="1383" t="s">
        <v>1229</v>
      </c>
      <c r="Z20" s="1144" t="s">
        <v>1229</v>
      </c>
      <c r="AA20" s="1141" t="s">
        <v>653</v>
      </c>
      <c r="AB20" s="1146" t="s">
        <v>649</v>
      </c>
      <c r="AC20" s="1309" t="s">
        <v>1383</v>
      </c>
      <c r="AD20" s="1245" t="s">
        <v>1381</v>
      </c>
      <c r="AE20" s="188"/>
      <c r="AF20" s="743" t="s">
        <v>502</v>
      </c>
      <c r="AG20" s="256"/>
      <c r="AH20" s="951">
        <v>44614</v>
      </c>
      <c r="AI20" s="1253" t="s">
        <v>1384</v>
      </c>
      <c r="AJ20" s="744">
        <f>AK20/62000</f>
        <v>81.762903225806454</v>
      </c>
      <c r="AK20" s="782">
        <v>5069300</v>
      </c>
      <c r="AL20" s="745" t="s">
        <v>1385</v>
      </c>
      <c r="AM20" s="745">
        <v>44432</v>
      </c>
      <c r="AN20" s="256" t="s">
        <v>1309</v>
      </c>
      <c r="AO20" s="256"/>
      <c r="AP20" s="256"/>
      <c r="AQ20" s="256"/>
      <c r="AR20" s="256" t="s">
        <v>1311</v>
      </c>
      <c r="AS20" s="55"/>
      <c r="AT20" s="17"/>
      <c r="AV20" s="13" t="s">
        <v>1604</v>
      </c>
      <c r="AW20" s="1298" t="s">
        <v>1697</v>
      </c>
      <c r="AY20" s="1308">
        <f>620000*82.4</f>
        <v>51088000</v>
      </c>
    </row>
    <row r="21" spans="3:51" ht="46.5" customHeight="1" x14ac:dyDescent="0.3">
      <c r="C21" s="1398"/>
      <c r="D21" s="1400"/>
      <c r="E21" s="1382"/>
      <c r="F21" s="1401"/>
      <c r="G21" s="1406"/>
      <c r="H21" s="1382"/>
      <c r="I21" s="1168"/>
      <c r="J21" s="1168"/>
      <c r="K21" s="1168"/>
      <c r="L21" s="1401"/>
      <c r="M21" s="1402"/>
      <c r="N21" s="1382"/>
      <c r="O21" s="1382"/>
      <c r="P21" s="1382"/>
      <c r="Q21" s="1417"/>
      <c r="R21" s="1197" t="s">
        <v>1377</v>
      </c>
      <c r="S21" s="1197" t="s">
        <v>1379</v>
      </c>
      <c r="T21" s="1197"/>
      <c r="U21" s="1198">
        <v>84481900</v>
      </c>
      <c r="V21" s="1197"/>
      <c r="W21" s="1382"/>
      <c r="X21" s="1382"/>
      <c r="Y21" s="1383"/>
      <c r="Z21" s="1144" t="s">
        <v>1229</v>
      </c>
      <c r="AA21" s="1141" t="s">
        <v>653</v>
      </c>
      <c r="AB21" s="1146" t="s">
        <v>649</v>
      </c>
      <c r="AC21" s="1310"/>
      <c r="AD21" s="1246"/>
      <c r="AE21" s="188"/>
      <c r="AF21" s="743" t="s">
        <v>1411</v>
      </c>
      <c r="AG21" s="256"/>
      <c r="AH21" s="951">
        <v>44614</v>
      </c>
      <c r="AI21" s="1254"/>
      <c r="AJ21" s="744">
        <f>AK21/558000</f>
        <v>81.430000000000007</v>
      </c>
      <c r="AK21" s="757">
        <v>45437940</v>
      </c>
      <c r="AL21" s="745" t="s">
        <v>1386</v>
      </c>
      <c r="AM21" s="745">
        <v>44432</v>
      </c>
      <c r="AN21" s="256" t="s">
        <v>1371</v>
      </c>
      <c r="AO21" s="256"/>
      <c r="AP21" s="256"/>
      <c r="AQ21" s="256"/>
      <c r="AR21" s="256" t="s">
        <v>1372</v>
      </c>
      <c r="AS21" s="55"/>
      <c r="AT21" s="17"/>
      <c r="AW21" s="1298"/>
      <c r="AY21" s="1308"/>
    </row>
    <row r="22" spans="3:51" ht="20.25" customHeight="1" x14ac:dyDescent="0.3">
      <c r="C22" s="1166"/>
      <c r="D22" s="1165"/>
      <c r="E22" s="1192"/>
      <c r="F22" s="1168"/>
      <c r="G22" s="1165"/>
      <c r="H22" s="1192"/>
      <c r="I22" s="1168"/>
      <c r="J22" s="1168"/>
      <c r="K22" s="1168"/>
      <c r="L22" s="1168"/>
      <c r="M22" s="1165"/>
      <c r="N22" s="1192"/>
      <c r="O22" s="1192"/>
      <c r="P22" s="1192"/>
      <c r="Q22" s="1193"/>
      <c r="R22" s="1165"/>
      <c r="S22" s="1165"/>
      <c r="T22" s="1165"/>
      <c r="U22" s="1165"/>
      <c r="V22" s="1165"/>
      <c r="W22" s="1192"/>
      <c r="X22" s="1192"/>
      <c r="Y22" s="1169"/>
      <c r="Z22" s="1144"/>
      <c r="AA22" s="1141"/>
      <c r="AB22" s="1146"/>
      <c r="AC22" s="1146"/>
      <c r="AD22" s="256"/>
      <c r="AE22" s="188"/>
      <c r="AF22" s="743"/>
      <c r="AG22" s="256"/>
      <c r="AH22" s="256"/>
      <c r="AI22" s="757"/>
      <c r="AJ22" s="744"/>
      <c r="AK22" s="757"/>
      <c r="AL22" s="745"/>
      <c r="AM22" s="745"/>
      <c r="AN22" s="256"/>
      <c r="AO22" s="256"/>
      <c r="AP22" s="256"/>
      <c r="AQ22" s="256"/>
      <c r="AR22" s="256"/>
      <c r="AS22" s="55"/>
      <c r="AT22" s="17"/>
    </row>
    <row r="23" spans="3:51" ht="50.25" customHeight="1" x14ac:dyDescent="0.3">
      <c r="C23" s="1166">
        <v>5</v>
      </c>
      <c r="D23" s="1165" t="str">
        <f>'UID application COMBINE Mc list'!B27</f>
        <v>Battery operated trolley for Beam gaiting</v>
      </c>
      <c r="E23" s="1199" t="str">
        <f>'UID application COMBINE Mc list'!D27</f>
        <v>2 Lots</v>
      </c>
      <c r="F23" s="1168">
        <f>'UID application COMBINE Mc list'!H27</f>
        <v>45900000</v>
      </c>
      <c r="G23" s="1187" t="s">
        <v>1231</v>
      </c>
      <c r="H23" s="1192" t="s">
        <v>1811</v>
      </c>
      <c r="I23" s="1168"/>
      <c r="J23" s="1168"/>
      <c r="K23" s="1168"/>
      <c r="L23" s="1168">
        <v>11330629</v>
      </c>
      <c r="M23" s="1187" t="s">
        <v>1387</v>
      </c>
      <c r="N23" s="1192" t="s">
        <v>649</v>
      </c>
      <c r="O23" s="1192" t="s">
        <v>649</v>
      </c>
      <c r="P23" s="1192" t="s">
        <v>649</v>
      </c>
      <c r="Q23" s="1200">
        <v>2021</v>
      </c>
      <c r="R23" s="1187"/>
      <c r="S23" s="1187"/>
      <c r="T23" s="1187"/>
      <c r="U23" s="1187"/>
      <c r="V23" s="1187"/>
      <c r="W23" s="1192" t="s">
        <v>1810</v>
      </c>
      <c r="X23" s="1192">
        <v>5916591</v>
      </c>
      <c r="Y23" s="1169" t="s">
        <v>1396</v>
      </c>
      <c r="Z23" s="1144"/>
      <c r="AA23" s="1141"/>
      <c r="AB23" s="1146"/>
      <c r="AC23" s="1146"/>
      <c r="AD23" s="256"/>
      <c r="AE23" s="188"/>
      <c r="AF23" s="743" t="s">
        <v>502</v>
      </c>
      <c r="AG23" s="256"/>
      <c r="AH23" s="951"/>
      <c r="AI23" s="757">
        <v>128611</v>
      </c>
      <c r="AJ23" s="744">
        <f>AK23/AI23</f>
        <v>86.350001166307706</v>
      </c>
      <c r="AK23" s="757">
        <v>11105560</v>
      </c>
      <c r="AL23" s="785" t="e">
        <f>#REF!</f>
        <v>#REF!</v>
      </c>
      <c r="AM23" s="745" t="e">
        <f>AL23</f>
        <v>#REF!</v>
      </c>
      <c r="AN23" s="256"/>
      <c r="AO23" s="256"/>
      <c r="AP23" s="256"/>
      <c r="AQ23" s="256"/>
      <c r="AR23" s="256"/>
      <c r="AS23" s="55"/>
      <c r="AT23" s="17"/>
      <c r="AW23" s="1151" t="s">
        <v>1698</v>
      </c>
    </row>
    <row r="24" spans="3:51" ht="20.25" customHeight="1" x14ac:dyDescent="0.3">
      <c r="C24" s="1166"/>
      <c r="D24" s="1165"/>
      <c r="E24" s="1192"/>
      <c r="F24" s="1168"/>
      <c r="G24" s="1165"/>
      <c r="H24" s="1192"/>
      <c r="I24" s="1168"/>
      <c r="J24" s="1168"/>
      <c r="K24" s="1168"/>
      <c r="L24" s="1168"/>
      <c r="M24" s="1165"/>
      <c r="N24" s="1192"/>
      <c r="O24" s="1192"/>
      <c r="P24" s="1192"/>
      <c r="Q24" s="1193"/>
      <c r="R24" s="1165"/>
      <c r="S24" s="1165"/>
      <c r="T24" s="1165"/>
      <c r="U24" s="1165"/>
      <c r="V24" s="1165"/>
      <c r="W24" s="1192"/>
      <c r="X24" s="1192"/>
      <c r="Y24" s="1169"/>
      <c r="Z24" s="1144"/>
      <c r="AA24" s="1141"/>
      <c r="AB24" s="1146"/>
      <c r="AC24" s="1146"/>
      <c r="AD24" s="256"/>
      <c r="AE24" s="188"/>
      <c r="AF24" s="743"/>
      <c r="AG24" s="256"/>
      <c r="AH24" s="256"/>
      <c r="AI24" s="757"/>
      <c r="AJ24" s="744"/>
      <c r="AK24" s="757"/>
      <c r="AL24" s="745"/>
      <c r="AM24" s="745"/>
      <c r="AN24" s="256"/>
      <c r="AO24" s="256"/>
      <c r="AP24" s="256"/>
      <c r="AQ24" s="256"/>
      <c r="AR24" s="256"/>
      <c r="AS24" s="55"/>
      <c r="AT24" s="17"/>
    </row>
    <row r="25" spans="3:51" ht="20.25" customHeight="1" x14ac:dyDescent="0.3">
      <c r="C25" s="1418">
        <v>6</v>
      </c>
      <c r="D25" s="1402" t="s">
        <v>1235</v>
      </c>
      <c r="E25" s="1382" t="str">
        <f>'UID application COMBINE Mc list'!D28</f>
        <v>35 Sets</v>
      </c>
      <c r="F25" s="1401">
        <f>'UID application COMBINE Mc list'!H28</f>
        <v>35536000</v>
      </c>
      <c r="G25" s="1400" t="s">
        <v>1480</v>
      </c>
      <c r="H25" s="1382">
        <v>37</v>
      </c>
      <c r="I25" s="1168"/>
      <c r="J25" s="1168"/>
      <c r="K25" s="1168"/>
      <c r="L25" s="1401">
        <v>15078495</v>
      </c>
      <c r="M25" s="1403" t="s">
        <v>1479</v>
      </c>
      <c r="N25" s="1192"/>
      <c r="O25" s="1192"/>
      <c r="P25" s="1192"/>
      <c r="Q25" s="1399">
        <v>2021</v>
      </c>
      <c r="R25" s="1165"/>
      <c r="S25" s="1165"/>
      <c r="T25" s="1165"/>
      <c r="U25" s="1165"/>
      <c r="V25" s="1165"/>
      <c r="W25" s="1102">
        <v>1231591</v>
      </c>
      <c r="X25" s="1192"/>
      <c r="Y25" s="1169"/>
      <c r="Z25" s="1144"/>
      <c r="AA25" s="1141"/>
      <c r="AB25" s="1146"/>
      <c r="AC25" s="1146"/>
      <c r="AD25" s="256"/>
      <c r="AE25" s="188"/>
      <c r="AF25" s="743"/>
      <c r="AG25" s="256"/>
      <c r="AH25" s="256"/>
      <c r="AI25" s="757"/>
      <c r="AJ25" s="744"/>
      <c r="AK25" s="757"/>
      <c r="AL25" s="745"/>
      <c r="AM25" s="745"/>
      <c r="AN25" s="256"/>
      <c r="AO25" s="256"/>
      <c r="AP25" s="256"/>
      <c r="AQ25" s="256"/>
      <c r="AR25" s="256"/>
      <c r="AS25" s="55"/>
      <c r="AT25" s="17"/>
      <c r="AW25" s="1298" t="s">
        <v>1699</v>
      </c>
    </row>
    <row r="26" spans="3:51" ht="20.25" customHeight="1" x14ac:dyDescent="0.3">
      <c r="C26" s="1419"/>
      <c r="D26" s="1402"/>
      <c r="E26" s="1382"/>
      <c r="F26" s="1401"/>
      <c r="G26" s="1400"/>
      <c r="H26" s="1382"/>
      <c r="I26" s="1168" t="s">
        <v>359</v>
      </c>
      <c r="J26" s="1168"/>
      <c r="K26" s="1168"/>
      <c r="L26" s="1401"/>
      <c r="M26" s="1404"/>
      <c r="N26" s="1192"/>
      <c r="O26" s="1192"/>
      <c r="P26" s="1192"/>
      <c r="Q26" s="1399"/>
      <c r="R26" s="1165" t="s">
        <v>1609</v>
      </c>
      <c r="S26" s="1165" t="s">
        <v>1608</v>
      </c>
      <c r="T26" s="1165"/>
      <c r="U26" s="1188">
        <v>84481190</v>
      </c>
      <c r="V26" s="1165"/>
      <c r="W26" s="1103">
        <v>1231806</v>
      </c>
      <c r="X26" s="1192"/>
      <c r="Y26" s="1169"/>
      <c r="Z26" s="1144"/>
      <c r="AA26" s="1141"/>
      <c r="AB26" s="1146"/>
      <c r="AC26" s="1146"/>
      <c r="AD26" s="256"/>
      <c r="AE26" s="188"/>
      <c r="AF26" s="743"/>
      <c r="AG26" s="256"/>
      <c r="AH26" s="256"/>
      <c r="AI26" s="757">
        <v>7659569</v>
      </c>
      <c r="AJ26" s="744"/>
      <c r="AK26" s="757">
        <v>572470</v>
      </c>
      <c r="AL26" s="965" t="s">
        <v>1562</v>
      </c>
      <c r="AM26" s="256"/>
      <c r="AN26" s="256" t="s">
        <v>1371</v>
      </c>
      <c r="AO26" s="256"/>
      <c r="AP26" s="256"/>
      <c r="AQ26" s="256"/>
      <c r="AR26" s="256"/>
      <c r="AS26" s="55"/>
      <c r="AT26" s="17"/>
      <c r="AV26" s="13" t="s">
        <v>1610</v>
      </c>
      <c r="AW26" s="1298"/>
    </row>
    <row r="27" spans="3:51" ht="20.25" customHeight="1" x14ac:dyDescent="0.3">
      <c r="C27" s="1419"/>
      <c r="D27" s="1402"/>
      <c r="E27" s="1382"/>
      <c r="F27" s="1401"/>
      <c r="G27" s="1400"/>
      <c r="H27" s="1382"/>
      <c r="I27" s="1168" t="s">
        <v>359</v>
      </c>
      <c r="J27" s="1168"/>
      <c r="K27" s="1168"/>
      <c r="L27" s="1401"/>
      <c r="M27" s="1404"/>
      <c r="N27" s="1192"/>
      <c r="O27" s="1192"/>
      <c r="P27" s="1192"/>
      <c r="Q27" s="1399"/>
      <c r="R27" s="1165" t="s">
        <v>1609</v>
      </c>
      <c r="S27" s="1165" t="s">
        <v>1607</v>
      </c>
      <c r="T27" s="1165"/>
      <c r="U27" s="1188">
        <v>84481190</v>
      </c>
      <c r="V27" s="1165"/>
      <c r="W27" s="1103">
        <v>1232307</v>
      </c>
      <c r="X27" s="1192"/>
      <c r="Y27" s="1169"/>
      <c r="Z27" s="1144"/>
      <c r="AA27" s="1141"/>
      <c r="AB27" s="1146"/>
      <c r="AC27" s="1146"/>
      <c r="AD27" s="256"/>
      <c r="AE27" s="188"/>
      <c r="AF27" s="743"/>
      <c r="AG27" s="256"/>
      <c r="AH27" s="959">
        <v>44634</v>
      </c>
      <c r="AI27" s="757">
        <v>3715667</v>
      </c>
      <c r="AJ27" s="744"/>
      <c r="AK27" s="757">
        <v>964000</v>
      </c>
      <c r="AL27" s="965" t="s">
        <v>1563</v>
      </c>
      <c r="AM27" s="256"/>
      <c r="AN27" s="256" t="s">
        <v>1371</v>
      </c>
      <c r="AO27" s="256"/>
      <c r="AP27" s="256"/>
      <c r="AQ27" s="256"/>
      <c r="AR27" s="256"/>
      <c r="AS27" s="55"/>
      <c r="AT27" s="17"/>
      <c r="AV27" s="14" t="s">
        <v>1611</v>
      </c>
      <c r="AW27" s="1298"/>
    </row>
    <row r="28" spans="3:51" ht="20.25" customHeight="1" x14ac:dyDescent="0.3">
      <c r="C28" s="1419"/>
      <c r="D28" s="1402"/>
      <c r="E28" s="1382"/>
      <c r="F28" s="1401"/>
      <c r="G28" s="1400"/>
      <c r="H28" s="1382"/>
      <c r="I28" s="1168" t="s">
        <v>359</v>
      </c>
      <c r="J28" s="1168"/>
      <c r="K28" s="1168"/>
      <c r="L28" s="1401"/>
      <c r="M28" s="1404"/>
      <c r="N28" s="1192"/>
      <c r="O28" s="1192"/>
      <c r="P28" s="1192"/>
      <c r="Q28" s="1399"/>
      <c r="R28" s="1165" t="s">
        <v>1488</v>
      </c>
      <c r="S28" s="1165" t="s">
        <v>1489</v>
      </c>
      <c r="T28" s="1165"/>
      <c r="U28" s="1188">
        <v>84481190</v>
      </c>
      <c r="V28" s="1165"/>
      <c r="W28" s="1102">
        <v>1231592</v>
      </c>
      <c r="X28" s="1192"/>
      <c r="Y28" s="1169"/>
      <c r="Z28" s="1144"/>
      <c r="AA28" s="1141"/>
      <c r="AB28" s="1146"/>
      <c r="AC28" s="1146"/>
      <c r="AD28" s="256"/>
      <c r="AE28" s="188"/>
      <c r="AF28" s="743"/>
      <c r="AG28" s="256"/>
      <c r="AH28" s="256"/>
      <c r="AI28" s="757">
        <v>2292669</v>
      </c>
      <c r="AJ28" s="744"/>
      <c r="AK28" s="757">
        <v>5844919</v>
      </c>
      <c r="AL28" s="965" t="s">
        <v>1323</v>
      </c>
      <c r="AM28" s="256"/>
      <c r="AN28" s="256" t="s">
        <v>1371</v>
      </c>
      <c r="AO28" s="256"/>
      <c r="AP28" s="256"/>
      <c r="AQ28" s="256"/>
      <c r="AR28" s="256"/>
      <c r="AS28" s="55"/>
      <c r="AT28" s="17"/>
      <c r="AV28" s="14" t="s">
        <v>1643</v>
      </c>
      <c r="AW28" s="1298"/>
    </row>
    <row r="29" spans="3:51" ht="20.25" customHeight="1" x14ac:dyDescent="0.3">
      <c r="C29" s="1419"/>
      <c r="D29" s="1402"/>
      <c r="E29" s="1382"/>
      <c r="F29" s="1401"/>
      <c r="G29" s="1400"/>
      <c r="H29" s="1382"/>
      <c r="I29" s="1168" t="s">
        <v>359</v>
      </c>
      <c r="J29" s="1168"/>
      <c r="K29" s="1168"/>
      <c r="L29" s="1401"/>
      <c r="M29" s="1404"/>
      <c r="N29" s="1192"/>
      <c r="O29" s="1192"/>
      <c r="P29" s="1192"/>
      <c r="Q29" s="1399"/>
      <c r="R29" s="1165" t="s">
        <v>1488</v>
      </c>
      <c r="S29" s="1165" t="s">
        <v>1490</v>
      </c>
      <c r="T29" s="1165"/>
      <c r="U29" s="1188">
        <v>84481190</v>
      </c>
      <c r="V29" s="1165"/>
      <c r="W29" s="1102">
        <v>1231593</v>
      </c>
      <c r="X29" s="1192"/>
      <c r="Y29" s="1169"/>
      <c r="Z29" s="1144"/>
      <c r="AA29" s="1141"/>
      <c r="AB29" s="1146"/>
      <c r="AC29" s="1146"/>
      <c r="AD29" s="256"/>
      <c r="AE29" s="188"/>
      <c r="AF29" s="743"/>
      <c r="AG29" s="256"/>
      <c r="AH29" s="256"/>
      <c r="AI29" s="837">
        <v>1655829</v>
      </c>
      <c r="AJ29" s="744"/>
      <c r="AK29" s="757">
        <v>7010453</v>
      </c>
      <c r="AL29" s="965" t="s">
        <v>1367</v>
      </c>
      <c r="AM29" s="256"/>
      <c r="AN29" s="256" t="s">
        <v>1371</v>
      </c>
      <c r="AO29" s="256"/>
      <c r="AP29" s="256"/>
      <c r="AQ29" s="256"/>
      <c r="AR29" s="256"/>
      <c r="AS29" s="55"/>
      <c r="AT29" s="17"/>
      <c r="AW29" s="1298"/>
    </row>
    <row r="30" spans="3:51" ht="42.75" customHeight="1" x14ac:dyDescent="0.3">
      <c r="C30" s="1420"/>
      <c r="D30" s="1402"/>
      <c r="E30" s="1382"/>
      <c r="F30" s="1401"/>
      <c r="G30" s="1400"/>
      <c r="H30" s="1382"/>
      <c r="I30" s="1168" t="s">
        <v>359</v>
      </c>
      <c r="J30" s="1168"/>
      <c r="K30" s="1168"/>
      <c r="L30" s="1401"/>
      <c r="M30" s="1405"/>
      <c r="N30" s="1192"/>
      <c r="O30" s="1192"/>
      <c r="P30" s="1192"/>
      <c r="Q30" s="1399"/>
      <c r="R30" s="1165" t="s">
        <v>1488</v>
      </c>
      <c r="S30" s="1165" t="s">
        <v>1487</v>
      </c>
      <c r="T30" s="1165"/>
      <c r="U30" s="1188">
        <v>84481190</v>
      </c>
      <c r="V30" s="1165"/>
      <c r="W30" s="1102">
        <v>1231590</v>
      </c>
      <c r="X30" s="1192"/>
      <c r="Y30" s="1169"/>
      <c r="Z30" s="1144"/>
      <c r="AA30" s="1141"/>
      <c r="AB30" s="1146"/>
      <c r="AC30" s="1146"/>
      <c r="AD30" s="256"/>
      <c r="AE30" s="188"/>
      <c r="AF30" s="743"/>
      <c r="AG30" s="256"/>
      <c r="AH30" s="256"/>
      <c r="AI30" s="757">
        <v>1234445</v>
      </c>
      <c r="AJ30" s="744"/>
      <c r="AK30" s="757">
        <v>3400782</v>
      </c>
      <c r="AL30" s="965" t="s">
        <v>1549</v>
      </c>
      <c r="AM30" s="256"/>
      <c r="AN30" s="256" t="s">
        <v>1371</v>
      </c>
      <c r="AO30" s="256"/>
      <c r="AP30" s="256"/>
      <c r="AQ30" s="256"/>
      <c r="AR30" s="256"/>
      <c r="AS30" s="55"/>
      <c r="AT30" s="17"/>
      <c r="AW30" s="1298"/>
    </row>
    <row r="31" spans="3:51" ht="20.25" customHeight="1" x14ac:dyDescent="0.3">
      <c r="C31" s="1166"/>
      <c r="D31" s="1165"/>
      <c r="E31" s="1192"/>
      <c r="F31" s="1168"/>
      <c r="G31" s="1165"/>
      <c r="H31" s="1192"/>
      <c r="I31" s="1168"/>
      <c r="J31" s="1168"/>
      <c r="K31" s="1168"/>
      <c r="L31" s="1168"/>
      <c r="M31" s="1165"/>
      <c r="N31" s="1192"/>
      <c r="O31" s="1192"/>
      <c r="P31" s="1192"/>
      <c r="Q31" s="1193"/>
      <c r="R31" s="1165"/>
      <c r="S31" s="1165"/>
      <c r="T31" s="1165"/>
      <c r="U31" s="1165"/>
      <c r="V31" s="1165"/>
      <c r="W31" s="1192"/>
      <c r="X31" s="1192"/>
      <c r="Y31" s="1169"/>
      <c r="Z31" s="1144"/>
      <c r="AA31" s="1141"/>
      <c r="AB31" s="1146"/>
      <c r="AC31" s="1146"/>
      <c r="AD31" s="256"/>
      <c r="AE31" s="188"/>
      <c r="AF31" s="743"/>
      <c r="AG31" s="256"/>
      <c r="AH31" s="256"/>
      <c r="AI31" s="757"/>
      <c r="AJ31" s="744"/>
      <c r="AK31" s="757"/>
      <c r="AL31" s="745"/>
      <c r="AM31" s="745"/>
      <c r="AN31" s="256"/>
      <c r="AO31" s="256"/>
      <c r="AP31" s="256"/>
      <c r="AQ31" s="256"/>
      <c r="AR31" s="256"/>
      <c r="AS31" s="55"/>
      <c r="AT31" s="17"/>
    </row>
    <row r="32" spans="3:51" ht="79.5" customHeight="1" x14ac:dyDescent="0.3">
      <c r="C32" s="1166">
        <v>7</v>
      </c>
      <c r="D32" s="1165" t="s">
        <v>1768</v>
      </c>
      <c r="E32" s="1192">
        <f>'UID application COMBINE Mc list'!D29</f>
        <v>2</v>
      </c>
      <c r="F32" s="1168">
        <f>'UID application COMBINE Mc list'!H29</f>
        <v>35640000</v>
      </c>
      <c r="G32" s="1165" t="s">
        <v>1768</v>
      </c>
      <c r="H32" s="1192">
        <v>2</v>
      </c>
      <c r="I32" s="1168" t="s">
        <v>347</v>
      </c>
      <c r="J32" s="1168"/>
      <c r="K32" s="1168"/>
      <c r="L32" s="1168">
        <v>34535200</v>
      </c>
      <c r="M32" s="1165" t="s">
        <v>1403</v>
      </c>
      <c r="N32" s="1192" t="s">
        <v>649</v>
      </c>
      <c r="O32" s="1192" t="s">
        <v>649</v>
      </c>
      <c r="P32" s="1192" t="s">
        <v>649</v>
      </c>
      <c r="Q32" s="1193">
        <v>2021</v>
      </c>
      <c r="R32" s="1165" t="s">
        <v>1401</v>
      </c>
      <c r="S32" s="1165" t="s">
        <v>1612</v>
      </c>
      <c r="T32" s="1165"/>
      <c r="U32" s="1165">
        <v>84144090</v>
      </c>
      <c r="V32" s="1165"/>
      <c r="W32" s="1192" t="s">
        <v>1404</v>
      </c>
      <c r="X32" s="1192">
        <v>5927882</v>
      </c>
      <c r="Y32" s="1169" t="s">
        <v>1243</v>
      </c>
      <c r="Z32" s="1144" t="s">
        <v>1243</v>
      </c>
      <c r="AA32" s="1141" t="s">
        <v>649</v>
      </c>
      <c r="AB32" s="1149" t="s">
        <v>649</v>
      </c>
      <c r="AC32" s="1149" t="s">
        <v>1406</v>
      </c>
      <c r="AD32" s="149"/>
      <c r="AE32" s="995" t="s">
        <v>1410</v>
      </c>
      <c r="AF32" s="743" t="s">
        <v>1411</v>
      </c>
      <c r="AG32" s="256"/>
      <c r="AH32" s="951">
        <v>44632</v>
      </c>
      <c r="AI32" s="1152" t="s">
        <v>1725</v>
      </c>
      <c r="AJ32" s="744">
        <f>AK32/39200</f>
        <v>88.45</v>
      </c>
      <c r="AK32" s="757">
        <v>3467240</v>
      </c>
      <c r="AL32" s="745" t="s">
        <v>1408</v>
      </c>
      <c r="AM32" s="745" t="s">
        <v>1409</v>
      </c>
      <c r="AN32" s="256" t="s">
        <v>1309</v>
      </c>
      <c r="AO32" s="256" t="s">
        <v>1310</v>
      </c>
      <c r="AP32" s="256"/>
      <c r="AQ32" s="256"/>
      <c r="AR32" s="256"/>
      <c r="AS32" s="55"/>
      <c r="AT32" s="17"/>
      <c r="AV32" s="13" t="s">
        <v>1613</v>
      </c>
      <c r="AW32" s="1153" t="s">
        <v>1700</v>
      </c>
      <c r="AY32" s="1151">
        <f>392000*88.1</f>
        <v>34535200</v>
      </c>
    </row>
    <row r="33" spans="3:51" ht="24.75" customHeight="1" x14ac:dyDescent="0.3">
      <c r="C33" s="1166"/>
      <c r="D33" s="1165"/>
      <c r="E33" s="1192"/>
      <c r="F33" s="1168"/>
      <c r="G33" s="1165"/>
      <c r="H33" s="1192"/>
      <c r="I33" s="1168"/>
      <c r="J33" s="1168"/>
      <c r="K33" s="1168"/>
      <c r="L33" s="1168"/>
      <c r="M33" s="1165"/>
      <c r="N33" s="1192"/>
      <c r="O33" s="1192"/>
      <c r="P33" s="1192"/>
      <c r="Q33" s="1193"/>
      <c r="R33" s="1165"/>
      <c r="S33" s="1165"/>
      <c r="T33" s="1165"/>
      <c r="U33" s="1165"/>
      <c r="V33" s="1165"/>
      <c r="W33" s="1192"/>
      <c r="X33" s="1192"/>
      <c r="Y33" s="1169"/>
      <c r="Z33" s="1144"/>
      <c r="AA33" s="1141"/>
      <c r="AB33" s="1149"/>
      <c r="AC33" s="1149"/>
      <c r="AD33" s="1161"/>
      <c r="AE33" s="995"/>
      <c r="AF33" s="743"/>
      <c r="AG33" s="256"/>
      <c r="AH33" s="951"/>
      <c r="AI33" s="1162"/>
      <c r="AJ33" s="744"/>
      <c r="AK33" s="757"/>
      <c r="AL33" s="745"/>
      <c r="AM33" s="745"/>
      <c r="AN33" s="256"/>
      <c r="AO33" s="256"/>
      <c r="AP33" s="256"/>
      <c r="AQ33" s="256"/>
      <c r="AR33" s="256"/>
      <c r="AS33" s="55"/>
      <c r="AT33" s="17"/>
      <c r="AW33" s="1153"/>
      <c r="AY33" s="1151"/>
    </row>
    <row r="34" spans="3:51" ht="20.25" customHeight="1" x14ac:dyDescent="0.3">
      <c r="C34" s="1166">
        <v>8</v>
      </c>
      <c r="D34" s="1400" t="s">
        <v>1244</v>
      </c>
      <c r="E34" s="1382">
        <f>'UID application COMBINE Mc list'!D30</f>
        <v>13</v>
      </c>
      <c r="F34" s="1401">
        <f>'UID application COMBINE Mc list'!H30</f>
        <v>71880000</v>
      </c>
      <c r="G34" s="1402" t="s">
        <v>1244</v>
      </c>
      <c r="H34" s="1382">
        <v>10</v>
      </c>
      <c r="I34" s="1168"/>
      <c r="J34" s="1168"/>
      <c r="K34" s="1168"/>
      <c r="L34" s="1401">
        <v>63600000</v>
      </c>
      <c r="M34" s="1402" t="s">
        <v>1423</v>
      </c>
      <c r="N34" s="1192" t="s">
        <v>649</v>
      </c>
      <c r="O34" s="1192" t="s">
        <v>649</v>
      </c>
      <c r="P34" s="1192" t="s">
        <v>649</v>
      </c>
      <c r="Q34" s="1399">
        <v>2021</v>
      </c>
      <c r="R34" s="1165" t="s">
        <v>1434</v>
      </c>
      <c r="S34" s="1165"/>
      <c r="T34" s="1165"/>
      <c r="U34" s="1165"/>
      <c r="V34" s="1165"/>
      <c r="W34" s="1103" t="s">
        <v>1821</v>
      </c>
      <c r="X34" s="1192"/>
      <c r="Y34" s="1169"/>
      <c r="Z34" s="1144"/>
      <c r="AA34" s="1141"/>
      <c r="AB34" s="1146"/>
      <c r="AC34" s="1146"/>
      <c r="AD34" s="256"/>
      <c r="AE34" s="188"/>
      <c r="AF34" s="743"/>
      <c r="AG34" s="256"/>
      <c r="AH34" s="256"/>
      <c r="AI34" s="739">
        <f>SUM(AI35:AI44)</f>
        <v>75048000</v>
      </c>
      <c r="AJ34" s="744"/>
      <c r="AK34" s="739">
        <f>SUM(AK35:AK45)</f>
        <v>74580669</v>
      </c>
      <c r="AL34" s="745"/>
      <c r="AM34" s="745"/>
      <c r="AN34" s="256"/>
      <c r="AO34" s="256"/>
      <c r="AP34" s="256"/>
      <c r="AQ34" s="256"/>
      <c r="AR34" s="256"/>
      <c r="AS34" s="55"/>
      <c r="AT34" s="17"/>
      <c r="AW34" s="1298" t="s">
        <v>1701</v>
      </c>
    </row>
    <row r="35" spans="3:51" ht="20.25" customHeight="1" x14ac:dyDescent="0.3">
      <c r="C35" s="1166"/>
      <c r="D35" s="1400"/>
      <c r="E35" s="1382"/>
      <c r="F35" s="1401"/>
      <c r="G35" s="1402"/>
      <c r="H35" s="1382"/>
      <c r="I35" s="1168" t="s">
        <v>359</v>
      </c>
      <c r="J35" s="798"/>
      <c r="K35" s="1168"/>
      <c r="L35" s="1401"/>
      <c r="M35" s="1402"/>
      <c r="N35" s="1192"/>
      <c r="O35" s="1192"/>
      <c r="P35" s="1192"/>
      <c r="Q35" s="1399"/>
      <c r="R35" s="1165" t="s">
        <v>1617</v>
      </c>
      <c r="S35" s="1165" t="s">
        <v>1436</v>
      </c>
      <c r="T35" s="1165"/>
      <c r="U35" s="1188">
        <v>84459000</v>
      </c>
      <c r="V35" s="1165"/>
      <c r="W35" s="1103" t="s">
        <v>1820</v>
      </c>
      <c r="X35" s="1192"/>
      <c r="Y35" s="1169"/>
      <c r="Z35" s="1144"/>
      <c r="AA35" s="1141"/>
      <c r="AB35" s="1146"/>
      <c r="AC35" s="1146"/>
      <c r="AD35" s="256"/>
      <c r="AE35" s="188"/>
      <c r="AF35" s="743"/>
      <c r="AG35" s="256"/>
      <c r="AH35" s="959">
        <v>44634</v>
      </c>
      <c r="AI35" s="757">
        <v>8212800</v>
      </c>
      <c r="AJ35" s="744"/>
      <c r="AK35" s="757">
        <v>8212800</v>
      </c>
      <c r="AL35" s="745" t="s">
        <v>1323</v>
      </c>
      <c r="AM35" s="745"/>
      <c r="AN35" s="256" t="s">
        <v>1371</v>
      </c>
      <c r="AO35" s="256"/>
      <c r="AP35" s="256"/>
      <c r="AQ35" s="256"/>
      <c r="AR35" s="256"/>
      <c r="AS35" s="55"/>
      <c r="AT35" s="17"/>
      <c r="AV35" s="13" t="s">
        <v>1644</v>
      </c>
      <c r="AW35" s="1298"/>
    </row>
    <row r="36" spans="3:51" ht="20.25" customHeight="1" x14ac:dyDescent="0.3">
      <c r="C36" s="1166"/>
      <c r="D36" s="1400"/>
      <c r="E36" s="1382"/>
      <c r="F36" s="1401"/>
      <c r="G36" s="1402"/>
      <c r="H36" s="1382"/>
      <c r="I36" s="1168"/>
      <c r="J36" s="798"/>
      <c r="K36" s="1168"/>
      <c r="L36" s="1401"/>
      <c r="M36" s="1402"/>
      <c r="N36" s="1192"/>
      <c r="O36" s="1192"/>
      <c r="P36" s="1192"/>
      <c r="Q36" s="1399"/>
      <c r="R36" s="1165" t="s">
        <v>1617</v>
      </c>
      <c r="S36" s="1165" t="s">
        <v>1437</v>
      </c>
      <c r="T36" s="1165"/>
      <c r="U36" s="1188">
        <v>84459000</v>
      </c>
      <c r="V36" s="1165"/>
      <c r="W36" s="1103" t="s">
        <v>1819</v>
      </c>
      <c r="X36" s="1192"/>
      <c r="Y36" s="1169"/>
      <c r="Z36" s="1144"/>
      <c r="AA36" s="1141"/>
      <c r="AB36" s="1146"/>
      <c r="AC36" s="1146"/>
      <c r="AD36" s="256"/>
      <c r="AE36" s="188"/>
      <c r="AF36" s="743"/>
      <c r="AG36" s="256"/>
      <c r="AH36" s="256"/>
      <c r="AI36" s="757">
        <v>8212800</v>
      </c>
      <c r="AJ36" s="744"/>
      <c r="AK36" s="757">
        <v>8212800</v>
      </c>
      <c r="AL36" s="745" t="s">
        <v>1546</v>
      </c>
      <c r="AM36" s="745"/>
      <c r="AN36" s="256" t="s">
        <v>1371</v>
      </c>
      <c r="AO36" s="256"/>
      <c r="AP36" s="256"/>
      <c r="AQ36" s="256"/>
      <c r="AR36" s="256"/>
      <c r="AS36" s="55"/>
      <c r="AT36" s="17"/>
      <c r="AV36" s="13" t="s">
        <v>1610</v>
      </c>
      <c r="AW36" s="1298"/>
    </row>
    <row r="37" spans="3:51" ht="20.25" customHeight="1" x14ac:dyDescent="0.3">
      <c r="C37" s="1166"/>
      <c r="D37" s="1400"/>
      <c r="E37" s="1382"/>
      <c r="F37" s="1401"/>
      <c r="G37" s="1402"/>
      <c r="H37" s="1382"/>
      <c r="I37" s="1168"/>
      <c r="J37" s="798"/>
      <c r="K37" s="1168"/>
      <c r="L37" s="1401"/>
      <c r="M37" s="1402"/>
      <c r="N37" s="1192"/>
      <c r="O37" s="1192"/>
      <c r="P37" s="1192"/>
      <c r="Q37" s="1399"/>
      <c r="R37" s="1165" t="s">
        <v>1617</v>
      </c>
      <c r="S37" s="1165" t="s">
        <v>1438</v>
      </c>
      <c r="T37" s="1165"/>
      <c r="U37" s="1188">
        <v>84459000</v>
      </c>
      <c r="V37" s="1165"/>
      <c r="W37" s="1103" t="s">
        <v>1818</v>
      </c>
      <c r="X37" s="1192"/>
      <c r="Y37" s="1169"/>
      <c r="Z37" s="1144"/>
      <c r="AA37" s="1141"/>
      <c r="AB37" s="1146"/>
      <c r="AC37" s="1146"/>
      <c r="AD37" s="256"/>
      <c r="AE37" s="188"/>
      <c r="AF37" s="743"/>
      <c r="AG37" s="256"/>
      <c r="AH37" s="256"/>
      <c r="AI37" s="757">
        <v>8212800</v>
      </c>
      <c r="AJ37" s="744"/>
      <c r="AK37" s="757">
        <v>8212800</v>
      </c>
      <c r="AL37" s="745" t="s">
        <v>1547</v>
      </c>
      <c r="AM37" s="745"/>
      <c r="AN37" s="965" t="s">
        <v>1309</v>
      </c>
      <c r="AO37" s="256"/>
      <c r="AP37" s="256"/>
      <c r="AQ37" s="256"/>
      <c r="AR37" s="256"/>
      <c r="AS37" s="55"/>
      <c r="AT37" s="17"/>
      <c r="AV37" s="13" t="s">
        <v>1623</v>
      </c>
      <c r="AW37" s="1298"/>
    </row>
    <row r="38" spans="3:51" ht="20.25" customHeight="1" x14ac:dyDescent="0.3">
      <c r="C38" s="1166"/>
      <c r="D38" s="1400"/>
      <c r="E38" s="1382"/>
      <c r="F38" s="1401"/>
      <c r="G38" s="1402"/>
      <c r="H38" s="1382"/>
      <c r="I38" s="1168"/>
      <c r="J38" s="797"/>
      <c r="K38" s="1168"/>
      <c r="L38" s="1401"/>
      <c r="M38" s="1402"/>
      <c r="N38" s="1192"/>
      <c r="O38" s="1192"/>
      <c r="P38" s="1192"/>
      <c r="Q38" s="1399"/>
      <c r="R38" s="1165" t="s">
        <v>1617</v>
      </c>
      <c r="S38" s="1165" t="s">
        <v>1439</v>
      </c>
      <c r="T38" s="1165"/>
      <c r="U38" s="1188">
        <v>84459000</v>
      </c>
      <c r="V38" s="1165"/>
      <c r="W38" s="1103" t="s">
        <v>1817</v>
      </c>
      <c r="X38" s="1192"/>
      <c r="Y38" s="1169"/>
      <c r="Z38" s="1144"/>
      <c r="AA38" s="1141"/>
      <c r="AB38" s="1146"/>
      <c r="AC38" s="1146"/>
      <c r="AD38" s="256"/>
      <c r="AE38" s="188"/>
      <c r="AF38" s="743"/>
      <c r="AG38" s="256"/>
      <c r="AH38" s="256"/>
      <c r="AI38" s="757">
        <v>8212800</v>
      </c>
      <c r="AJ38" s="744"/>
      <c r="AK38" s="757">
        <v>8212800</v>
      </c>
      <c r="AL38" s="745" t="s">
        <v>1549</v>
      </c>
      <c r="AM38" s="745"/>
      <c r="AN38" s="256" t="s">
        <v>1371</v>
      </c>
      <c r="AO38" s="256"/>
      <c r="AP38" s="256"/>
      <c r="AQ38" s="256"/>
      <c r="AR38" s="256"/>
      <c r="AS38" s="55"/>
      <c r="AT38" s="17"/>
      <c r="AW38" s="1298"/>
    </row>
    <row r="39" spans="3:51" ht="20.25" customHeight="1" x14ac:dyDescent="0.3">
      <c r="C39" s="1166"/>
      <c r="D39" s="1400"/>
      <c r="E39" s="1382"/>
      <c r="F39" s="1401"/>
      <c r="G39" s="1402"/>
      <c r="H39" s="1382"/>
      <c r="I39" s="1168"/>
      <c r="J39" s="798"/>
      <c r="K39" s="1168"/>
      <c r="L39" s="1401"/>
      <c r="M39" s="1402"/>
      <c r="N39" s="1192"/>
      <c r="O39" s="1192"/>
      <c r="P39" s="1192"/>
      <c r="Q39" s="1399"/>
      <c r="R39" s="1165" t="s">
        <v>1617</v>
      </c>
      <c r="S39" s="1165" t="s">
        <v>1440</v>
      </c>
      <c r="T39" s="1165"/>
      <c r="U39" s="1188">
        <v>84459000</v>
      </c>
      <c r="V39" s="1165"/>
      <c r="W39" s="1102" t="s">
        <v>1816</v>
      </c>
      <c r="X39" s="1192"/>
      <c r="Y39" s="1169"/>
      <c r="Z39" s="1144"/>
      <c r="AA39" s="1141"/>
      <c r="AB39" s="1146"/>
      <c r="AC39" s="1146"/>
      <c r="AD39" s="256"/>
      <c r="AE39" s="188"/>
      <c r="AF39" s="743"/>
      <c r="AG39" s="256"/>
      <c r="AH39" s="256"/>
      <c r="AI39" s="757">
        <v>8212800</v>
      </c>
      <c r="AJ39" s="744"/>
      <c r="AK39" s="757">
        <v>8212800</v>
      </c>
      <c r="AL39" s="745" t="s">
        <v>1550</v>
      </c>
      <c r="AM39" s="745"/>
      <c r="AN39" s="256" t="s">
        <v>1371</v>
      </c>
      <c r="AO39" s="256"/>
      <c r="AP39" s="256"/>
      <c r="AQ39" s="256"/>
      <c r="AR39" s="256"/>
      <c r="AS39" s="55"/>
      <c r="AT39" s="17"/>
      <c r="AW39" s="1298"/>
    </row>
    <row r="40" spans="3:51" ht="20.25" customHeight="1" x14ac:dyDescent="0.3">
      <c r="C40" s="1166"/>
      <c r="D40" s="1400"/>
      <c r="E40" s="1382"/>
      <c r="F40" s="1401"/>
      <c r="G40" s="1402"/>
      <c r="H40" s="1382"/>
      <c r="I40" s="1168"/>
      <c r="J40" s="798"/>
      <c r="K40" s="1168"/>
      <c r="L40" s="1401"/>
      <c r="M40" s="1402"/>
      <c r="N40" s="1192"/>
      <c r="O40" s="1192"/>
      <c r="P40" s="1192"/>
      <c r="Q40" s="1399"/>
      <c r="R40" s="1165" t="s">
        <v>1617</v>
      </c>
      <c r="S40" s="1165" t="s">
        <v>1441</v>
      </c>
      <c r="T40" s="1165"/>
      <c r="U40" s="1188">
        <v>84459000</v>
      </c>
      <c r="V40" s="1165"/>
      <c r="W40" s="1103" t="s">
        <v>1815</v>
      </c>
      <c r="X40" s="1192"/>
      <c r="Y40" s="1169"/>
      <c r="Z40" s="1144"/>
      <c r="AA40" s="1141"/>
      <c r="AB40" s="1146"/>
      <c r="AC40" s="1146"/>
      <c r="AD40" s="256"/>
      <c r="AE40" s="188"/>
      <c r="AF40" s="743"/>
      <c r="AG40" s="256"/>
      <c r="AH40" s="256"/>
      <c r="AI40" s="757">
        <v>8212800</v>
      </c>
      <c r="AJ40" s="744"/>
      <c r="AK40" s="757">
        <v>2688000</v>
      </c>
      <c r="AL40" s="745" t="s">
        <v>1564</v>
      </c>
      <c r="AM40" s="745"/>
      <c r="AN40" s="965" t="s">
        <v>1309</v>
      </c>
      <c r="AO40" s="256"/>
      <c r="AP40" s="256"/>
      <c r="AQ40" s="256"/>
      <c r="AR40" s="256"/>
      <c r="AS40" s="55"/>
      <c r="AT40" s="17"/>
      <c r="AW40" s="1298"/>
    </row>
    <row r="41" spans="3:51" ht="20.25" customHeight="1" x14ac:dyDescent="0.3">
      <c r="C41" s="1166"/>
      <c r="D41" s="1400"/>
      <c r="E41" s="1382"/>
      <c r="F41" s="1401"/>
      <c r="G41" s="1402"/>
      <c r="H41" s="1382"/>
      <c r="I41" s="1168"/>
      <c r="J41" s="798"/>
      <c r="K41" s="1168"/>
      <c r="L41" s="1401"/>
      <c r="M41" s="1402"/>
      <c r="N41" s="1192"/>
      <c r="O41" s="1192"/>
      <c r="P41" s="1192"/>
      <c r="Q41" s="1399"/>
      <c r="R41" s="1165" t="s">
        <v>1617</v>
      </c>
      <c r="S41" s="1165" t="s">
        <v>1442</v>
      </c>
      <c r="T41" s="1165"/>
      <c r="U41" s="1188">
        <v>84459000</v>
      </c>
      <c r="V41" s="1165"/>
      <c r="W41" s="1102" t="s">
        <v>1814</v>
      </c>
      <c r="X41" s="1192"/>
      <c r="Y41" s="1169"/>
      <c r="Z41" s="1144"/>
      <c r="AA41" s="1141"/>
      <c r="AB41" s="1146"/>
      <c r="AC41" s="1146"/>
      <c r="AD41" s="256"/>
      <c r="AE41" s="188"/>
      <c r="AF41" s="743"/>
      <c r="AG41" s="256"/>
      <c r="AH41" s="256"/>
      <c r="AI41" s="782">
        <f>8212800-(6960*0)</f>
        <v>8212800</v>
      </c>
      <c r="AJ41" s="744"/>
      <c r="AK41" s="757">
        <v>7540800</v>
      </c>
      <c r="AL41" s="745" t="s">
        <v>1565</v>
      </c>
      <c r="AM41" s="745"/>
      <c r="AN41" s="256" t="s">
        <v>1371</v>
      </c>
      <c r="AO41" s="256"/>
      <c r="AP41" s="256"/>
      <c r="AQ41" s="256"/>
      <c r="AR41" s="256"/>
      <c r="AS41" s="55"/>
      <c r="AT41" s="17"/>
      <c r="AW41" s="1298"/>
    </row>
    <row r="42" spans="3:51" ht="20.25" customHeight="1" x14ac:dyDescent="0.3">
      <c r="C42" s="1166"/>
      <c r="D42" s="1400"/>
      <c r="E42" s="1382"/>
      <c r="F42" s="1401"/>
      <c r="G42" s="1402"/>
      <c r="H42" s="1382"/>
      <c r="I42" s="1168"/>
      <c r="J42" s="798"/>
      <c r="K42" s="1168"/>
      <c r="L42" s="1401"/>
      <c r="M42" s="1402"/>
      <c r="N42" s="1192"/>
      <c r="O42" s="1192"/>
      <c r="P42" s="1192"/>
      <c r="Q42" s="1399"/>
      <c r="R42" s="1165" t="s">
        <v>1617</v>
      </c>
      <c r="S42" s="1165" t="s">
        <v>1606</v>
      </c>
      <c r="T42" s="1165"/>
      <c r="U42" s="1188">
        <v>84459000</v>
      </c>
      <c r="V42" s="1165"/>
      <c r="W42" s="1103" t="s">
        <v>1813</v>
      </c>
      <c r="X42" s="1192"/>
      <c r="Y42" s="1169"/>
      <c r="Z42" s="1144"/>
      <c r="AA42" s="1141"/>
      <c r="AB42" s="1146"/>
      <c r="AC42" s="1146"/>
      <c r="AD42" s="256"/>
      <c r="AE42" s="188"/>
      <c r="AF42" s="743"/>
      <c r="AG42" s="256"/>
      <c r="AH42" s="256"/>
      <c r="AI42" s="757">
        <v>8212800</v>
      </c>
      <c r="AJ42" s="744"/>
      <c r="AK42" s="757">
        <v>45289</v>
      </c>
      <c r="AL42" s="745" t="s">
        <v>1369</v>
      </c>
      <c r="AM42" s="745"/>
      <c r="AN42" s="965" t="s">
        <v>1309</v>
      </c>
      <c r="AO42" s="256"/>
      <c r="AP42" s="256"/>
      <c r="AQ42" s="256"/>
      <c r="AR42" s="256"/>
      <c r="AS42" s="55"/>
      <c r="AT42" s="17"/>
      <c r="AW42" s="1298"/>
    </row>
    <row r="43" spans="3:51" ht="20.25" customHeight="1" x14ac:dyDescent="0.3">
      <c r="C43" s="1166"/>
      <c r="D43" s="1400"/>
      <c r="E43" s="1382"/>
      <c r="F43" s="1401"/>
      <c r="G43" s="1402"/>
      <c r="H43" s="1382"/>
      <c r="I43" s="1168"/>
      <c r="J43" s="797"/>
      <c r="K43" s="1168"/>
      <c r="L43" s="1401"/>
      <c r="M43" s="1402"/>
      <c r="N43" s="1192"/>
      <c r="O43" s="1192"/>
      <c r="P43" s="1192"/>
      <c r="Q43" s="1399"/>
      <c r="R43" s="1165" t="s">
        <v>1617</v>
      </c>
      <c r="S43" s="1165" t="s">
        <v>1443</v>
      </c>
      <c r="T43" s="1165"/>
      <c r="U43" s="1188">
        <v>84459000</v>
      </c>
      <c r="V43" s="1165"/>
      <c r="W43" s="1103" t="s">
        <v>1812</v>
      </c>
      <c r="X43" s="1192"/>
      <c r="Y43" s="1169"/>
      <c r="Z43" s="1144"/>
      <c r="AA43" s="1141"/>
      <c r="AB43" s="1146"/>
      <c r="AC43" s="1146"/>
      <c r="AD43" s="256"/>
      <c r="AE43" s="188"/>
      <c r="AF43" s="743"/>
      <c r="AG43" s="256"/>
      <c r="AH43" s="256"/>
      <c r="AI43" s="782">
        <f>8212800-(6960*0)</f>
        <v>8212800</v>
      </c>
      <c r="AJ43" s="744"/>
      <c r="AK43" s="757">
        <v>15081600</v>
      </c>
      <c r="AL43" s="745" t="s">
        <v>1566</v>
      </c>
      <c r="AM43" s="745"/>
      <c r="AN43" s="256" t="s">
        <v>1371</v>
      </c>
      <c r="AO43" s="256"/>
      <c r="AP43" s="256"/>
      <c r="AQ43" s="256"/>
      <c r="AR43" s="256"/>
      <c r="AS43" s="55"/>
      <c r="AT43" s="17"/>
      <c r="AW43" s="1298"/>
    </row>
    <row r="44" spans="3:51" ht="20.25" customHeight="1" x14ac:dyDescent="0.3">
      <c r="C44" s="1166"/>
      <c r="D44" s="1400"/>
      <c r="E44" s="1382"/>
      <c r="F44" s="1401"/>
      <c r="G44" s="1402"/>
      <c r="H44" s="1382"/>
      <c r="I44" s="1168"/>
      <c r="J44" s="797"/>
      <c r="K44" s="1168"/>
      <c r="L44" s="1401"/>
      <c r="M44" s="1402"/>
      <c r="N44" s="1192"/>
      <c r="O44" s="1192"/>
      <c r="P44" s="1192"/>
      <c r="Q44" s="1399"/>
      <c r="R44" s="1165" t="s">
        <v>1434</v>
      </c>
      <c r="S44" s="1188">
        <v>4997</v>
      </c>
      <c r="T44" s="1165"/>
      <c r="U44" s="1188">
        <v>84459000</v>
      </c>
      <c r="V44" s="1165"/>
      <c r="W44" s="1103"/>
      <c r="X44" s="1192"/>
      <c r="Y44" s="1169"/>
      <c r="Z44" s="1144"/>
      <c r="AA44" s="1141"/>
      <c r="AB44" s="1146"/>
      <c r="AC44" s="1146"/>
      <c r="AD44" s="256"/>
      <c r="AE44" s="188"/>
      <c r="AF44" s="743"/>
      <c r="AG44" s="256"/>
      <c r="AH44" s="256"/>
      <c r="AI44" s="757">
        <v>1132800</v>
      </c>
      <c r="AJ44" s="744"/>
      <c r="AK44" s="757">
        <v>1132800</v>
      </c>
      <c r="AL44" s="745" t="s">
        <v>1548</v>
      </c>
      <c r="AM44" s="745"/>
      <c r="AN44" s="256" t="s">
        <v>1371</v>
      </c>
      <c r="AO44" s="256"/>
      <c r="AP44" s="256"/>
      <c r="AQ44" s="256"/>
      <c r="AR44" s="256"/>
      <c r="AS44" s="55"/>
      <c r="AT44" s="17"/>
      <c r="AW44" s="1298"/>
    </row>
    <row r="45" spans="3:51" ht="20.25" customHeight="1" x14ac:dyDescent="0.3">
      <c r="C45" s="1166"/>
      <c r="D45" s="1165"/>
      <c r="E45" s="1192"/>
      <c r="F45" s="1168"/>
      <c r="G45" s="1201"/>
      <c r="H45" s="1192"/>
      <c r="I45" s="1168"/>
      <c r="J45" s="797"/>
      <c r="K45" s="1168"/>
      <c r="L45" s="1168"/>
      <c r="M45" s="1187"/>
      <c r="N45" s="1192"/>
      <c r="O45" s="1192"/>
      <c r="P45" s="1192"/>
      <c r="Q45" s="1193"/>
      <c r="R45" s="1165"/>
      <c r="S45" s="1165"/>
      <c r="T45" s="1165"/>
      <c r="U45" s="1188"/>
      <c r="V45" s="1165"/>
      <c r="W45" s="1103"/>
      <c r="X45" s="1192"/>
      <c r="Y45" s="1169"/>
      <c r="Z45" s="1144"/>
      <c r="AA45" s="1141"/>
      <c r="AB45" s="1146"/>
      <c r="AC45" s="1146"/>
      <c r="AD45" s="256"/>
      <c r="AE45" s="188"/>
      <c r="AF45" s="743"/>
      <c r="AG45" s="256"/>
      <c r="AH45" s="256"/>
      <c r="AI45" s="757"/>
      <c r="AJ45" s="744"/>
      <c r="AK45" s="757">
        <v>7028180</v>
      </c>
      <c r="AL45" s="745" t="s">
        <v>1567</v>
      </c>
      <c r="AM45" s="745"/>
      <c r="AN45" s="965" t="s">
        <v>1309</v>
      </c>
      <c r="AO45" s="256"/>
      <c r="AP45" s="256"/>
      <c r="AQ45" s="256"/>
      <c r="AR45" s="256"/>
      <c r="AS45" s="55"/>
      <c r="AT45" s="17"/>
      <c r="AW45" s="1298"/>
    </row>
    <row r="46" spans="3:51" ht="20.25" customHeight="1" x14ac:dyDescent="0.3">
      <c r="C46" s="1166">
        <v>9</v>
      </c>
      <c r="D46" s="1400" t="s">
        <v>1825</v>
      </c>
      <c r="E46" s="1382">
        <v>1</v>
      </c>
      <c r="F46" s="1401">
        <f>'UID application COMBINE Mc list'!H31</f>
        <v>4500000</v>
      </c>
      <c r="G46" s="1407" t="s">
        <v>1825</v>
      </c>
      <c r="H46" s="1382">
        <v>1</v>
      </c>
      <c r="I46" s="1168" t="s">
        <v>359</v>
      </c>
      <c r="J46" s="797"/>
      <c r="K46" s="1168"/>
      <c r="L46" s="1401">
        <v>4100000</v>
      </c>
      <c r="M46" s="1402" t="s">
        <v>1446</v>
      </c>
      <c r="N46" s="1192"/>
      <c r="O46" s="1192"/>
      <c r="P46" s="1192"/>
      <c r="Q46" s="1408">
        <v>2021</v>
      </c>
      <c r="R46" s="1165" t="s">
        <v>1653</v>
      </c>
      <c r="S46" s="1188">
        <v>1205</v>
      </c>
      <c r="T46" s="1165"/>
      <c r="U46" s="1188">
        <v>84518090</v>
      </c>
      <c r="V46" s="1165"/>
      <c r="W46" s="1103" t="s">
        <v>1824</v>
      </c>
      <c r="X46" s="1192"/>
      <c r="Y46" s="1169"/>
      <c r="Z46" s="1144"/>
      <c r="AA46" s="1141"/>
      <c r="AB46" s="1146"/>
      <c r="AC46" s="1146"/>
      <c r="AD46" s="256"/>
      <c r="AE46" s="188"/>
      <c r="AF46" s="743"/>
      <c r="AG46" s="256"/>
      <c r="AH46" s="959">
        <v>44634</v>
      </c>
      <c r="AI46" s="757">
        <v>4100500</v>
      </c>
      <c r="AJ46" s="744"/>
      <c r="AK46" s="757">
        <v>4428000</v>
      </c>
      <c r="AL46" s="745" t="s">
        <v>1551</v>
      </c>
      <c r="AM46" s="745"/>
      <c r="AN46" s="256" t="s">
        <v>1371</v>
      </c>
      <c r="AO46" s="256"/>
      <c r="AP46" s="256"/>
      <c r="AQ46" s="256"/>
      <c r="AR46" s="256"/>
      <c r="AS46" s="55"/>
      <c r="AT46" s="17"/>
      <c r="AW46" s="1298" t="s">
        <v>1702</v>
      </c>
    </row>
    <row r="47" spans="3:51" ht="20.25" customHeight="1" x14ac:dyDescent="0.3">
      <c r="C47" s="1166"/>
      <c r="D47" s="1400"/>
      <c r="E47" s="1382"/>
      <c r="F47" s="1401"/>
      <c r="G47" s="1407"/>
      <c r="H47" s="1382"/>
      <c r="I47" s="1168" t="s">
        <v>359</v>
      </c>
      <c r="J47" s="797"/>
      <c r="K47" s="1168"/>
      <c r="L47" s="1401"/>
      <c r="M47" s="1402"/>
      <c r="N47" s="1192"/>
      <c r="O47" s="1192"/>
      <c r="P47" s="1192"/>
      <c r="Q47" s="1408"/>
      <c r="R47" s="1165"/>
      <c r="S47" s="1165"/>
      <c r="T47" s="1165"/>
      <c r="U47" s="1188">
        <v>84518090</v>
      </c>
      <c r="V47" s="1165"/>
      <c r="W47" s="1103" t="s">
        <v>1823</v>
      </c>
      <c r="X47" s="1192"/>
      <c r="Y47" s="1169"/>
      <c r="Z47" s="1144"/>
      <c r="AA47" s="1141"/>
      <c r="AB47" s="1146"/>
      <c r="AC47" s="1146"/>
      <c r="AD47" s="256"/>
      <c r="AE47" s="188"/>
      <c r="AF47" s="743"/>
      <c r="AG47" s="256"/>
      <c r="AH47" s="256"/>
      <c r="AI47" s="757">
        <v>737500</v>
      </c>
      <c r="AJ47" s="744"/>
      <c r="AK47" s="757">
        <v>467936</v>
      </c>
      <c r="AL47" s="745" t="s">
        <v>1569</v>
      </c>
      <c r="AM47" s="745"/>
      <c r="AN47" s="965" t="s">
        <v>1309</v>
      </c>
      <c r="AO47" s="256"/>
      <c r="AP47" s="256"/>
      <c r="AQ47" s="256"/>
      <c r="AR47" s="256"/>
      <c r="AS47" s="55"/>
      <c r="AT47" s="17"/>
      <c r="AV47" s="13" t="s">
        <v>1610</v>
      </c>
      <c r="AW47" s="1298"/>
    </row>
    <row r="48" spans="3:51" ht="20.25" customHeight="1" x14ac:dyDescent="0.3">
      <c r="C48" s="1166"/>
      <c r="D48" s="1165"/>
      <c r="E48" s="1192"/>
      <c r="F48" s="1168"/>
      <c r="G48" s="1201"/>
      <c r="H48" s="1192"/>
      <c r="I48" s="1168" t="s">
        <v>359</v>
      </c>
      <c r="J48" s="797"/>
      <c r="K48" s="1168"/>
      <c r="L48" s="1168"/>
      <c r="M48" s="1187"/>
      <c r="N48" s="1192"/>
      <c r="O48" s="1192"/>
      <c r="P48" s="1192"/>
      <c r="Q48" s="1193"/>
      <c r="R48" s="1165"/>
      <c r="S48" s="1165"/>
      <c r="T48" s="1165"/>
      <c r="U48" s="1188"/>
      <c r="V48" s="1165"/>
      <c r="W48" s="1103"/>
      <c r="X48" s="1192"/>
      <c r="Y48" s="1169"/>
      <c r="Z48" s="1144"/>
      <c r="AA48" s="1141"/>
      <c r="AB48" s="1146"/>
      <c r="AC48" s="1146"/>
      <c r="AD48" s="256"/>
      <c r="AE48" s="188"/>
      <c r="AF48" s="743"/>
      <c r="AG48" s="256"/>
      <c r="AH48" s="256"/>
      <c r="AI48" s="757"/>
      <c r="AJ48" s="744"/>
      <c r="AK48" s="757"/>
      <c r="AL48" s="745"/>
      <c r="AM48" s="745"/>
      <c r="AN48" s="256"/>
      <c r="AO48" s="256"/>
      <c r="AP48" s="256"/>
      <c r="AQ48" s="256"/>
      <c r="AR48" s="256"/>
      <c r="AS48" s="55"/>
      <c r="AT48" s="17"/>
      <c r="AW48" s="1298"/>
    </row>
    <row r="49" spans="3:61" ht="42" customHeight="1" x14ac:dyDescent="0.3">
      <c r="C49" s="1166">
        <v>10</v>
      </c>
      <c r="D49" s="1165" t="s">
        <v>75</v>
      </c>
      <c r="E49" s="1192" t="s">
        <v>1193</v>
      </c>
      <c r="F49" s="1168">
        <f>'UID application COMBINE Mc list'!H32</f>
        <v>1000000</v>
      </c>
      <c r="G49" s="1165" t="s">
        <v>75</v>
      </c>
      <c r="H49" s="1192" t="s">
        <v>1193</v>
      </c>
      <c r="I49" s="1168" t="s">
        <v>359</v>
      </c>
      <c r="J49" s="797"/>
      <c r="K49" s="1168"/>
      <c r="L49" s="1168">
        <v>413705</v>
      </c>
      <c r="M49" s="1187" t="s">
        <v>1252</v>
      </c>
      <c r="N49" s="1192"/>
      <c r="O49" s="1192"/>
      <c r="P49" s="1192"/>
      <c r="Q49" s="1193"/>
      <c r="R49" s="1165"/>
      <c r="S49" s="1165"/>
      <c r="T49" s="1165"/>
      <c r="U49" s="1165" t="s">
        <v>1450</v>
      </c>
      <c r="V49" s="1165"/>
      <c r="W49" s="1103" t="s">
        <v>1826</v>
      </c>
      <c r="X49" s="1192"/>
      <c r="Y49" s="1169"/>
      <c r="Z49" s="1144"/>
      <c r="AA49" s="1141"/>
      <c r="AB49" s="1146"/>
      <c r="AC49" s="1146"/>
      <c r="AD49" s="256"/>
      <c r="AE49" s="188"/>
      <c r="AF49" s="743"/>
      <c r="AG49" s="256"/>
      <c r="AH49" s="959">
        <v>44634</v>
      </c>
      <c r="AI49" s="757">
        <v>505872</v>
      </c>
      <c r="AJ49" s="744"/>
      <c r="AK49" s="757">
        <v>513884</v>
      </c>
      <c r="AL49" s="745" t="s">
        <v>1549</v>
      </c>
      <c r="AM49" s="745"/>
      <c r="AN49" s="965" t="s">
        <v>1371</v>
      </c>
      <c r="AO49" s="256"/>
      <c r="AP49" s="256"/>
      <c r="AQ49" s="256"/>
      <c r="AR49" s="256"/>
      <c r="AS49" s="55"/>
      <c r="AT49" s="17"/>
      <c r="AV49" s="13" t="s">
        <v>1624</v>
      </c>
      <c r="AW49" s="1151"/>
    </row>
    <row r="50" spans="3:61" ht="20.25" customHeight="1" x14ac:dyDescent="0.3">
      <c r="C50" s="1166"/>
      <c r="D50" s="1165"/>
      <c r="E50" s="1192"/>
      <c r="F50" s="1168"/>
      <c r="G50" s="1201"/>
      <c r="H50" s="1192"/>
      <c r="I50" s="1168"/>
      <c r="J50" s="797"/>
      <c r="K50" s="1168"/>
      <c r="L50" s="1168"/>
      <c r="M50" s="1187"/>
      <c r="N50" s="1192"/>
      <c r="O50" s="1192"/>
      <c r="P50" s="1192"/>
      <c r="Q50" s="1193"/>
      <c r="R50" s="1165"/>
      <c r="S50" s="1165"/>
      <c r="T50" s="1165"/>
      <c r="U50" s="1165"/>
      <c r="V50" s="1165"/>
      <c r="W50" s="1103"/>
      <c r="X50" s="1192"/>
      <c r="Y50" s="1169"/>
      <c r="Z50" s="1144"/>
      <c r="AA50" s="1141"/>
      <c r="AB50" s="1146"/>
      <c r="AC50" s="1146"/>
      <c r="AD50" s="256"/>
      <c r="AE50" s="188"/>
      <c r="AF50" s="743"/>
      <c r="AG50" s="256"/>
      <c r="AH50" s="256"/>
      <c r="AI50" s="757"/>
      <c r="AJ50" s="744"/>
      <c r="AK50" s="757"/>
      <c r="AL50" s="745"/>
      <c r="AM50" s="745"/>
      <c r="AN50" s="256"/>
      <c r="AO50" s="256"/>
      <c r="AP50" s="256"/>
      <c r="AQ50" s="256"/>
      <c r="AR50" s="256"/>
      <c r="AS50" s="55"/>
      <c r="AT50" s="17"/>
    </row>
    <row r="51" spans="3:61" ht="20.25" customHeight="1" x14ac:dyDescent="0.3">
      <c r="C51" s="1166">
        <v>11</v>
      </c>
      <c r="D51" s="1400" t="s">
        <v>1452</v>
      </c>
      <c r="E51" s="1382">
        <v>4</v>
      </c>
      <c r="F51" s="1401">
        <f>'UID application COMBINE Mc list'!H33</f>
        <v>34800000</v>
      </c>
      <c r="G51" s="1400" t="s">
        <v>1452</v>
      </c>
      <c r="H51" s="1382">
        <v>4</v>
      </c>
      <c r="I51" s="1168" t="s">
        <v>359</v>
      </c>
      <c r="J51" s="1192"/>
      <c r="K51" s="1168"/>
      <c r="L51" s="1401">
        <v>34800000</v>
      </c>
      <c r="M51" s="1402" t="s">
        <v>1451</v>
      </c>
      <c r="N51" s="1192"/>
      <c r="O51" s="1192"/>
      <c r="P51" s="1192"/>
      <c r="Q51" s="1193">
        <v>2021</v>
      </c>
      <c r="R51" s="1165" t="s">
        <v>1625</v>
      </c>
      <c r="S51" s="1188">
        <v>549</v>
      </c>
      <c r="T51" s="1165"/>
      <c r="U51" s="1188">
        <v>84459000</v>
      </c>
      <c r="V51" s="1165"/>
      <c r="W51" s="1102" t="s">
        <v>1830</v>
      </c>
      <c r="X51" s="1192"/>
      <c r="Y51" s="1169"/>
      <c r="Z51" s="1144"/>
      <c r="AA51" s="1141"/>
      <c r="AB51" s="1146"/>
      <c r="AC51" s="1146"/>
      <c r="AD51" s="256"/>
      <c r="AE51" s="188"/>
      <c r="AF51" s="743"/>
      <c r="AG51" s="256"/>
      <c r="AH51" s="256"/>
      <c r="AI51" s="188">
        <f>SUM(AI52:AI54)</f>
        <v>30823798</v>
      </c>
      <c r="AJ51" s="744"/>
      <c r="AK51" s="188">
        <f>SUM(AK52:AK54)</f>
        <v>29406266</v>
      </c>
      <c r="AL51" s="745"/>
      <c r="AM51" s="745"/>
      <c r="AN51" s="256"/>
      <c r="AO51" s="256"/>
      <c r="AP51" s="256"/>
      <c r="AQ51" s="256"/>
      <c r="AR51" s="256"/>
      <c r="AS51" s="55"/>
      <c r="AT51" s="17"/>
      <c r="AW51" s="1299" t="s">
        <v>1705</v>
      </c>
    </row>
    <row r="52" spans="3:61" ht="20.25" customHeight="1" x14ac:dyDescent="0.3">
      <c r="C52" s="1166"/>
      <c r="D52" s="1400"/>
      <c r="E52" s="1382"/>
      <c r="F52" s="1401"/>
      <c r="G52" s="1400"/>
      <c r="H52" s="1382"/>
      <c r="I52" s="1168" t="s">
        <v>359</v>
      </c>
      <c r="J52" s="798"/>
      <c r="K52" s="1168"/>
      <c r="L52" s="1401"/>
      <c r="M52" s="1402"/>
      <c r="N52" s="1192"/>
      <c r="O52" s="1192"/>
      <c r="P52" s="1192"/>
      <c r="Q52" s="1193">
        <v>2021</v>
      </c>
      <c r="R52" s="1165" t="s">
        <v>1625</v>
      </c>
      <c r="S52" s="1188">
        <v>550</v>
      </c>
      <c r="T52" s="1165"/>
      <c r="U52" s="1188">
        <v>84459000</v>
      </c>
      <c r="V52" s="1165"/>
      <c r="W52" s="1103" t="s">
        <v>1829</v>
      </c>
      <c r="X52" s="1192"/>
      <c r="Y52" s="1169"/>
      <c r="Z52" s="1144"/>
      <c r="AA52" s="1141"/>
      <c r="AB52" s="1146"/>
      <c r="AC52" s="1146"/>
      <c r="AD52" s="256"/>
      <c r="AE52" s="188"/>
      <c r="AF52" s="743"/>
      <c r="AG52" s="256"/>
      <c r="AH52" s="959">
        <v>44634</v>
      </c>
      <c r="AI52" s="757">
        <v>10271266</v>
      </c>
      <c r="AJ52" s="744"/>
      <c r="AK52" s="757">
        <v>10000000</v>
      </c>
      <c r="AL52" s="1098" t="s">
        <v>1552</v>
      </c>
      <c r="AM52" s="745"/>
      <c r="AN52" s="256" t="s">
        <v>1371</v>
      </c>
      <c r="AO52" s="256"/>
      <c r="AP52" s="256"/>
      <c r="AQ52" s="256"/>
      <c r="AR52" s="256"/>
      <c r="AS52" s="55"/>
      <c r="AT52" s="17"/>
      <c r="AV52" s="13" t="s">
        <v>1610</v>
      </c>
      <c r="AW52" s="1299"/>
    </row>
    <row r="53" spans="3:61" ht="20.25" customHeight="1" x14ac:dyDescent="0.3">
      <c r="C53" s="1166"/>
      <c r="D53" s="1400"/>
      <c r="E53" s="1382"/>
      <c r="F53" s="1401"/>
      <c r="G53" s="1400"/>
      <c r="H53" s="1382"/>
      <c r="I53" s="1168" t="s">
        <v>359</v>
      </c>
      <c r="J53" s="797"/>
      <c r="K53" s="1168"/>
      <c r="L53" s="1401"/>
      <c r="M53" s="1402"/>
      <c r="N53" s="1192"/>
      <c r="O53" s="1192"/>
      <c r="P53" s="1192"/>
      <c r="Q53" s="1193">
        <v>2022</v>
      </c>
      <c r="R53" s="1165" t="s">
        <v>1625</v>
      </c>
      <c r="S53" s="1188">
        <v>551</v>
      </c>
      <c r="T53" s="1165"/>
      <c r="U53" s="1188">
        <v>84459000</v>
      </c>
      <c r="V53" s="1165"/>
      <c r="W53" s="1103" t="s">
        <v>1828</v>
      </c>
      <c r="X53" s="1192"/>
      <c r="Y53" s="1169"/>
      <c r="Z53" s="1144"/>
      <c r="AA53" s="1141"/>
      <c r="AB53" s="1146"/>
      <c r="AC53" s="1146"/>
      <c r="AD53" s="256"/>
      <c r="AE53" s="188"/>
      <c r="AF53" s="743"/>
      <c r="AG53" s="256"/>
      <c r="AH53" s="256"/>
      <c r="AI53" s="757">
        <f>10271266+5000</f>
        <v>10276266</v>
      </c>
      <c r="AJ53" s="744"/>
      <c r="AK53" s="757">
        <v>10000000</v>
      </c>
      <c r="AL53" s="1098" t="s">
        <v>1552</v>
      </c>
      <c r="AM53" s="745"/>
      <c r="AN53" s="256" t="s">
        <v>1371</v>
      </c>
      <c r="AO53" s="256"/>
      <c r="AP53" s="256"/>
      <c r="AQ53" s="256"/>
      <c r="AR53" s="256"/>
      <c r="AS53" s="55"/>
      <c r="AT53" s="17"/>
      <c r="AW53" s="1299"/>
      <c r="BF53" s="757">
        <v>4000000</v>
      </c>
      <c r="BG53" s="745" t="s">
        <v>1570</v>
      </c>
      <c r="BH53" s="745"/>
      <c r="BI53" s="256" t="s">
        <v>1309</v>
      </c>
    </row>
    <row r="54" spans="3:61" ht="20.25" customHeight="1" x14ac:dyDescent="0.3">
      <c r="C54" s="1166"/>
      <c r="D54" s="1400"/>
      <c r="E54" s="1382"/>
      <c r="F54" s="1401"/>
      <c r="G54" s="1400"/>
      <c r="H54" s="1382"/>
      <c r="I54" s="1168" t="s">
        <v>359</v>
      </c>
      <c r="J54" s="797"/>
      <c r="K54" s="1168"/>
      <c r="L54" s="1401"/>
      <c r="M54" s="1402"/>
      <c r="N54" s="1192"/>
      <c r="O54" s="1192"/>
      <c r="P54" s="1192"/>
      <c r="Q54" s="1193">
        <v>2022</v>
      </c>
      <c r="R54" s="1165" t="s">
        <v>1625</v>
      </c>
      <c r="S54" s="1188">
        <v>552</v>
      </c>
      <c r="T54" s="1165"/>
      <c r="U54" s="1188">
        <v>84459000</v>
      </c>
      <c r="V54" s="1165"/>
      <c r="W54" s="1103" t="s">
        <v>1827</v>
      </c>
      <c r="X54" s="1192"/>
      <c r="Y54" s="1169"/>
      <c r="Z54" s="1144"/>
      <c r="AA54" s="1141"/>
      <c r="AB54" s="1146"/>
      <c r="AC54" s="1146"/>
      <c r="AD54" s="256"/>
      <c r="AE54" s="188"/>
      <c r="AF54" s="743"/>
      <c r="AG54" s="256"/>
      <c r="AH54" s="256"/>
      <c r="AI54" s="757">
        <f>10271266+5000</f>
        <v>10276266</v>
      </c>
      <c r="AJ54" s="744"/>
      <c r="AK54" s="757">
        <v>9406266</v>
      </c>
      <c r="AL54" s="1098" t="s">
        <v>1553</v>
      </c>
      <c r="AM54" s="745"/>
      <c r="AN54" s="256" t="s">
        <v>1371</v>
      </c>
      <c r="AO54" s="256"/>
      <c r="AP54" s="256"/>
      <c r="AQ54" s="256"/>
      <c r="AR54" s="256"/>
      <c r="AS54" s="55"/>
      <c r="AT54" s="17"/>
      <c r="AW54" s="1299"/>
    </row>
    <row r="55" spans="3:61" ht="20.25" customHeight="1" x14ac:dyDescent="0.3">
      <c r="C55" s="1166"/>
      <c r="D55" s="1165"/>
      <c r="E55" s="1192"/>
      <c r="F55" s="1168"/>
      <c r="G55" s="1201"/>
      <c r="H55" s="1192"/>
      <c r="I55" s="1168"/>
      <c r="J55" s="797"/>
      <c r="K55" s="1168"/>
      <c r="L55" s="1168"/>
      <c r="M55" s="1187"/>
      <c r="N55" s="1192"/>
      <c r="O55" s="1192"/>
      <c r="P55" s="1192"/>
      <c r="Q55" s="1193"/>
      <c r="R55" s="1165"/>
      <c r="S55" s="1165"/>
      <c r="T55" s="1165"/>
      <c r="U55" s="1165"/>
      <c r="V55" s="1165"/>
      <c r="W55" s="1103"/>
      <c r="X55" s="1192"/>
      <c r="Y55" s="1169"/>
      <c r="Z55" s="1144"/>
      <c r="AA55" s="1141"/>
      <c r="AB55" s="1146"/>
      <c r="AC55" s="1146"/>
      <c r="AD55" s="256"/>
      <c r="AE55" s="188"/>
      <c r="AF55" s="743"/>
      <c r="AG55" s="256"/>
      <c r="AH55" s="256"/>
      <c r="AI55" s="757"/>
      <c r="AJ55" s="744"/>
      <c r="AK55" s="757"/>
      <c r="AL55" s="745"/>
      <c r="AM55" s="745"/>
      <c r="AN55" s="256"/>
      <c r="AO55" s="256"/>
      <c r="AP55" s="256"/>
      <c r="AQ55" s="256"/>
      <c r="AR55" s="256"/>
      <c r="AS55" s="55"/>
      <c r="AT55" s="17"/>
    </row>
    <row r="56" spans="3:61" ht="45.75" customHeight="1" x14ac:dyDescent="0.3">
      <c r="C56" s="1166">
        <v>12</v>
      </c>
      <c r="D56" s="1400" t="s">
        <v>1256</v>
      </c>
      <c r="E56" s="1382">
        <f>'UID application COMBINE Mc list'!D34</f>
        <v>2</v>
      </c>
      <c r="F56" s="1401">
        <f>'UID application COMBINE Mc list'!H34</f>
        <v>49200000</v>
      </c>
      <c r="G56" s="1407" t="s">
        <v>1458</v>
      </c>
      <c r="H56" s="1382">
        <v>2</v>
      </c>
      <c r="I56" s="1168" t="s">
        <v>359</v>
      </c>
      <c r="J56" s="798"/>
      <c r="K56" s="1168"/>
      <c r="L56" s="1401">
        <v>49200000</v>
      </c>
      <c r="M56" s="1399" t="s">
        <v>1451</v>
      </c>
      <c r="N56" s="1192"/>
      <c r="O56" s="1192"/>
      <c r="P56" s="1192"/>
      <c r="Q56" s="1202">
        <v>2021</v>
      </c>
      <c r="R56" s="1203" t="s">
        <v>1461</v>
      </c>
      <c r="S56" s="1204">
        <v>553</v>
      </c>
      <c r="T56" s="1165"/>
      <c r="U56" s="1188">
        <v>84518011</v>
      </c>
      <c r="V56" s="1165"/>
      <c r="W56" s="1102" t="s">
        <v>1832</v>
      </c>
      <c r="X56" s="1192"/>
      <c r="Y56" s="1169"/>
      <c r="Z56" s="1144"/>
      <c r="AA56" s="1141"/>
      <c r="AB56" s="1146"/>
      <c r="AC56" s="1146"/>
      <c r="AD56" s="256"/>
      <c r="AE56" s="188"/>
      <c r="AF56" s="743"/>
      <c r="AG56" s="256"/>
      <c r="AH56" s="256"/>
      <c r="AI56" s="757">
        <f>SUM(AI57:AI57)</f>
        <v>29057028</v>
      </c>
      <c r="AJ56" s="744"/>
      <c r="AK56" s="757">
        <f>SUM(AK57:AK57)</f>
        <v>23260000</v>
      </c>
      <c r="AL56" s="745"/>
      <c r="AM56" s="745"/>
      <c r="AN56" s="256"/>
      <c r="AO56" s="256"/>
      <c r="AP56" s="256"/>
      <c r="AQ56" s="256"/>
      <c r="AR56" s="256"/>
      <c r="AS56" s="55"/>
      <c r="AT56" s="17"/>
      <c r="AW56" s="1299" t="s">
        <v>1706</v>
      </c>
    </row>
    <row r="57" spans="3:61" ht="60" customHeight="1" x14ac:dyDescent="0.3">
      <c r="C57" s="1166"/>
      <c r="D57" s="1400"/>
      <c r="E57" s="1382"/>
      <c r="F57" s="1401"/>
      <c r="G57" s="1407"/>
      <c r="H57" s="1382"/>
      <c r="I57" s="1168" t="s">
        <v>359</v>
      </c>
      <c r="J57" s="798"/>
      <c r="K57" s="1168"/>
      <c r="L57" s="1401"/>
      <c r="M57" s="1399"/>
      <c r="N57" s="1192"/>
      <c r="O57" s="1192"/>
      <c r="P57" s="1192"/>
      <c r="Q57" s="1202">
        <v>2022</v>
      </c>
      <c r="R57" s="1203" t="s">
        <v>1461</v>
      </c>
      <c r="S57" s="1204">
        <v>554</v>
      </c>
      <c r="T57" s="1165"/>
      <c r="U57" s="1188">
        <v>84518011</v>
      </c>
      <c r="V57" s="1165"/>
      <c r="W57" s="1102" t="s">
        <v>1831</v>
      </c>
      <c r="X57" s="1192"/>
      <c r="Y57" s="1169"/>
      <c r="Z57" s="1144"/>
      <c r="AA57" s="1141"/>
      <c r="AB57" s="1146"/>
      <c r="AC57" s="1146"/>
      <c r="AD57" s="256"/>
      <c r="AE57" s="188"/>
      <c r="AF57" s="743"/>
      <c r="AG57" s="256"/>
      <c r="AH57" s="256"/>
      <c r="AI57" s="757">
        <v>29057028</v>
      </c>
      <c r="AJ57" s="744"/>
      <c r="AK57" s="757">
        <v>23260000</v>
      </c>
      <c r="AL57" s="1098">
        <v>44518</v>
      </c>
      <c r="AM57" s="745"/>
      <c r="AN57" s="256" t="s">
        <v>1371</v>
      </c>
      <c r="AO57" s="256"/>
      <c r="AP57" s="256"/>
      <c r="AQ57" s="256"/>
      <c r="AR57" s="256"/>
      <c r="AS57" s="55"/>
      <c r="AT57" s="17"/>
      <c r="AV57" s="14" t="s">
        <v>1610</v>
      </c>
      <c r="AW57" s="1299"/>
    </row>
    <row r="58" spans="3:61" ht="20.25" customHeight="1" x14ac:dyDescent="0.3">
      <c r="C58" s="1166"/>
      <c r="D58" s="1165"/>
      <c r="E58" s="1192"/>
      <c r="F58" s="1168"/>
      <c r="G58" s="1201"/>
      <c r="H58" s="1192"/>
      <c r="I58" s="1168"/>
      <c r="J58" s="797"/>
      <c r="K58" s="1168"/>
      <c r="L58" s="1168"/>
      <c r="M58" s="1187"/>
      <c r="N58" s="1192"/>
      <c r="O58" s="1192"/>
      <c r="P58" s="1192"/>
      <c r="Q58" s="1193"/>
      <c r="R58" s="1165"/>
      <c r="S58" s="1165"/>
      <c r="T58" s="1165"/>
      <c r="U58" s="1165"/>
      <c r="V58" s="1165"/>
      <c r="W58" s="1103"/>
      <c r="X58" s="1192"/>
      <c r="Y58" s="1169"/>
      <c r="Z58" s="1144"/>
      <c r="AA58" s="1141"/>
      <c r="AB58" s="1146"/>
      <c r="AC58" s="1146"/>
      <c r="AD58" s="256"/>
      <c r="AE58" s="188"/>
      <c r="AF58" s="743"/>
      <c r="AG58" s="256"/>
      <c r="AH58" s="256"/>
      <c r="AI58" s="757"/>
      <c r="AJ58" s="744"/>
      <c r="AK58" s="757"/>
      <c r="AL58" s="745"/>
      <c r="AM58" s="745"/>
      <c r="AN58" s="256"/>
      <c r="AO58" s="256"/>
      <c r="AP58" s="256"/>
      <c r="AQ58" s="256"/>
      <c r="AR58" s="256"/>
      <c r="AS58" s="55"/>
      <c r="AT58" s="17"/>
    </row>
    <row r="59" spans="3:61" ht="45.75" customHeight="1" x14ac:dyDescent="0.3">
      <c r="C59" s="1166">
        <v>13</v>
      </c>
      <c r="D59" s="1165" t="s">
        <v>1259</v>
      </c>
      <c r="E59" s="1192">
        <v>1</v>
      </c>
      <c r="F59" s="1168">
        <f>'UID application COMBINE Mc list'!H35</f>
        <v>2880000</v>
      </c>
      <c r="G59" s="1421" t="s">
        <v>649</v>
      </c>
      <c r="H59" s="1422"/>
      <c r="I59" s="1422"/>
      <c r="J59" s="1422"/>
      <c r="K59" s="1422"/>
      <c r="L59" s="1422"/>
      <c r="M59" s="1422"/>
      <c r="N59" s="1422"/>
      <c r="O59" s="1422"/>
      <c r="P59" s="1422"/>
      <c r="Q59" s="1422"/>
      <c r="R59" s="1422"/>
      <c r="S59" s="1422"/>
      <c r="T59" s="1422"/>
      <c r="U59" s="1422"/>
      <c r="V59" s="1422"/>
      <c r="W59" s="1422"/>
      <c r="X59" s="1422"/>
      <c r="Y59" s="1423"/>
      <c r="Z59" s="1144"/>
      <c r="AA59" s="1141"/>
      <c r="AB59" s="1146"/>
      <c r="AC59" s="1146"/>
      <c r="AD59" s="256"/>
      <c r="AE59" s="188"/>
      <c r="AF59" s="743"/>
      <c r="AG59" s="256"/>
      <c r="AH59" s="256"/>
      <c r="AI59" s="757"/>
      <c r="AJ59" s="744"/>
      <c r="AK59" s="757"/>
      <c r="AL59" s="745"/>
      <c r="AM59" s="745"/>
      <c r="AN59" s="256"/>
      <c r="AO59" s="256"/>
      <c r="AP59" s="256"/>
      <c r="AQ59" s="256"/>
      <c r="AR59" s="256"/>
      <c r="AS59" s="55"/>
      <c r="AT59" s="17"/>
    </row>
    <row r="60" spans="3:61" ht="20.25" customHeight="1" x14ac:dyDescent="0.3">
      <c r="C60" s="1166"/>
      <c r="D60" s="1165"/>
      <c r="E60" s="1192"/>
      <c r="F60" s="1168"/>
      <c r="G60" s="1201"/>
      <c r="H60" s="1192"/>
      <c r="I60" s="1168"/>
      <c r="J60" s="797"/>
      <c r="K60" s="1168"/>
      <c r="L60" s="1168"/>
      <c r="M60" s="1187"/>
      <c r="N60" s="1192"/>
      <c r="O60" s="1192"/>
      <c r="P60" s="1192"/>
      <c r="Q60" s="1193"/>
      <c r="R60" s="1165"/>
      <c r="S60" s="1165"/>
      <c r="T60" s="1165"/>
      <c r="U60" s="1165"/>
      <c r="V60" s="1165"/>
      <c r="W60" s="1103"/>
      <c r="X60" s="1192"/>
      <c r="Y60" s="1169"/>
      <c r="Z60" s="1144"/>
      <c r="AA60" s="1141"/>
      <c r="AB60" s="1146"/>
      <c r="AC60" s="1146"/>
      <c r="AD60" s="256"/>
      <c r="AE60" s="188"/>
      <c r="AF60" s="743"/>
      <c r="AG60" s="256"/>
      <c r="AH60" s="256"/>
      <c r="AI60" s="757"/>
      <c r="AJ60" s="744"/>
      <c r="AK60" s="757"/>
      <c r="AL60" s="745"/>
      <c r="AM60" s="745"/>
      <c r="AN60" s="256"/>
      <c r="AO60" s="256"/>
      <c r="AP60" s="256"/>
      <c r="AQ60" s="256"/>
      <c r="AR60" s="256"/>
      <c r="AS60" s="55"/>
      <c r="AT60" s="17"/>
    </row>
    <row r="61" spans="3:61" ht="67.5" customHeight="1" x14ac:dyDescent="0.3">
      <c r="C61" s="1166">
        <v>14</v>
      </c>
      <c r="D61" s="1400" t="s">
        <v>1261</v>
      </c>
      <c r="E61" s="1382">
        <v>47</v>
      </c>
      <c r="F61" s="1401">
        <f>'UID application COMBINE Mc list'!H36</f>
        <v>6425000</v>
      </c>
      <c r="G61" s="1189" t="s">
        <v>1656</v>
      </c>
      <c r="H61" s="1192">
        <v>1</v>
      </c>
      <c r="I61" s="1168"/>
      <c r="J61" s="797"/>
      <c r="K61" s="1168"/>
      <c r="L61" s="1168">
        <v>1660000</v>
      </c>
      <c r="M61" s="1187" t="s">
        <v>1451</v>
      </c>
      <c r="N61" s="1192"/>
      <c r="O61" s="1192"/>
      <c r="P61" s="1192"/>
      <c r="Q61" s="1193">
        <v>2021</v>
      </c>
      <c r="R61" s="1165"/>
      <c r="S61" s="1165"/>
      <c r="T61" s="1165"/>
      <c r="U61" s="1165"/>
      <c r="V61" s="1165"/>
      <c r="W61" s="1103" t="s">
        <v>1655</v>
      </c>
      <c r="X61" s="1192"/>
      <c r="Y61" s="1169"/>
      <c r="Z61" s="1144"/>
      <c r="AA61" s="1141"/>
      <c r="AB61" s="1146"/>
      <c r="AC61" s="1146"/>
      <c r="AD61" s="256"/>
      <c r="AE61" s="188"/>
      <c r="AF61" s="743"/>
      <c r="AG61" s="256"/>
      <c r="AH61" s="256"/>
      <c r="AI61" s="757">
        <f>SUM(AI62:AI66)</f>
        <v>7483159</v>
      </c>
      <c r="AJ61" s="757"/>
      <c r="AK61" s="757">
        <f>SUM(AK62:AK66)</f>
        <v>5876359</v>
      </c>
      <c r="AL61" s="745"/>
      <c r="AM61" s="745"/>
      <c r="AN61" s="256"/>
      <c r="AO61" s="256"/>
      <c r="AP61" s="256"/>
      <c r="AQ61" s="256"/>
      <c r="AR61" s="256"/>
      <c r="AS61" s="55"/>
      <c r="AT61" s="17"/>
    </row>
    <row r="62" spans="3:61" ht="30" customHeight="1" x14ac:dyDescent="0.3">
      <c r="C62" s="1166"/>
      <c r="D62" s="1400"/>
      <c r="E62" s="1382"/>
      <c r="F62" s="1401"/>
      <c r="G62" s="1189"/>
      <c r="H62" s="1192"/>
      <c r="I62" s="1168" t="s">
        <v>359</v>
      </c>
      <c r="J62" s="797"/>
      <c r="K62" s="1168"/>
      <c r="L62" s="1168"/>
      <c r="M62" s="1187"/>
      <c r="N62" s="1192"/>
      <c r="O62" s="1192"/>
      <c r="P62" s="1192"/>
      <c r="Q62" s="1193"/>
      <c r="R62" s="1165"/>
      <c r="S62" s="1188">
        <v>555</v>
      </c>
      <c r="T62" s="1165"/>
      <c r="U62" s="1165"/>
      <c r="V62" s="1165"/>
      <c r="W62" s="1103"/>
      <c r="X62" s="1192"/>
      <c r="Y62" s="1169"/>
      <c r="Z62" s="1144"/>
      <c r="AA62" s="1141"/>
      <c r="AB62" s="1146"/>
      <c r="AC62" s="1146"/>
      <c r="AD62" s="256"/>
      <c r="AE62" s="188"/>
      <c r="AF62" s="743"/>
      <c r="AG62" s="256"/>
      <c r="AH62" s="951">
        <v>44634</v>
      </c>
      <c r="AI62" s="757">
        <v>1960759</v>
      </c>
      <c r="AJ62" s="744"/>
      <c r="AK62" s="757">
        <f>1709800</f>
        <v>1709800</v>
      </c>
      <c r="AL62" s="1007" t="s">
        <v>1571</v>
      </c>
      <c r="AM62" s="745"/>
      <c r="AN62" s="256" t="s">
        <v>1371</v>
      </c>
      <c r="AO62" s="256"/>
      <c r="AP62" s="256"/>
      <c r="AQ62" s="256"/>
      <c r="AR62" s="256"/>
      <c r="AS62" s="55"/>
      <c r="AT62" s="17"/>
      <c r="AV62" s="13" t="s">
        <v>1645</v>
      </c>
      <c r="AW62" s="14" t="s">
        <v>1707</v>
      </c>
    </row>
    <row r="63" spans="3:61" ht="20.25" customHeight="1" x14ac:dyDescent="0.3">
      <c r="C63" s="1166"/>
      <c r="D63" s="1400"/>
      <c r="E63" s="1382"/>
      <c r="F63" s="1401"/>
      <c r="G63" s="1406" t="s">
        <v>1539</v>
      </c>
      <c r="H63" s="1382">
        <v>120</v>
      </c>
      <c r="I63" s="1168"/>
      <c r="J63" s="797"/>
      <c r="K63" s="1168"/>
      <c r="L63" s="1401">
        <v>6240000</v>
      </c>
      <c r="M63" s="1402" t="s">
        <v>1651</v>
      </c>
      <c r="N63" s="1192"/>
      <c r="O63" s="1192"/>
      <c r="P63" s="1192"/>
      <c r="Q63" s="1408"/>
      <c r="R63" s="1165"/>
      <c r="S63" s="1188"/>
      <c r="T63" s="1165"/>
      <c r="U63" s="1165"/>
      <c r="V63" s="1165"/>
      <c r="W63" s="1103" t="s">
        <v>1835</v>
      </c>
      <c r="X63" s="1192"/>
      <c r="Y63" s="1169"/>
      <c r="Z63" s="1144"/>
      <c r="AA63" s="1141"/>
      <c r="AB63" s="1146"/>
      <c r="AC63" s="1146"/>
      <c r="AD63" s="256"/>
      <c r="AE63" s="188"/>
      <c r="AF63" s="743"/>
      <c r="AG63" s="256"/>
      <c r="AH63" s="951"/>
      <c r="AI63" s="757"/>
      <c r="AJ63" s="744"/>
      <c r="AK63" s="757">
        <v>250959</v>
      </c>
      <c r="AL63" s="745" t="s">
        <v>1786</v>
      </c>
      <c r="AM63" s="745"/>
      <c r="AN63" s="256" t="s">
        <v>1371</v>
      </c>
      <c r="AO63" s="256"/>
      <c r="AP63" s="256"/>
      <c r="AQ63" s="256"/>
      <c r="AR63" s="256"/>
      <c r="AS63" s="55"/>
      <c r="AT63" s="17"/>
      <c r="AW63" s="14"/>
    </row>
    <row r="64" spans="3:61" ht="28.5" customHeight="1" x14ac:dyDescent="0.3">
      <c r="C64" s="1166"/>
      <c r="D64" s="1400"/>
      <c r="E64" s="1382"/>
      <c r="F64" s="1401"/>
      <c r="G64" s="1406"/>
      <c r="H64" s="1382"/>
      <c r="I64" s="1168" t="s">
        <v>359</v>
      </c>
      <c r="J64" s="797"/>
      <c r="K64" s="1168"/>
      <c r="L64" s="1401"/>
      <c r="M64" s="1402"/>
      <c r="N64" s="1192"/>
      <c r="O64" s="1192"/>
      <c r="P64" s="1192"/>
      <c r="Q64" s="1408"/>
      <c r="R64" s="1165"/>
      <c r="S64" s="1165"/>
      <c r="T64" s="1165"/>
      <c r="U64" s="1165"/>
      <c r="V64" s="1165"/>
      <c r="W64" s="1103" t="s">
        <v>1834</v>
      </c>
      <c r="X64" s="1192"/>
      <c r="Y64" s="1169"/>
      <c r="Z64" s="1144"/>
      <c r="AA64" s="1141"/>
      <c r="AB64" s="1146"/>
      <c r="AC64" s="1146"/>
      <c r="AD64" s="256"/>
      <c r="AE64" s="188"/>
      <c r="AF64" s="743"/>
      <c r="AG64" s="256"/>
      <c r="AH64" s="951">
        <v>44634</v>
      </c>
      <c r="AI64" s="757">
        <v>1840800</v>
      </c>
      <c r="AJ64" s="744"/>
      <c r="AK64" s="757">
        <v>468000</v>
      </c>
      <c r="AL64" s="1098" t="s">
        <v>1385</v>
      </c>
      <c r="AM64" s="745"/>
      <c r="AN64" s="256" t="s">
        <v>1309</v>
      </c>
      <c r="AO64" s="256"/>
      <c r="AP64" s="256"/>
      <c r="AQ64" s="256"/>
      <c r="AR64" s="256"/>
      <c r="AS64" s="55"/>
      <c r="AT64" s="17"/>
      <c r="AV64" s="13" t="s">
        <v>1627</v>
      </c>
      <c r="AW64" s="1299" t="s">
        <v>1703</v>
      </c>
    </row>
    <row r="65" spans="3:49" ht="27" customHeight="1" x14ac:dyDescent="0.3">
      <c r="C65" s="1166"/>
      <c r="D65" s="1400"/>
      <c r="E65" s="1382"/>
      <c r="F65" s="1401"/>
      <c r="G65" s="1406"/>
      <c r="H65" s="1382"/>
      <c r="I65" s="1168" t="s">
        <v>359</v>
      </c>
      <c r="J65" s="797"/>
      <c r="K65" s="1168"/>
      <c r="L65" s="1401"/>
      <c r="M65" s="1402"/>
      <c r="N65" s="1192"/>
      <c r="O65" s="1192"/>
      <c r="P65" s="1192"/>
      <c r="Q65" s="1408"/>
      <c r="R65" s="1165"/>
      <c r="S65" s="1165"/>
      <c r="T65" s="1165"/>
      <c r="U65" s="1165"/>
      <c r="V65" s="1165"/>
      <c r="W65" s="1103" t="s">
        <v>1833</v>
      </c>
      <c r="X65" s="1192"/>
      <c r="Y65" s="1169"/>
      <c r="Z65" s="1144"/>
      <c r="AA65" s="1141"/>
      <c r="AB65" s="1146"/>
      <c r="AC65" s="1146"/>
      <c r="AD65" s="256"/>
      <c r="AE65" s="188"/>
      <c r="AF65" s="743"/>
      <c r="AG65" s="256"/>
      <c r="AH65" s="256"/>
      <c r="AI65" s="757">
        <v>1840800</v>
      </c>
      <c r="AJ65" s="744"/>
      <c r="AK65" s="757">
        <v>1723800</v>
      </c>
      <c r="AL65" s="1098" t="s">
        <v>1573</v>
      </c>
      <c r="AM65" s="745"/>
      <c r="AN65" s="256" t="s">
        <v>1371</v>
      </c>
      <c r="AO65" s="256"/>
      <c r="AP65" s="256"/>
      <c r="AQ65" s="256"/>
      <c r="AR65" s="256"/>
      <c r="AS65" s="55"/>
      <c r="AT65" s="17"/>
      <c r="AV65" s="13" t="s">
        <v>1628</v>
      </c>
      <c r="AW65" s="1299"/>
    </row>
    <row r="66" spans="3:49" ht="33.75" customHeight="1" x14ac:dyDescent="0.3">
      <c r="C66" s="1166"/>
      <c r="D66" s="1400"/>
      <c r="E66" s="1382"/>
      <c r="F66" s="1401"/>
      <c r="G66" s="1406"/>
      <c r="H66" s="1382"/>
      <c r="I66" s="1168" t="s">
        <v>359</v>
      </c>
      <c r="J66" s="797"/>
      <c r="K66" s="1168"/>
      <c r="L66" s="1401"/>
      <c r="M66" s="1402"/>
      <c r="N66" s="1192"/>
      <c r="O66" s="1192"/>
      <c r="P66" s="1192"/>
      <c r="Q66" s="1408"/>
      <c r="R66" s="1165"/>
      <c r="S66" s="1165"/>
      <c r="T66" s="1165"/>
      <c r="U66" s="1165"/>
      <c r="V66" s="1165"/>
      <c r="W66" s="1103" t="s">
        <v>1836</v>
      </c>
      <c r="X66" s="1192"/>
      <c r="Y66" s="1169"/>
      <c r="Z66" s="1144"/>
      <c r="AA66" s="1141"/>
      <c r="AB66" s="1146"/>
      <c r="AC66" s="1146"/>
      <c r="AD66" s="256"/>
      <c r="AE66" s="188"/>
      <c r="AF66" s="743"/>
      <c r="AG66" s="256"/>
      <c r="AH66" s="256"/>
      <c r="AI66" s="757">
        <v>1840800</v>
      </c>
      <c r="AJ66" s="744"/>
      <c r="AK66" s="757">
        <v>1723800</v>
      </c>
      <c r="AL66" s="1098" t="s">
        <v>1574</v>
      </c>
      <c r="AM66" s="745"/>
      <c r="AN66" s="256" t="s">
        <v>1371</v>
      </c>
      <c r="AO66" s="256"/>
      <c r="AP66" s="256"/>
      <c r="AQ66" s="256"/>
      <c r="AR66" s="256"/>
      <c r="AS66" s="55"/>
      <c r="AT66" s="17"/>
      <c r="AW66" s="1299"/>
    </row>
    <row r="67" spans="3:49" ht="20.25" customHeight="1" x14ac:dyDescent="0.3">
      <c r="C67" s="1166"/>
      <c r="D67" s="1165"/>
      <c r="E67" s="1192"/>
      <c r="F67" s="1168"/>
      <c r="G67" s="1201"/>
      <c r="H67" s="1192"/>
      <c r="I67" s="1168"/>
      <c r="J67" s="797"/>
      <c r="K67" s="1168"/>
      <c r="L67" s="1168"/>
      <c r="M67" s="1187"/>
      <c r="N67" s="1192"/>
      <c r="O67" s="1192"/>
      <c r="P67" s="1192"/>
      <c r="Q67" s="1193"/>
      <c r="R67" s="1165"/>
      <c r="S67" s="1165"/>
      <c r="T67" s="1165"/>
      <c r="U67" s="1165"/>
      <c r="V67" s="1165"/>
      <c r="W67" s="1103"/>
      <c r="X67" s="1192"/>
      <c r="Y67" s="1169"/>
      <c r="Z67" s="1144"/>
      <c r="AA67" s="1141"/>
      <c r="AB67" s="1146"/>
      <c r="AC67" s="1146"/>
      <c r="AD67" s="256"/>
      <c r="AE67" s="188"/>
      <c r="AF67" s="743"/>
      <c r="AG67" s="256"/>
      <c r="AH67" s="256"/>
      <c r="AI67" s="757"/>
      <c r="AJ67" s="744"/>
      <c r="AK67" s="757"/>
      <c r="AL67" s="745"/>
      <c r="AM67" s="745"/>
      <c r="AN67" s="256"/>
      <c r="AO67" s="256"/>
      <c r="AP67" s="256"/>
      <c r="AQ67" s="256"/>
      <c r="AR67" s="256"/>
      <c r="AS67" s="55"/>
      <c r="AT67" s="17"/>
    </row>
    <row r="68" spans="3:49" ht="20.25" customHeight="1" x14ac:dyDescent="0.3">
      <c r="C68" s="1166">
        <v>15</v>
      </c>
      <c r="D68" s="1400" t="s">
        <v>1264</v>
      </c>
      <c r="E68" s="1382">
        <f>'UID application COMBINE Mc list'!D37</f>
        <v>12</v>
      </c>
      <c r="F68" s="1401">
        <f>'UID application COMBINE Mc list'!H37</f>
        <v>7800000</v>
      </c>
      <c r="G68" s="1407" t="s">
        <v>1264</v>
      </c>
      <c r="H68" s="1382">
        <v>12</v>
      </c>
      <c r="I68" s="1168" t="s">
        <v>359</v>
      </c>
      <c r="J68" s="1168"/>
      <c r="K68" s="1168"/>
      <c r="L68" s="1401">
        <v>8400000</v>
      </c>
      <c r="M68" s="1402" t="s">
        <v>1462</v>
      </c>
      <c r="N68" s="1192"/>
      <c r="O68" s="1192"/>
      <c r="P68" s="1192"/>
      <c r="Q68" s="1408" t="s">
        <v>1803</v>
      </c>
      <c r="R68" s="1205" t="s">
        <v>1467</v>
      </c>
      <c r="S68" s="1165" t="s">
        <v>1471</v>
      </c>
      <c r="T68" s="1165"/>
      <c r="U68" s="1188">
        <v>84282011</v>
      </c>
      <c r="V68" s="1165"/>
      <c r="W68" s="1102" t="s">
        <v>1837</v>
      </c>
      <c r="X68" s="1192"/>
      <c r="Y68" s="1169"/>
      <c r="Z68" s="1144"/>
      <c r="AA68" s="1141"/>
      <c r="AB68" s="1146"/>
      <c r="AC68" s="1146"/>
      <c r="AD68" s="256"/>
      <c r="AE68" s="188"/>
      <c r="AF68" s="743"/>
      <c r="AG68" s="256"/>
      <c r="AH68" s="256"/>
      <c r="AI68" s="739">
        <f>SUM(AI69:AI71)</f>
        <v>7434000</v>
      </c>
      <c r="AJ68" s="757"/>
      <c r="AK68" s="739">
        <f>SUM(AK69:AK71)</f>
        <v>7116660</v>
      </c>
      <c r="AL68" s="745"/>
      <c r="AM68" s="745"/>
      <c r="AN68" s="256"/>
      <c r="AO68" s="256"/>
      <c r="AP68" s="256"/>
      <c r="AQ68" s="256"/>
      <c r="AR68" s="256"/>
      <c r="AS68" s="55"/>
      <c r="AT68" s="17"/>
    </row>
    <row r="69" spans="3:49" ht="20.25" customHeight="1" x14ac:dyDescent="0.3">
      <c r="C69" s="1166"/>
      <c r="D69" s="1400"/>
      <c r="E69" s="1382"/>
      <c r="F69" s="1401"/>
      <c r="G69" s="1407"/>
      <c r="H69" s="1382"/>
      <c r="I69" s="1168" t="s">
        <v>359</v>
      </c>
      <c r="J69" s="798"/>
      <c r="K69" s="1168"/>
      <c r="L69" s="1401"/>
      <c r="M69" s="1402"/>
      <c r="N69" s="1192"/>
      <c r="O69" s="1192"/>
      <c r="P69" s="1192"/>
      <c r="Q69" s="1408"/>
      <c r="R69" s="1205" t="s">
        <v>1467</v>
      </c>
      <c r="S69" s="1165" t="s">
        <v>1468</v>
      </c>
      <c r="T69" s="1165"/>
      <c r="U69" s="1188">
        <v>84282011</v>
      </c>
      <c r="V69" s="1165"/>
      <c r="W69" s="1102" t="s">
        <v>1838</v>
      </c>
      <c r="X69" s="1192"/>
      <c r="Y69" s="1169"/>
      <c r="Z69" s="1144"/>
      <c r="AA69" s="1141"/>
      <c r="AB69" s="1146"/>
      <c r="AC69" s="1146"/>
      <c r="AD69" s="256"/>
      <c r="AE69" s="188"/>
      <c r="AF69" s="743"/>
      <c r="AG69" s="256"/>
      <c r="AH69" s="959">
        <v>44634</v>
      </c>
      <c r="AI69" s="757">
        <v>2478000</v>
      </c>
      <c r="AJ69" s="744"/>
      <c r="AK69" s="757">
        <v>2009260</v>
      </c>
      <c r="AL69" s="1007">
        <v>44554</v>
      </c>
      <c r="AM69" s="745"/>
      <c r="AN69" s="256" t="s">
        <v>1371</v>
      </c>
      <c r="AO69" s="256"/>
      <c r="AP69" s="256"/>
      <c r="AQ69" s="256"/>
      <c r="AR69" s="256"/>
      <c r="AS69" s="55"/>
      <c r="AT69" s="17"/>
      <c r="AV69" s="13" t="s">
        <v>1630</v>
      </c>
      <c r="AW69" s="1299" t="s">
        <v>1704</v>
      </c>
    </row>
    <row r="70" spans="3:49" ht="20.25" customHeight="1" x14ac:dyDescent="0.3">
      <c r="C70" s="1166"/>
      <c r="D70" s="1400"/>
      <c r="E70" s="1382"/>
      <c r="F70" s="1401"/>
      <c r="G70" s="1407"/>
      <c r="H70" s="1382"/>
      <c r="I70" s="1168" t="s">
        <v>359</v>
      </c>
      <c r="J70" s="798"/>
      <c r="K70" s="1168"/>
      <c r="L70" s="1401"/>
      <c r="M70" s="1402"/>
      <c r="N70" s="1192"/>
      <c r="O70" s="1192"/>
      <c r="P70" s="1192"/>
      <c r="Q70" s="1408"/>
      <c r="R70" s="1205" t="s">
        <v>1467</v>
      </c>
      <c r="S70" s="1165" t="s">
        <v>1469</v>
      </c>
      <c r="T70" s="1165"/>
      <c r="U70" s="1188">
        <v>84282011</v>
      </c>
      <c r="V70" s="1165"/>
      <c r="W70" s="1102" t="s">
        <v>1839</v>
      </c>
      <c r="X70" s="1192"/>
      <c r="Y70" s="1169"/>
      <c r="Z70" s="1144"/>
      <c r="AA70" s="1141"/>
      <c r="AB70" s="1146"/>
      <c r="AC70" s="1146"/>
      <c r="AD70" s="256"/>
      <c r="AE70" s="188"/>
      <c r="AF70" s="743"/>
      <c r="AG70" s="256"/>
      <c r="AH70" s="256"/>
      <c r="AI70" s="757">
        <v>2478000</v>
      </c>
      <c r="AJ70" s="744"/>
      <c r="AK70" s="757">
        <v>1327400</v>
      </c>
      <c r="AL70" s="1007">
        <v>44364</v>
      </c>
      <c r="AM70" s="745"/>
      <c r="AN70" s="965" t="s">
        <v>1309</v>
      </c>
      <c r="AO70" s="256"/>
      <c r="AP70" s="256"/>
      <c r="AQ70" s="256"/>
      <c r="AR70" s="256"/>
      <c r="AS70" s="55"/>
      <c r="AT70" s="17"/>
      <c r="AW70" s="1299"/>
    </row>
    <row r="71" spans="3:49" ht="20.25" customHeight="1" x14ac:dyDescent="0.3">
      <c r="C71" s="1166"/>
      <c r="D71" s="1400"/>
      <c r="E71" s="1382"/>
      <c r="F71" s="1401"/>
      <c r="G71" s="1407"/>
      <c r="H71" s="1382"/>
      <c r="I71" s="1168" t="s">
        <v>359</v>
      </c>
      <c r="J71" s="798"/>
      <c r="K71" s="1168"/>
      <c r="L71" s="1401"/>
      <c r="M71" s="1402"/>
      <c r="N71" s="1192"/>
      <c r="O71" s="1192"/>
      <c r="P71" s="1192"/>
      <c r="Q71" s="1408"/>
      <c r="R71" s="1205" t="s">
        <v>1467</v>
      </c>
      <c r="S71" s="1165" t="s">
        <v>1470</v>
      </c>
      <c r="T71" s="1165"/>
      <c r="U71" s="1188">
        <v>84282011</v>
      </c>
      <c r="V71" s="1165"/>
      <c r="W71" s="1102" t="s">
        <v>1840</v>
      </c>
      <c r="X71" s="1192"/>
      <c r="Y71" s="1169"/>
      <c r="Z71" s="1144"/>
      <c r="AA71" s="1141"/>
      <c r="AB71" s="1146"/>
      <c r="AC71" s="1146"/>
      <c r="AD71" s="256"/>
      <c r="AE71" s="188"/>
      <c r="AF71" s="743"/>
      <c r="AG71" s="256"/>
      <c r="AH71" s="256"/>
      <c r="AI71" s="757">
        <v>2478000</v>
      </c>
      <c r="AJ71" s="744"/>
      <c r="AK71" s="757">
        <v>3780000</v>
      </c>
      <c r="AL71" s="745">
        <v>44634</v>
      </c>
      <c r="AM71" s="745"/>
      <c r="AN71" s="256" t="s">
        <v>1371</v>
      </c>
      <c r="AO71" s="256"/>
      <c r="AP71" s="256"/>
      <c r="AQ71" s="256"/>
      <c r="AR71" s="256"/>
      <c r="AS71" s="55"/>
      <c r="AT71" s="17"/>
      <c r="AV71" s="13">
        <f>873000-165050</f>
        <v>707950</v>
      </c>
      <c r="AW71" s="1299"/>
    </row>
    <row r="72" spans="3:49" ht="20.25" customHeight="1" x14ac:dyDescent="0.3">
      <c r="C72" s="1166"/>
      <c r="D72" s="1165"/>
      <c r="E72" s="1192"/>
      <c r="F72" s="1168"/>
      <c r="G72" s="1201"/>
      <c r="H72" s="1192"/>
      <c r="I72" s="1168"/>
      <c r="J72" s="797"/>
      <c r="K72" s="1168"/>
      <c r="L72" s="1168"/>
      <c r="M72" s="1187"/>
      <c r="N72" s="1192"/>
      <c r="O72" s="1192"/>
      <c r="P72" s="1192"/>
      <c r="Q72" s="1193"/>
      <c r="R72" s="1203"/>
      <c r="S72" s="1165"/>
      <c r="T72" s="1165"/>
      <c r="U72" s="1165"/>
      <c r="V72" s="1165"/>
      <c r="W72" s="1103"/>
      <c r="X72" s="1192"/>
      <c r="Y72" s="1169"/>
      <c r="Z72" s="1144"/>
      <c r="AA72" s="1141"/>
      <c r="AB72" s="1146"/>
      <c r="AC72" s="1146"/>
      <c r="AD72" s="256"/>
      <c r="AE72" s="188"/>
      <c r="AF72" s="743"/>
      <c r="AG72" s="256"/>
      <c r="AH72" s="256"/>
      <c r="AI72" s="757"/>
      <c r="AJ72" s="744"/>
      <c r="AK72" s="757"/>
      <c r="AL72" s="745"/>
      <c r="AM72" s="745"/>
      <c r="AN72" s="256"/>
      <c r="AO72" s="256"/>
      <c r="AP72" s="256"/>
      <c r="AQ72" s="256"/>
      <c r="AR72" s="256"/>
      <c r="AS72" s="55"/>
      <c r="AT72" s="17"/>
    </row>
    <row r="73" spans="3:49" ht="39" customHeight="1" x14ac:dyDescent="0.3">
      <c r="C73" s="1166">
        <v>16</v>
      </c>
      <c r="D73" s="1400" t="s">
        <v>1266</v>
      </c>
      <c r="E73" s="1382" t="str">
        <f>'UID application COMBINE Mc list'!D38</f>
        <v>7 Set</v>
      </c>
      <c r="F73" s="1401">
        <f>'UID application COMBINE Mc list'!H38</f>
        <v>3700000</v>
      </c>
      <c r="G73" s="1189" t="s">
        <v>1475</v>
      </c>
      <c r="H73" s="1192">
        <v>1</v>
      </c>
      <c r="I73" s="1168"/>
      <c r="J73" s="797"/>
      <c r="K73" s="1168"/>
      <c r="L73" s="1168">
        <v>926500</v>
      </c>
      <c r="M73" s="1096" t="s">
        <v>1657</v>
      </c>
      <c r="N73" s="1192"/>
      <c r="O73" s="1192"/>
      <c r="P73" s="1192"/>
      <c r="Q73" s="1193"/>
      <c r="R73" s="1203"/>
      <c r="S73" s="1165"/>
      <c r="T73" s="1165"/>
      <c r="U73" s="1165"/>
      <c r="V73" s="1165"/>
      <c r="W73" s="1103" t="s">
        <v>1841</v>
      </c>
      <c r="X73" s="1192"/>
      <c r="Y73" s="1169"/>
      <c r="Z73" s="1144"/>
      <c r="AA73" s="1141"/>
      <c r="AB73" s="1146"/>
      <c r="AC73" s="1146"/>
      <c r="AD73" s="256"/>
      <c r="AE73" s="188"/>
      <c r="AF73" s="743"/>
      <c r="AG73" s="256"/>
      <c r="AH73" s="256"/>
      <c r="AI73" s="757" t="e">
        <f>AI74+#REF!</f>
        <v>#REF!</v>
      </c>
      <c r="AJ73" s="744"/>
      <c r="AK73" s="757" t="e">
        <f>AK74+#REF!+#REF!</f>
        <v>#REF!</v>
      </c>
      <c r="AL73" s="745"/>
      <c r="AM73" s="745"/>
      <c r="AN73" s="256"/>
      <c r="AO73" s="256"/>
      <c r="AP73" s="256"/>
      <c r="AQ73" s="256"/>
      <c r="AR73" s="256"/>
      <c r="AS73" s="55"/>
      <c r="AT73" s="17"/>
    </row>
    <row r="74" spans="3:49" s="1010" customFormat="1" ht="27" customHeight="1" x14ac:dyDescent="0.3">
      <c r="C74" s="1166"/>
      <c r="D74" s="1400"/>
      <c r="E74" s="1382"/>
      <c r="F74" s="1401"/>
      <c r="G74" s="1189" t="s">
        <v>1477</v>
      </c>
      <c r="H74" s="1192">
        <v>4</v>
      </c>
      <c r="I74" s="1168" t="s">
        <v>359</v>
      </c>
      <c r="J74" s="797"/>
      <c r="K74" s="1168"/>
      <c r="L74" s="1168">
        <v>7100000</v>
      </c>
      <c r="M74" s="1094" t="s">
        <v>979</v>
      </c>
      <c r="N74" s="1192"/>
      <c r="O74" s="1192"/>
      <c r="P74" s="1192"/>
      <c r="Q74" s="1193"/>
      <c r="R74" s="1203" t="s">
        <v>1629</v>
      </c>
      <c r="S74" s="1206" t="s">
        <v>1712</v>
      </c>
      <c r="T74" s="1165"/>
      <c r="U74" s="1165"/>
      <c r="V74" s="1165"/>
      <c r="W74" s="1103">
        <v>29601706</v>
      </c>
      <c r="X74" s="1192"/>
      <c r="Y74" s="1169"/>
      <c r="Z74" s="1002"/>
      <c r="AA74" s="1148"/>
      <c r="AB74" s="1149"/>
      <c r="AC74" s="1149"/>
      <c r="AD74" s="965"/>
      <c r="AE74" s="995"/>
      <c r="AF74" s="1005"/>
      <c r="AG74" s="965"/>
      <c r="AH74" s="1073">
        <v>44634</v>
      </c>
      <c r="AI74" s="917">
        <v>1093270</v>
      </c>
      <c r="AJ74" s="1006"/>
      <c r="AK74" s="757">
        <v>1093720</v>
      </c>
      <c r="AL74" s="1007">
        <v>44796</v>
      </c>
      <c r="AM74" s="1007"/>
      <c r="AN74" s="965" t="s">
        <v>1371</v>
      </c>
      <c r="AO74" s="965"/>
      <c r="AP74" s="965"/>
      <c r="AQ74" s="965"/>
      <c r="AR74" s="965"/>
      <c r="AS74" s="1008"/>
      <c r="AT74" s="1009"/>
      <c r="AW74" s="1010" t="s">
        <v>1708</v>
      </c>
    </row>
    <row r="75" spans="3:49" ht="20.25" customHeight="1" x14ac:dyDescent="0.3">
      <c r="C75" s="1166"/>
      <c r="D75" s="1165"/>
      <c r="E75" s="1192"/>
      <c r="F75" s="1168"/>
      <c r="G75" s="1201"/>
      <c r="H75" s="1192"/>
      <c r="I75" s="1168"/>
      <c r="J75" s="797"/>
      <c r="K75" s="1168"/>
      <c r="L75" s="1168"/>
      <c r="M75" s="1187"/>
      <c r="N75" s="1192"/>
      <c r="O75" s="1192"/>
      <c r="P75" s="1192"/>
      <c r="Q75" s="1193"/>
      <c r="R75" s="1203"/>
      <c r="S75" s="1165"/>
      <c r="T75" s="1165"/>
      <c r="U75" s="1165"/>
      <c r="V75" s="1165"/>
      <c r="W75" s="1103"/>
      <c r="X75" s="1192"/>
      <c r="Y75" s="1169"/>
      <c r="Z75" s="1144"/>
      <c r="AA75" s="1141"/>
      <c r="AB75" s="1146"/>
      <c r="AC75" s="1146"/>
      <c r="AD75" s="256"/>
      <c r="AE75" s="188"/>
      <c r="AF75" s="743"/>
      <c r="AG75" s="256"/>
      <c r="AH75" s="256"/>
      <c r="AI75" s="757"/>
      <c r="AJ75" s="744"/>
      <c r="AK75" s="757">
        <v>1267650</v>
      </c>
      <c r="AL75" s="1007" t="s">
        <v>1792</v>
      </c>
      <c r="AM75" s="745"/>
      <c r="AN75" s="256" t="s">
        <v>1371</v>
      </c>
      <c r="AO75" s="256"/>
      <c r="AP75" s="256"/>
      <c r="AQ75" s="256"/>
      <c r="AR75" s="256"/>
      <c r="AS75" s="55"/>
      <c r="AT75" s="17"/>
    </row>
    <row r="76" spans="3:49" ht="41.25" customHeight="1" x14ac:dyDescent="0.3">
      <c r="C76" s="1166">
        <v>17</v>
      </c>
      <c r="D76" s="1165" t="s">
        <v>80</v>
      </c>
      <c r="E76" s="1192" t="str">
        <f>'UID application COMBINE Mc list'!D39</f>
        <v>1 Line</v>
      </c>
      <c r="F76" s="1168">
        <f>'UID application COMBINE Mc list'!H39</f>
        <v>1000000</v>
      </c>
      <c r="G76" s="1189" t="s">
        <v>1509</v>
      </c>
      <c r="H76" s="1199">
        <v>1</v>
      </c>
      <c r="I76" s="1207" t="s">
        <v>359</v>
      </c>
      <c r="J76" s="797"/>
      <c r="K76" s="1207"/>
      <c r="L76" s="1207">
        <v>1151000</v>
      </c>
      <c r="M76" s="1194" t="s">
        <v>1512</v>
      </c>
      <c r="N76" s="1192" t="s">
        <v>649</v>
      </c>
      <c r="O76" s="1192" t="s">
        <v>649</v>
      </c>
      <c r="P76" s="1192" t="s">
        <v>649</v>
      </c>
      <c r="Q76" s="1193"/>
      <c r="R76" s="1203"/>
      <c r="S76" s="1165"/>
      <c r="T76" s="1165"/>
      <c r="U76" s="1165">
        <v>84212190</v>
      </c>
      <c r="V76" s="1165"/>
      <c r="W76" s="1103" t="s">
        <v>1842</v>
      </c>
      <c r="X76" s="1192" t="s">
        <v>649</v>
      </c>
      <c r="Y76" s="1169" t="s">
        <v>649</v>
      </c>
      <c r="Z76" s="1144" t="s">
        <v>649</v>
      </c>
      <c r="AA76" s="1144" t="s">
        <v>649</v>
      </c>
      <c r="AB76" s="1144" t="s">
        <v>649</v>
      </c>
      <c r="AC76" s="1144" t="s">
        <v>649</v>
      </c>
      <c r="AD76" s="1144" t="s">
        <v>649</v>
      </c>
      <c r="AE76" s="1144" t="s">
        <v>649</v>
      </c>
      <c r="AF76" s="1144" t="s">
        <v>649</v>
      </c>
      <c r="AG76" s="256"/>
      <c r="AH76" s="951">
        <v>44634</v>
      </c>
      <c r="AI76" s="837">
        <v>3016080</v>
      </c>
      <c r="AJ76" s="744"/>
      <c r="AK76" s="757">
        <v>845100</v>
      </c>
      <c r="AL76" s="1007" t="s">
        <v>1793</v>
      </c>
      <c r="AM76" s="745"/>
      <c r="AN76" s="256" t="s">
        <v>1309</v>
      </c>
      <c r="AO76" s="256"/>
      <c r="AP76" s="256"/>
      <c r="AQ76" s="256"/>
      <c r="AR76" s="256"/>
      <c r="AS76" s="55"/>
      <c r="AT76" s="17"/>
      <c r="AV76" s="14" t="s">
        <v>1639</v>
      </c>
      <c r="AW76" s="14" t="s">
        <v>1709</v>
      </c>
    </row>
    <row r="77" spans="3:49" ht="20.25" customHeight="1" x14ac:dyDescent="0.3">
      <c r="C77" s="1166"/>
      <c r="D77" s="1165"/>
      <c r="E77" s="1192"/>
      <c r="F77" s="1168"/>
      <c r="G77" s="1201"/>
      <c r="H77" s="1192"/>
      <c r="I77" s="1168"/>
      <c r="J77" s="797"/>
      <c r="K77" s="1168"/>
      <c r="L77" s="1168"/>
      <c r="M77" s="1187"/>
      <c r="N77" s="1192"/>
      <c r="O77" s="1192"/>
      <c r="P77" s="1192"/>
      <c r="Q77" s="1193"/>
      <c r="R77" s="1203"/>
      <c r="S77" s="1165"/>
      <c r="T77" s="1165"/>
      <c r="U77" s="1165"/>
      <c r="V77" s="1165"/>
      <c r="W77" s="1103"/>
      <c r="X77" s="1192"/>
      <c r="Y77" s="1169"/>
      <c r="Z77" s="1144"/>
      <c r="AA77" s="1141"/>
      <c r="AB77" s="1146"/>
      <c r="AC77" s="1146"/>
      <c r="AD77" s="256"/>
      <c r="AE77" s="188"/>
      <c r="AF77" s="743"/>
      <c r="AG77" s="256"/>
      <c r="AH77" s="256"/>
      <c r="AI77" s="757"/>
      <c r="AJ77" s="744"/>
      <c r="AK77" s="757"/>
      <c r="AL77" s="745"/>
      <c r="AM77" s="745"/>
      <c r="AN77" s="256"/>
      <c r="AO77" s="256"/>
      <c r="AP77" s="256"/>
      <c r="AQ77" s="256"/>
      <c r="AR77" s="256"/>
      <c r="AS77" s="55"/>
      <c r="AT77" s="17"/>
    </row>
    <row r="78" spans="3:49" ht="92.25" customHeight="1" x14ac:dyDescent="0.3">
      <c r="C78" s="1166">
        <v>18</v>
      </c>
      <c r="D78" s="1165" t="s">
        <v>1270</v>
      </c>
      <c r="E78" s="1192" t="str">
        <f>'UID application COMBINE Mc list'!D40</f>
        <v>2 Sets</v>
      </c>
      <c r="F78" s="1168">
        <f>'UID application COMBINE Mc list'!H40</f>
        <v>700000.00000000012</v>
      </c>
      <c r="G78" s="1189" t="s">
        <v>1515</v>
      </c>
      <c r="H78" s="1192" t="s">
        <v>977</v>
      </c>
      <c r="I78" s="1168"/>
      <c r="J78" s="797">
        <v>1405000</v>
      </c>
      <c r="K78" s="1168"/>
      <c r="L78" s="1195">
        <v>1405000</v>
      </c>
      <c r="M78" s="1187" t="s">
        <v>1512</v>
      </c>
      <c r="N78" s="1192" t="s">
        <v>649</v>
      </c>
      <c r="O78" s="1192" t="s">
        <v>649</v>
      </c>
      <c r="P78" s="1192" t="s">
        <v>649</v>
      </c>
      <c r="Q78" s="1193"/>
      <c r="R78" s="1203"/>
      <c r="S78" s="1165"/>
      <c r="T78" s="1165"/>
      <c r="U78" s="1165">
        <v>84212190</v>
      </c>
      <c r="V78" s="1165"/>
      <c r="W78" s="1103" t="s">
        <v>1842</v>
      </c>
      <c r="X78" s="1192"/>
      <c r="Y78" s="1169"/>
      <c r="Z78" s="1144"/>
      <c r="AA78" s="1141"/>
      <c r="AB78" s="1146"/>
      <c r="AC78" s="1146"/>
      <c r="AD78" s="256"/>
      <c r="AE78" s="188"/>
      <c r="AF78" s="743"/>
      <c r="AG78" s="256"/>
      <c r="AH78" s="951">
        <v>44634</v>
      </c>
      <c r="AI78" s="837">
        <v>3016080</v>
      </c>
      <c r="AJ78" s="744"/>
      <c r="AK78" s="757">
        <v>1267650</v>
      </c>
      <c r="AL78" s="1007" t="s">
        <v>1575</v>
      </c>
      <c r="AM78" s="745"/>
      <c r="AN78" s="256" t="s">
        <v>1371</v>
      </c>
      <c r="AO78" s="256"/>
      <c r="AP78" s="256"/>
      <c r="AQ78" s="256"/>
      <c r="AR78" s="256"/>
      <c r="AS78" s="55"/>
      <c r="AT78" s="17"/>
      <c r="AW78" s="14" t="s">
        <v>1709</v>
      </c>
    </row>
    <row r="79" spans="3:49" ht="20.25" customHeight="1" x14ac:dyDescent="0.3">
      <c r="C79" s="1166"/>
      <c r="D79" s="1165"/>
      <c r="E79" s="1192"/>
      <c r="F79" s="1168"/>
      <c r="G79" s="1201"/>
      <c r="H79" s="1192"/>
      <c r="I79" s="1168"/>
      <c r="J79" s="797"/>
      <c r="K79" s="1168"/>
      <c r="L79" s="1168"/>
      <c r="M79" s="1187"/>
      <c r="N79" s="1192"/>
      <c r="O79" s="1192"/>
      <c r="P79" s="1192"/>
      <c r="Q79" s="1193"/>
      <c r="R79" s="1165"/>
      <c r="S79" s="1165"/>
      <c r="T79" s="1165"/>
      <c r="U79" s="1165"/>
      <c r="V79" s="1165"/>
      <c r="W79" s="1103"/>
      <c r="X79" s="1192"/>
      <c r="Y79" s="1169"/>
      <c r="Z79" s="1144"/>
      <c r="AA79" s="1141"/>
      <c r="AB79" s="1146"/>
      <c r="AC79" s="1146"/>
      <c r="AD79" s="256"/>
      <c r="AE79" s="188"/>
      <c r="AF79" s="743"/>
      <c r="AG79" s="256"/>
      <c r="AH79" s="256"/>
      <c r="AI79" s="757"/>
      <c r="AJ79" s="744"/>
      <c r="AK79" s="757"/>
      <c r="AL79" s="745"/>
      <c r="AM79" s="745"/>
      <c r="AN79" s="256"/>
      <c r="AO79" s="256"/>
      <c r="AP79" s="256"/>
      <c r="AQ79" s="256"/>
      <c r="AR79" s="256"/>
      <c r="AS79" s="55"/>
      <c r="AT79" s="17"/>
    </row>
    <row r="80" spans="3:49" ht="20.25" customHeight="1" x14ac:dyDescent="0.3">
      <c r="C80" s="1166">
        <v>19</v>
      </c>
      <c r="D80" s="1400" t="s">
        <v>1271</v>
      </c>
      <c r="E80" s="1382" t="str">
        <f>'UID application COMBINE Mc list'!D41</f>
        <v>1 Set</v>
      </c>
      <c r="F80" s="1401">
        <f>'UID application COMBINE Mc list'!H41</f>
        <v>20000000</v>
      </c>
      <c r="G80" s="1407" t="s">
        <v>1843</v>
      </c>
      <c r="H80" s="1192" t="s">
        <v>112</v>
      </c>
      <c r="I80" s="1168" t="s">
        <v>359</v>
      </c>
      <c r="J80" s="797"/>
      <c r="K80" s="1168"/>
      <c r="L80" s="1409">
        <v>15845000</v>
      </c>
      <c r="M80" s="1402" t="s">
        <v>1865</v>
      </c>
      <c r="N80" s="1192" t="s">
        <v>649</v>
      </c>
      <c r="O80" s="1192" t="s">
        <v>649</v>
      </c>
      <c r="P80" s="1192" t="s">
        <v>649</v>
      </c>
      <c r="Q80" s="1399">
        <v>2021</v>
      </c>
      <c r="R80" s="1165"/>
      <c r="S80" s="1165"/>
      <c r="T80" s="1165"/>
      <c r="U80" s="1165"/>
      <c r="V80" s="1165"/>
      <c r="W80" s="1104" t="s">
        <v>1859</v>
      </c>
      <c r="X80" s="1192"/>
      <c r="Y80" s="1169"/>
      <c r="Z80" s="1144"/>
      <c r="AA80" s="1141"/>
      <c r="AB80" s="1146"/>
      <c r="AC80" s="1146"/>
      <c r="AD80" s="256"/>
      <c r="AE80" s="188"/>
      <c r="AF80" s="743"/>
      <c r="AG80" s="256"/>
      <c r="AH80" s="951">
        <v>44634</v>
      </c>
      <c r="AI80" s="757"/>
      <c r="AJ80" s="744"/>
      <c r="AK80" s="757"/>
      <c r="AL80" s="745"/>
      <c r="AM80" s="745"/>
      <c r="AN80" s="256"/>
      <c r="AO80" s="256"/>
      <c r="AP80" s="256"/>
      <c r="AQ80" s="256"/>
      <c r="AR80" s="256"/>
      <c r="AS80" s="55"/>
      <c r="AT80" s="17"/>
    </row>
    <row r="81" spans="3:49" ht="20.25" customHeight="1" x14ac:dyDescent="0.25">
      <c r="C81" s="1166"/>
      <c r="D81" s="1400"/>
      <c r="E81" s="1382"/>
      <c r="F81" s="1401"/>
      <c r="G81" s="1407"/>
      <c r="H81" s="1192"/>
      <c r="I81" s="1168" t="s">
        <v>359</v>
      </c>
      <c r="J81" s="797"/>
      <c r="K81" s="1168"/>
      <c r="L81" s="1409"/>
      <c r="M81" s="1402"/>
      <c r="N81" s="1192"/>
      <c r="O81" s="1192"/>
      <c r="P81" s="1192"/>
      <c r="Q81" s="1399"/>
      <c r="R81" s="1165"/>
      <c r="S81" s="1165"/>
      <c r="T81" s="1165"/>
      <c r="U81" s="1188">
        <v>84021200</v>
      </c>
      <c r="V81" s="1165"/>
      <c r="W81" s="1105" t="s">
        <v>1858</v>
      </c>
      <c r="X81" s="1192"/>
      <c r="Y81" s="1169"/>
      <c r="Z81" s="1144"/>
      <c r="AA81" s="1141"/>
      <c r="AB81" s="1146"/>
      <c r="AC81" s="1146"/>
      <c r="AD81" s="256"/>
      <c r="AE81" s="188"/>
      <c r="AF81" s="743"/>
      <c r="AG81" s="256"/>
      <c r="AH81" s="256"/>
      <c r="AI81" s="1107">
        <v>59000</v>
      </c>
      <c r="AJ81" s="744"/>
      <c r="AK81" s="757">
        <v>1212500</v>
      </c>
      <c r="AL81" s="1007" t="s">
        <v>1555</v>
      </c>
      <c r="AM81" s="745"/>
      <c r="AN81" s="256" t="s">
        <v>1309</v>
      </c>
      <c r="AO81" s="256"/>
      <c r="AP81" s="256"/>
      <c r="AQ81" s="256"/>
      <c r="AR81" s="256"/>
      <c r="AS81" s="55"/>
      <c r="AT81" s="17"/>
      <c r="AV81" s="13" t="s">
        <v>1637</v>
      </c>
      <c r="AW81" s="1298" t="s">
        <v>1710</v>
      </c>
    </row>
    <row r="82" spans="3:49" ht="20.25" customHeight="1" x14ac:dyDescent="0.25">
      <c r="C82" s="1166"/>
      <c r="D82" s="1400"/>
      <c r="E82" s="1382"/>
      <c r="F82" s="1401"/>
      <c r="G82" s="1407"/>
      <c r="H82" s="1192"/>
      <c r="I82" s="1168" t="s">
        <v>359</v>
      </c>
      <c r="J82" s="798"/>
      <c r="K82" s="1168"/>
      <c r="L82" s="1409"/>
      <c r="M82" s="1402"/>
      <c r="N82" s="1192"/>
      <c r="O82" s="1192"/>
      <c r="P82" s="1192"/>
      <c r="Q82" s="1399"/>
      <c r="R82" s="1165"/>
      <c r="S82" s="1165"/>
      <c r="T82" s="1165"/>
      <c r="U82" s="1188">
        <v>84021200</v>
      </c>
      <c r="V82" s="1165"/>
      <c r="W82" s="1105" t="s">
        <v>1857</v>
      </c>
      <c r="X82" s="1192"/>
      <c r="Y82" s="1169"/>
      <c r="Z82" s="1144"/>
      <c r="AA82" s="1141"/>
      <c r="AB82" s="1146"/>
      <c r="AC82" s="1146"/>
      <c r="AD82" s="256"/>
      <c r="AE82" s="188"/>
      <c r="AF82" s="743"/>
      <c r="AG82" s="256"/>
      <c r="AH82" s="256"/>
      <c r="AI82" s="1107">
        <v>1947000</v>
      </c>
      <c r="AJ82" s="744"/>
      <c r="AK82" s="757">
        <v>1212500</v>
      </c>
      <c r="AL82" s="1098" t="s">
        <v>1558</v>
      </c>
      <c r="AM82" s="745"/>
      <c r="AN82" s="256" t="s">
        <v>1309</v>
      </c>
      <c r="AO82" s="256"/>
      <c r="AP82" s="256"/>
      <c r="AQ82" s="256"/>
      <c r="AR82" s="256"/>
      <c r="AS82" s="55"/>
      <c r="AT82" s="17"/>
      <c r="AV82" s="13" t="s">
        <v>1638</v>
      </c>
      <c r="AW82" s="1298"/>
    </row>
    <row r="83" spans="3:49" ht="20.25" customHeight="1" x14ac:dyDescent="0.25">
      <c r="C83" s="1166"/>
      <c r="D83" s="1400"/>
      <c r="E83" s="1382"/>
      <c r="F83" s="1401"/>
      <c r="G83" s="1407"/>
      <c r="H83" s="1192"/>
      <c r="I83" s="1168" t="s">
        <v>359</v>
      </c>
      <c r="J83" s="1190"/>
      <c r="K83" s="1168"/>
      <c r="L83" s="1409"/>
      <c r="M83" s="1402"/>
      <c r="N83" s="1192"/>
      <c r="O83" s="1192"/>
      <c r="P83" s="1192"/>
      <c r="Q83" s="1399"/>
      <c r="R83" s="1165"/>
      <c r="S83" s="1165"/>
      <c r="T83" s="1165"/>
      <c r="U83" s="1188">
        <v>84021200</v>
      </c>
      <c r="V83" s="1165"/>
      <c r="W83" s="1104" t="s">
        <v>1856</v>
      </c>
      <c r="X83" s="1192"/>
      <c r="Y83" s="1169"/>
      <c r="Z83" s="1144"/>
      <c r="AA83" s="1141"/>
      <c r="AB83" s="1146"/>
      <c r="AC83" s="1146"/>
      <c r="AD83" s="256"/>
      <c r="AE83" s="188"/>
      <c r="AF83" s="743"/>
      <c r="AG83" s="256"/>
      <c r="AH83" s="256"/>
      <c r="AI83" s="1107">
        <v>2743500</v>
      </c>
      <c r="AJ83" s="744"/>
      <c r="AK83" s="757">
        <v>576000</v>
      </c>
      <c r="AL83" s="1098" t="s">
        <v>1559</v>
      </c>
      <c r="AM83" s="745"/>
      <c r="AN83" s="256" t="s">
        <v>1309</v>
      </c>
      <c r="AO83" s="256"/>
      <c r="AP83" s="256"/>
      <c r="AQ83" s="256"/>
      <c r="AR83" s="256"/>
      <c r="AS83" s="55"/>
      <c r="AT83" s="17"/>
      <c r="AW83" s="1298"/>
    </row>
    <row r="84" spans="3:49" ht="20.25" customHeight="1" x14ac:dyDescent="0.25">
      <c r="C84" s="1166"/>
      <c r="D84" s="1400"/>
      <c r="E84" s="1382"/>
      <c r="F84" s="1401"/>
      <c r="G84" s="1407"/>
      <c r="H84" s="1192"/>
      <c r="I84" s="1168" t="s">
        <v>359</v>
      </c>
      <c r="J84" s="797"/>
      <c r="K84" s="1168"/>
      <c r="L84" s="1409"/>
      <c r="M84" s="1402"/>
      <c r="N84" s="1192"/>
      <c r="O84" s="1192"/>
      <c r="P84" s="1192"/>
      <c r="Q84" s="1399"/>
      <c r="R84" s="1165"/>
      <c r="S84" s="1165"/>
      <c r="T84" s="1165"/>
      <c r="U84" s="1188">
        <v>84021200</v>
      </c>
      <c r="V84" s="1165"/>
      <c r="W84" s="1105" t="s">
        <v>1855</v>
      </c>
      <c r="X84" s="1192"/>
      <c r="Y84" s="1169"/>
      <c r="Z84" s="1144"/>
      <c r="AA84" s="1141"/>
      <c r="AB84" s="1146"/>
      <c r="AC84" s="1146"/>
      <c r="AD84" s="256"/>
      <c r="AE84" s="188"/>
      <c r="AF84" s="743"/>
      <c r="AG84" s="256"/>
      <c r="AH84" s="256"/>
      <c r="AI84" s="1107">
        <v>1604800</v>
      </c>
      <c r="AJ84" s="744"/>
      <c r="AK84" s="757">
        <v>11882500</v>
      </c>
      <c r="AL84" s="1007" t="s">
        <v>1556</v>
      </c>
      <c r="AM84" s="745"/>
      <c r="AN84" s="256" t="s">
        <v>1371</v>
      </c>
      <c r="AO84" s="256"/>
      <c r="AP84" s="256"/>
      <c r="AQ84" s="256"/>
      <c r="AR84" s="256"/>
      <c r="AS84" s="55"/>
      <c r="AT84" s="17"/>
      <c r="AW84" s="1298"/>
    </row>
    <row r="85" spans="3:49" ht="20.25" customHeight="1" x14ac:dyDescent="0.25">
      <c r="C85" s="1166"/>
      <c r="D85" s="1400"/>
      <c r="E85" s="1382"/>
      <c r="F85" s="1401"/>
      <c r="G85" s="1407"/>
      <c r="H85" s="1192"/>
      <c r="I85" s="1168" t="s">
        <v>359</v>
      </c>
      <c r="J85" s="797"/>
      <c r="K85" s="1168"/>
      <c r="L85" s="1409"/>
      <c r="M85" s="1402"/>
      <c r="N85" s="1192"/>
      <c r="O85" s="1192"/>
      <c r="P85" s="1192"/>
      <c r="Q85" s="1399"/>
      <c r="R85" s="1165"/>
      <c r="S85" s="1165"/>
      <c r="T85" s="1165"/>
      <c r="U85" s="1188">
        <v>84021200</v>
      </c>
      <c r="V85" s="1165"/>
      <c r="W85" s="1105" t="s">
        <v>1854</v>
      </c>
      <c r="X85" s="1192"/>
      <c r="Y85" s="1169"/>
      <c r="Z85" s="1144"/>
      <c r="AA85" s="1141"/>
      <c r="AB85" s="1146"/>
      <c r="AC85" s="1146"/>
      <c r="AD85" s="256"/>
      <c r="AE85" s="188"/>
      <c r="AF85" s="743"/>
      <c r="AG85" s="256"/>
      <c r="AH85" s="256"/>
      <c r="AI85" s="1107">
        <v>1298000</v>
      </c>
      <c r="AJ85" s="744"/>
      <c r="AK85" s="757">
        <v>1689600</v>
      </c>
      <c r="AL85" s="1007" t="s">
        <v>1557</v>
      </c>
      <c r="AM85" s="745"/>
      <c r="AN85" s="256" t="s">
        <v>1371</v>
      </c>
      <c r="AO85" s="256"/>
      <c r="AP85" s="256"/>
      <c r="AQ85" s="256"/>
      <c r="AR85" s="256"/>
      <c r="AS85" s="55"/>
      <c r="AT85" s="17"/>
      <c r="AW85" s="1298"/>
    </row>
    <row r="86" spans="3:49" ht="20.25" customHeight="1" x14ac:dyDescent="0.25">
      <c r="C86" s="1166"/>
      <c r="D86" s="1400"/>
      <c r="E86" s="1382"/>
      <c r="F86" s="1401"/>
      <c r="G86" s="1407"/>
      <c r="H86" s="1192"/>
      <c r="I86" s="1168" t="s">
        <v>359</v>
      </c>
      <c r="J86" s="797"/>
      <c r="K86" s="1168"/>
      <c r="L86" s="1409"/>
      <c r="M86" s="1402"/>
      <c r="N86" s="1192"/>
      <c r="O86" s="1192"/>
      <c r="P86" s="1192"/>
      <c r="Q86" s="1399"/>
      <c r="R86" s="1165"/>
      <c r="S86" s="1165"/>
      <c r="T86" s="1165"/>
      <c r="U86" s="1188">
        <v>84021200</v>
      </c>
      <c r="V86" s="1165"/>
      <c r="W86" s="1105" t="s">
        <v>1853</v>
      </c>
      <c r="X86" s="1192"/>
      <c r="Y86" s="1169"/>
      <c r="Z86" s="1144"/>
      <c r="AA86" s="1141"/>
      <c r="AB86" s="1146"/>
      <c r="AC86" s="1146"/>
      <c r="AD86" s="256"/>
      <c r="AE86" s="188"/>
      <c r="AF86" s="743"/>
      <c r="AG86" s="256"/>
      <c r="AH86" s="256"/>
      <c r="AI86" s="1107">
        <v>1711000</v>
      </c>
      <c r="AJ86" s="744"/>
      <c r="AK86" s="757"/>
      <c r="AL86" s="1007"/>
      <c r="AM86" s="745"/>
      <c r="AN86" s="256"/>
      <c r="AO86" s="256"/>
      <c r="AP86" s="256"/>
      <c r="AQ86" s="256"/>
      <c r="AR86" s="256"/>
      <c r="AS86" s="55"/>
      <c r="AT86" s="17"/>
      <c r="AW86" s="1298"/>
    </row>
    <row r="87" spans="3:49" ht="20.25" customHeight="1" x14ac:dyDescent="0.25">
      <c r="C87" s="1166"/>
      <c r="D87" s="1400"/>
      <c r="E87" s="1382"/>
      <c r="F87" s="1401"/>
      <c r="G87" s="1407"/>
      <c r="H87" s="1192"/>
      <c r="I87" s="1168" t="s">
        <v>359</v>
      </c>
      <c r="J87" s="797"/>
      <c r="K87" s="1168"/>
      <c r="L87" s="1409"/>
      <c r="M87" s="1402"/>
      <c r="N87" s="1192"/>
      <c r="O87" s="1192"/>
      <c r="P87" s="1192"/>
      <c r="Q87" s="1399"/>
      <c r="R87" s="1165"/>
      <c r="S87" s="1165"/>
      <c r="T87" s="1165"/>
      <c r="U87" s="1188">
        <v>84021200</v>
      </c>
      <c r="V87" s="1165"/>
      <c r="W87" s="1106" t="s">
        <v>1852</v>
      </c>
      <c r="X87" s="1192"/>
      <c r="Y87" s="1169"/>
      <c r="Z87" s="1144"/>
      <c r="AA87" s="1141"/>
      <c r="AB87" s="1146"/>
      <c r="AC87" s="1146"/>
      <c r="AD87" s="256"/>
      <c r="AE87" s="188"/>
      <c r="AF87" s="743"/>
      <c r="AG87" s="256"/>
      <c r="AH87" s="256"/>
      <c r="AI87" s="1107">
        <v>2265600</v>
      </c>
      <c r="AJ87" s="744"/>
      <c r="AK87" s="757"/>
      <c r="AL87" s="1007"/>
      <c r="AM87" s="745"/>
      <c r="AN87" s="256"/>
      <c r="AO87" s="256"/>
      <c r="AP87" s="256"/>
      <c r="AQ87" s="256"/>
      <c r="AR87" s="256"/>
      <c r="AS87" s="55"/>
      <c r="AT87" s="17"/>
      <c r="AW87" s="1298"/>
    </row>
    <row r="88" spans="3:49" ht="20.25" customHeight="1" x14ac:dyDescent="0.25">
      <c r="C88" s="1166"/>
      <c r="D88" s="1400"/>
      <c r="E88" s="1382"/>
      <c r="F88" s="1401"/>
      <c r="G88" s="1407"/>
      <c r="H88" s="1192"/>
      <c r="I88" s="1168" t="s">
        <v>359</v>
      </c>
      <c r="J88" s="797"/>
      <c r="K88" s="1168"/>
      <c r="L88" s="1409"/>
      <c r="M88" s="1402"/>
      <c r="N88" s="1192"/>
      <c r="O88" s="1192"/>
      <c r="P88" s="1192"/>
      <c r="Q88" s="1399"/>
      <c r="R88" s="1165"/>
      <c r="S88" s="1165"/>
      <c r="T88" s="1165"/>
      <c r="U88" s="1188">
        <v>84021200</v>
      </c>
      <c r="V88" s="1165"/>
      <c r="W88" s="1105" t="s">
        <v>1851</v>
      </c>
      <c r="X88" s="1192"/>
      <c r="Y88" s="1169"/>
      <c r="Z88" s="1144"/>
      <c r="AA88" s="1141"/>
      <c r="AB88" s="1146"/>
      <c r="AC88" s="1146"/>
      <c r="AD88" s="256"/>
      <c r="AE88" s="188"/>
      <c r="AF88" s="743"/>
      <c r="AG88" s="256"/>
      <c r="AH88" s="256"/>
      <c r="AI88" s="1107">
        <v>973500</v>
      </c>
      <c r="AJ88" s="744"/>
      <c r="AK88" s="757"/>
      <c r="AL88" s="1007"/>
      <c r="AM88" s="745"/>
      <c r="AN88" s="256"/>
      <c r="AO88" s="256"/>
      <c r="AP88" s="256"/>
      <c r="AQ88" s="256"/>
      <c r="AR88" s="256"/>
      <c r="AS88" s="55"/>
      <c r="AT88" s="17"/>
      <c r="AW88" s="1298"/>
    </row>
    <row r="89" spans="3:49" ht="20.25" customHeight="1" x14ac:dyDescent="0.25">
      <c r="C89" s="1166"/>
      <c r="D89" s="1400"/>
      <c r="E89" s="1382"/>
      <c r="F89" s="1401"/>
      <c r="G89" s="1407"/>
      <c r="H89" s="1192"/>
      <c r="I89" s="1168" t="s">
        <v>359</v>
      </c>
      <c r="J89" s="797"/>
      <c r="K89" s="1168"/>
      <c r="L89" s="1409"/>
      <c r="M89" s="1402"/>
      <c r="N89" s="1192"/>
      <c r="O89" s="1192"/>
      <c r="P89" s="1192"/>
      <c r="Q89" s="1399"/>
      <c r="R89" s="1165"/>
      <c r="S89" s="1165"/>
      <c r="T89" s="1165"/>
      <c r="U89" s="1188">
        <v>84021200</v>
      </c>
      <c r="V89" s="1165"/>
      <c r="W89" s="1105" t="s">
        <v>1850</v>
      </c>
      <c r="X89" s="1192"/>
      <c r="Y89" s="1169"/>
      <c r="Z89" s="1144"/>
      <c r="AA89" s="1141"/>
      <c r="AB89" s="1146"/>
      <c r="AC89" s="1146"/>
      <c r="AD89" s="256"/>
      <c r="AE89" s="188"/>
      <c r="AF89" s="743"/>
      <c r="AG89" s="256"/>
      <c r="AH89" s="256"/>
      <c r="AI89" s="1107">
        <v>141600</v>
      </c>
      <c r="AJ89" s="744"/>
      <c r="AK89" s="757"/>
      <c r="AL89" s="1007"/>
      <c r="AM89" s="745"/>
      <c r="AN89" s="256"/>
      <c r="AO89" s="256"/>
      <c r="AP89" s="256"/>
      <c r="AQ89" s="256"/>
      <c r="AR89" s="256"/>
      <c r="AS89" s="55"/>
      <c r="AT89" s="17"/>
      <c r="AW89" s="1298"/>
    </row>
    <row r="90" spans="3:49" ht="20.25" customHeight="1" x14ac:dyDescent="0.25">
      <c r="C90" s="1166"/>
      <c r="D90" s="1400"/>
      <c r="E90" s="1382"/>
      <c r="F90" s="1401"/>
      <c r="G90" s="1407"/>
      <c r="H90" s="1192"/>
      <c r="I90" s="1168" t="s">
        <v>359</v>
      </c>
      <c r="J90" s="797"/>
      <c r="K90" s="1168"/>
      <c r="L90" s="1409"/>
      <c r="M90" s="1402"/>
      <c r="N90" s="1192"/>
      <c r="O90" s="1192"/>
      <c r="P90" s="1192"/>
      <c r="Q90" s="1399"/>
      <c r="R90" s="1165"/>
      <c r="S90" s="1165"/>
      <c r="T90" s="1165"/>
      <c r="U90" s="1188">
        <v>84021200</v>
      </c>
      <c r="V90" s="1165"/>
      <c r="W90" s="1105" t="s">
        <v>1849</v>
      </c>
      <c r="X90" s="1192"/>
      <c r="Y90" s="1169"/>
      <c r="Z90" s="1144"/>
      <c r="AA90" s="1141"/>
      <c r="AB90" s="1146"/>
      <c r="AC90" s="1146"/>
      <c r="AD90" s="256"/>
      <c r="AE90" s="188"/>
      <c r="AF90" s="743"/>
      <c r="AG90" s="256"/>
      <c r="AH90" s="256"/>
      <c r="AI90" s="1107">
        <v>271400</v>
      </c>
      <c r="AJ90" s="744"/>
      <c r="AK90" s="757"/>
      <c r="AL90" s="1007"/>
      <c r="AM90" s="745"/>
      <c r="AN90" s="256"/>
      <c r="AO90" s="256"/>
      <c r="AP90" s="256"/>
      <c r="AQ90" s="256"/>
      <c r="AR90" s="256"/>
      <c r="AS90" s="55"/>
      <c r="AT90" s="17"/>
      <c r="AW90" s="1298"/>
    </row>
    <row r="91" spans="3:49" ht="20.25" customHeight="1" x14ac:dyDescent="0.25">
      <c r="C91" s="1166"/>
      <c r="D91" s="1400"/>
      <c r="E91" s="1382"/>
      <c r="F91" s="1401"/>
      <c r="G91" s="1407"/>
      <c r="H91" s="1192"/>
      <c r="I91" s="1168" t="s">
        <v>359</v>
      </c>
      <c r="J91" s="797"/>
      <c r="K91" s="1168"/>
      <c r="L91" s="1409"/>
      <c r="M91" s="1402"/>
      <c r="N91" s="1192"/>
      <c r="O91" s="1192"/>
      <c r="P91" s="1192"/>
      <c r="Q91" s="1399"/>
      <c r="R91" s="1165"/>
      <c r="S91" s="1165"/>
      <c r="T91" s="1165"/>
      <c r="U91" s="1188">
        <v>84021200</v>
      </c>
      <c r="V91" s="1165"/>
      <c r="W91" s="1105" t="s">
        <v>1848</v>
      </c>
      <c r="X91" s="1192"/>
      <c r="Y91" s="1169"/>
      <c r="Z91" s="1144"/>
      <c r="AA91" s="1141"/>
      <c r="AB91" s="1146"/>
      <c r="AC91" s="1146"/>
      <c r="AD91" s="256"/>
      <c r="AE91" s="188"/>
      <c r="AF91" s="743"/>
      <c r="AG91" s="256"/>
      <c r="AH91" s="256"/>
      <c r="AI91" s="1107">
        <v>672600</v>
      </c>
      <c r="AJ91" s="744"/>
      <c r="AK91" s="757"/>
      <c r="AL91" s="1007"/>
      <c r="AM91" s="745"/>
      <c r="AN91" s="256"/>
      <c r="AO91" s="256"/>
      <c r="AP91" s="256"/>
      <c r="AQ91" s="256"/>
      <c r="AR91" s="256"/>
      <c r="AS91" s="55"/>
      <c r="AT91" s="17"/>
      <c r="AW91" s="1298"/>
    </row>
    <row r="92" spans="3:49" ht="20.25" customHeight="1" x14ac:dyDescent="0.25">
      <c r="C92" s="1166"/>
      <c r="D92" s="1400"/>
      <c r="E92" s="1382"/>
      <c r="F92" s="1401"/>
      <c r="G92" s="1407"/>
      <c r="H92" s="1192"/>
      <c r="I92" s="1168" t="s">
        <v>359</v>
      </c>
      <c r="J92" s="797"/>
      <c r="K92" s="1168"/>
      <c r="L92" s="1409"/>
      <c r="M92" s="1402"/>
      <c r="N92" s="1192"/>
      <c r="O92" s="1192"/>
      <c r="P92" s="1192"/>
      <c r="Q92" s="1399"/>
      <c r="R92" s="1165"/>
      <c r="S92" s="1165"/>
      <c r="T92" s="1165"/>
      <c r="U92" s="1188">
        <v>84021200</v>
      </c>
      <c r="V92" s="1165"/>
      <c r="W92" s="1105" t="s">
        <v>1847</v>
      </c>
      <c r="X92" s="1192"/>
      <c r="Y92" s="1169"/>
      <c r="Z92" s="1144"/>
      <c r="AA92" s="1141"/>
      <c r="AB92" s="1146"/>
      <c r="AC92" s="1146"/>
      <c r="AD92" s="256"/>
      <c r="AE92" s="188"/>
      <c r="AF92" s="743"/>
      <c r="AG92" s="256"/>
      <c r="AH92" s="256"/>
      <c r="AI92" s="1107">
        <v>2017800</v>
      </c>
      <c r="AJ92" s="744"/>
      <c r="AK92" s="757"/>
      <c r="AL92" s="1098"/>
      <c r="AM92" s="745"/>
      <c r="AN92" s="256"/>
      <c r="AO92" s="256"/>
      <c r="AP92" s="256"/>
      <c r="AQ92" s="256"/>
      <c r="AR92" s="256"/>
      <c r="AS92" s="55"/>
      <c r="AT92" s="17"/>
      <c r="AW92" s="1298"/>
    </row>
    <row r="93" spans="3:49" ht="20.25" customHeight="1" x14ac:dyDescent="0.25">
      <c r="C93" s="1166"/>
      <c r="D93" s="1400"/>
      <c r="E93" s="1382"/>
      <c r="F93" s="1401"/>
      <c r="G93" s="1407"/>
      <c r="H93" s="1192"/>
      <c r="I93" s="1168" t="s">
        <v>359</v>
      </c>
      <c r="J93" s="1190"/>
      <c r="K93" s="1168"/>
      <c r="L93" s="1409"/>
      <c r="M93" s="1402"/>
      <c r="N93" s="1192"/>
      <c r="O93" s="1192"/>
      <c r="P93" s="1192"/>
      <c r="Q93" s="1399"/>
      <c r="R93" s="1165"/>
      <c r="S93" s="1165"/>
      <c r="T93" s="1165"/>
      <c r="U93" s="1188">
        <v>84021200</v>
      </c>
      <c r="V93" s="1165"/>
      <c r="W93" s="1105" t="s">
        <v>1846</v>
      </c>
      <c r="X93" s="1192"/>
      <c r="Y93" s="1169"/>
      <c r="Z93" s="1144"/>
      <c r="AA93" s="1141"/>
      <c r="AB93" s="1146"/>
      <c r="AC93" s="1146"/>
      <c r="AD93" s="256"/>
      <c r="AE93" s="188"/>
      <c r="AF93" s="743"/>
      <c r="AG93" s="256"/>
      <c r="AH93" s="256"/>
      <c r="AI93" s="1107">
        <v>418900</v>
      </c>
      <c r="AJ93" s="744"/>
      <c r="AK93" s="757"/>
      <c r="AL93" s="1007"/>
      <c r="AM93" s="745"/>
      <c r="AN93" s="256"/>
      <c r="AO93" s="256"/>
      <c r="AP93" s="256"/>
      <c r="AQ93" s="256"/>
      <c r="AR93" s="256"/>
      <c r="AS93" s="55"/>
      <c r="AT93" s="17"/>
      <c r="AW93" s="1298"/>
    </row>
    <row r="94" spans="3:49" ht="20.25" customHeight="1" x14ac:dyDescent="0.25">
      <c r="C94" s="1166"/>
      <c r="D94" s="1400"/>
      <c r="E94" s="1382"/>
      <c r="F94" s="1401"/>
      <c r="G94" s="1407"/>
      <c r="H94" s="1192"/>
      <c r="I94" s="1168" t="s">
        <v>359</v>
      </c>
      <c r="J94" s="798"/>
      <c r="K94" s="1168"/>
      <c r="L94" s="1409"/>
      <c r="M94" s="1402"/>
      <c r="N94" s="1192"/>
      <c r="O94" s="1192"/>
      <c r="P94" s="1192"/>
      <c r="Q94" s="1399"/>
      <c r="R94" s="1165"/>
      <c r="S94" s="1165"/>
      <c r="T94" s="1165"/>
      <c r="U94" s="1188">
        <v>84021200</v>
      </c>
      <c r="V94" s="1165"/>
      <c r="W94" s="1105" t="s">
        <v>1845</v>
      </c>
      <c r="X94" s="1192"/>
      <c r="Y94" s="1169"/>
      <c r="Z94" s="1144"/>
      <c r="AA94" s="1141"/>
      <c r="AB94" s="1146"/>
      <c r="AC94" s="1146"/>
      <c r="AD94" s="256"/>
      <c r="AE94" s="188"/>
      <c r="AF94" s="743"/>
      <c r="AG94" s="256"/>
      <c r="AH94" s="256"/>
      <c r="AI94" s="1107">
        <v>271400</v>
      </c>
      <c r="AJ94" s="744"/>
      <c r="AK94" s="757"/>
      <c r="AL94" s="1007"/>
      <c r="AM94" s="745"/>
      <c r="AN94" s="256"/>
      <c r="AO94" s="256"/>
      <c r="AP94" s="256"/>
      <c r="AQ94" s="256"/>
      <c r="AR94" s="256"/>
      <c r="AS94" s="55"/>
      <c r="AT94" s="17"/>
      <c r="AW94" s="1298"/>
    </row>
    <row r="95" spans="3:49" ht="20.25" customHeight="1" x14ac:dyDescent="0.25">
      <c r="C95" s="1166"/>
      <c r="D95" s="1400"/>
      <c r="E95" s="1382"/>
      <c r="F95" s="1401"/>
      <c r="G95" s="1407"/>
      <c r="H95" s="1192"/>
      <c r="I95" s="1168" t="s">
        <v>359</v>
      </c>
      <c r="J95" s="798"/>
      <c r="K95" s="1168"/>
      <c r="L95" s="1409"/>
      <c r="M95" s="1402"/>
      <c r="N95" s="1192"/>
      <c r="O95" s="1192"/>
      <c r="P95" s="1192"/>
      <c r="Q95" s="1399"/>
      <c r="R95" s="1165"/>
      <c r="S95" s="1165"/>
      <c r="T95" s="1165"/>
      <c r="U95" s="1188">
        <v>84021200</v>
      </c>
      <c r="V95" s="1165"/>
      <c r="W95" s="1171" t="s">
        <v>1844</v>
      </c>
      <c r="X95" s="1192"/>
      <c r="Y95" s="1169"/>
      <c r="Z95" s="1144"/>
      <c r="AA95" s="1141"/>
      <c r="AB95" s="1146"/>
      <c r="AC95" s="1146"/>
      <c r="AD95" s="256"/>
      <c r="AE95" s="188"/>
      <c r="AF95" s="743"/>
      <c r="AG95" s="256"/>
      <c r="AH95" s="256"/>
      <c r="AI95" s="1107">
        <v>177000</v>
      </c>
      <c r="AJ95" s="744"/>
      <c r="AK95" s="757"/>
      <c r="AL95" s="1007"/>
      <c r="AM95" s="745"/>
      <c r="AN95" s="256"/>
      <c r="AO95" s="256"/>
      <c r="AP95" s="256"/>
      <c r="AQ95" s="256"/>
      <c r="AR95" s="256"/>
      <c r="AS95" s="55"/>
      <c r="AT95" s="17"/>
      <c r="AW95" s="1298"/>
    </row>
    <row r="96" spans="3:49" ht="20.25" customHeight="1" x14ac:dyDescent="0.3">
      <c r="C96" s="1166"/>
      <c r="D96" s="1165"/>
      <c r="E96" s="1192"/>
      <c r="F96" s="1168"/>
      <c r="G96" s="1201"/>
      <c r="H96" s="1192"/>
      <c r="I96" s="1168"/>
      <c r="J96" s="797"/>
      <c r="K96" s="1168"/>
      <c r="L96" s="1168"/>
      <c r="M96" s="1187"/>
      <c r="N96" s="1192"/>
      <c r="O96" s="1192"/>
      <c r="P96" s="1192"/>
      <c r="Q96" s="1193"/>
      <c r="R96" s="1165"/>
      <c r="S96" s="1165"/>
      <c r="T96" s="1165"/>
      <c r="U96" s="1165"/>
      <c r="V96" s="1165"/>
      <c r="W96" s="1103"/>
      <c r="X96" s="1192"/>
      <c r="Y96" s="1169"/>
      <c r="Z96" s="1144"/>
      <c r="AA96" s="1141"/>
      <c r="AB96" s="1146"/>
      <c r="AC96" s="1146"/>
      <c r="AD96" s="256"/>
      <c r="AE96" s="188"/>
      <c r="AF96" s="743"/>
      <c r="AG96" s="256"/>
      <c r="AH96" s="256"/>
      <c r="AI96" s="757"/>
      <c r="AJ96" s="744"/>
      <c r="AK96" s="757"/>
      <c r="AL96" s="745"/>
      <c r="AM96" s="745"/>
      <c r="AN96" s="256"/>
      <c r="AO96" s="256"/>
      <c r="AP96" s="256"/>
      <c r="AQ96" s="256"/>
      <c r="AR96" s="256"/>
      <c r="AS96" s="55"/>
      <c r="AT96" s="17"/>
    </row>
    <row r="97" spans="3:55" ht="20.25" customHeight="1" x14ac:dyDescent="0.3">
      <c r="C97" s="1166">
        <v>20</v>
      </c>
      <c r="D97" s="1400" t="s">
        <v>1272</v>
      </c>
      <c r="E97" s="1382">
        <v>3</v>
      </c>
      <c r="F97" s="1401">
        <f>'UID application COMBINE Mc list'!H42</f>
        <v>13200000</v>
      </c>
      <c r="G97" s="1407" t="s">
        <v>1272</v>
      </c>
      <c r="H97" s="1382">
        <v>2</v>
      </c>
      <c r="I97" s="1168"/>
      <c r="J97" s="797"/>
      <c r="K97" s="1168"/>
      <c r="L97" s="1401">
        <v>4874000</v>
      </c>
      <c r="M97" s="1402" t="s">
        <v>1462</v>
      </c>
      <c r="N97" s="1192"/>
      <c r="O97" s="1192"/>
      <c r="P97" s="1192"/>
      <c r="Q97" s="1408">
        <v>2022</v>
      </c>
      <c r="R97" s="1165"/>
      <c r="S97" s="1165"/>
      <c r="T97" s="1165"/>
      <c r="U97" s="1165"/>
      <c r="V97" s="1165"/>
      <c r="W97" s="1103" t="s">
        <v>1860</v>
      </c>
      <c r="X97" s="1192"/>
      <c r="Y97" s="1169"/>
      <c r="Z97" s="1144"/>
      <c r="AA97" s="1141"/>
      <c r="AB97" s="1146"/>
      <c r="AC97" s="1146"/>
      <c r="AD97" s="256"/>
      <c r="AE97" s="188"/>
      <c r="AF97" s="743"/>
      <c r="AG97" s="256"/>
      <c r="AH97" s="951">
        <v>44634</v>
      </c>
      <c r="AI97" s="757">
        <f>SUM(AI98:AI99)</f>
        <v>2875660</v>
      </c>
      <c r="AJ97" s="744"/>
      <c r="AK97" s="757">
        <f>SUM(AK98:AK99)</f>
        <v>2437000</v>
      </c>
      <c r="AL97" s="745"/>
      <c r="AM97" s="745"/>
      <c r="AN97" s="256"/>
      <c r="AO97" s="256"/>
      <c r="AP97" s="256"/>
      <c r="AQ97" s="256"/>
      <c r="AR97" s="256"/>
      <c r="AS97" s="55"/>
      <c r="AT97" s="17"/>
      <c r="AW97" s="1299" t="s">
        <v>1711</v>
      </c>
    </row>
    <row r="98" spans="3:55" ht="20.25" customHeight="1" x14ac:dyDescent="0.3">
      <c r="C98" s="1166"/>
      <c r="D98" s="1400"/>
      <c r="E98" s="1382"/>
      <c r="F98" s="1401"/>
      <c r="G98" s="1407"/>
      <c r="H98" s="1382"/>
      <c r="I98" s="1168" t="s">
        <v>359</v>
      </c>
      <c r="J98" s="797"/>
      <c r="K98" s="1168"/>
      <c r="L98" s="1401"/>
      <c r="M98" s="1402"/>
      <c r="N98" s="1192"/>
      <c r="O98" s="1192"/>
      <c r="P98" s="1192"/>
      <c r="Q98" s="1408"/>
      <c r="R98" s="1165" t="s">
        <v>1631</v>
      </c>
      <c r="S98" s="1188">
        <v>1923</v>
      </c>
      <c r="T98" s="1165" t="s">
        <v>1474</v>
      </c>
      <c r="U98" s="1191">
        <v>84289090</v>
      </c>
      <c r="V98" s="1165"/>
      <c r="W98" s="1103" t="s">
        <v>1861</v>
      </c>
      <c r="X98" s="1192"/>
      <c r="Y98" s="1169"/>
      <c r="Z98" s="1144"/>
      <c r="AA98" s="1141"/>
      <c r="AB98" s="1146"/>
      <c r="AC98" s="1146"/>
      <c r="AD98" s="256"/>
      <c r="AE98" s="188"/>
      <c r="AF98" s="743"/>
      <c r="AG98" s="256"/>
      <c r="AH98" s="256"/>
      <c r="AI98" s="757">
        <v>2875660</v>
      </c>
      <c r="AJ98" s="744"/>
      <c r="AK98" s="757">
        <v>2437000</v>
      </c>
      <c r="AL98" s="1007">
        <v>44554</v>
      </c>
      <c r="AM98" s="745"/>
      <c r="AN98" s="256" t="s">
        <v>1371</v>
      </c>
      <c r="AO98" s="256"/>
      <c r="AP98" s="256"/>
      <c r="AQ98" s="256"/>
      <c r="AR98" s="256"/>
      <c r="AS98" s="55"/>
      <c r="AT98" s="17"/>
      <c r="AV98" s="13">
        <f>AI97+AI68</f>
        <v>10309660</v>
      </c>
      <c r="AW98" s="1299"/>
    </row>
    <row r="99" spans="3:55" ht="20.25" customHeight="1" x14ac:dyDescent="0.3">
      <c r="C99" s="1166"/>
      <c r="D99" s="1165"/>
      <c r="E99" s="1192"/>
      <c r="F99" s="1168"/>
      <c r="G99" s="1189"/>
      <c r="H99" s="1192"/>
      <c r="I99" s="1168"/>
      <c r="J99" s="797"/>
      <c r="K99" s="1168"/>
      <c r="L99" s="1168"/>
      <c r="M99" s="1187"/>
      <c r="N99" s="1192"/>
      <c r="O99" s="1192"/>
      <c r="P99" s="1192"/>
      <c r="Q99" s="1193"/>
      <c r="R99" s="1165"/>
      <c r="S99" s="1188"/>
      <c r="T99" s="1165"/>
      <c r="U99" s="1191"/>
      <c r="V99" s="1165"/>
      <c r="W99" s="1103"/>
      <c r="X99" s="1192"/>
      <c r="Y99" s="1169"/>
      <c r="Z99" s="1144"/>
      <c r="AA99" s="1141"/>
      <c r="AB99" s="1146"/>
      <c r="AC99" s="1146"/>
      <c r="AD99" s="256"/>
      <c r="AE99" s="188"/>
      <c r="AF99" s="743"/>
      <c r="AG99" s="256"/>
      <c r="AH99" s="256"/>
      <c r="AI99" s="757"/>
      <c r="AJ99" s="744"/>
      <c r="AK99" s="757" t="s">
        <v>1170</v>
      </c>
      <c r="AL99" s="745"/>
      <c r="AM99" s="745"/>
      <c r="AN99" s="256"/>
      <c r="AO99" s="256"/>
      <c r="AP99" s="256"/>
      <c r="AQ99" s="256"/>
      <c r="AR99" s="256"/>
      <c r="AS99" s="55"/>
      <c r="AT99" s="17"/>
      <c r="AW99" s="1299"/>
    </row>
    <row r="100" spans="3:55" ht="26.25" customHeight="1" x14ac:dyDescent="0.3">
      <c r="C100" s="1166">
        <v>21</v>
      </c>
      <c r="D100" s="1429" t="s">
        <v>1862</v>
      </c>
      <c r="E100" s="1429"/>
      <c r="F100" s="1429"/>
      <c r="G100" s="1407" t="s">
        <v>1770</v>
      </c>
      <c r="H100" s="1382">
        <v>2</v>
      </c>
      <c r="I100" s="1168"/>
      <c r="J100" s="1436"/>
      <c r="K100" s="1168"/>
      <c r="L100" s="1427">
        <v>13680000</v>
      </c>
      <c r="M100" s="1402" t="s">
        <v>1462</v>
      </c>
      <c r="N100" s="1192"/>
      <c r="O100" s="1192"/>
      <c r="P100" s="1192"/>
      <c r="Q100" s="1408">
        <v>2022</v>
      </c>
      <c r="R100" s="1165" t="s">
        <v>1771</v>
      </c>
      <c r="S100" s="1188">
        <v>1971</v>
      </c>
      <c r="T100" s="1165" t="s">
        <v>1772</v>
      </c>
      <c r="U100" s="1165"/>
      <c r="V100" s="1165"/>
      <c r="W100" s="1103" t="s">
        <v>1864</v>
      </c>
      <c r="X100" s="1192"/>
      <c r="Y100" s="1169"/>
      <c r="Z100" s="1144"/>
      <c r="AA100" s="1141"/>
      <c r="AB100" s="1146"/>
      <c r="AC100" s="1146"/>
      <c r="AD100" s="256"/>
      <c r="AE100" s="188"/>
      <c r="AF100" s="743"/>
      <c r="AG100" s="256"/>
      <c r="AH100" s="256"/>
      <c r="AI100" s="757">
        <v>8071200</v>
      </c>
      <c r="AJ100" s="744"/>
      <c r="AK100" s="757">
        <f>6703200-6840</f>
        <v>6696360</v>
      </c>
      <c r="AL100" s="1007" t="s">
        <v>1789</v>
      </c>
      <c r="AM100" s="745"/>
      <c r="AN100" s="256"/>
      <c r="AO100" s="256"/>
      <c r="AP100" s="256"/>
      <c r="AQ100" s="256"/>
      <c r="AR100" s="256"/>
      <c r="AS100" s="55"/>
      <c r="AT100" s="17"/>
    </row>
    <row r="101" spans="3:55" ht="20.25" customHeight="1" x14ac:dyDescent="0.3">
      <c r="C101" s="1166"/>
      <c r="D101" s="1429"/>
      <c r="E101" s="1429"/>
      <c r="F101" s="1429"/>
      <c r="G101" s="1407"/>
      <c r="H101" s="1382"/>
      <c r="I101" s="1168"/>
      <c r="J101" s="1436"/>
      <c r="K101" s="1168"/>
      <c r="L101" s="1428"/>
      <c r="M101" s="1402"/>
      <c r="N101" s="1192"/>
      <c r="O101" s="1192"/>
      <c r="P101" s="1192"/>
      <c r="Q101" s="1408"/>
      <c r="R101" s="1165"/>
      <c r="S101" s="1188"/>
      <c r="T101" s="1165"/>
      <c r="U101" s="1165"/>
      <c r="V101" s="1165"/>
      <c r="W101" s="1103" t="s">
        <v>1863</v>
      </c>
      <c r="X101" s="1192"/>
      <c r="Y101" s="1169"/>
      <c r="Z101" s="1144"/>
      <c r="AA101" s="1141"/>
      <c r="AB101" s="1146"/>
      <c r="AC101" s="1146"/>
      <c r="AD101" s="256"/>
      <c r="AE101" s="188"/>
      <c r="AF101" s="743"/>
      <c r="AG101" s="256"/>
      <c r="AH101" s="256"/>
      <c r="AI101" s="757"/>
      <c r="AJ101" s="744"/>
      <c r="AK101" s="757">
        <v>165050</v>
      </c>
      <c r="AL101" s="1010" t="s">
        <v>1776</v>
      </c>
      <c r="AM101" s="745"/>
      <c r="AN101" s="256"/>
      <c r="AO101" s="256"/>
      <c r="AP101" s="256"/>
      <c r="AQ101" s="256"/>
      <c r="AR101" s="256"/>
      <c r="AS101" s="55"/>
      <c r="AT101" s="17"/>
    </row>
    <row r="102" spans="3:55" ht="20.25" customHeight="1" x14ac:dyDescent="0.3">
      <c r="C102" s="1166"/>
      <c r="D102" s="1165"/>
      <c r="E102" s="1192"/>
      <c r="F102" s="1168"/>
      <c r="G102" s="1201"/>
      <c r="H102" s="1192"/>
      <c r="I102" s="1168"/>
      <c r="J102" s="797"/>
      <c r="K102" s="1168"/>
      <c r="L102" s="1168"/>
      <c r="M102" s="1187"/>
      <c r="N102" s="1192"/>
      <c r="O102" s="1192"/>
      <c r="P102" s="1192"/>
      <c r="Q102" s="1193"/>
      <c r="R102" s="1165"/>
      <c r="S102" s="1165"/>
      <c r="T102" s="1165"/>
      <c r="U102" s="1165"/>
      <c r="V102" s="1165"/>
      <c r="W102" s="1103"/>
      <c r="X102" s="1192"/>
      <c r="Y102" s="1169"/>
      <c r="Z102" s="1144"/>
      <c r="AA102" s="1141"/>
      <c r="AB102" s="1146"/>
      <c r="AC102" s="1146"/>
      <c r="AD102" s="256"/>
      <c r="AE102" s="188"/>
      <c r="AF102" s="743"/>
      <c r="AG102" s="256"/>
      <c r="AH102" s="256"/>
      <c r="AI102" s="757"/>
      <c r="AJ102" s="744"/>
      <c r="AK102" s="757"/>
      <c r="AL102" s="745"/>
      <c r="AM102" s="745"/>
      <c r="AN102" s="256"/>
      <c r="AO102" s="256"/>
      <c r="AP102" s="256"/>
      <c r="AQ102" s="256"/>
      <c r="AR102" s="256"/>
      <c r="AS102" s="55"/>
      <c r="AT102" s="17"/>
    </row>
    <row r="103" spans="3:55" s="1010" customFormat="1" ht="33" customHeight="1" thickBot="1" x14ac:dyDescent="0.35">
      <c r="C103" s="1172">
        <v>22</v>
      </c>
      <c r="D103" s="1429" t="s">
        <v>1862</v>
      </c>
      <c r="E103" s="1429"/>
      <c r="F103" s="1429"/>
      <c r="G103" s="1173" t="s">
        <v>1714</v>
      </c>
      <c r="H103" s="1174">
        <v>1</v>
      </c>
      <c r="I103" s="1094" t="s">
        <v>818</v>
      </c>
      <c r="J103" s="1094"/>
      <c r="K103" s="1094"/>
      <c r="L103" s="1185">
        <v>14484225</v>
      </c>
      <c r="M103" s="1094" t="s">
        <v>1713</v>
      </c>
      <c r="N103" s="1094"/>
      <c r="O103" s="1094"/>
      <c r="P103" s="1094"/>
      <c r="Q103" s="1094">
        <v>2022</v>
      </c>
      <c r="R103" s="1094"/>
      <c r="S103" s="1094" t="s">
        <v>1715</v>
      </c>
      <c r="T103" s="1094"/>
      <c r="U103" s="1174">
        <v>84454000</v>
      </c>
      <c r="V103" s="1094"/>
      <c r="W103" s="1175">
        <v>920007105</v>
      </c>
      <c r="X103" s="1176">
        <v>3947243</v>
      </c>
      <c r="Y103" s="1177" t="s">
        <v>887</v>
      </c>
      <c r="Z103" s="1117"/>
      <c r="AA103" s="1117"/>
      <c r="AB103" s="1117"/>
      <c r="AD103" s="1010" t="s">
        <v>1717</v>
      </c>
      <c r="AE103" s="1010" t="s">
        <v>1718</v>
      </c>
      <c r="AF103" s="1010" t="s">
        <v>1413</v>
      </c>
      <c r="AH103" s="1118">
        <v>44946</v>
      </c>
      <c r="AI103" s="758">
        <v>164500</v>
      </c>
      <c r="AJ103" s="1010">
        <v>88.05</v>
      </c>
      <c r="AK103" s="758">
        <f>AI103*AJ103</f>
        <v>14484225</v>
      </c>
      <c r="AL103" s="1119"/>
      <c r="AN103" s="1010" t="s">
        <v>1371</v>
      </c>
      <c r="AS103" s="1116"/>
      <c r="AY103" s="1010">
        <f>AK103</f>
        <v>14484225</v>
      </c>
      <c r="AZ103" s="1010">
        <f>AK103</f>
        <v>14484225</v>
      </c>
      <c r="BA103" s="1010">
        <f>MIN(AX103,AY103,AZ103)</f>
        <v>14484225</v>
      </c>
      <c r="BB103" s="1010">
        <f>BA103*10%</f>
        <v>1448422.5</v>
      </c>
      <c r="BC103" s="1010">
        <f>BB103</f>
        <v>1448422.5</v>
      </c>
    </row>
    <row r="104" spans="3:55" ht="20.25" customHeight="1" thickBot="1" x14ac:dyDescent="0.35">
      <c r="D104" s="9"/>
      <c r="E104" s="54"/>
      <c r="F104" s="773"/>
      <c r="G104" s="13"/>
      <c r="H104" s="13"/>
      <c r="I104" s="13"/>
      <c r="J104" s="13"/>
      <c r="K104" s="13"/>
      <c r="L104" s="778"/>
      <c r="M104" s="13"/>
      <c r="N104" s="13"/>
      <c r="O104" s="13"/>
      <c r="P104" s="13"/>
      <c r="Q104" s="13"/>
      <c r="R104" s="13"/>
      <c r="S104" s="13"/>
      <c r="T104" s="13"/>
      <c r="U104" s="13"/>
      <c r="V104" s="13"/>
      <c r="W104" s="13"/>
      <c r="X104" s="13"/>
      <c r="AS104" s="58" t="e">
        <f>+#REF!+#REF!</f>
        <v>#REF!</v>
      </c>
      <c r="AT104" s="17" t="e">
        <f>+AS104/2</f>
        <v>#REF!</v>
      </c>
    </row>
    <row r="107" spans="3:55" ht="20.25" customHeight="1" x14ac:dyDescent="0.3">
      <c r="BB107" s="13" t="e">
        <f>#REF!+BB103</f>
        <v>#REF!</v>
      </c>
      <c r="BC107" s="13" t="s">
        <v>1738</v>
      </c>
    </row>
    <row r="108" spans="3:55" ht="20.25" customHeight="1" x14ac:dyDescent="0.3">
      <c r="AK108" s="778" t="e">
        <f>#REF!+AK103</f>
        <v>#REF!</v>
      </c>
    </row>
    <row r="109" spans="3:55" ht="20.25" customHeight="1" x14ac:dyDescent="0.3">
      <c r="BA109" s="13">
        <v>1405000</v>
      </c>
      <c r="BB109" s="13" t="e">
        <f>#REF!+BB103</f>
        <v>#REF!</v>
      </c>
      <c r="BC109" s="13" t="s">
        <v>1739</v>
      </c>
    </row>
    <row r="110" spans="3:55" ht="20.25" customHeight="1" x14ac:dyDescent="0.3">
      <c r="BB110" s="13" t="e">
        <f>BB107-BB109</f>
        <v>#REF!</v>
      </c>
    </row>
    <row r="111" spans="3:55" ht="20.25" customHeight="1" x14ac:dyDescent="0.3">
      <c r="BA111" s="13">
        <v>7100000</v>
      </c>
    </row>
    <row r="112" spans="3:55" ht="20.25" customHeight="1" x14ac:dyDescent="0.3">
      <c r="BA112" s="13">
        <v>926500</v>
      </c>
    </row>
    <row r="113" spans="53:53" ht="20.25" customHeight="1" x14ac:dyDescent="0.3">
      <c r="BA113" s="13">
        <v>4680000</v>
      </c>
    </row>
    <row r="114" spans="53:53" ht="20.25" customHeight="1" x14ac:dyDescent="0.3">
      <c r="BA114" s="13">
        <v>1660000</v>
      </c>
    </row>
    <row r="131" spans="3:45" ht="20.25" customHeight="1" x14ac:dyDescent="0.3">
      <c r="C131" s="13"/>
      <c r="D131" s="13"/>
      <c r="E131" s="54"/>
      <c r="F131" s="778"/>
      <c r="G131" s="13"/>
      <c r="H131" s="13"/>
      <c r="I131" s="13"/>
      <c r="J131" s="13"/>
      <c r="K131" s="13"/>
      <c r="L131" s="778"/>
      <c r="M131" s="13"/>
      <c r="N131" s="13"/>
      <c r="O131" s="13"/>
      <c r="P131" s="13"/>
      <c r="Q131" s="13"/>
      <c r="R131" s="13"/>
      <c r="S131" s="13"/>
      <c r="T131" s="13"/>
      <c r="U131" s="13"/>
      <c r="V131" s="13"/>
      <c r="W131" s="13"/>
      <c r="X131" s="13"/>
      <c r="Y131" s="13"/>
      <c r="Z131" s="13"/>
      <c r="AA131" s="14"/>
      <c r="AB131" s="14"/>
      <c r="AS131" s="13"/>
    </row>
    <row r="132" spans="3:45" ht="20.25" customHeight="1" x14ac:dyDescent="0.3">
      <c r="C132" s="13"/>
      <c r="D132" s="13"/>
      <c r="E132" s="54"/>
      <c r="F132" s="778"/>
      <c r="G132" s="13"/>
      <c r="H132" s="13"/>
      <c r="I132" s="13"/>
      <c r="J132" s="13"/>
      <c r="K132" s="13"/>
      <c r="L132" s="778"/>
      <c r="M132" s="13"/>
      <c r="N132" s="13"/>
      <c r="O132" s="13"/>
      <c r="P132" s="13"/>
      <c r="Q132" s="13"/>
      <c r="R132" s="13"/>
      <c r="S132" s="13"/>
      <c r="T132" s="13"/>
      <c r="U132" s="13"/>
      <c r="V132" s="13"/>
      <c r="W132" s="13"/>
      <c r="X132" s="13"/>
      <c r="Y132" s="13"/>
      <c r="Z132" s="13"/>
      <c r="AA132" s="14"/>
      <c r="AB132" s="14"/>
      <c r="AS132" s="13"/>
    </row>
    <row r="133" spans="3:45" ht="20.25" customHeight="1" x14ac:dyDescent="0.3">
      <c r="C133" s="13"/>
      <c r="D133" s="13"/>
      <c r="E133" s="54"/>
      <c r="F133" s="778"/>
      <c r="G133" s="13"/>
      <c r="H133" s="13"/>
      <c r="I133" s="13"/>
      <c r="J133" s="13"/>
      <c r="K133" s="13"/>
      <c r="L133" s="778"/>
      <c r="M133" s="13"/>
      <c r="N133" s="13"/>
      <c r="O133" s="13"/>
      <c r="P133" s="13"/>
      <c r="Q133" s="13"/>
      <c r="R133" s="13"/>
      <c r="S133" s="13"/>
      <c r="T133" s="13"/>
      <c r="U133" s="13"/>
      <c r="V133" s="13"/>
      <c r="W133" s="13"/>
      <c r="X133" s="13"/>
      <c r="Y133" s="13"/>
      <c r="Z133" s="13"/>
      <c r="AA133" s="14"/>
      <c r="AB133" s="14"/>
      <c r="AS133" s="13"/>
    </row>
    <row r="134" spans="3:45" ht="20.25" customHeight="1" x14ac:dyDescent="0.3">
      <c r="C134" s="13"/>
      <c r="D134" s="13"/>
      <c r="E134" s="54"/>
      <c r="F134" s="778"/>
      <c r="G134" s="13"/>
      <c r="H134" s="13"/>
      <c r="I134" s="13"/>
      <c r="J134" s="13"/>
      <c r="K134" s="13"/>
      <c r="L134" s="778"/>
      <c r="M134" s="13"/>
      <c r="N134" s="13"/>
      <c r="O134" s="13"/>
      <c r="P134" s="13"/>
      <c r="Q134" s="13"/>
      <c r="R134" s="13"/>
      <c r="S134" s="13"/>
      <c r="T134" s="13"/>
      <c r="U134" s="13"/>
      <c r="V134" s="13"/>
      <c r="W134" s="13"/>
      <c r="X134" s="13"/>
      <c r="Y134" s="13"/>
      <c r="Z134" s="13"/>
      <c r="AA134" s="14"/>
      <c r="AB134" s="14"/>
      <c r="AS134" s="13"/>
    </row>
    <row r="1048495" spans="38:38" ht="20.25" customHeight="1" x14ac:dyDescent="0.3">
      <c r="AL1048495" s="745"/>
    </row>
  </sheetData>
  <mergeCells count="135">
    <mergeCell ref="C4:Y4"/>
    <mergeCell ref="D11:D16"/>
    <mergeCell ref="Q20:Q21"/>
    <mergeCell ref="C25:C30"/>
    <mergeCell ref="G59:Y59"/>
    <mergeCell ref="G18:Y18"/>
    <mergeCell ref="L100:L101"/>
    <mergeCell ref="D103:F103"/>
    <mergeCell ref="M80:M95"/>
    <mergeCell ref="M97:M98"/>
    <mergeCell ref="M100:M101"/>
    <mergeCell ref="Q11:Q16"/>
    <mergeCell ref="M11:M16"/>
    <mergeCell ref="L11:L16"/>
    <mergeCell ref="H11:H16"/>
    <mergeCell ref="G11:G16"/>
    <mergeCell ref="G100:G101"/>
    <mergeCell ref="H100:H101"/>
    <mergeCell ref="J100:J101"/>
    <mergeCell ref="Q100:Q101"/>
    <mergeCell ref="D100:F101"/>
    <mergeCell ref="D97:D98"/>
    <mergeCell ref="F97:F98"/>
    <mergeCell ref="G97:G98"/>
    <mergeCell ref="H97:H98"/>
    <mergeCell ref="L97:L98"/>
    <mergeCell ref="Q97:Q98"/>
    <mergeCell ref="E97:E98"/>
    <mergeCell ref="Q68:Q71"/>
    <mergeCell ref="D73:D74"/>
    <mergeCell ref="E73:E74"/>
    <mergeCell ref="F73:F74"/>
    <mergeCell ref="D80:D95"/>
    <mergeCell ref="E80:E95"/>
    <mergeCell ref="F80:F95"/>
    <mergeCell ref="G80:G95"/>
    <mergeCell ref="L80:L95"/>
    <mergeCell ref="Q80:Q95"/>
    <mergeCell ref="D68:D71"/>
    <mergeCell ref="E68:E71"/>
    <mergeCell ref="F68:F71"/>
    <mergeCell ref="G68:G71"/>
    <mergeCell ref="H68:H71"/>
    <mergeCell ref="M68:M71"/>
    <mergeCell ref="L68:L71"/>
    <mergeCell ref="D61:D66"/>
    <mergeCell ref="F61:F66"/>
    <mergeCell ref="E61:E66"/>
    <mergeCell ref="G63:G66"/>
    <mergeCell ref="Q63:Q66"/>
    <mergeCell ref="H63:H66"/>
    <mergeCell ref="M63:M66"/>
    <mergeCell ref="L63:L66"/>
    <mergeCell ref="H51:H54"/>
    <mergeCell ref="L51:L54"/>
    <mergeCell ref="M51:M54"/>
    <mergeCell ref="D56:D57"/>
    <mergeCell ref="E56:E57"/>
    <mergeCell ref="F56:F57"/>
    <mergeCell ref="G56:G57"/>
    <mergeCell ref="H56:H57"/>
    <mergeCell ref="M56:M57"/>
    <mergeCell ref="L56:L57"/>
    <mergeCell ref="E46:E47"/>
    <mergeCell ref="D46:D47"/>
    <mergeCell ref="D51:D54"/>
    <mergeCell ref="E51:E54"/>
    <mergeCell ref="F51:F54"/>
    <mergeCell ref="G51:G54"/>
    <mergeCell ref="Q34:Q44"/>
    <mergeCell ref="L34:L44"/>
    <mergeCell ref="L46:L47"/>
    <mergeCell ref="H46:H47"/>
    <mergeCell ref="G46:G47"/>
    <mergeCell ref="F46:F47"/>
    <mergeCell ref="Q46:Q47"/>
    <mergeCell ref="M46:M47"/>
    <mergeCell ref="D34:D44"/>
    <mergeCell ref="E34:E44"/>
    <mergeCell ref="F34:F44"/>
    <mergeCell ref="G34:G44"/>
    <mergeCell ref="H34:H44"/>
    <mergeCell ref="M34:M44"/>
    <mergeCell ref="H25:H30"/>
    <mergeCell ref="G25:G30"/>
    <mergeCell ref="F25:F30"/>
    <mergeCell ref="E25:E30"/>
    <mergeCell ref="D25:D30"/>
    <mergeCell ref="M25:M30"/>
    <mergeCell ref="L25:L30"/>
    <mergeCell ref="D20:D21"/>
    <mergeCell ref="E20:E21"/>
    <mergeCell ref="F20:F21"/>
    <mergeCell ref="G20:G21"/>
    <mergeCell ref="H20:H21"/>
    <mergeCell ref="L20:L21"/>
    <mergeCell ref="M20:M21"/>
    <mergeCell ref="F11:F16"/>
    <mergeCell ref="E11:E16"/>
    <mergeCell ref="H6:H9"/>
    <mergeCell ref="L6:L9"/>
    <mergeCell ref="M6:M9"/>
    <mergeCell ref="AW81:AW95"/>
    <mergeCell ref="AW97:AW99"/>
    <mergeCell ref="C5:D5"/>
    <mergeCell ref="D6:D9"/>
    <mergeCell ref="E6:E9"/>
    <mergeCell ref="F6:F9"/>
    <mergeCell ref="G6:G9"/>
    <mergeCell ref="AW46:AW48"/>
    <mergeCell ref="AW51:AW54"/>
    <mergeCell ref="AW56:AW57"/>
    <mergeCell ref="AW64:AW66"/>
    <mergeCell ref="AW69:AW71"/>
    <mergeCell ref="AW25:AW30"/>
    <mergeCell ref="AW34:AW45"/>
    <mergeCell ref="AI20:AI21"/>
    <mergeCell ref="AW20:AW21"/>
    <mergeCell ref="C20:C21"/>
    <mergeCell ref="W20:W21"/>
    <mergeCell ref="Q25:Q30"/>
    <mergeCell ref="AY20:AY21"/>
    <mergeCell ref="N20:N21"/>
    <mergeCell ref="O20:O21"/>
    <mergeCell ref="P20:P21"/>
    <mergeCell ref="X20:X21"/>
    <mergeCell ref="AC20:AC21"/>
    <mergeCell ref="AD20:AD21"/>
    <mergeCell ref="Y20:Y21"/>
    <mergeCell ref="AW6:AW9"/>
    <mergeCell ref="AD7:AD9"/>
    <mergeCell ref="AD11:AD16"/>
    <mergeCell ref="AW11:AW16"/>
    <mergeCell ref="AN12:AN16"/>
    <mergeCell ref="AO12:AO16"/>
  </mergeCells>
  <pageMargins left="0" right="0" top="0.74803149606299213" bottom="0.74803149606299213" header="0.31496062992125984" footer="0.31496062992125984"/>
  <pageSetup scale="7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topLeftCell="A12" zoomScaleNormal="100" workbookViewId="0">
      <selection activeCell="D11" sqref="D11:D21"/>
    </sheetView>
  </sheetViews>
  <sheetFormatPr defaultRowHeight="14.4" x14ac:dyDescent="0.3"/>
  <cols>
    <col min="1" max="1" width="2.109375" customWidth="1"/>
    <col min="2" max="2" width="3.88671875" style="455" customWidth="1"/>
    <col min="3" max="3" width="97" style="454" customWidth="1"/>
    <col min="4" max="4" width="79" style="454" customWidth="1"/>
    <col min="5" max="5" width="2.33203125" customWidth="1"/>
  </cols>
  <sheetData>
    <row r="1" spans="2:10" ht="15" thickBot="1" x14ac:dyDescent="0.35"/>
    <row r="2" spans="2:10" x14ac:dyDescent="0.3">
      <c r="B2" s="463"/>
      <c r="C2" s="464" t="s">
        <v>91</v>
      </c>
      <c r="D2" s="465"/>
      <c r="F2" s="269" t="s">
        <v>196</v>
      </c>
      <c r="G2" s="457"/>
      <c r="H2" s="270">
        <v>113280.71</v>
      </c>
    </row>
    <row r="3" spans="2:10" x14ac:dyDescent="0.3">
      <c r="B3" s="463"/>
      <c r="C3" s="464"/>
      <c r="D3" s="465"/>
      <c r="F3" s="271" t="s">
        <v>1007</v>
      </c>
      <c r="H3" s="272">
        <v>81500</v>
      </c>
    </row>
    <row r="4" spans="2:10" ht="15" thickBot="1" x14ac:dyDescent="0.35">
      <c r="B4" s="463"/>
      <c r="C4" s="464" t="s">
        <v>1002</v>
      </c>
      <c r="D4" s="465"/>
      <c r="F4" s="274" t="s">
        <v>1008</v>
      </c>
      <c r="G4" s="451"/>
      <c r="H4" s="275">
        <f>+H2-H3</f>
        <v>31780.710000000006</v>
      </c>
    </row>
    <row r="5" spans="2:10" ht="15" thickBot="1" x14ac:dyDescent="0.35">
      <c r="B5" s="463"/>
      <c r="C5" s="464"/>
      <c r="D5" s="465"/>
    </row>
    <row r="6" spans="2:10" ht="15" thickBot="1" x14ac:dyDescent="0.35">
      <c r="B6" s="463"/>
      <c r="C6" s="465" t="s">
        <v>1005</v>
      </c>
      <c r="D6" s="465"/>
      <c r="F6" s="459"/>
      <c r="G6" s="460"/>
      <c r="H6" s="460" t="s">
        <v>1012</v>
      </c>
      <c r="I6" s="460" t="s">
        <v>1010</v>
      </c>
      <c r="J6" s="461" t="s">
        <v>1012</v>
      </c>
    </row>
    <row r="7" spans="2:10" ht="15" thickBot="1" x14ac:dyDescent="0.35">
      <c r="B7" s="463"/>
      <c r="C7" s="465" t="s">
        <v>1006</v>
      </c>
      <c r="D7" s="465"/>
      <c r="F7" s="271" t="s">
        <v>1009</v>
      </c>
      <c r="H7">
        <v>24500</v>
      </c>
      <c r="I7" s="458">
        <v>43280</v>
      </c>
      <c r="J7" s="272" t="s">
        <v>1014</v>
      </c>
    </row>
    <row r="8" spans="2:10" x14ac:dyDescent="0.3">
      <c r="B8" s="463"/>
      <c r="C8" s="465"/>
      <c r="D8" s="465"/>
      <c r="F8" s="271" t="s">
        <v>1011</v>
      </c>
      <c r="H8">
        <v>37000</v>
      </c>
      <c r="I8" s="456">
        <v>43433</v>
      </c>
      <c r="J8" s="272" t="s">
        <v>1014</v>
      </c>
    </row>
    <row r="9" spans="2:10" ht="28.8" x14ac:dyDescent="0.3">
      <c r="B9" s="463">
        <v>1</v>
      </c>
      <c r="C9" s="465" t="s">
        <v>1003</v>
      </c>
      <c r="D9" s="465" t="s">
        <v>1068</v>
      </c>
      <c r="F9" s="271" t="s">
        <v>1013</v>
      </c>
      <c r="H9">
        <v>20000</v>
      </c>
      <c r="I9" s="456">
        <v>43475</v>
      </c>
      <c r="J9" s="272" t="s">
        <v>1015</v>
      </c>
    </row>
    <row r="10" spans="2:10" ht="43.8" thickBot="1" x14ac:dyDescent="0.35">
      <c r="B10" s="463">
        <f>+B9+1</f>
        <v>2</v>
      </c>
      <c r="C10" s="510" t="s">
        <v>1067</v>
      </c>
      <c r="D10" s="465" t="s">
        <v>1004</v>
      </c>
      <c r="F10" s="274"/>
      <c r="G10" s="451"/>
      <c r="H10" s="451">
        <f>SUM(H7:H9)</f>
        <v>81500</v>
      </c>
      <c r="I10" s="451"/>
      <c r="J10" s="275"/>
    </row>
    <row r="11" spans="2:10" ht="86.4" x14ac:dyDescent="0.3">
      <c r="B11" s="463">
        <f t="shared" ref="B11:B16" si="0">+B10+1</f>
        <v>3</v>
      </c>
      <c r="C11" s="465" t="s">
        <v>1016</v>
      </c>
      <c r="D11" s="465" t="s">
        <v>1069</v>
      </c>
    </row>
    <row r="12" spans="2:10" ht="158.4" x14ac:dyDescent="0.3">
      <c r="B12" s="463">
        <f t="shared" si="0"/>
        <v>4</v>
      </c>
      <c r="C12" s="465" t="s">
        <v>1017</v>
      </c>
      <c r="D12" s="465" t="s">
        <v>1019</v>
      </c>
    </row>
    <row r="13" spans="2:10" ht="100.8" x14ac:dyDescent="0.3">
      <c r="B13" s="463">
        <f t="shared" si="0"/>
        <v>5</v>
      </c>
      <c r="C13" s="465" t="s">
        <v>1018</v>
      </c>
      <c r="D13" s="465" t="s">
        <v>1070</v>
      </c>
    </row>
    <row r="14" spans="2:10" x14ac:dyDescent="0.3">
      <c r="B14" s="463">
        <f t="shared" si="0"/>
        <v>6</v>
      </c>
      <c r="C14" s="465" t="s">
        <v>1020</v>
      </c>
      <c r="D14" s="465" t="s">
        <v>1025</v>
      </c>
    </row>
    <row r="15" spans="2:10" x14ac:dyDescent="0.3">
      <c r="B15" s="463">
        <f t="shared" si="0"/>
        <v>7</v>
      </c>
      <c r="C15" s="465" t="s">
        <v>1021</v>
      </c>
      <c r="D15" s="465" t="s">
        <v>1024</v>
      </c>
    </row>
    <row r="16" spans="2:10" ht="288" x14ac:dyDescent="0.3">
      <c r="B16" s="463">
        <f t="shared" si="0"/>
        <v>8</v>
      </c>
      <c r="C16" s="465" t="s">
        <v>1022</v>
      </c>
      <c r="D16" s="465" t="s">
        <v>1023</v>
      </c>
    </row>
    <row r="27" spans="3:4" customFormat="1" ht="43.2" x14ac:dyDescent="0.3">
      <c r="C27" s="465" t="s">
        <v>1067</v>
      </c>
      <c r="D27" s="465" t="s">
        <v>1004</v>
      </c>
    </row>
    <row r="29" spans="3:4" customFormat="1" ht="288" x14ac:dyDescent="0.3">
      <c r="C29" s="465" t="s">
        <v>1022</v>
      </c>
      <c r="D29" s="454"/>
    </row>
  </sheetData>
  <printOptions horizontalCentered="1" verticalCentered="1" gridLines="1"/>
  <pageMargins left="0" right="0" top="0" bottom="0" header="0" footer="0"/>
  <pageSetup paperSize="9" scale="62"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
  <sheetViews>
    <sheetView workbookViewId="0">
      <selection activeCell="D11" sqref="D11:D21"/>
    </sheetView>
  </sheetViews>
  <sheetFormatPr defaultRowHeight="14.4" x14ac:dyDescent="0.3"/>
  <cols>
    <col min="1" max="1" width="2.109375" customWidth="1"/>
    <col min="2" max="2" width="3.88671875" style="455" customWidth="1"/>
    <col min="3" max="3" width="97" style="454" customWidth="1"/>
    <col min="4" max="4" width="79" style="454" customWidth="1"/>
    <col min="5" max="5" width="2.33203125" customWidth="1"/>
  </cols>
  <sheetData>
    <row r="2" spans="2:4" x14ac:dyDescent="0.3">
      <c r="B2" s="463"/>
      <c r="C2" s="464" t="s">
        <v>91</v>
      </c>
      <c r="D2" s="465"/>
    </row>
    <row r="3" spans="2:4" x14ac:dyDescent="0.3">
      <c r="B3" s="463"/>
      <c r="C3" s="464" t="s">
        <v>1002</v>
      </c>
      <c r="D3" s="465"/>
    </row>
    <row r="4" spans="2:4" x14ac:dyDescent="0.3">
      <c r="B4" s="463"/>
      <c r="C4" s="464"/>
      <c r="D4" s="465"/>
    </row>
    <row r="5" spans="2:4" x14ac:dyDescent="0.3">
      <c r="B5" s="463"/>
      <c r="C5" s="465" t="s">
        <v>1005</v>
      </c>
      <c r="D5" s="465"/>
    </row>
    <row r="6" spans="2:4" x14ac:dyDescent="0.3">
      <c r="B6" s="463"/>
      <c r="C6" s="465" t="s">
        <v>1006</v>
      </c>
      <c r="D6" s="465"/>
    </row>
    <row r="7" spans="2:4" x14ac:dyDescent="0.3">
      <c r="B7" s="463"/>
      <c r="C7" s="465"/>
      <c r="D7" s="465"/>
    </row>
    <row r="8" spans="2:4" ht="28.8" x14ac:dyDescent="0.3">
      <c r="B8" s="463">
        <v>1</v>
      </c>
      <c r="C8" s="465" t="s">
        <v>1003</v>
      </c>
      <c r="D8" s="465" t="s">
        <v>1068</v>
      </c>
    </row>
    <row r="9" spans="2:4" ht="158.4" x14ac:dyDescent="0.3">
      <c r="B9" s="463">
        <f>+B8+1</f>
        <v>2</v>
      </c>
      <c r="C9" s="465" t="s">
        <v>1017</v>
      </c>
      <c r="D9" s="465" t="s">
        <v>1019</v>
      </c>
    </row>
    <row r="10" spans="2:4" ht="100.8" x14ac:dyDescent="0.3">
      <c r="B10" s="463">
        <f>+B9+1</f>
        <v>3</v>
      </c>
      <c r="C10" s="465" t="s">
        <v>1018</v>
      </c>
      <c r="D10" s="465" t="s">
        <v>1070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election activeCell="D11" sqref="D11:D21"/>
    </sheetView>
  </sheetViews>
  <sheetFormatPr defaultRowHeight="14.4" x14ac:dyDescent="0.3"/>
  <cols>
    <col min="2" max="2" width="91.33203125" customWidth="1"/>
  </cols>
  <sheetData>
    <row r="3" spans="1:2" ht="43.2" x14ac:dyDescent="0.3">
      <c r="A3">
        <v>1</v>
      </c>
      <c r="B3" s="510" t="s">
        <v>1067</v>
      </c>
    </row>
    <row r="5" spans="1:2" x14ac:dyDescent="0.3">
      <c r="A5">
        <v>2</v>
      </c>
      <c r="B5" t="s">
        <v>1073</v>
      </c>
    </row>
    <row r="7" spans="1:2" x14ac:dyDescent="0.3">
      <c r="A7">
        <v>3</v>
      </c>
      <c r="B7" s="465" t="s">
        <v>1020</v>
      </c>
    </row>
    <row r="9" spans="1:2" ht="302.39999999999998" x14ac:dyDescent="0.3">
      <c r="B9" s="465" t="s">
        <v>1022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75"/>
  <sheetViews>
    <sheetView workbookViewId="0">
      <selection activeCell="D11" sqref="D11:D21"/>
    </sheetView>
  </sheetViews>
  <sheetFormatPr defaultColWidth="9.109375" defaultRowHeight="14.4" x14ac:dyDescent="0.3"/>
  <cols>
    <col min="2" max="2" width="61.109375" customWidth="1"/>
    <col min="3" max="3" width="15" customWidth="1"/>
    <col min="4" max="4" width="27" customWidth="1"/>
    <col min="5" max="5" width="27.33203125" customWidth="1"/>
  </cols>
  <sheetData>
    <row r="3" spans="1:2" ht="57.6" x14ac:dyDescent="0.3">
      <c r="A3">
        <v>1</v>
      </c>
      <c r="B3" s="465" t="s">
        <v>1067</v>
      </c>
    </row>
    <row r="5" spans="1:2" x14ac:dyDescent="0.3">
      <c r="A5">
        <v>2</v>
      </c>
      <c r="B5" t="s">
        <v>1073</v>
      </c>
    </row>
    <row r="7" spans="1:2" ht="28.8" x14ac:dyDescent="0.3">
      <c r="A7">
        <v>3</v>
      </c>
      <c r="B7" s="465" t="s">
        <v>1020</v>
      </c>
    </row>
    <row r="9" spans="1:2" ht="409.6" x14ac:dyDescent="0.3">
      <c r="B9" s="465" t="s">
        <v>1022</v>
      </c>
    </row>
    <row r="26" spans="2:3" x14ac:dyDescent="0.3">
      <c r="B26" s="537"/>
    </row>
    <row r="27" spans="2:3" ht="57.6" x14ac:dyDescent="0.3">
      <c r="B27" s="538" t="s">
        <v>1101</v>
      </c>
      <c r="C27" s="233" t="s">
        <v>1102</v>
      </c>
    </row>
    <row r="28" spans="2:3" ht="72" x14ac:dyDescent="0.3">
      <c r="B28" s="538" t="s">
        <v>1103</v>
      </c>
      <c r="C28" s="233" t="s">
        <v>1104</v>
      </c>
    </row>
    <row r="29" spans="2:3" ht="28.8" x14ac:dyDescent="0.3">
      <c r="B29" s="538" t="s">
        <v>1105</v>
      </c>
      <c r="C29" s="233" t="s">
        <v>1102</v>
      </c>
    </row>
    <row r="30" spans="2:3" ht="43.2" x14ac:dyDescent="0.3">
      <c r="B30" s="538" t="s">
        <v>1106</v>
      </c>
      <c r="C30" s="233" t="s">
        <v>1102</v>
      </c>
    </row>
    <row r="31" spans="2:3" ht="28.8" x14ac:dyDescent="0.3">
      <c r="B31" s="538" t="s">
        <v>1107</v>
      </c>
      <c r="C31" s="233" t="s">
        <v>1102</v>
      </c>
    </row>
    <row r="32" spans="2:3" ht="43.2" x14ac:dyDescent="0.3">
      <c r="B32" s="538" t="s">
        <v>1108</v>
      </c>
      <c r="C32" s="233" t="s">
        <v>1104</v>
      </c>
    </row>
    <row r="33" spans="1:5" ht="28.8" x14ac:dyDescent="0.3">
      <c r="B33" s="465" t="s">
        <v>1109</v>
      </c>
      <c r="C33" s="233" t="s">
        <v>1102</v>
      </c>
    </row>
    <row r="34" spans="1:5" ht="72" x14ac:dyDescent="0.3">
      <c r="B34" s="539" t="s">
        <v>1110</v>
      </c>
      <c r="C34" s="233" t="s">
        <v>1102</v>
      </c>
    </row>
    <row r="35" spans="1:5" ht="57.6" x14ac:dyDescent="0.3">
      <c r="B35" s="539" t="s">
        <v>1111</v>
      </c>
      <c r="C35" s="233" t="s">
        <v>1112</v>
      </c>
    </row>
    <row r="36" spans="1:5" ht="57.6" x14ac:dyDescent="0.3">
      <c r="B36" s="539" t="s">
        <v>1113</v>
      </c>
      <c r="C36" s="233" t="s">
        <v>1114</v>
      </c>
    </row>
    <row r="37" spans="1:5" x14ac:dyDescent="0.3">
      <c r="B37" s="537"/>
    </row>
    <row r="38" spans="1:5" x14ac:dyDescent="0.3">
      <c r="B38" s="537"/>
    </row>
    <row r="39" spans="1:5" x14ac:dyDescent="0.3">
      <c r="B39" s="537"/>
    </row>
    <row r="40" spans="1:5" ht="15" thickBot="1" x14ac:dyDescent="0.35"/>
    <row r="41" spans="1:5" ht="15" thickBot="1" x14ac:dyDescent="0.35">
      <c r="E41" s="564" t="s">
        <v>1115</v>
      </c>
    </row>
    <row r="42" spans="1:5" ht="46.2" thickBot="1" x14ac:dyDescent="0.35">
      <c r="A42" s="540"/>
      <c r="B42" s="327" t="s">
        <v>877</v>
      </c>
      <c r="C42" s="563" t="s">
        <v>1116</v>
      </c>
      <c r="D42" s="327" t="s">
        <v>883</v>
      </c>
      <c r="E42" s="556" t="s">
        <v>1074</v>
      </c>
    </row>
    <row r="43" spans="1:5" ht="52.8" x14ac:dyDescent="0.3">
      <c r="A43" s="541">
        <v>1</v>
      </c>
      <c r="B43" s="543" t="s">
        <v>94</v>
      </c>
      <c r="C43" s="549">
        <v>4.7753505755834373</v>
      </c>
      <c r="D43" s="557" t="s">
        <v>917</v>
      </c>
      <c r="E43" s="557" t="s">
        <v>1077</v>
      </c>
    </row>
    <row r="44" spans="1:5" ht="26.4" x14ac:dyDescent="0.3">
      <c r="A44" s="34"/>
      <c r="B44" s="35"/>
      <c r="C44" s="550">
        <v>12.750658637999999</v>
      </c>
      <c r="D44" s="36" t="s">
        <v>933</v>
      </c>
      <c r="E44" s="36" t="s">
        <v>1089</v>
      </c>
    </row>
    <row r="45" spans="1:5" ht="79.8" thickBot="1" x14ac:dyDescent="0.35">
      <c r="A45" s="542"/>
      <c r="B45" s="544"/>
      <c r="C45" s="551">
        <v>0.31282094400000005</v>
      </c>
      <c r="D45" s="558" t="s">
        <v>342</v>
      </c>
      <c r="E45" s="558" t="s">
        <v>1096</v>
      </c>
    </row>
    <row r="46" spans="1:5" ht="52.8" x14ac:dyDescent="0.3">
      <c r="A46" s="541">
        <f>+A43+1</f>
        <v>2</v>
      </c>
      <c r="B46" s="543" t="s">
        <v>72</v>
      </c>
      <c r="C46" s="549">
        <v>13.28130145325</v>
      </c>
      <c r="D46" s="557" t="s">
        <v>903</v>
      </c>
      <c r="E46" s="557" t="s">
        <v>1089</v>
      </c>
    </row>
    <row r="47" spans="1:5" ht="27" thickBot="1" x14ac:dyDescent="0.35">
      <c r="A47" s="542"/>
      <c r="B47" s="544"/>
      <c r="C47" s="551">
        <v>37.450402736243035</v>
      </c>
      <c r="D47" s="558" t="s">
        <v>942</v>
      </c>
      <c r="E47" s="558" t="s">
        <v>1089</v>
      </c>
    </row>
    <row r="48" spans="1:5" ht="66" x14ac:dyDescent="0.3">
      <c r="A48" s="541">
        <f>+A46+1</f>
        <v>3</v>
      </c>
      <c r="B48" s="543" t="s">
        <v>229</v>
      </c>
      <c r="C48" s="549">
        <v>0.55450995325000008</v>
      </c>
      <c r="D48" s="557" t="s">
        <v>903</v>
      </c>
      <c r="E48" s="557" t="s">
        <v>1095</v>
      </c>
    </row>
    <row r="49" spans="1:5" ht="27" thickBot="1" x14ac:dyDescent="0.35">
      <c r="A49" s="542"/>
      <c r="B49" s="544"/>
      <c r="C49" s="551">
        <v>0.68524226100000007</v>
      </c>
      <c r="D49" s="558" t="s">
        <v>912</v>
      </c>
      <c r="E49" s="558" t="s">
        <v>1095</v>
      </c>
    </row>
    <row r="50" spans="1:5" ht="66" x14ac:dyDescent="0.3">
      <c r="A50" s="541">
        <f>+A48+1</f>
        <v>4</v>
      </c>
      <c r="B50" s="543" t="s">
        <v>98</v>
      </c>
      <c r="C50" s="549">
        <v>33.882187434000002</v>
      </c>
      <c r="D50" s="557" t="s">
        <v>356</v>
      </c>
      <c r="E50" s="535" t="s">
        <v>1118</v>
      </c>
    </row>
    <row r="51" spans="1:5" ht="79.8" thickBot="1" x14ac:dyDescent="0.35">
      <c r="A51" s="542"/>
      <c r="B51" s="544"/>
      <c r="C51" s="551">
        <v>4.6884383280000002</v>
      </c>
      <c r="D51" s="558" t="s">
        <v>929</v>
      </c>
      <c r="E51" s="558" t="s">
        <v>1096</v>
      </c>
    </row>
    <row r="52" spans="1:5" ht="66.599999999999994" thickBot="1" x14ac:dyDescent="0.35">
      <c r="A52" s="513">
        <f>+A50+1</f>
        <v>5</v>
      </c>
      <c r="B52" s="545" t="s">
        <v>102</v>
      </c>
      <c r="C52" s="552">
        <v>0.56499999999999995</v>
      </c>
      <c r="D52" s="559" t="s">
        <v>962</v>
      </c>
      <c r="E52" s="559" t="s">
        <v>1091</v>
      </c>
    </row>
    <row r="53" spans="1:5" ht="15" thickBot="1" x14ac:dyDescent="0.35">
      <c r="A53" s="513">
        <f t="shared" ref="A53:A73" si="0">+A52+1</f>
        <v>6</v>
      </c>
      <c r="B53" s="545" t="s">
        <v>114</v>
      </c>
      <c r="C53" s="552">
        <v>76.611737577187512</v>
      </c>
      <c r="D53" s="559" t="s">
        <v>942</v>
      </c>
      <c r="E53" s="559"/>
    </row>
    <row r="54" spans="1:5" ht="66.599999999999994" thickBot="1" x14ac:dyDescent="0.35">
      <c r="A54" s="518">
        <f t="shared" si="0"/>
        <v>7</v>
      </c>
      <c r="B54" s="546" t="s">
        <v>230</v>
      </c>
      <c r="C54" s="553">
        <v>7.3454913495462488</v>
      </c>
      <c r="D54" s="560" t="s">
        <v>924</v>
      </c>
      <c r="E54" s="560" t="s">
        <v>1095</v>
      </c>
    </row>
    <row r="55" spans="1:5" ht="15" thickBot="1" x14ac:dyDescent="0.35">
      <c r="A55" s="518">
        <f t="shared" si="0"/>
        <v>8</v>
      </c>
      <c r="B55" s="546" t="s">
        <v>107</v>
      </c>
      <c r="C55" s="553">
        <v>11.367780538408438</v>
      </c>
      <c r="D55" s="560" t="s">
        <v>949</v>
      </c>
      <c r="E55" s="560"/>
    </row>
    <row r="56" spans="1:5" ht="40.200000000000003" thickBot="1" x14ac:dyDescent="0.35">
      <c r="A56" s="518">
        <f t="shared" si="0"/>
        <v>9</v>
      </c>
      <c r="B56" s="546" t="s">
        <v>75</v>
      </c>
      <c r="C56" s="553">
        <v>2.0943627074999998</v>
      </c>
      <c r="D56" s="560" t="s">
        <v>937</v>
      </c>
      <c r="E56" s="560" t="s">
        <v>1079</v>
      </c>
    </row>
    <row r="57" spans="1:5" ht="132.6" thickBot="1" x14ac:dyDescent="0.35">
      <c r="A57" s="518">
        <f t="shared" si="0"/>
        <v>10</v>
      </c>
      <c r="B57" s="546" t="s">
        <v>82</v>
      </c>
      <c r="C57" s="553">
        <v>14.617734589751599</v>
      </c>
      <c r="D57" s="560" t="s">
        <v>921</v>
      </c>
      <c r="E57" s="566" t="s">
        <v>1119</v>
      </c>
    </row>
    <row r="58" spans="1:5" ht="66.599999999999994" thickBot="1" x14ac:dyDescent="0.35">
      <c r="A58" s="518">
        <f t="shared" si="0"/>
        <v>11</v>
      </c>
      <c r="B58" s="546" t="s">
        <v>83</v>
      </c>
      <c r="C58" s="553">
        <v>0.34639999999999999</v>
      </c>
      <c r="D58" s="560" t="s">
        <v>953</v>
      </c>
      <c r="E58" s="560" t="s">
        <v>1080</v>
      </c>
    </row>
    <row r="59" spans="1:5" ht="52.8" x14ac:dyDescent="0.3">
      <c r="A59" s="536">
        <f t="shared" si="0"/>
        <v>12</v>
      </c>
      <c r="B59" s="547" t="s">
        <v>84</v>
      </c>
      <c r="C59" s="554">
        <v>2.7206040632699997</v>
      </c>
      <c r="D59" s="561" t="s">
        <v>342</v>
      </c>
      <c r="E59" s="561" t="s">
        <v>1090</v>
      </c>
    </row>
    <row r="60" spans="1:5" ht="53.4" thickBot="1" x14ac:dyDescent="0.35">
      <c r="A60" s="542"/>
      <c r="B60" s="544"/>
      <c r="C60" s="551">
        <v>3.0516399999999999</v>
      </c>
      <c r="D60" s="558" t="s">
        <v>957</v>
      </c>
      <c r="E60" s="558" t="s">
        <v>1090</v>
      </c>
    </row>
    <row r="61" spans="1:5" ht="40.200000000000003" thickBot="1" x14ac:dyDescent="0.35">
      <c r="A61" s="518">
        <f>+A59+1</f>
        <v>13</v>
      </c>
      <c r="B61" s="546" t="s">
        <v>85</v>
      </c>
      <c r="C61" s="553">
        <v>2.6352329999999999</v>
      </c>
      <c r="D61" s="560" t="s">
        <v>983</v>
      </c>
      <c r="E61" s="560" t="s">
        <v>1081</v>
      </c>
    </row>
    <row r="62" spans="1:5" ht="39.6" x14ac:dyDescent="0.3">
      <c r="A62" s="536">
        <f t="shared" si="0"/>
        <v>14</v>
      </c>
      <c r="B62" s="547" t="s">
        <v>77</v>
      </c>
      <c r="C62" s="554">
        <v>0.87562422500000003</v>
      </c>
      <c r="D62" s="561" t="s">
        <v>483</v>
      </c>
      <c r="E62" s="561" t="s">
        <v>1093</v>
      </c>
    </row>
    <row r="63" spans="1:5" ht="39.6" x14ac:dyDescent="0.3">
      <c r="A63" s="34"/>
      <c r="B63" s="35"/>
      <c r="C63" s="550">
        <v>2.5114397999999998</v>
      </c>
      <c r="D63" s="36" t="s">
        <v>980</v>
      </c>
      <c r="E63" s="36" t="s">
        <v>1093</v>
      </c>
    </row>
    <row r="64" spans="1:5" ht="52.8" x14ac:dyDescent="0.3">
      <c r="A64" s="34"/>
      <c r="B64" s="35"/>
      <c r="C64" s="550">
        <v>0.65716019999999997</v>
      </c>
      <c r="D64" s="36" t="s">
        <v>980</v>
      </c>
      <c r="E64" s="36" t="s">
        <v>1078</v>
      </c>
    </row>
    <row r="65" spans="1:5" ht="27" thickBot="1" x14ac:dyDescent="0.35">
      <c r="A65" s="542"/>
      <c r="B65" s="544"/>
      <c r="C65" s="551">
        <v>0.80019899999999999</v>
      </c>
      <c r="D65" s="558" t="s">
        <v>979</v>
      </c>
      <c r="E65" s="558" t="s">
        <v>1082</v>
      </c>
    </row>
    <row r="66" spans="1:5" ht="53.4" thickBot="1" x14ac:dyDescent="0.35">
      <c r="A66" s="518">
        <f>+A62+1</f>
        <v>15</v>
      </c>
      <c r="B66" s="546" t="s">
        <v>86</v>
      </c>
      <c r="C66" s="553">
        <v>3.4850150000000002</v>
      </c>
      <c r="D66" s="560" t="s">
        <v>958</v>
      </c>
      <c r="E66" s="560" t="s">
        <v>1094</v>
      </c>
    </row>
    <row r="67" spans="1:5" ht="66.599999999999994" thickBot="1" x14ac:dyDescent="0.35">
      <c r="A67" s="518">
        <f t="shared" si="0"/>
        <v>16</v>
      </c>
      <c r="B67" s="546" t="s">
        <v>233</v>
      </c>
      <c r="C67" s="553">
        <v>0.86995149999999999</v>
      </c>
      <c r="D67" s="560" t="s">
        <v>958</v>
      </c>
      <c r="E67" s="560" t="s">
        <v>1097</v>
      </c>
    </row>
    <row r="68" spans="1:5" ht="40.200000000000003" thickBot="1" x14ac:dyDescent="0.35">
      <c r="A68" s="518">
        <f t="shared" si="0"/>
        <v>17</v>
      </c>
      <c r="B68" s="546" t="s">
        <v>234</v>
      </c>
      <c r="C68" s="553">
        <v>15.54246</v>
      </c>
      <c r="D68" s="560" t="s">
        <v>974</v>
      </c>
      <c r="E68" s="560" t="s">
        <v>1083</v>
      </c>
    </row>
    <row r="69" spans="1:5" ht="53.4" thickBot="1" x14ac:dyDescent="0.35">
      <c r="A69" s="518">
        <f>+A68+1</f>
        <v>18</v>
      </c>
      <c r="B69" s="546" t="s">
        <v>79</v>
      </c>
      <c r="C69" s="553">
        <v>0.76500000000000001</v>
      </c>
      <c r="D69" s="560" t="s">
        <v>972</v>
      </c>
      <c r="E69" s="560" t="s">
        <v>1084</v>
      </c>
    </row>
    <row r="70" spans="1:5" ht="53.4" thickBot="1" x14ac:dyDescent="0.35">
      <c r="A70" s="518">
        <f t="shared" si="0"/>
        <v>19</v>
      </c>
      <c r="B70" s="546" t="s">
        <v>81</v>
      </c>
      <c r="C70" s="553">
        <v>1.4206000000000001</v>
      </c>
      <c r="D70" s="560" t="s">
        <v>968</v>
      </c>
      <c r="E70" s="560" t="s">
        <v>1087</v>
      </c>
    </row>
    <row r="71" spans="1:5" ht="27" thickBot="1" x14ac:dyDescent="0.35">
      <c r="A71" s="518">
        <f t="shared" si="0"/>
        <v>20</v>
      </c>
      <c r="B71" s="546" t="s">
        <v>76</v>
      </c>
      <c r="C71" s="553">
        <v>2.0758333360000001</v>
      </c>
      <c r="D71" s="560" t="s">
        <v>985</v>
      </c>
      <c r="E71" s="560" t="s">
        <v>1085</v>
      </c>
    </row>
    <row r="72" spans="1:5" ht="40.200000000000003" thickBot="1" x14ac:dyDescent="0.35">
      <c r="A72" s="518">
        <f t="shared" si="0"/>
        <v>21</v>
      </c>
      <c r="B72" s="546" t="s">
        <v>78</v>
      </c>
      <c r="C72" s="553">
        <v>5.0283081999999997</v>
      </c>
      <c r="D72" s="560" t="s">
        <v>969</v>
      </c>
      <c r="E72" s="560" t="s">
        <v>1086</v>
      </c>
    </row>
    <row r="73" spans="1:5" ht="40.200000000000003" thickBot="1" x14ac:dyDescent="0.35">
      <c r="A73" s="518">
        <f t="shared" si="0"/>
        <v>22</v>
      </c>
      <c r="B73" s="546" t="s">
        <v>80</v>
      </c>
      <c r="C73" s="553">
        <v>1.127</v>
      </c>
      <c r="D73" s="560" t="s">
        <v>963</v>
      </c>
      <c r="E73" s="560" t="s">
        <v>1088</v>
      </c>
    </row>
    <row r="74" spans="1:5" ht="15" thickBot="1" x14ac:dyDescent="0.35">
      <c r="A74" s="42"/>
      <c r="B74" s="548" t="s">
        <v>1117</v>
      </c>
      <c r="C74" s="555">
        <f>SUM(C42:C73)</f>
        <v>264.89548740999027</v>
      </c>
      <c r="D74" s="565"/>
      <c r="E74" s="562"/>
    </row>
    <row r="75" spans="1:5" x14ac:dyDescent="0.3">
      <c r="D75" s="32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2"/>
  <sheetViews>
    <sheetView topLeftCell="C1" zoomScale="96" zoomScaleNormal="96" workbookViewId="0">
      <pane xSplit="12216" ySplit="2832" topLeftCell="AE1" activePane="bottomRight"/>
      <selection activeCell="E4" sqref="E4"/>
      <selection pane="topRight" activeCell="P1" sqref="P1:Z1048576"/>
      <selection pane="bottomLeft" activeCell="E4" sqref="E4"/>
      <selection pane="bottomRight" activeCell="AK3" sqref="AK3"/>
    </sheetView>
  </sheetViews>
  <sheetFormatPr defaultColWidth="9.109375" defaultRowHeight="13.2" x14ac:dyDescent="0.3"/>
  <cols>
    <col min="1" max="1" width="5.44140625" style="7" customWidth="1"/>
    <col min="2" max="2" width="33.33203125" style="8" customWidth="1"/>
    <col min="3" max="3" width="7.5546875" style="10" customWidth="1"/>
    <col min="4" max="4" width="15.44140625" style="434" customWidth="1"/>
    <col min="5" max="5" width="37.109375" style="14" bestFit="1" customWidth="1"/>
    <col min="6" max="6" width="7.5546875" style="12" bestFit="1" customWidth="1"/>
    <col min="7" max="7" width="14.5546875" style="422" customWidth="1"/>
    <col min="8" max="8" width="13.109375" style="15" customWidth="1"/>
    <col min="9" max="9" width="11.5546875" style="15" customWidth="1"/>
    <col min="10" max="10" width="17.44140625" style="13" customWidth="1"/>
    <col min="11" max="11" width="16" style="12" bestFit="1" customWidth="1"/>
    <col min="12" max="12" width="13.33203125" style="13" bestFit="1" customWidth="1"/>
    <col min="13" max="13" width="4" style="13" customWidth="1"/>
    <col min="14" max="14" width="22.88671875" style="13" customWidth="1"/>
    <col min="15" max="15" width="4" style="13" customWidth="1"/>
    <col min="16" max="16" width="14" style="17" hidden="1" customWidth="1"/>
    <col min="17" max="19" width="9.109375" style="13" hidden="1" customWidth="1"/>
    <col min="20" max="21" width="13.6640625" style="17" hidden="1" customWidth="1"/>
    <col min="22" max="22" width="13.5546875" style="17" hidden="1" customWidth="1"/>
    <col min="23" max="23" width="3" style="13" hidden="1" customWidth="1"/>
    <col min="24" max="24" width="14.33203125" style="17" hidden="1" customWidth="1"/>
    <col min="25" max="25" width="2.109375" style="13" hidden="1" customWidth="1"/>
    <col min="26" max="26" width="15.5546875" style="17" hidden="1" customWidth="1"/>
    <col min="27" max="27" width="3" style="13" customWidth="1"/>
    <col min="28" max="28" width="14" style="17" customWidth="1"/>
    <col min="29" max="29" width="2.88671875" style="17" customWidth="1"/>
    <col min="30" max="30" width="14.109375" style="17" customWidth="1"/>
    <col min="31" max="31" width="13.33203125" style="13" bestFit="1" customWidth="1"/>
    <col min="32" max="16384" width="9.109375" style="13"/>
  </cols>
  <sheetData>
    <row r="1" spans="1:32" ht="13.8" thickBot="1" x14ac:dyDescent="0.35">
      <c r="B1" s="18" t="s">
        <v>91</v>
      </c>
      <c r="T1" s="471" t="s">
        <v>1030</v>
      </c>
    </row>
    <row r="2" spans="1:32" ht="15.9" customHeight="1" thickBot="1" x14ac:dyDescent="0.35">
      <c r="N2" s="512" t="s">
        <v>1075</v>
      </c>
      <c r="X2" s="1437" t="s">
        <v>1031</v>
      </c>
      <c r="Y2" s="1438"/>
      <c r="Z2" s="1439"/>
      <c r="AB2" s="1440" t="s">
        <v>1032</v>
      </c>
      <c r="AC2" s="1441"/>
      <c r="AD2" s="1442"/>
    </row>
    <row r="3" spans="1:32" ht="79.8" thickBot="1" x14ac:dyDescent="0.35">
      <c r="A3" s="191" t="s">
        <v>1076</v>
      </c>
      <c r="B3" s="327" t="s">
        <v>877</v>
      </c>
      <c r="C3" s="328" t="s">
        <v>878</v>
      </c>
      <c r="D3" s="435" t="s">
        <v>879</v>
      </c>
      <c r="E3" s="327" t="s">
        <v>880</v>
      </c>
      <c r="F3" s="329" t="s">
        <v>881</v>
      </c>
      <c r="G3" s="423" t="s">
        <v>882</v>
      </c>
      <c r="H3" s="327" t="s">
        <v>883</v>
      </c>
      <c r="I3" s="329" t="s">
        <v>884</v>
      </c>
      <c r="J3" s="329" t="s">
        <v>965</v>
      </c>
      <c r="K3" s="329" t="s">
        <v>885</v>
      </c>
      <c r="L3" s="329" t="s">
        <v>886</v>
      </c>
      <c r="M3" s="440"/>
      <c r="N3" s="511" t="s">
        <v>1074</v>
      </c>
      <c r="O3" s="440"/>
      <c r="P3" s="443" t="s">
        <v>996</v>
      </c>
      <c r="Q3" s="348" t="s">
        <v>900</v>
      </c>
      <c r="R3" s="348" t="s">
        <v>901</v>
      </c>
      <c r="T3" s="467" t="s">
        <v>1026</v>
      </c>
      <c r="U3" s="466" t="s">
        <v>1027</v>
      </c>
      <c r="V3" s="466" t="s">
        <v>1028</v>
      </c>
      <c r="X3" s="473" t="s">
        <v>1029</v>
      </c>
      <c r="Z3" s="473" t="s">
        <v>1071</v>
      </c>
      <c r="AB3" s="473" t="s">
        <v>1029</v>
      </c>
      <c r="AD3" s="473" t="s">
        <v>1071</v>
      </c>
    </row>
    <row r="4" spans="1:32" s="17" customFormat="1" ht="13.8" thickBot="1" x14ac:dyDescent="0.35">
      <c r="A4" s="130">
        <v>1</v>
      </c>
      <c r="B4" s="131">
        <f>+A4+1</f>
        <v>2</v>
      </c>
      <c r="C4" s="131">
        <v>3</v>
      </c>
      <c r="D4" s="424">
        <v>4</v>
      </c>
      <c r="E4" s="131">
        <v>5</v>
      </c>
      <c r="F4" s="131">
        <f t="shared" ref="F4:L4" si="0">+E4+1</f>
        <v>6</v>
      </c>
      <c r="G4" s="424">
        <f t="shared" si="0"/>
        <v>7</v>
      </c>
      <c r="H4" s="131">
        <f t="shared" si="0"/>
        <v>8</v>
      </c>
      <c r="I4" s="131">
        <f t="shared" si="0"/>
        <v>9</v>
      </c>
      <c r="J4" s="131">
        <f t="shared" si="0"/>
        <v>10</v>
      </c>
      <c r="K4" s="131">
        <f t="shared" si="0"/>
        <v>11</v>
      </c>
      <c r="L4" s="131">
        <f t="shared" si="0"/>
        <v>12</v>
      </c>
      <c r="M4" s="441"/>
      <c r="N4" s="514"/>
      <c r="O4" s="441"/>
    </row>
    <row r="5" spans="1:32" ht="13.8" thickBot="1" x14ac:dyDescent="0.35">
      <c r="A5" s="133"/>
      <c r="B5" s="134"/>
      <c r="C5" s="136"/>
      <c r="D5" s="436"/>
      <c r="E5" s="331"/>
      <c r="F5" s="138"/>
      <c r="G5" s="425"/>
      <c r="H5" s="332"/>
      <c r="I5" s="332"/>
      <c r="J5" s="333"/>
      <c r="K5" s="335"/>
      <c r="L5" s="333"/>
      <c r="N5" s="515"/>
    </row>
    <row r="6" spans="1:32" ht="106.2" thickBot="1" x14ac:dyDescent="0.35">
      <c r="A6" s="34">
        <v>1</v>
      </c>
      <c r="B6" s="35" t="s">
        <v>94</v>
      </c>
      <c r="C6" s="36">
        <f>2</f>
        <v>2</v>
      </c>
      <c r="D6" s="426">
        <f>127500000+67500000</f>
        <v>195000000</v>
      </c>
      <c r="E6" s="35" t="s">
        <v>94</v>
      </c>
      <c r="F6" s="36">
        <v>1</v>
      </c>
      <c r="G6" s="426">
        <f>+'WFL Imported-MC-BE-Rate-value'!AB44+'WFL Imported-MC-BE-Rate-value'!AB45+'WFL Imported-MC-BE-Rate-value'!AB46+'WFL Imported-MC-BE-Rate-value'!O44+('WFL Imported-MC-BE-Rate-value'!K44*'WFL Imported-MC-BE-Rate-value'!M44)</f>
        <v>47753505.755834371</v>
      </c>
      <c r="H6" s="204" t="s">
        <v>917</v>
      </c>
      <c r="I6" s="36" t="s">
        <v>910</v>
      </c>
      <c r="J6" s="36" t="s">
        <v>918</v>
      </c>
      <c r="K6" s="36" t="s">
        <v>920</v>
      </c>
      <c r="L6" s="36" t="s">
        <v>919</v>
      </c>
      <c r="M6" s="442"/>
      <c r="N6" s="513" t="s">
        <v>1077</v>
      </c>
      <c r="O6" s="442"/>
      <c r="P6" s="17">
        <f>+'WFL Imported-MC-BE-Rate-value'!X44+'WFL Imported-MC-BE-Rate-value'!X45</f>
        <v>47753505.852834374</v>
      </c>
      <c r="T6" s="17">
        <v>53000000</v>
      </c>
      <c r="U6" s="17">
        <f>+G6+G7</f>
        <v>175260092.13583437</v>
      </c>
      <c r="V6" s="17">
        <f>+'WFL Imported-MC-BE-Rate-value'!P44+'WFL Imported-MC-BE-Rate-value'!P54</f>
        <v>178225559.66033438</v>
      </c>
      <c r="X6" s="17">
        <f>+T6</f>
        <v>53000000</v>
      </c>
      <c r="Z6" s="17">
        <f>+U6</f>
        <v>175260092.13583437</v>
      </c>
      <c r="AB6" s="17">
        <f>+G6*0</f>
        <v>0</v>
      </c>
      <c r="AD6" s="17">
        <f>+'WFL Imported-MC-BE-Rate-value'!P44*0</f>
        <v>0</v>
      </c>
    </row>
    <row r="7" spans="1:32" ht="53.4" thickBot="1" x14ac:dyDescent="0.35">
      <c r="A7" s="34"/>
      <c r="B7" s="35"/>
      <c r="C7" s="36"/>
      <c r="D7" s="426"/>
      <c r="E7" s="35"/>
      <c r="F7" s="36">
        <v>1</v>
      </c>
      <c r="G7" s="426">
        <f>+'WFL Imported-MC-BE-Rate-value'!AB54+'WFL Imported-MC-BE-Rate-value'!AB55</f>
        <v>127506586.38</v>
      </c>
      <c r="H7" s="204" t="s">
        <v>933</v>
      </c>
      <c r="I7" s="36" t="s">
        <v>910</v>
      </c>
      <c r="J7" s="36" t="s">
        <v>934</v>
      </c>
      <c r="K7" s="36" t="s">
        <v>935</v>
      </c>
      <c r="L7" s="36" t="s">
        <v>936</v>
      </c>
      <c r="M7" s="442"/>
      <c r="N7" s="518" t="s">
        <v>1089</v>
      </c>
      <c r="O7" s="442"/>
      <c r="P7" s="17">
        <f>+'WFL Imported-MC-BE-Rate-value'!X54</f>
        <v>127506586.15000001</v>
      </c>
    </row>
    <row r="8" spans="1:32" ht="79.8" thickBot="1" x14ac:dyDescent="0.35">
      <c r="A8" s="34"/>
      <c r="B8" s="35"/>
      <c r="C8" s="36"/>
      <c r="D8" s="426"/>
      <c r="E8" s="35"/>
      <c r="F8" s="36" t="s">
        <v>928</v>
      </c>
      <c r="G8" s="426">
        <f>+'WFL Imported-MC-BE-Rate-value'!AB5</f>
        <v>3128209.4400000004</v>
      </c>
      <c r="H8" s="204" t="s">
        <v>342</v>
      </c>
      <c r="I8" s="36" t="s">
        <v>910</v>
      </c>
      <c r="J8" s="36" t="s">
        <v>909</v>
      </c>
      <c r="K8" s="36" t="s">
        <v>908</v>
      </c>
      <c r="L8" s="36" t="s">
        <v>888</v>
      </c>
      <c r="M8" s="442"/>
      <c r="N8" s="518" t="s">
        <v>1096</v>
      </c>
      <c r="O8" s="442"/>
      <c r="P8" s="17">
        <f>+'WFL Imported-MC-BE-Rate-value'!AB5</f>
        <v>3128209.4400000004</v>
      </c>
    </row>
    <row r="9" spans="1:32" ht="93" thickBot="1" x14ac:dyDescent="0.35">
      <c r="A9" s="34">
        <f>+A6+1</f>
        <v>2</v>
      </c>
      <c r="B9" s="35" t="s">
        <v>72</v>
      </c>
      <c r="C9" s="36">
        <v>6</v>
      </c>
      <c r="D9" s="426">
        <f>100750000+116090000+178750000+46540000+42770000+149500000</f>
        <v>634400000</v>
      </c>
      <c r="E9" s="35" t="s">
        <v>72</v>
      </c>
      <c r="F9" s="36">
        <v>2</v>
      </c>
      <c r="G9" s="427">
        <f>+'WFL Imported-MC-BE-Rate-value'!AB74+'WFL Imported-MC-BE-Rate-value'!AB76+'WFL Imported-MC-BE-Rate-value'!AB77+'WFL Imported-MC-BE-Rate-value'!X77</f>
        <v>132813014.5325</v>
      </c>
      <c r="H9" s="36" t="s">
        <v>903</v>
      </c>
      <c r="I9" s="36">
        <v>2019</v>
      </c>
      <c r="J9" s="36" t="s">
        <v>904</v>
      </c>
      <c r="K9" s="36" t="s">
        <v>987</v>
      </c>
      <c r="L9" s="36" t="s">
        <v>906</v>
      </c>
      <c r="M9" s="442"/>
      <c r="N9" s="518" t="s">
        <v>1089</v>
      </c>
      <c r="O9" s="442"/>
      <c r="P9" s="17">
        <f>+'WFL Imported-MC-BE-Rate-value'!AB74+'WFL Imported-MC-BE-Rate-value'!AB76+'WFL Imported-MC-BE-Rate-value'!AB77+'WFL Imported-MC-BE-Rate-value'!X77+'WFL Imported-MC-BE-Rate-value'!Y73</f>
        <v>154583245.0325</v>
      </c>
      <c r="T9" s="17">
        <v>344400000</v>
      </c>
      <c r="U9" s="17">
        <f>+G9+G10</f>
        <v>507317041.89493036</v>
      </c>
      <c r="V9" s="469">
        <f>+'WFL Imported-MC-BE-Rate-value'!AE16*'WFL Imported-MC-BE-Rate-value'!M10+'WFL Imported-MC-BE-Rate-value'!P74+'WFL Imported-MC-BE-Rate-value'!P76</f>
        <v>584447090</v>
      </c>
      <c r="X9" s="17">
        <f>+T9</f>
        <v>344400000</v>
      </c>
      <c r="Z9" s="17">
        <f>+U9</f>
        <v>507317041.89493036</v>
      </c>
      <c r="AB9" s="17">
        <f>+X9</f>
        <v>344400000</v>
      </c>
      <c r="AD9" s="532">
        <f>+('WFL Imported-MC-BE-Rate-value'!AE16*'WFL Imported-MC-BE-Rate-value'!M10)*0+G10</f>
        <v>374504027.36243033</v>
      </c>
    </row>
    <row r="10" spans="1:32" ht="66.599999999999994" thickBot="1" x14ac:dyDescent="0.35">
      <c r="A10" s="34"/>
      <c r="B10" s="35"/>
      <c r="C10" s="36"/>
      <c r="D10" s="426"/>
      <c r="E10" s="35"/>
      <c r="F10" s="36">
        <v>4</v>
      </c>
      <c r="G10" s="426">
        <f>+'WFL Imported-MC-BE-Rate-value'!AE18</f>
        <v>374504027.36243033</v>
      </c>
      <c r="H10" s="36" t="s">
        <v>942</v>
      </c>
      <c r="I10" s="36" t="s">
        <v>910</v>
      </c>
      <c r="J10" s="36" t="s">
        <v>943</v>
      </c>
      <c r="K10" s="36" t="s">
        <v>948</v>
      </c>
      <c r="L10" s="36" t="s">
        <v>944</v>
      </c>
      <c r="M10" s="442"/>
      <c r="N10" s="518" t="s">
        <v>1089</v>
      </c>
      <c r="O10" s="442"/>
      <c r="P10" s="444">
        <f>+G10</f>
        <v>374504027.36243033</v>
      </c>
      <c r="AE10" s="13">
        <v>4451.9061300000003</v>
      </c>
      <c r="AF10" s="13">
        <v>4105.51</v>
      </c>
    </row>
    <row r="11" spans="1:32" ht="119.4" thickBot="1" x14ac:dyDescent="0.35">
      <c r="A11" s="34">
        <f>+A9+1</f>
        <v>3</v>
      </c>
      <c r="B11" s="35" t="s">
        <v>229</v>
      </c>
      <c r="C11" s="38"/>
      <c r="D11" s="437">
        <f>48750000+18850000</f>
        <v>67600000</v>
      </c>
      <c r="E11" s="35" t="s">
        <v>97</v>
      </c>
      <c r="F11" s="36" t="s">
        <v>928</v>
      </c>
      <c r="G11" s="427">
        <f>+'WFL Imported-MC-BE-Rate-value'!AB73+'WFL Imported-MC-BE-Rate-value'!AB75+(('WFL Imported-MC-BE-Rate-value'!J73+'WFL Imported-MC-BE-Rate-value'!K73)*'WFL Imported-MC-BE-Rate-value'!M73)+(('WFL Imported-MC-BE-Rate-value'!J75+'WFL Imported-MC-BE-Rate-value'!K75)*'WFL Imported-MC-BE-Rate-value'!M75)</f>
        <v>5545099.5325000007</v>
      </c>
      <c r="H11" s="36" t="s">
        <v>903</v>
      </c>
      <c r="I11" s="36">
        <v>2019</v>
      </c>
      <c r="J11" s="36" t="s">
        <v>905</v>
      </c>
      <c r="K11" s="36" t="s">
        <v>907</v>
      </c>
      <c r="L11" s="36" t="s">
        <v>906</v>
      </c>
      <c r="M11" s="442"/>
      <c r="N11" s="518" t="s">
        <v>1095</v>
      </c>
      <c r="O11" s="442"/>
      <c r="P11" s="17">
        <f>+'WFL Imported-MC-BE-Rate-value'!AB73+'WFL Imported-MC-BE-Rate-value'!AB75+'WFL Imported-MC-BE-Rate-value'!Y75+'WFL Imported-MC-BE-Rate-value'!X79</f>
        <v>7876606.7325000009</v>
      </c>
      <c r="T11" s="17">
        <v>67600000</v>
      </c>
      <c r="U11" s="17">
        <f>+G11+G12</f>
        <v>12397522.142500002</v>
      </c>
      <c r="V11" s="17">
        <f>+'WFL Imported-MC-BE-Rate-value'!P73+'WFL Imported-MC-BE-Rate-value'!P75+'WFL Imported-MC-BE-Rate-value'!P70</f>
        <v>14884098</v>
      </c>
      <c r="X11" s="17">
        <f>+U11</f>
        <v>12397522.142500002</v>
      </c>
      <c r="Z11" s="17">
        <f>+U11</f>
        <v>12397522.142500002</v>
      </c>
      <c r="AB11" s="17">
        <v>0</v>
      </c>
      <c r="AD11" s="17">
        <v>0</v>
      </c>
    </row>
    <row r="12" spans="1:32" ht="79.8" thickBot="1" x14ac:dyDescent="0.35">
      <c r="A12" s="34"/>
      <c r="B12" s="35"/>
      <c r="C12" s="38"/>
      <c r="D12" s="437"/>
      <c r="E12" s="35"/>
      <c r="F12" s="188" t="s">
        <v>928</v>
      </c>
      <c r="G12" s="428">
        <f>+'WFL Imported-MC-BE-Rate-value'!AB70+'WFL Imported-MC-BE-Rate-value'!AB71</f>
        <v>6852422.6100000003</v>
      </c>
      <c r="H12" s="188" t="s">
        <v>912</v>
      </c>
      <c r="I12" s="188" t="s">
        <v>910</v>
      </c>
      <c r="J12" s="36" t="s">
        <v>913</v>
      </c>
      <c r="K12" s="36" t="s">
        <v>914</v>
      </c>
      <c r="L12" s="188" t="s">
        <v>915</v>
      </c>
      <c r="M12" s="442"/>
      <c r="N12" s="518" t="s">
        <v>1095</v>
      </c>
      <c r="O12" s="442"/>
      <c r="P12" s="17">
        <f>+'WFL Imported-MC-BE-Rate-value'!X70</f>
        <v>6852422.6100000003</v>
      </c>
      <c r="Q12" s="14" t="s">
        <v>916</v>
      </c>
    </row>
    <row r="13" spans="1:32" ht="26.4" x14ac:dyDescent="0.3">
      <c r="A13" s="34">
        <f>+A11+1</f>
        <v>4</v>
      </c>
      <c r="B13" s="35" t="s">
        <v>98</v>
      </c>
      <c r="C13" s="38">
        <v>1</v>
      </c>
      <c r="D13" s="437">
        <v>375000000</v>
      </c>
      <c r="E13" s="35" t="s">
        <v>98</v>
      </c>
      <c r="F13" s="1228">
        <v>1</v>
      </c>
      <c r="G13" s="1444">
        <f>SUM('WFL Imported-MC-BE-Rate-value'!X23:X30)</f>
        <v>345045671.09000003</v>
      </c>
      <c r="H13" s="1228" t="s">
        <v>356</v>
      </c>
      <c r="I13" s="1228">
        <v>2019</v>
      </c>
      <c r="J13" s="36" t="s">
        <v>681</v>
      </c>
      <c r="K13" s="36" t="s">
        <v>682</v>
      </c>
      <c r="L13" s="1228" t="s">
        <v>902</v>
      </c>
      <c r="M13" s="442"/>
      <c r="N13" s="508"/>
      <c r="O13" s="442"/>
      <c r="P13" s="1443">
        <f>SUM('WFL Imported-MC-BE-Rate-value'!X23:X29)</f>
        <v>338821874.34000003</v>
      </c>
      <c r="T13" s="17">
        <v>275000000</v>
      </c>
      <c r="U13" s="17">
        <f>+G13</f>
        <v>345045671.09000003</v>
      </c>
      <c r="V13" s="17">
        <f>SUM('WFL Imported-MC-BE-Rate-value'!P23:P29)</f>
        <v>346443350</v>
      </c>
      <c r="X13" s="17">
        <f>+T13</f>
        <v>275000000</v>
      </c>
      <c r="Z13" s="17">
        <f>+U13</f>
        <v>345045671.09000003</v>
      </c>
      <c r="AB13" s="17">
        <f>+X13</f>
        <v>275000000</v>
      </c>
      <c r="AD13" s="532">
        <f>+Z13</f>
        <v>345045671.09000003</v>
      </c>
      <c r="AE13" s="13">
        <v>3450.4567099999999</v>
      </c>
      <c r="AF13" s="13">
        <v>3450.4567099999999</v>
      </c>
    </row>
    <row r="14" spans="1:32" ht="26.4" x14ac:dyDescent="0.3">
      <c r="A14" s="34"/>
      <c r="B14" s="35"/>
      <c r="C14" s="38"/>
      <c r="D14" s="437"/>
      <c r="E14" s="35"/>
      <c r="F14" s="1244"/>
      <c r="G14" s="1445"/>
      <c r="H14" s="1244"/>
      <c r="I14" s="1244"/>
      <c r="J14" s="36" t="s">
        <v>893</v>
      </c>
      <c r="K14" s="36" t="s">
        <v>892</v>
      </c>
      <c r="L14" s="1244"/>
      <c r="M14" s="442"/>
      <c r="N14" s="508"/>
      <c r="O14" s="442"/>
      <c r="P14" s="1443"/>
    </row>
    <row r="15" spans="1:32" ht="26.4" x14ac:dyDescent="0.3">
      <c r="A15" s="34"/>
      <c r="B15" s="35"/>
      <c r="C15" s="38"/>
      <c r="D15" s="437"/>
      <c r="E15" s="35"/>
      <c r="F15" s="1244"/>
      <c r="G15" s="1445"/>
      <c r="H15" s="1244"/>
      <c r="I15" s="1244"/>
      <c r="J15" s="36" t="s">
        <v>686</v>
      </c>
      <c r="K15" s="36" t="s">
        <v>687</v>
      </c>
      <c r="L15" s="1244"/>
      <c r="M15" s="442"/>
      <c r="N15" s="508"/>
      <c r="O15" s="442"/>
      <c r="P15" s="1443"/>
    </row>
    <row r="16" spans="1:32" ht="26.4" x14ac:dyDescent="0.3">
      <c r="A16" s="34"/>
      <c r="B16" s="35"/>
      <c r="C16" s="38"/>
      <c r="D16" s="437"/>
      <c r="E16" s="35"/>
      <c r="F16" s="1244"/>
      <c r="G16" s="1445"/>
      <c r="H16" s="1244"/>
      <c r="I16" s="1244"/>
      <c r="J16" s="36" t="s">
        <v>690</v>
      </c>
      <c r="K16" s="36" t="s">
        <v>691</v>
      </c>
      <c r="L16" s="1244"/>
      <c r="M16" s="442"/>
      <c r="N16" s="508"/>
      <c r="O16" s="442"/>
      <c r="P16" s="1443"/>
    </row>
    <row r="17" spans="1:109" ht="26.4" x14ac:dyDescent="0.3">
      <c r="A17" s="34"/>
      <c r="B17" s="35"/>
      <c r="C17" s="38"/>
      <c r="D17" s="437"/>
      <c r="E17" s="35"/>
      <c r="F17" s="1244"/>
      <c r="G17" s="1445"/>
      <c r="H17" s="1244"/>
      <c r="I17" s="1244"/>
      <c r="J17" s="36" t="s">
        <v>895</v>
      </c>
      <c r="K17" s="36" t="s">
        <v>894</v>
      </c>
      <c r="L17" s="1244"/>
      <c r="M17" s="442"/>
      <c r="N17" s="508"/>
      <c r="O17" s="442"/>
      <c r="P17" s="1443"/>
    </row>
    <row r="18" spans="1:109" ht="26.4" x14ac:dyDescent="0.3">
      <c r="A18" s="34"/>
      <c r="B18" s="35"/>
      <c r="C18" s="38"/>
      <c r="D18" s="437"/>
      <c r="E18" s="35"/>
      <c r="F18" s="1244"/>
      <c r="G18" s="1445"/>
      <c r="H18" s="1244"/>
      <c r="I18" s="1244"/>
      <c r="J18" s="36" t="s">
        <v>688</v>
      </c>
      <c r="K18" s="36" t="s">
        <v>896</v>
      </c>
      <c r="L18" s="1244"/>
      <c r="M18" s="442"/>
      <c r="N18" s="508"/>
      <c r="O18" s="442"/>
      <c r="P18" s="1443"/>
    </row>
    <row r="19" spans="1:109" ht="27" thickBot="1" x14ac:dyDescent="0.35">
      <c r="A19" s="34"/>
      <c r="B19" s="35"/>
      <c r="C19" s="38"/>
      <c r="D19" s="437"/>
      <c r="E19" s="35"/>
      <c r="F19" s="1229"/>
      <c r="G19" s="1446"/>
      <c r="H19" s="1229"/>
      <c r="I19" s="1229"/>
      <c r="J19" s="36" t="s">
        <v>898</v>
      </c>
      <c r="K19" s="36" t="s">
        <v>897</v>
      </c>
      <c r="L19" s="1229"/>
      <c r="M19" s="442"/>
      <c r="N19" s="518"/>
      <c r="O19" s="442"/>
      <c r="P19" s="1443"/>
    </row>
    <row r="20" spans="1:109" ht="79.8" thickBot="1" x14ac:dyDescent="0.35">
      <c r="A20" s="34"/>
      <c r="B20" s="35"/>
      <c r="C20" s="38"/>
      <c r="D20" s="437"/>
      <c r="E20" s="35"/>
      <c r="F20" s="36" t="s">
        <v>928</v>
      </c>
      <c r="G20" s="426">
        <f>+'WFL Imported-MC-BE-Rate-value'!AB57+'WFL Imported-MC-BE-Rate-value'!AB58+'WFL Imported-MC-BE-Rate-value'!AB59</f>
        <v>46884383.280000001</v>
      </c>
      <c r="H20" s="204" t="s">
        <v>929</v>
      </c>
      <c r="I20" s="36" t="s">
        <v>910</v>
      </c>
      <c r="J20" s="36" t="s">
        <v>931</v>
      </c>
      <c r="K20" s="36" t="s">
        <v>932</v>
      </c>
      <c r="L20" s="36" t="s">
        <v>930</v>
      </c>
      <c r="M20" s="442"/>
      <c r="N20" s="518" t="s">
        <v>1096</v>
      </c>
      <c r="O20" s="442"/>
      <c r="P20" s="17">
        <f>+'WFL Imported-MC-BE-Rate-value'!X57+'WFL Imported-MC-BE-Rate-value'!Y57</f>
        <v>55151378</v>
      </c>
    </row>
    <row r="21" spans="1:109" ht="106.2" thickBot="1" x14ac:dyDescent="0.35">
      <c r="A21" s="34">
        <f>+A13+1</f>
        <v>5</v>
      </c>
      <c r="B21" s="35" t="s">
        <v>102</v>
      </c>
      <c r="C21" s="40">
        <v>1</v>
      </c>
      <c r="D21" s="426">
        <f>6500000</f>
        <v>6500000</v>
      </c>
      <c r="E21" s="35" t="s">
        <v>102</v>
      </c>
      <c r="F21" s="36">
        <v>1</v>
      </c>
      <c r="G21" s="426">
        <f>+'WFL Domestic-MC'!E17</f>
        <v>5650000</v>
      </c>
      <c r="H21" s="36" t="s">
        <v>962</v>
      </c>
      <c r="I21" s="36">
        <v>2019</v>
      </c>
      <c r="J21" s="36" t="s">
        <v>961</v>
      </c>
      <c r="K21" s="36" t="s">
        <v>649</v>
      </c>
      <c r="L21" s="36" t="s">
        <v>2</v>
      </c>
      <c r="M21" s="442"/>
      <c r="N21" s="518" t="s">
        <v>1091</v>
      </c>
      <c r="O21" s="442"/>
      <c r="P21" s="17">
        <f>+'WFL Domestic-MC'!G17</f>
        <v>5650000</v>
      </c>
      <c r="T21" s="17">
        <v>6500000</v>
      </c>
      <c r="U21" s="17">
        <f t="shared" ref="U21:U27" si="1">+G21</f>
        <v>5650000</v>
      </c>
      <c r="V21" s="17">
        <f>+U21</f>
        <v>5650000</v>
      </c>
      <c r="X21" s="17">
        <f>+U21</f>
        <v>5650000</v>
      </c>
      <c r="Z21" s="17">
        <f>+U21</f>
        <v>5650000</v>
      </c>
      <c r="AB21" s="17">
        <f>+X21</f>
        <v>5650000</v>
      </c>
      <c r="AD21" s="532">
        <f>+Z21</f>
        <v>5650000</v>
      </c>
      <c r="AE21" s="13">
        <v>67.826400000000007</v>
      </c>
      <c r="AF21" s="13">
        <v>56.5</v>
      </c>
    </row>
    <row r="22" spans="1:109" ht="79.8" thickBot="1" x14ac:dyDescent="0.35">
      <c r="A22" s="34">
        <f t="shared" ref="A22:A42" si="2">+A21+1</f>
        <v>6</v>
      </c>
      <c r="B22" s="35" t="s">
        <v>114</v>
      </c>
      <c r="C22" s="36" t="s">
        <v>100</v>
      </c>
      <c r="D22" s="426">
        <f>785850000</f>
        <v>785850000</v>
      </c>
      <c r="E22" s="35" t="s">
        <v>114</v>
      </c>
      <c r="F22" s="36" t="s">
        <v>941</v>
      </c>
      <c r="G22" s="426">
        <f>+'WFL Imported-MC-BE-Rate-value'!AE15</f>
        <v>766117375.77187514</v>
      </c>
      <c r="H22" s="36" t="s">
        <v>942</v>
      </c>
      <c r="I22" s="36" t="s">
        <v>910</v>
      </c>
      <c r="J22" s="36" t="s">
        <v>945</v>
      </c>
      <c r="K22" s="36" t="s">
        <v>947</v>
      </c>
      <c r="L22" s="36" t="s">
        <v>944</v>
      </c>
      <c r="M22" s="442"/>
      <c r="N22" s="518"/>
      <c r="O22" s="442"/>
      <c r="P22" s="17">
        <f>+G22</f>
        <v>766117375.77187514</v>
      </c>
      <c r="R22" s="14" t="s">
        <v>946</v>
      </c>
      <c r="T22" s="17">
        <v>485850000</v>
      </c>
      <c r="U22" s="17">
        <f t="shared" si="1"/>
        <v>766117375.77187514</v>
      </c>
      <c r="V22" s="469">
        <f>+'WFL Imported-MC-BE-Rate-value'!AE13*'WFL Imported-MC-BE-Rate-value'!M10</f>
        <v>877129500</v>
      </c>
      <c r="X22" s="17">
        <f>+T22</f>
        <v>485850000</v>
      </c>
      <c r="Z22" s="17">
        <f>+U22</f>
        <v>766117375.77187514</v>
      </c>
      <c r="AB22" s="17">
        <f>+X22</f>
        <v>485850000</v>
      </c>
      <c r="AD22" s="532">
        <f>+Z22</f>
        <v>766117375.77187514</v>
      </c>
      <c r="AE22" s="13">
        <v>9134.5174800000004</v>
      </c>
      <c r="AF22" s="602">
        <v>8398.5912777187496</v>
      </c>
    </row>
    <row r="23" spans="1:109" ht="106.2" thickBot="1" x14ac:dyDescent="0.35">
      <c r="A23" s="34">
        <f t="shared" si="2"/>
        <v>7</v>
      </c>
      <c r="B23" s="35" t="s">
        <v>230</v>
      </c>
      <c r="C23" s="36"/>
      <c r="D23" s="437">
        <v>91000000</v>
      </c>
      <c r="E23" s="35" t="s">
        <v>113</v>
      </c>
      <c r="F23" s="36" t="s">
        <v>928</v>
      </c>
      <c r="G23" s="568">
        <f>+'WFL Imported-MC-BE-Rate-value'!AB48+'WFL Imported-MC-BE-Rate-value'!AB49+'WFL Imported-MC-BE-Rate-value'!AB50+'WFL Imported-MC-BE-Rate-value'!O49+(('WFL Imported-MC-BE-Rate-value'!J48+'WFL Imported-MC-BE-Rate-value'!K48)*'WFL Imported-MC-BE-Rate-value'!M48)+('WFL Imported-MC-BE-Rate-value'!K49*'WFL Imported-MC-BE-Rate-value'!M49)+(158290.99*78)</f>
        <v>85801610.715462491</v>
      </c>
      <c r="H23" s="36" t="s">
        <v>924</v>
      </c>
      <c r="I23" s="36" t="s">
        <v>910</v>
      </c>
      <c r="J23" s="36" t="s">
        <v>925</v>
      </c>
      <c r="K23" s="36" t="s">
        <v>927</v>
      </c>
      <c r="L23" s="36" t="s">
        <v>926</v>
      </c>
      <c r="M23" s="442"/>
      <c r="N23" s="518" t="s">
        <v>1095</v>
      </c>
      <c r="O23" s="442"/>
      <c r="P23" s="17">
        <f>+'WFL Imported-MC-BE-Rate-value'!X48+'WFL Imported-MC-BE-Rate-value'!X50+'WFL Imported-MC-BE-Rate-value'!X51+'WFL Imported-MC-BE-Rate-value'!X52+'WFL Imported-MC-BE-Rate-value'!Y48</f>
        <v>86118192.446762502</v>
      </c>
      <c r="T23" s="17">
        <v>91000000</v>
      </c>
      <c r="U23" s="17">
        <f t="shared" si="1"/>
        <v>85801610.715462491</v>
      </c>
      <c r="V23" s="17">
        <f>+'WFL Imported-MC-BE-Rate-value'!P48+'WFL Imported-MC-BE-Rate-value'!P49</f>
        <v>86837360.736762494</v>
      </c>
      <c r="X23" s="17">
        <f>+U23</f>
        <v>85801610.715462491</v>
      </c>
      <c r="Z23" s="17">
        <f>+U23</f>
        <v>85801610.715462491</v>
      </c>
      <c r="AB23" s="17">
        <f>+X23</f>
        <v>85801610.715462491</v>
      </c>
      <c r="AD23" s="569">
        <f>+Z23</f>
        <v>85801610.715462491</v>
      </c>
    </row>
    <row r="24" spans="1:109" ht="40.200000000000003" thickBot="1" x14ac:dyDescent="0.35">
      <c r="A24" s="34">
        <f t="shared" si="2"/>
        <v>8</v>
      </c>
      <c r="B24" s="35" t="s">
        <v>107</v>
      </c>
      <c r="C24" s="40">
        <v>1</v>
      </c>
      <c r="D24" s="426">
        <f>104000000</f>
        <v>104000000</v>
      </c>
      <c r="E24" s="35" t="s">
        <v>107</v>
      </c>
      <c r="F24" s="36" t="s">
        <v>112</v>
      </c>
      <c r="G24" s="426">
        <f>SUM('WFL Imported-MC-BE-Rate-value'!AB62:AB67)+'WFL Imported-MC-BE-Rate-value'!O62+('WFL Imported-MC-BE-Rate-value'!K62*'WFL Imported-MC-BE-Rate-value'!M62)</f>
        <v>113677805.38408437</v>
      </c>
      <c r="H24" s="36" t="s">
        <v>949</v>
      </c>
      <c r="I24" s="36" t="s">
        <v>910</v>
      </c>
      <c r="J24" s="36" t="s">
        <v>950</v>
      </c>
      <c r="K24" s="36" t="s">
        <v>951</v>
      </c>
      <c r="L24" s="36" t="s">
        <v>952</v>
      </c>
      <c r="M24" s="442"/>
      <c r="N24" s="518"/>
      <c r="O24" s="442"/>
      <c r="P24" s="17">
        <f>+'WFL Imported-MC-BE-Rate-value'!X62+'WFL Imported-MC-BE-Rate-value'!X63+'WFL Imported-MC-BE-Rate-value'!X64+'WFL Imported-MC-BE-Rate-value'!Y62</f>
        <v>119612930.94158438</v>
      </c>
      <c r="T24" s="17">
        <v>104000000</v>
      </c>
      <c r="U24" s="17">
        <f t="shared" si="1"/>
        <v>113677805.38408437</v>
      </c>
      <c r="V24" s="17">
        <f>+'WFL Imported-MC-BE-Rate-value'!P62</f>
        <v>120501729.94158438</v>
      </c>
      <c r="X24" s="17">
        <f>+U24</f>
        <v>113677805.38408437</v>
      </c>
      <c r="Z24" s="17">
        <f>+U24</f>
        <v>113677805.38408437</v>
      </c>
      <c r="AB24" s="17">
        <v>0</v>
      </c>
      <c r="AD24" s="17">
        <v>0</v>
      </c>
    </row>
    <row r="25" spans="1:109" ht="66.599999999999994" thickBot="1" x14ac:dyDescent="0.35">
      <c r="A25" s="34">
        <f t="shared" si="2"/>
        <v>9</v>
      </c>
      <c r="B25" s="35" t="s">
        <v>75</v>
      </c>
      <c r="C25" s="36" t="s">
        <v>109</v>
      </c>
      <c r="D25" s="426">
        <f>35331000+990000+32535000+11663000-50000000-5197000</f>
        <v>25322000</v>
      </c>
      <c r="E25" s="35" t="s">
        <v>75</v>
      </c>
      <c r="F25" s="36">
        <v>4</v>
      </c>
      <c r="G25" s="426">
        <f>+'WFL Imported-MC-BE-Rate-value'!AB8+'WFL Imported-MC-BE-Rate-value'!AB9+('WFL Imported-MC-BE-Rate-value'!K8*'WFL Imported-MC-BE-Rate-value'!M8)</f>
        <v>20943627.074999999</v>
      </c>
      <c r="H25" s="36" t="s">
        <v>937</v>
      </c>
      <c r="I25" s="36" t="s">
        <v>910</v>
      </c>
      <c r="J25" s="36" t="s">
        <v>938</v>
      </c>
      <c r="K25" s="36" t="s">
        <v>939</v>
      </c>
      <c r="L25" s="36" t="s">
        <v>919</v>
      </c>
      <c r="M25" s="442"/>
      <c r="N25" s="518" t="s">
        <v>1079</v>
      </c>
      <c r="O25" s="442"/>
      <c r="P25" s="17">
        <f>+'WFL Imported-MC-BE-Rate-value'!X8+'WFL Imported-MC-BE-Rate-value'!X9</f>
        <v>20943627.25</v>
      </c>
      <c r="T25" s="17">
        <v>450000</v>
      </c>
      <c r="U25" s="17">
        <f t="shared" si="1"/>
        <v>20943627.074999999</v>
      </c>
      <c r="V25" s="17">
        <f>+'WFL Imported-MC-BE-Rate-value'!P8</f>
        <v>21738841.25</v>
      </c>
      <c r="X25" s="17">
        <f>+T25*0</f>
        <v>0</v>
      </c>
      <c r="Z25" s="17">
        <f>+X25</f>
        <v>0</v>
      </c>
      <c r="AB25" s="17">
        <v>0</v>
      </c>
      <c r="AD25" s="17">
        <v>0</v>
      </c>
    </row>
    <row r="26" spans="1:109" ht="132.6" thickBot="1" x14ac:dyDescent="0.35">
      <c r="A26" s="34">
        <f t="shared" si="2"/>
        <v>10</v>
      </c>
      <c r="B26" s="35" t="s">
        <v>82</v>
      </c>
      <c r="C26" s="36">
        <v>8</v>
      </c>
      <c r="D26" s="426">
        <v>135000000</v>
      </c>
      <c r="E26" s="35" t="s">
        <v>82</v>
      </c>
      <c r="F26" s="36">
        <v>8</v>
      </c>
      <c r="G26" s="426">
        <f>+'WFL Imported-MC-BE-Rate-value'!AB20+'WFL Imported-MC-BE-Rate-value'!AB21</f>
        <v>146177345.89751598</v>
      </c>
      <c r="H26" s="36" t="s">
        <v>921</v>
      </c>
      <c r="I26" s="36" t="s">
        <v>910</v>
      </c>
      <c r="J26" s="36" t="s">
        <v>922</v>
      </c>
      <c r="K26" s="36" t="s">
        <v>923</v>
      </c>
      <c r="L26" s="36" t="s">
        <v>887</v>
      </c>
      <c r="M26" s="442"/>
      <c r="N26" s="513" t="s">
        <v>1092</v>
      </c>
      <c r="O26" s="442"/>
      <c r="P26" s="17">
        <f>+'WFL Imported-MC-BE-Rate-value'!X20+'WFL Imported-MC-BE-Rate-value'!X21</f>
        <v>146177345.89751598</v>
      </c>
      <c r="T26" s="17">
        <v>35000000</v>
      </c>
      <c r="U26" s="17">
        <f t="shared" si="1"/>
        <v>146177345.89751598</v>
      </c>
      <c r="V26" s="17">
        <f>+'WFL Imported-MC-BE-Rate-value'!P20+'WFL Imported-MC-BE-Rate-value'!P21</f>
        <v>146967129.72499999</v>
      </c>
      <c r="X26" s="17">
        <f>+T26</f>
        <v>35000000</v>
      </c>
      <c r="Z26" s="17">
        <f>+U26</f>
        <v>146177345.89751598</v>
      </c>
      <c r="AB26" s="17">
        <f>+X26</f>
        <v>35000000</v>
      </c>
      <c r="AD26" s="532">
        <f>+Z26</f>
        <v>146177345.89751598</v>
      </c>
      <c r="DE26" s="36">
        <v>8</v>
      </c>
    </row>
    <row r="27" spans="1:109" ht="79.8" thickBot="1" x14ac:dyDescent="0.35">
      <c r="A27" s="34">
        <f t="shared" si="2"/>
        <v>11</v>
      </c>
      <c r="B27" s="35" t="s">
        <v>83</v>
      </c>
      <c r="C27" s="40">
        <v>1</v>
      </c>
      <c r="D27" s="426">
        <v>11250000</v>
      </c>
      <c r="E27" s="35" t="s">
        <v>83</v>
      </c>
      <c r="F27" s="36">
        <v>1</v>
      </c>
      <c r="G27" s="426">
        <f>+'WFL Domestic-MC'!E5+'WFL Domestic-MC'!E6+'WFL Domestic-MC'!E7</f>
        <v>3464000</v>
      </c>
      <c r="H27" s="36" t="s">
        <v>953</v>
      </c>
      <c r="I27" s="36" t="s">
        <v>954</v>
      </c>
      <c r="J27" s="36" t="s">
        <v>955</v>
      </c>
      <c r="K27" s="36" t="s">
        <v>649</v>
      </c>
      <c r="L27" s="36" t="s">
        <v>2</v>
      </c>
      <c r="M27" s="442"/>
      <c r="N27" s="513" t="s">
        <v>1080</v>
      </c>
      <c r="O27" s="442"/>
      <c r="P27" s="17">
        <f>+'WFL Domestic-MC'!G5</f>
        <v>3464000</v>
      </c>
      <c r="T27" s="17">
        <v>11250000</v>
      </c>
      <c r="U27" s="17">
        <f t="shared" si="1"/>
        <v>3464000</v>
      </c>
      <c r="V27" s="17">
        <f>+'WFL Domestic-MC'!G5</f>
        <v>3464000</v>
      </c>
      <c r="X27" s="17">
        <f>+U27</f>
        <v>3464000</v>
      </c>
      <c r="Z27" s="17">
        <f>+U27</f>
        <v>3464000</v>
      </c>
      <c r="AB27" s="17">
        <f>+X27</f>
        <v>3464000</v>
      </c>
      <c r="AD27" s="532">
        <f>+Z27</f>
        <v>3464000</v>
      </c>
      <c r="AE27" s="13">
        <v>524.34564</v>
      </c>
    </row>
    <row r="28" spans="1:109" ht="66.599999999999994" thickBot="1" x14ac:dyDescent="0.35">
      <c r="A28" s="34">
        <f t="shared" si="2"/>
        <v>12</v>
      </c>
      <c r="B28" s="35" t="s">
        <v>84</v>
      </c>
      <c r="C28" s="40">
        <f>1+1+1+4</f>
        <v>7</v>
      </c>
      <c r="D28" s="426">
        <f>17250000+13500000+3375000+24000000</f>
        <v>58125000</v>
      </c>
      <c r="E28" s="35" t="s">
        <v>84</v>
      </c>
      <c r="F28" s="36">
        <v>2</v>
      </c>
      <c r="G28" s="426">
        <f>+'WFL Imported-MC-BE-Rate-value'!AB6+'WFL Imported-MC-BE-Rate-value'!AB7</f>
        <v>27206040.632699996</v>
      </c>
      <c r="H28" s="204" t="s">
        <v>342</v>
      </c>
      <c r="I28" s="36" t="s">
        <v>910</v>
      </c>
      <c r="J28" s="36" t="s">
        <v>909</v>
      </c>
      <c r="K28" s="36" t="s">
        <v>908</v>
      </c>
      <c r="L28" s="36" t="s">
        <v>888</v>
      </c>
      <c r="M28" s="442"/>
      <c r="N28" s="518" t="s">
        <v>1090</v>
      </c>
      <c r="O28" s="442"/>
      <c r="P28" s="17">
        <f>+'WFL Imported-MC-BE-Rate-value'!AB6+'WFL Imported-MC-BE-Rate-value'!AB7</f>
        <v>27206040.632699996</v>
      </c>
      <c r="Q28" s="349" t="s">
        <v>911</v>
      </c>
      <c r="T28" s="17">
        <v>125000</v>
      </c>
      <c r="U28" s="17">
        <f>+G28+G29</f>
        <v>57722440.632699996</v>
      </c>
      <c r="V28" s="17">
        <f>+'WFL Imported-MC-BE-Rate-value'!P6+'WFL Domestic-MC'!G8</f>
        <v>49682137.5</v>
      </c>
      <c r="X28" s="17">
        <f>+T28</f>
        <v>125000</v>
      </c>
      <c r="Z28" s="17">
        <f>+V28</f>
        <v>49682137.5</v>
      </c>
      <c r="AB28" s="17">
        <f>+X28</f>
        <v>125000</v>
      </c>
      <c r="AD28" s="532">
        <f>+G29</f>
        <v>30516400</v>
      </c>
    </row>
    <row r="29" spans="1:109" ht="106.2" thickBot="1" x14ac:dyDescent="0.35">
      <c r="A29" s="34"/>
      <c r="B29" s="35"/>
      <c r="C29" s="40"/>
      <c r="D29" s="426"/>
      <c r="E29" s="35"/>
      <c r="F29" s="36">
        <v>4</v>
      </c>
      <c r="G29" s="426">
        <f>SUM('WFL Domestic-MC'!E8:E11)</f>
        <v>30516400</v>
      </c>
      <c r="H29" s="36" t="s">
        <v>957</v>
      </c>
      <c r="I29" s="36" t="s">
        <v>954</v>
      </c>
      <c r="J29" s="36" t="s">
        <v>956</v>
      </c>
      <c r="K29" s="36" t="s">
        <v>649</v>
      </c>
      <c r="L29" s="36" t="s">
        <v>2</v>
      </c>
      <c r="M29" s="442"/>
      <c r="N29" s="518" t="s">
        <v>1090</v>
      </c>
      <c r="O29" s="442"/>
      <c r="P29" s="17">
        <f>+'WFL Domestic-MC'!G8</f>
        <v>30516400</v>
      </c>
      <c r="Q29" s="349"/>
    </row>
    <row r="30" spans="1:109" ht="106.2" thickBot="1" x14ac:dyDescent="0.35">
      <c r="A30" s="34">
        <f>+A28+1</f>
        <v>13</v>
      </c>
      <c r="B30" s="35" t="s">
        <v>85</v>
      </c>
      <c r="C30" s="40" t="s">
        <v>232</v>
      </c>
      <c r="D30" s="426">
        <f>75000000+50000000</f>
        <v>125000000</v>
      </c>
      <c r="E30" s="35" t="s">
        <v>85</v>
      </c>
      <c r="F30" s="36" t="s">
        <v>104</v>
      </c>
      <c r="G30" s="426">
        <f>+'WFL Domestic-MC'!G158</f>
        <v>26352330</v>
      </c>
      <c r="H30" s="36" t="s">
        <v>983</v>
      </c>
      <c r="I30" s="36" t="s">
        <v>910</v>
      </c>
      <c r="J30" s="36" t="s">
        <v>984</v>
      </c>
      <c r="K30" s="36" t="s">
        <v>649</v>
      </c>
      <c r="L30" s="36" t="s">
        <v>2</v>
      </c>
      <c r="M30" s="442"/>
      <c r="N30" s="518" t="s">
        <v>1081</v>
      </c>
      <c r="O30" s="442"/>
      <c r="P30" s="17">
        <f>+'WFL Domestic-MC'!G158</f>
        <v>26352330</v>
      </c>
      <c r="T30" s="17">
        <v>115000000</v>
      </c>
      <c r="U30" s="17">
        <f>+G30</f>
        <v>26352330</v>
      </c>
      <c r="V30" s="17">
        <f>+'WFL Domestic-MC'!G158</f>
        <v>26352330</v>
      </c>
      <c r="X30" s="17">
        <f>+U30*0</f>
        <v>0</v>
      </c>
      <c r="Z30" s="17">
        <f>+X30</f>
        <v>0</v>
      </c>
      <c r="AB30" s="17">
        <v>0</v>
      </c>
      <c r="AD30" s="17">
        <v>0</v>
      </c>
    </row>
    <row r="31" spans="1:109" ht="53.4" thickBot="1" x14ac:dyDescent="0.35">
      <c r="A31" s="34">
        <f t="shared" si="2"/>
        <v>14</v>
      </c>
      <c r="B31" s="35" t="s">
        <v>77</v>
      </c>
      <c r="C31" s="36">
        <f>2+2+1</f>
        <v>5</v>
      </c>
      <c r="D31" s="426">
        <f>22500000+27000000+11250000</f>
        <v>60750000</v>
      </c>
      <c r="E31" s="35" t="s">
        <v>77</v>
      </c>
      <c r="F31" s="36">
        <v>1</v>
      </c>
      <c r="G31" s="426">
        <f>+'WFL Imported-MC-BE-Rate-value'!AB61</f>
        <v>8756242.25</v>
      </c>
      <c r="H31" s="36" t="s">
        <v>483</v>
      </c>
      <c r="I31" s="36" t="s">
        <v>910</v>
      </c>
      <c r="J31" s="36" t="s">
        <v>890</v>
      </c>
      <c r="K31" s="39" t="s">
        <v>891</v>
      </c>
      <c r="L31" s="36" t="s">
        <v>889</v>
      </c>
      <c r="M31" s="442"/>
      <c r="N31" s="518" t="s">
        <v>1093</v>
      </c>
      <c r="O31" s="442"/>
      <c r="P31" s="17">
        <f>+'WFL Imported-MC-BE-Rate-value'!X61</f>
        <v>8756242</v>
      </c>
      <c r="T31" s="17">
        <v>60750000</v>
      </c>
      <c r="U31" s="17">
        <f>+G31+G32</f>
        <v>33870640.25</v>
      </c>
      <c r="V31" s="17">
        <f>+'WFL Imported-MC-BE-Rate-value'!P61+'WFL Domestic-MC'!E164+'WFL Domestic-MC'!E165+'WFL Domestic-MC'!E167</f>
        <v>33976409</v>
      </c>
      <c r="X31" s="17">
        <f>+U31</f>
        <v>33870640.25</v>
      </c>
      <c r="Z31" s="17">
        <f>+U31</f>
        <v>33870640.25</v>
      </c>
      <c r="AB31" s="17">
        <v>0</v>
      </c>
      <c r="AD31" s="532">
        <f>+G32+G33</f>
        <v>31686000</v>
      </c>
    </row>
    <row r="32" spans="1:109" ht="79.8" thickBot="1" x14ac:dyDescent="0.35">
      <c r="A32" s="34"/>
      <c r="B32" s="35"/>
      <c r="C32" s="36"/>
      <c r="D32" s="426"/>
      <c r="E32" s="35"/>
      <c r="F32" s="36">
        <v>3</v>
      </c>
      <c r="G32" s="426">
        <f>+'WFL Domestic-MC'!E164+'WFL Domestic-MC'!E165+'WFL Domestic-MC'!E167</f>
        <v>25114398</v>
      </c>
      <c r="H32" s="36" t="s">
        <v>980</v>
      </c>
      <c r="I32" s="36">
        <v>2019</v>
      </c>
      <c r="J32" s="36" t="s">
        <v>981</v>
      </c>
      <c r="K32" s="36" t="s">
        <v>649</v>
      </c>
      <c r="L32" s="36" t="s">
        <v>2</v>
      </c>
      <c r="M32" s="442"/>
      <c r="N32" s="518" t="s">
        <v>1093</v>
      </c>
      <c r="O32" s="442"/>
      <c r="P32" s="17">
        <f>+G32</f>
        <v>25114398</v>
      </c>
    </row>
    <row r="33" spans="1:30" ht="53.4" thickBot="1" x14ac:dyDescent="0.35">
      <c r="A33" s="34"/>
      <c r="B33" s="35"/>
      <c r="C33" s="36"/>
      <c r="D33" s="426"/>
      <c r="E33" s="35"/>
      <c r="F33" s="36">
        <v>3</v>
      </c>
      <c r="G33" s="426">
        <f>+'WFL Domestic-MC'!E166</f>
        <v>6571602</v>
      </c>
      <c r="H33" s="204" t="s">
        <v>980</v>
      </c>
      <c r="I33" s="36">
        <v>2019</v>
      </c>
      <c r="J33" s="36" t="s">
        <v>982</v>
      </c>
      <c r="K33" s="36" t="s">
        <v>649</v>
      </c>
      <c r="L33" s="36" t="s">
        <v>2</v>
      </c>
      <c r="M33" s="442"/>
      <c r="N33" s="518" t="s">
        <v>1078</v>
      </c>
      <c r="O33" s="442"/>
      <c r="P33" s="17">
        <f>+G33</f>
        <v>6571602</v>
      </c>
    </row>
    <row r="34" spans="1:30" ht="48" customHeight="1" thickBot="1" x14ac:dyDescent="0.35">
      <c r="A34" s="34"/>
      <c r="B34" s="35"/>
      <c r="C34" s="36"/>
      <c r="D34" s="426"/>
      <c r="E34" s="35"/>
      <c r="F34" s="36">
        <v>8</v>
      </c>
      <c r="G34" s="426">
        <f>+'WFL Domestic-MC'!G163</f>
        <v>8001990</v>
      </c>
      <c r="H34" s="204" t="s">
        <v>979</v>
      </c>
      <c r="I34" s="36">
        <v>2018</v>
      </c>
      <c r="J34" s="36" t="s">
        <v>978</v>
      </c>
      <c r="K34" s="36" t="s">
        <v>649</v>
      </c>
      <c r="L34" s="36" t="s">
        <v>2</v>
      </c>
      <c r="M34" s="442"/>
      <c r="N34" s="518" t="s">
        <v>1082</v>
      </c>
      <c r="O34" s="442"/>
      <c r="P34" s="17">
        <f>+'WFL Domestic-MC'!G163</f>
        <v>8001990</v>
      </c>
    </row>
    <row r="35" spans="1:30" ht="53.4" thickBot="1" x14ac:dyDescent="0.35">
      <c r="A35" s="34">
        <f>+A31+1</f>
        <v>15</v>
      </c>
      <c r="B35" s="35" t="s">
        <v>86</v>
      </c>
      <c r="C35" s="40">
        <v>2</v>
      </c>
      <c r="D35" s="426">
        <f>36000000</f>
        <v>36000000</v>
      </c>
      <c r="E35" s="35" t="s">
        <v>86</v>
      </c>
      <c r="F35" s="36">
        <v>2</v>
      </c>
      <c r="G35" s="533">
        <f>+'WFL Domestic-MC'!E12+'WFL Domestic-MC'!E15</f>
        <v>34850150</v>
      </c>
      <c r="H35" s="534" t="s">
        <v>958</v>
      </c>
      <c r="I35" s="36">
        <v>2019</v>
      </c>
      <c r="J35" s="36" t="s">
        <v>959</v>
      </c>
      <c r="K35" s="36" t="s">
        <v>649</v>
      </c>
      <c r="L35" s="36" t="s">
        <v>2</v>
      </c>
      <c r="M35" s="442"/>
      <c r="N35" s="518" t="s">
        <v>1094</v>
      </c>
      <c r="O35" s="442"/>
      <c r="P35" s="17">
        <f>+'WFL Domestic-MC'!E12+'WFL Domestic-MC'!E15</f>
        <v>34850150</v>
      </c>
      <c r="T35" s="17">
        <v>36000000</v>
      </c>
      <c r="U35" s="17">
        <f>+G35</f>
        <v>34850150</v>
      </c>
      <c r="V35" s="17">
        <f>+'WFL Domestic-MC'!E12+'WFL Domestic-MC'!E15</f>
        <v>34850150</v>
      </c>
      <c r="X35" s="17">
        <f>+U35</f>
        <v>34850150</v>
      </c>
      <c r="Z35" s="17">
        <f>+U35</f>
        <v>34850150</v>
      </c>
      <c r="AB35" s="17">
        <f>+X35</f>
        <v>34850150</v>
      </c>
      <c r="AD35" s="532">
        <f>+Z35+G36</f>
        <v>43549665</v>
      </c>
    </row>
    <row r="36" spans="1:30" ht="119.4" thickBot="1" x14ac:dyDescent="0.35">
      <c r="A36" s="34">
        <f t="shared" si="2"/>
        <v>16</v>
      </c>
      <c r="B36" s="35" t="s">
        <v>233</v>
      </c>
      <c r="C36" s="40">
        <v>2</v>
      </c>
      <c r="D36" s="426">
        <f>+D35*20%</f>
        <v>7200000</v>
      </c>
      <c r="E36" s="35" t="s">
        <v>116</v>
      </c>
      <c r="F36" s="36">
        <v>2</v>
      </c>
      <c r="G36" s="533">
        <f>+'WFL Domestic-MC'!E13+'WFL Domestic-MC'!E14</f>
        <v>8699515</v>
      </c>
      <c r="H36" s="534" t="s">
        <v>958</v>
      </c>
      <c r="I36" s="36">
        <v>2019</v>
      </c>
      <c r="J36" s="36" t="s">
        <v>960</v>
      </c>
      <c r="K36" s="36" t="s">
        <v>649</v>
      </c>
      <c r="L36" s="36" t="s">
        <v>2</v>
      </c>
      <c r="M36" s="442"/>
      <c r="N36" s="518" t="s">
        <v>1097</v>
      </c>
      <c r="O36" s="442"/>
      <c r="P36" s="17">
        <f>+'WFL Domestic-MC'!E13+'WFL Domestic-MC'!E14</f>
        <v>8699515</v>
      </c>
      <c r="T36" s="17">
        <v>7200000</v>
      </c>
      <c r="U36" s="17">
        <f>+G36</f>
        <v>8699515</v>
      </c>
      <c r="V36" s="17">
        <f>+'WFL Domestic-MC'!E13+'WFL Domestic-MC'!E14</f>
        <v>8699515</v>
      </c>
      <c r="X36" s="17">
        <f>+X35*0.2</f>
        <v>6970030</v>
      </c>
      <c r="Z36" s="17">
        <f>+Z35*0.2</f>
        <v>6970030</v>
      </c>
      <c r="AB36" s="17">
        <v>0</v>
      </c>
      <c r="AD36" s="532">
        <v>0</v>
      </c>
    </row>
    <row r="37" spans="1:30" ht="53.4" thickBot="1" x14ac:dyDescent="0.35">
      <c r="A37" s="34">
        <f t="shared" si="2"/>
        <v>17</v>
      </c>
      <c r="B37" s="35" t="s">
        <v>234</v>
      </c>
      <c r="C37" s="36" t="s">
        <v>112</v>
      </c>
      <c r="D37" s="426">
        <f>130000000+50000000</f>
        <v>180000000</v>
      </c>
      <c r="E37" s="35" t="s">
        <v>234</v>
      </c>
      <c r="F37" s="36" t="s">
        <v>977</v>
      </c>
      <c r="G37" s="426">
        <f>1967400*0+(1481399.47*79.345)+(54232.53*79.9025)</f>
        <v>121874955.67547499</v>
      </c>
      <c r="H37" s="204" t="s">
        <v>974</v>
      </c>
      <c r="I37" s="36">
        <v>2019</v>
      </c>
      <c r="J37" s="36" t="s">
        <v>976</v>
      </c>
      <c r="K37" s="36">
        <v>7037803</v>
      </c>
      <c r="L37" s="36" t="s">
        <v>975</v>
      </c>
      <c r="M37" s="442"/>
      <c r="N37" s="518" t="s">
        <v>1083</v>
      </c>
      <c r="O37" s="442"/>
      <c r="P37" s="17">
        <f>+G37</f>
        <v>121874955.67547499</v>
      </c>
      <c r="T37" s="17">
        <v>180000000</v>
      </c>
      <c r="X37" s="470">
        <f>+G37</f>
        <v>121874955.67547499</v>
      </c>
      <c r="Z37" s="17">
        <f>+X37</f>
        <v>121874955.67547499</v>
      </c>
      <c r="AB37" s="567">
        <f>+G37*0</f>
        <v>0</v>
      </c>
      <c r="AC37" s="567"/>
      <c r="AD37" s="567">
        <f>+G37</f>
        <v>121874955.67547499</v>
      </c>
    </row>
    <row r="38" spans="1:30" ht="53.4" thickBot="1" x14ac:dyDescent="0.35">
      <c r="A38" s="34">
        <f>+A37+1</f>
        <v>18</v>
      </c>
      <c r="B38" s="35" t="s">
        <v>79</v>
      </c>
      <c r="C38" s="36" t="s">
        <v>109</v>
      </c>
      <c r="D38" s="426">
        <f>(2500000+3000000)+1000000+1000000</f>
        <v>7500000</v>
      </c>
      <c r="E38" s="35" t="s">
        <v>79</v>
      </c>
      <c r="F38" s="36">
        <v>1</v>
      </c>
      <c r="G38" s="426">
        <f>+'WFL Domestic-MC'!G149</f>
        <v>7650000</v>
      </c>
      <c r="H38" s="36" t="s">
        <v>972</v>
      </c>
      <c r="I38" s="36">
        <v>2019</v>
      </c>
      <c r="J38" s="36" t="s">
        <v>973</v>
      </c>
      <c r="K38" s="36" t="s">
        <v>649</v>
      </c>
      <c r="L38" s="36" t="s">
        <v>2</v>
      </c>
      <c r="M38" s="442"/>
      <c r="N38" s="518" t="s">
        <v>1084</v>
      </c>
      <c r="O38" s="442"/>
      <c r="P38" s="17">
        <f>+'WFL Domestic-MC'!G149</f>
        <v>7650000</v>
      </c>
      <c r="T38" s="17">
        <v>7500000</v>
      </c>
      <c r="U38" s="17">
        <f>+G38</f>
        <v>7650000</v>
      </c>
      <c r="V38" s="17">
        <f>+'WFL Domestic-MC'!G149</f>
        <v>7650000</v>
      </c>
      <c r="X38" s="17">
        <f>+T38</f>
        <v>7500000</v>
      </c>
      <c r="Z38" s="17">
        <f>+U38</f>
        <v>7650000</v>
      </c>
      <c r="AB38" s="17">
        <f>+X38</f>
        <v>7500000</v>
      </c>
      <c r="AD38" s="532">
        <f>+Z38</f>
        <v>7650000</v>
      </c>
    </row>
    <row r="39" spans="1:30" ht="145.80000000000001" thickBot="1" x14ac:dyDescent="0.35">
      <c r="A39" s="34">
        <f t="shared" si="2"/>
        <v>19</v>
      </c>
      <c r="B39" s="35" t="s">
        <v>81</v>
      </c>
      <c r="C39" s="36">
        <f>1+1+1</f>
        <v>3</v>
      </c>
      <c r="D39" s="426">
        <f>10000000+5000000+10000000</f>
        <v>25000000</v>
      </c>
      <c r="E39" s="35" t="s">
        <v>81</v>
      </c>
      <c r="F39" s="36">
        <v>1</v>
      </c>
      <c r="G39" s="426">
        <f>+'WFL Domestic-MC'!G88</f>
        <v>14206000</v>
      </c>
      <c r="H39" s="36" t="s">
        <v>968</v>
      </c>
      <c r="I39" s="36" t="s">
        <v>967</v>
      </c>
      <c r="J39" s="36" t="s">
        <v>966</v>
      </c>
      <c r="K39" s="36" t="s">
        <v>649</v>
      </c>
      <c r="L39" s="36" t="s">
        <v>2</v>
      </c>
      <c r="M39" s="442"/>
      <c r="N39" s="518" t="s">
        <v>1087</v>
      </c>
      <c r="O39" s="442"/>
      <c r="P39" s="17">
        <f>+'WFL Domestic-MC'!G88</f>
        <v>14206000</v>
      </c>
      <c r="T39" s="17">
        <v>25000000</v>
      </c>
      <c r="U39" s="17">
        <f>+G39</f>
        <v>14206000</v>
      </c>
      <c r="V39" s="17">
        <f>+'WFL Domestic-MC'!G88</f>
        <v>14206000</v>
      </c>
      <c r="X39" s="17">
        <f>+U39</f>
        <v>14206000</v>
      </c>
      <c r="Z39" s="17">
        <f>+U39</f>
        <v>14206000</v>
      </c>
      <c r="AB39" s="17">
        <v>0</v>
      </c>
      <c r="AD39" s="532">
        <f>+G39</f>
        <v>14206000</v>
      </c>
    </row>
    <row r="40" spans="1:30" ht="277.5" customHeight="1" thickBot="1" x14ac:dyDescent="0.35">
      <c r="A40" s="34">
        <f t="shared" si="2"/>
        <v>20</v>
      </c>
      <c r="B40" s="35" t="s">
        <v>76</v>
      </c>
      <c r="C40" s="40" t="s">
        <v>104</v>
      </c>
      <c r="D40" s="426">
        <v>9375000</v>
      </c>
      <c r="E40" s="35" t="s">
        <v>76</v>
      </c>
      <c r="F40" s="36" t="s">
        <v>104</v>
      </c>
      <c r="G40" s="426">
        <f>+'WFL Domestic-MC'!G27</f>
        <v>20758333.359999999</v>
      </c>
      <c r="H40" s="204" t="s">
        <v>985</v>
      </c>
      <c r="I40" s="36">
        <v>2019</v>
      </c>
      <c r="J40" s="357" t="s">
        <v>986</v>
      </c>
      <c r="K40" s="36" t="s">
        <v>649</v>
      </c>
      <c r="L40" s="36" t="s">
        <v>2</v>
      </c>
      <c r="M40" s="442"/>
      <c r="N40" s="518" t="s">
        <v>1085</v>
      </c>
      <c r="O40" s="442"/>
      <c r="P40" s="17">
        <f>+'WFL Domestic-MC'!G27+'WFL Domestic-MC'!H27</f>
        <v>44823736.12879999</v>
      </c>
      <c r="T40" s="17">
        <v>9375000</v>
      </c>
      <c r="U40" s="17">
        <f>+G40</f>
        <v>20758333.359999999</v>
      </c>
      <c r="V40" s="17">
        <f>+U40</f>
        <v>20758333.359999999</v>
      </c>
      <c r="X40" s="17">
        <f>+T40*0</f>
        <v>0</v>
      </c>
      <c r="Z40" s="17">
        <f>+X40</f>
        <v>0</v>
      </c>
      <c r="AB40" s="17">
        <v>0</v>
      </c>
      <c r="AD40" s="17">
        <v>0</v>
      </c>
    </row>
    <row r="41" spans="1:30" ht="198.6" thickBot="1" x14ac:dyDescent="0.35">
      <c r="A41" s="34">
        <f t="shared" si="2"/>
        <v>21</v>
      </c>
      <c r="B41" s="35" t="s">
        <v>78</v>
      </c>
      <c r="C41" s="36">
        <v>1</v>
      </c>
      <c r="D41" s="426">
        <v>30000000</v>
      </c>
      <c r="E41" s="35" t="s">
        <v>78</v>
      </c>
      <c r="F41" s="36" t="s">
        <v>970</v>
      </c>
      <c r="G41" s="426">
        <f>+'WFL Domestic-MC'!G105</f>
        <v>50283082</v>
      </c>
      <c r="H41" s="36" t="s">
        <v>969</v>
      </c>
      <c r="I41" s="36">
        <v>2019</v>
      </c>
      <c r="J41" s="36" t="s">
        <v>971</v>
      </c>
      <c r="K41" s="36" t="s">
        <v>649</v>
      </c>
      <c r="L41" s="36" t="s">
        <v>2</v>
      </c>
      <c r="M41" s="442"/>
      <c r="N41" s="518" t="s">
        <v>1086</v>
      </c>
      <c r="O41" s="442"/>
      <c r="P41" s="17">
        <f>+'WFL Domestic-MC'!G105+'WFL Domestic-MC'!H105</f>
        <v>59600427</v>
      </c>
      <c r="T41" s="17">
        <v>30000000</v>
      </c>
      <c r="U41" s="17">
        <f>+G41</f>
        <v>50283082</v>
      </c>
      <c r="V41" s="17">
        <f>+'WFL Domestic-MC'!G105</f>
        <v>50283082</v>
      </c>
      <c r="X41" s="17">
        <f>+T41</f>
        <v>30000000</v>
      </c>
      <c r="Z41" s="17">
        <f>+U41</f>
        <v>50283082</v>
      </c>
      <c r="AB41" s="17">
        <v>0</v>
      </c>
      <c r="AD41" s="17">
        <f>+G41</f>
        <v>50283082</v>
      </c>
    </row>
    <row r="42" spans="1:30" ht="132.6" thickBot="1" x14ac:dyDescent="0.35">
      <c r="A42" s="34">
        <f t="shared" si="2"/>
        <v>22</v>
      </c>
      <c r="B42" s="35" t="s">
        <v>80</v>
      </c>
      <c r="C42" s="36" t="s">
        <v>112</v>
      </c>
      <c r="D42" s="426">
        <v>55000000</v>
      </c>
      <c r="E42" s="35" t="s">
        <v>80</v>
      </c>
      <c r="F42" s="36" t="s">
        <v>112</v>
      </c>
      <c r="G42" s="426">
        <f>+'WFL Domestic-MC'!G21</f>
        <v>11270000</v>
      </c>
      <c r="H42" s="36" t="s">
        <v>963</v>
      </c>
      <c r="I42" s="36">
        <v>2019</v>
      </c>
      <c r="J42" s="36" t="s">
        <v>964</v>
      </c>
      <c r="K42" s="36" t="s">
        <v>649</v>
      </c>
      <c r="L42" s="36" t="s">
        <v>2</v>
      </c>
      <c r="M42" s="442"/>
      <c r="N42" s="518" t="s">
        <v>1088</v>
      </c>
      <c r="O42" s="442"/>
      <c r="P42" s="17">
        <f>+'WFL Domestic-MC'!G21+'WFL Domestic-MC'!H21</f>
        <v>11500000</v>
      </c>
      <c r="T42" s="17">
        <v>55000000</v>
      </c>
      <c r="U42" s="17">
        <f>+G42</f>
        <v>11270000</v>
      </c>
      <c r="V42" s="17">
        <f>+'WFL Domestic-MC'!G21</f>
        <v>11270000</v>
      </c>
      <c r="X42" s="17">
        <f>+U42</f>
        <v>11270000</v>
      </c>
      <c r="Z42" s="17">
        <f>+U42</f>
        <v>11270000</v>
      </c>
      <c r="AB42" s="17">
        <f>+X42</f>
        <v>11270000</v>
      </c>
      <c r="AD42" s="532">
        <f>+Z42</f>
        <v>11270000</v>
      </c>
    </row>
    <row r="43" spans="1:30" x14ac:dyDescent="0.3">
      <c r="A43" s="34"/>
      <c r="B43" s="35"/>
      <c r="C43" s="36"/>
      <c r="D43" s="426"/>
      <c r="E43" s="35"/>
      <c r="F43" s="36"/>
      <c r="G43" s="426"/>
      <c r="H43" s="37"/>
      <c r="I43" s="40"/>
      <c r="J43" s="70"/>
      <c r="K43" s="336"/>
      <c r="L43" s="334"/>
      <c r="M43" s="17"/>
      <c r="N43" s="516"/>
      <c r="O43" s="17"/>
    </row>
    <row r="44" spans="1:30" ht="13.8" thickBot="1" x14ac:dyDescent="0.35">
      <c r="A44" s="337"/>
      <c r="B44" s="338"/>
      <c r="C44" s="339"/>
      <c r="D44" s="438"/>
      <c r="E44" s="339"/>
      <c r="F44" s="339"/>
      <c r="G44" s="429"/>
      <c r="H44" s="340"/>
      <c r="I44" s="341"/>
      <c r="J44" s="256"/>
      <c r="K44" s="342"/>
      <c r="L44" s="343"/>
      <c r="M44" s="17"/>
      <c r="N44" s="517"/>
      <c r="O44" s="17"/>
    </row>
    <row r="45" spans="1:30" ht="13.8" thickBot="1" x14ac:dyDescent="0.35">
      <c r="A45" s="191"/>
      <c r="B45" s="346" t="s">
        <v>124</v>
      </c>
      <c r="C45" s="344"/>
      <c r="D45" s="430">
        <f>SUM(D5:D44)</f>
        <v>3024872000</v>
      </c>
      <c r="E45" s="330"/>
      <c r="F45" s="347"/>
      <c r="G45" s="445">
        <f>SUM(G5:G44)</f>
        <v>2633975723.745378</v>
      </c>
      <c r="H45" s="327"/>
      <c r="I45" s="327"/>
      <c r="J45" s="345"/>
      <c r="K45" s="344"/>
      <c r="L45" s="344"/>
      <c r="M45" s="344"/>
      <c r="N45" s="344"/>
      <c r="O45" s="344"/>
      <c r="P45" s="446">
        <f>SUM(P5:P44)</f>
        <v>2699985114.2649775</v>
      </c>
      <c r="T45" s="472">
        <f>SUM(T5:T44)</f>
        <v>2000000000</v>
      </c>
      <c r="U45" s="472">
        <f t="shared" ref="U45:AD45" si="3">SUM(U5:U44)</f>
        <v>2447514583.3499031</v>
      </c>
      <c r="V45" s="472">
        <f t="shared" si="3"/>
        <v>2644016616.1736813</v>
      </c>
      <c r="X45" s="468">
        <f t="shared" si="3"/>
        <v>1674907714.1675217</v>
      </c>
      <c r="Z45" s="468">
        <f t="shared" si="3"/>
        <v>2491565460.4576778</v>
      </c>
      <c r="AB45" s="468">
        <f t="shared" si="3"/>
        <v>1288910760.7154624</v>
      </c>
      <c r="AD45" s="468">
        <f t="shared" si="3"/>
        <v>2037796133.512759</v>
      </c>
    </row>
    <row r="47" spans="1:30" x14ac:dyDescent="0.3">
      <c r="P47" s="444">
        <f>+P45-G45</f>
        <v>66009390.519599438</v>
      </c>
      <c r="Q47" s="13" t="s">
        <v>997</v>
      </c>
    </row>
    <row r="48" spans="1:30" x14ac:dyDescent="0.3">
      <c r="D48" s="434">
        <f>+D45*15%</f>
        <v>453730800</v>
      </c>
    </row>
    <row r="51" spans="4:31" ht="13.8" thickBot="1" x14ac:dyDescent="0.35">
      <c r="D51" s="434">
        <v>453730800</v>
      </c>
      <c r="G51" s="422">
        <f>+G6+G7+G8+G9+G10+G11+G12+G13+G20+G22+G23+G24+G25+G26+G28+G31</f>
        <v>2258712967.7099028</v>
      </c>
      <c r="H51" s="15" t="s">
        <v>1</v>
      </c>
      <c r="I51" s="359">
        <f>+G51-'WFL Imported-MC-BE-Rate-value'!X87</f>
        <v>12346574.136505604</v>
      </c>
    </row>
    <row r="52" spans="4:31" ht="13.8" thickBot="1" x14ac:dyDescent="0.35">
      <c r="D52" s="462">
        <f>+D51/15*100</f>
        <v>3024872000</v>
      </c>
      <c r="G52" s="422">
        <f>+G21+G27+G29+G30+G32+G33+G34+G35+G36+G38+G39+G40+G41+G42</f>
        <v>253387800.36000001</v>
      </c>
      <c r="H52" s="15" t="s">
        <v>385</v>
      </c>
      <c r="I52" s="359">
        <f>+G52-'WFL Domestic-MC'!G170</f>
        <v>0</v>
      </c>
    </row>
    <row r="53" spans="4:31" x14ac:dyDescent="0.3">
      <c r="D53" s="434">
        <f>+D45-D52</f>
        <v>0</v>
      </c>
      <c r="I53" s="359"/>
    </row>
    <row r="54" spans="4:31" x14ac:dyDescent="0.3">
      <c r="G54" s="422">
        <f>+G37</f>
        <v>121874955.67547499</v>
      </c>
      <c r="H54" s="433" t="str">
        <f>+H37</f>
        <v>J. Zimmer Maschinenbau GmbH</v>
      </c>
      <c r="P54" s="17">
        <f>+G54</f>
        <v>121874955.67547499</v>
      </c>
      <c r="Q54" s="17" t="str">
        <f>+H54</f>
        <v>J. Zimmer Maschinenbau GmbH</v>
      </c>
    </row>
    <row r="55" spans="4:31" x14ac:dyDescent="0.3">
      <c r="G55" s="422">
        <f>G40</f>
        <v>20758333.359999999</v>
      </c>
      <c r="H55" s="439" t="str">
        <f>H40</f>
        <v>Nilkamal Bito Storage Systems Pvt. Ltd.</v>
      </c>
      <c r="P55" s="17">
        <f t="shared" ref="P55:Q57" si="4">+G55</f>
        <v>20758333.359999999</v>
      </c>
      <c r="Q55" s="17" t="str">
        <f t="shared" si="4"/>
        <v>Nilkamal Bito Storage Systems Pvt. Ltd.</v>
      </c>
    </row>
    <row r="56" spans="4:31" x14ac:dyDescent="0.3">
      <c r="G56" s="422">
        <f>G30</f>
        <v>26352330</v>
      </c>
      <c r="H56" s="439" t="str">
        <f>H30</f>
        <v>Jungheinrich Lift Truck India Pvt. Ltd.</v>
      </c>
      <c r="P56" s="17">
        <f t="shared" si="4"/>
        <v>26352330</v>
      </c>
      <c r="Q56" s="17" t="str">
        <f t="shared" si="4"/>
        <v>Jungheinrich Lift Truck India Pvt. Ltd.</v>
      </c>
    </row>
    <row r="57" spans="4:31" x14ac:dyDescent="0.3">
      <c r="G57" s="422">
        <f>G25</f>
        <v>20943627.074999999</v>
      </c>
      <c r="H57" s="439" t="str">
        <f>H25</f>
        <v>Textechno Herbert Stein GmbH &amp; Co. KG</v>
      </c>
      <c r="P57" s="17">
        <f t="shared" si="4"/>
        <v>20943627.074999999</v>
      </c>
      <c r="Q57" s="17" t="str">
        <f t="shared" si="4"/>
        <v>Textechno Herbert Stein GmbH &amp; Co. KG</v>
      </c>
    </row>
    <row r="59" spans="4:31" ht="13.8" thickBot="1" x14ac:dyDescent="0.35"/>
    <row r="60" spans="4:31" ht="13.8" thickBot="1" x14ac:dyDescent="0.35">
      <c r="G60" s="431">
        <f>G45-SUM(G54:G57)</f>
        <v>2444046477.634903</v>
      </c>
      <c r="I60" s="359"/>
      <c r="P60" s="431">
        <f>P45-SUM(P54:P57)</f>
        <v>2510055868.1545024</v>
      </c>
      <c r="Q60" s="15"/>
      <c r="R60" s="359"/>
    </row>
    <row r="61" spans="4:31" x14ac:dyDescent="0.3">
      <c r="P61" s="422"/>
      <c r="Q61" s="15"/>
      <c r="R61" s="15"/>
    </row>
    <row r="62" spans="4:31" ht="39.6" x14ac:dyDescent="0.3">
      <c r="G62" s="422">
        <f>-(G10+G22)*5%</f>
        <v>-57031070.156715274</v>
      </c>
      <c r="H62" s="15" t="s">
        <v>990</v>
      </c>
      <c r="I62" s="15" t="s">
        <v>991</v>
      </c>
      <c r="P62" s="422">
        <f>-(P10+P22)*5%</f>
        <v>-57031070.156715274</v>
      </c>
      <c r="Q62" s="15" t="s">
        <v>990</v>
      </c>
      <c r="R62" s="15" t="s">
        <v>991</v>
      </c>
      <c r="V62" s="15" t="s">
        <v>990</v>
      </c>
      <c r="X62" s="17">
        <f>+P62</f>
        <v>-57031070.156715274</v>
      </c>
      <c r="Z62" s="17">
        <f>+X62</f>
        <v>-57031070.156715274</v>
      </c>
      <c r="AB62" s="17">
        <f>+X62</f>
        <v>-57031070.156715274</v>
      </c>
      <c r="AD62" s="17">
        <f>+Z62</f>
        <v>-57031070.156715274</v>
      </c>
    </row>
    <row r="63" spans="4:31" ht="13.8" thickBot="1" x14ac:dyDescent="0.35">
      <c r="P63" s="422"/>
      <c r="Q63" s="15"/>
      <c r="R63" s="15"/>
    </row>
    <row r="64" spans="4:31" ht="13.8" thickBot="1" x14ac:dyDescent="0.35">
      <c r="G64" s="432">
        <f>+G60+G62</f>
        <v>2387015407.4781876</v>
      </c>
      <c r="P64" s="432">
        <f>+P60+P62</f>
        <v>2453024797.997787</v>
      </c>
      <c r="Q64" s="15"/>
      <c r="R64" s="15"/>
      <c r="X64" s="432">
        <f>+X45+X62</f>
        <v>1617876644.0108066</v>
      </c>
      <c r="Z64" s="432">
        <f>+Z45+Z62</f>
        <v>2434534390.3009624</v>
      </c>
      <c r="AB64" s="432">
        <f>+AB45+AB62</f>
        <v>1231879690.5587473</v>
      </c>
      <c r="AD64" s="432">
        <f>+AD45+AD62</f>
        <v>1980765063.3560438</v>
      </c>
      <c r="AE64" s="17">
        <f>+AD64-2000000000</f>
        <v>-19234936.643956184</v>
      </c>
    </row>
    <row r="65" spans="1:31" x14ac:dyDescent="0.3">
      <c r="X65" s="13">
        <f>+X64*15%/10000000</f>
        <v>24.268149660162099</v>
      </c>
      <c r="Z65" s="13">
        <f>+Z64*15%/10000000</f>
        <v>36.518015854514438</v>
      </c>
      <c r="AB65" s="13">
        <f>+AB64*15%/10000000</f>
        <v>18.47819535838121</v>
      </c>
      <c r="AD65" s="13">
        <f>+AD64*15%/10000000</f>
        <v>29.71147595034066</v>
      </c>
    </row>
    <row r="66" spans="1:31" x14ac:dyDescent="0.3">
      <c r="G66" s="452">
        <f>+P66</f>
        <v>378917770.0848</v>
      </c>
      <c r="H66" s="216" t="s">
        <v>1000</v>
      </c>
      <c r="P66" s="452">
        <f>+'WFL Imported-MC-BE-Rate-value'!AB94</f>
        <v>378917770.0848</v>
      </c>
      <c r="Q66" s="216" t="s">
        <v>1000</v>
      </c>
    </row>
    <row r="67" spans="1:31" ht="13.8" thickBot="1" x14ac:dyDescent="0.35">
      <c r="Z67" s="13">
        <f>11.5*15%</f>
        <v>1.7249999999999999</v>
      </c>
      <c r="AD67" s="13">
        <f>5*15%</f>
        <v>0.75</v>
      </c>
      <c r="AE67" s="13" t="s">
        <v>1072</v>
      </c>
    </row>
    <row r="68" spans="1:31" ht="13.8" thickBot="1" x14ac:dyDescent="0.35">
      <c r="G68" s="453">
        <f>+G64-G66</f>
        <v>2008097637.3933876</v>
      </c>
      <c r="P68" s="453">
        <f>+P64-P66</f>
        <v>2074107027.912987</v>
      </c>
      <c r="Z68" s="509">
        <f>+Z65+Z67</f>
        <v>38.243015854514439</v>
      </c>
      <c r="AD68" s="266">
        <f>+AD65+AD67</f>
        <v>30.46147595034066</v>
      </c>
    </row>
    <row r="69" spans="1:31" x14ac:dyDescent="0.3">
      <c r="G69" s="17"/>
    </row>
    <row r="70" spans="1:31" ht="13.8" thickBot="1" x14ac:dyDescent="0.35">
      <c r="G70" s="452">
        <f>+G28</f>
        <v>27206040.632699996</v>
      </c>
      <c r="H70" s="216" t="s">
        <v>1001</v>
      </c>
      <c r="P70" s="452">
        <f>+P28</f>
        <v>27206040.632699996</v>
      </c>
      <c r="Q70" s="216" t="s">
        <v>1001</v>
      </c>
    </row>
    <row r="71" spans="1:31" ht="13.8" thickBot="1" x14ac:dyDescent="0.35">
      <c r="G71" s="17"/>
      <c r="AB71" s="521"/>
      <c r="AC71" s="522"/>
      <c r="AD71" s="523"/>
      <c r="AE71" s="524">
        <v>0.15</v>
      </c>
    </row>
    <row r="72" spans="1:31" ht="13.8" thickBot="1" x14ac:dyDescent="0.35">
      <c r="G72" s="453">
        <f>+G68-G70</f>
        <v>1980891596.7606876</v>
      </c>
      <c r="P72" s="453">
        <f>+P68-P70</f>
        <v>2046900987.280287</v>
      </c>
      <c r="AB72" s="527" t="s">
        <v>1098</v>
      </c>
      <c r="AC72" s="519"/>
      <c r="AD72" s="531">
        <v>13.83</v>
      </c>
      <c r="AE72" s="525">
        <f>+AD72*15%</f>
        <v>2.0745</v>
      </c>
    </row>
    <row r="73" spans="1:31" x14ac:dyDescent="0.3">
      <c r="AB73" s="528" t="s">
        <v>341</v>
      </c>
      <c r="AD73" s="525">
        <v>12.5</v>
      </c>
      <c r="AE73" s="525">
        <f>+AD73*15%</f>
        <v>1.875</v>
      </c>
    </row>
    <row r="74" spans="1:31" x14ac:dyDescent="0.3">
      <c r="AB74" s="528" t="s">
        <v>380</v>
      </c>
      <c r="AD74" s="525">
        <v>5.23</v>
      </c>
      <c r="AE74" s="525">
        <f>+AD74*15%</f>
        <v>0.78450000000000009</v>
      </c>
    </row>
    <row r="75" spans="1:31" ht="13.8" thickBot="1" x14ac:dyDescent="0.35">
      <c r="AB75" s="528" t="s">
        <v>1099</v>
      </c>
      <c r="AD75" s="525">
        <v>4.6900000000000004</v>
      </c>
      <c r="AE75" s="525">
        <f>+AD75*15%</f>
        <v>0.70350000000000001</v>
      </c>
    </row>
    <row r="76" spans="1:31" ht="13.8" thickBot="1" x14ac:dyDescent="0.35">
      <c r="AB76" s="529" t="s">
        <v>1100</v>
      </c>
      <c r="AC76" s="522"/>
      <c r="AD76" s="526">
        <f>SUM(AD72:AD75)</f>
        <v>36.25</v>
      </c>
      <c r="AE76" s="525"/>
    </row>
    <row r="77" spans="1:31" ht="13.8" thickBot="1" x14ac:dyDescent="0.35">
      <c r="AB77" s="530">
        <v>0.15</v>
      </c>
      <c r="AC77" s="520"/>
      <c r="AD77" s="207">
        <f>+AD76*15%</f>
        <v>5.4375</v>
      </c>
      <c r="AE77" s="526">
        <f>SUM(AE72:AE76)</f>
        <v>5.4375</v>
      </c>
    </row>
    <row r="79" spans="1:31" x14ac:dyDescent="0.3">
      <c r="A79" s="13"/>
      <c r="B79" s="13"/>
      <c r="C79" s="54"/>
      <c r="D79" s="433"/>
      <c r="E79" s="13"/>
      <c r="F79" s="13"/>
      <c r="G79" s="433"/>
      <c r="H79" s="13"/>
      <c r="I79" s="14"/>
      <c r="K79" s="13"/>
    </row>
    <row r="80" spans="1:31" x14ac:dyDescent="0.3">
      <c r="A80" s="13"/>
      <c r="B80" s="13"/>
      <c r="C80" s="54"/>
      <c r="D80" s="433"/>
      <c r="E80" s="13"/>
      <c r="F80" s="13"/>
      <c r="G80" s="433"/>
      <c r="H80" s="13"/>
      <c r="I80" s="14"/>
      <c r="K80" s="13"/>
    </row>
    <row r="81" spans="1:11" x14ac:dyDescent="0.3">
      <c r="A81" s="13"/>
      <c r="B81" s="13"/>
      <c r="C81" s="54"/>
      <c r="D81" s="433"/>
      <c r="E81" s="13"/>
      <c r="F81" s="13"/>
      <c r="G81" s="433"/>
      <c r="H81" s="13"/>
      <c r="I81" s="14"/>
      <c r="K81" s="13"/>
    </row>
    <row r="82" spans="1:11" x14ac:dyDescent="0.3">
      <c r="A82" s="13"/>
      <c r="B82" s="13"/>
      <c r="C82" s="54"/>
      <c r="D82" s="433"/>
      <c r="E82" s="13"/>
      <c r="F82" s="13"/>
      <c r="G82" s="433"/>
      <c r="H82" s="13"/>
      <c r="I82" s="14"/>
      <c r="K82" s="13"/>
    </row>
  </sheetData>
  <mergeCells count="8">
    <mergeCell ref="X2:Z2"/>
    <mergeCell ref="AB2:AD2"/>
    <mergeCell ref="F13:F19"/>
    <mergeCell ref="P13:P19"/>
    <mergeCell ref="G13:G19"/>
    <mergeCell ref="L13:L19"/>
    <mergeCell ref="H13:H19"/>
    <mergeCell ref="I13:I19"/>
  </mergeCells>
  <printOptions horizontalCentered="1" verticalCentered="1" gridLines="1"/>
  <pageMargins left="0" right="0" top="0" bottom="0" header="0" footer="0"/>
  <pageSetup paperSize="9" scale="13"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39"/>
  <sheetViews>
    <sheetView topLeftCell="G1" zoomScale="95" zoomScaleNormal="95" workbookViewId="0">
      <selection activeCell="O2" sqref="O2"/>
    </sheetView>
  </sheetViews>
  <sheetFormatPr defaultColWidth="9.109375" defaultRowHeight="14.4" x14ac:dyDescent="0.3"/>
  <cols>
    <col min="1" max="1" width="1.109375" style="609" customWidth="1"/>
    <col min="2" max="2" width="5.44140625" style="609" customWidth="1"/>
    <col min="3" max="3" width="49.88671875" style="609" customWidth="1"/>
    <col min="4" max="4" width="19.6640625" style="658" customWidth="1"/>
    <col min="5" max="5" width="16.44140625" style="659" customWidth="1"/>
    <col min="6" max="6" width="19.109375" style="609" customWidth="1"/>
    <col min="7" max="8" width="21.33203125" style="659" bestFit="1" customWidth="1"/>
    <col min="9" max="9" width="22.109375" style="656" bestFit="1" customWidth="1"/>
    <col min="10" max="10" width="21.33203125" style="656" bestFit="1" customWidth="1"/>
    <col min="11" max="11" width="29.5546875" style="656" customWidth="1"/>
    <col min="12" max="12" width="18.109375" style="653" bestFit="1" customWidth="1"/>
    <col min="13" max="13" width="14.44140625" style="653" customWidth="1"/>
    <col min="14" max="14" width="31.33203125" style="609" customWidth="1"/>
    <col min="15" max="16384" width="9.109375" style="609"/>
  </cols>
  <sheetData>
    <row r="1" spans="2:80" ht="28.8" x14ac:dyDescent="0.3">
      <c r="B1" s="603" t="s">
        <v>1122</v>
      </c>
      <c r="C1" s="604" t="s">
        <v>1123</v>
      </c>
      <c r="D1" s="605" t="s">
        <v>1124</v>
      </c>
      <c r="E1" s="606" t="s">
        <v>1039</v>
      </c>
      <c r="F1" s="604" t="s">
        <v>1125</v>
      </c>
      <c r="G1" s="606" t="s">
        <v>1126</v>
      </c>
      <c r="H1" s="606" t="s">
        <v>1127</v>
      </c>
      <c r="I1" s="607" t="s">
        <v>1128</v>
      </c>
      <c r="J1" s="607" t="s">
        <v>1129</v>
      </c>
      <c r="K1" s="606" t="s">
        <v>839</v>
      </c>
      <c r="L1" s="608" t="s">
        <v>1130</v>
      </c>
      <c r="M1" s="608" t="s">
        <v>1131</v>
      </c>
    </row>
    <row r="2" spans="2:80" s="617" customFormat="1" ht="42" customHeight="1" x14ac:dyDescent="0.3">
      <c r="B2" s="610">
        <v>1</v>
      </c>
      <c r="C2" s="611" t="s">
        <v>72</v>
      </c>
      <c r="D2" s="612" t="s">
        <v>942</v>
      </c>
      <c r="E2" s="613" t="s">
        <v>184</v>
      </c>
      <c r="F2" s="614" t="s">
        <v>1132</v>
      </c>
      <c r="G2" s="602">
        <v>229600000</v>
      </c>
      <c r="H2" s="602">
        <v>410551475.36243033</v>
      </c>
      <c r="I2" s="615">
        <v>445190612.60000002</v>
      </c>
      <c r="J2" s="615">
        <f>I2</f>
        <v>445190612.60000002</v>
      </c>
      <c r="K2" s="615"/>
      <c r="L2" s="616" t="s">
        <v>1133</v>
      </c>
      <c r="M2" s="616" t="s">
        <v>1134</v>
      </c>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row>
    <row r="3" spans="2:80" s="617" customFormat="1" ht="42" customHeight="1" x14ac:dyDescent="0.3">
      <c r="B3" s="610">
        <v>2</v>
      </c>
      <c r="C3" s="618" t="s">
        <v>98</v>
      </c>
      <c r="D3" s="619" t="s">
        <v>1135</v>
      </c>
      <c r="E3" s="620" t="s">
        <v>1136</v>
      </c>
      <c r="F3" s="614" t="s">
        <v>1132</v>
      </c>
      <c r="G3" s="602">
        <v>275000000</v>
      </c>
      <c r="H3" s="602">
        <v>345045671.09000003</v>
      </c>
      <c r="I3" s="621">
        <v>345045671.09000003</v>
      </c>
      <c r="J3" s="615">
        <f>I3</f>
        <v>345045671.09000003</v>
      </c>
      <c r="K3" s="615"/>
      <c r="L3" s="616" t="s">
        <v>1137</v>
      </c>
      <c r="M3" s="616" t="s">
        <v>1138</v>
      </c>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09"/>
    </row>
    <row r="4" spans="2:80" s="617" customFormat="1" ht="42" customHeight="1" x14ac:dyDescent="0.3">
      <c r="B4" s="610">
        <v>3</v>
      </c>
      <c r="C4" s="611" t="s">
        <v>102</v>
      </c>
      <c r="D4" s="612" t="s">
        <v>962</v>
      </c>
      <c r="E4" s="613" t="s">
        <v>2</v>
      </c>
      <c r="F4" s="614" t="s">
        <v>1132</v>
      </c>
      <c r="G4" s="602">
        <v>6500000</v>
      </c>
      <c r="H4" s="602">
        <v>5650000</v>
      </c>
      <c r="I4" s="621">
        <v>6782640</v>
      </c>
      <c r="J4" s="615">
        <f>I4</f>
        <v>6782640</v>
      </c>
      <c r="K4" s="615"/>
      <c r="L4" s="616" t="s">
        <v>1139</v>
      </c>
      <c r="M4" s="616" t="s">
        <v>1140</v>
      </c>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row>
    <row r="5" spans="2:80" s="617" customFormat="1" ht="42" customHeight="1" x14ac:dyDescent="0.3">
      <c r="B5" s="610">
        <v>4</v>
      </c>
      <c r="C5" s="611" t="s">
        <v>114</v>
      </c>
      <c r="D5" s="612" t="s">
        <v>942</v>
      </c>
      <c r="E5" s="613" t="s">
        <v>184</v>
      </c>
      <c r="F5" s="614" t="s">
        <v>1132</v>
      </c>
      <c r="G5" s="602">
        <v>485850000</v>
      </c>
      <c r="H5" s="602">
        <v>839859127.77187502</v>
      </c>
      <c r="I5" s="621">
        <v>913451748</v>
      </c>
      <c r="J5" s="615">
        <f>I5</f>
        <v>913451748</v>
      </c>
      <c r="K5" s="615"/>
      <c r="L5" s="616" t="s">
        <v>1141</v>
      </c>
      <c r="M5" s="616" t="s">
        <v>1142</v>
      </c>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row>
    <row r="6" spans="2:80" s="617" customFormat="1" ht="42" customHeight="1" x14ac:dyDescent="0.3">
      <c r="B6" s="610">
        <v>5</v>
      </c>
      <c r="C6" s="611" t="s">
        <v>82</v>
      </c>
      <c r="D6" s="612" t="s">
        <v>921</v>
      </c>
      <c r="E6" s="620" t="s">
        <v>184</v>
      </c>
      <c r="F6" s="614" t="s">
        <v>1132</v>
      </c>
      <c r="G6" s="602">
        <v>35000000</v>
      </c>
      <c r="H6" s="602">
        <v>146177345.89751598</v>
      </c>
      <c r="I6" s="621">
        <v>52434564.490000002</v>
      </c>
      <c r="J6" s="615">
        <f>I6</f>
        <v>52434564.490000002</v>
      </c>
      <c r="K6" s="615"/>
      <c r="L6" s="616" t="s">
        <v>1143</v>
      </c>
      <c r="M6" s="616" t="s">
        <v>1144</v>
      </c>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row>
    <row r="7" spans="2:80" s="617" customFormat="1" ht="42" customHeight="1" x14ac:dyDescent="0.3">
      <c r="B7" s="610">
        <v>6</v>
      </c>
      <c r="C7" s="611" t="s">
        <v>83</v>
      </c>
      <c r="D7" s="612" t="s">
        <v>953</v>
      </c>
      <c r="E7" s="620" t="s">
        <v>2</v>
      </c>
      <c r="F7" s="614" t="s">
        <v>1132</v>
      </c>
      <c r="G7" s="602">
        <v>11250000</v>
      </c>
      <c r="H7" s="602">
        <v>3464000</v>
      </c>
      <c r="I7" s="621">
        <v>4087520</v>
      </c>
      <c r="J7" s="615">
        <f>H7</f>
        <v>3464000</v>
      </c>
      <c r="K7" s="615"/>
      <c r="L7" s="616" t="s">
        <v>1145</v>
      </c>
      <c r="M7" s="616" t="s">
        <v>1146</v>
      </c>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row>
    <row r="8" spans="2:80" s="617" customFormat="1" ht="42" customHeight="1" x14ac:dyDescent="0.3">
      <c r="B8" s="610">
        <v>7</v>
      </c>
      <c r="C8" s="618" t="s">
        <v>84</v>
      </c>
      <c r="D8" s="612" t="s">
        <v>957</v>
      </c>
      <c r="E8" s="620" t="s">
        <v>2</v>
      </c>
      <c r="F8" s="614" t="s">
        <v>1132</v>
      </c>
      <c r="G8" s="602">
        <v>71428.571428571435</v>
      </c>
      <c r="H8" s="602">
        <v>30516400</v>
      </c>
      <c r="I8" s="622">
        <f>H8</f>
        <v>30516400</v>
      </c>
      <c r="J8" s="615">
        <f>H8</f>
        <v>30516400</v>
      </c>
      <c r="K8" s="615"/>
      <c r="L8" s="616" t="s">
        <v>1147</v>
      </c>
      <c r="M8" s="616" t="s">
        <v>1148</v>
      </c>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row>
    <row r="9" spans="2:80" s="617" customFormat="1" ht="42" customHeight="1" x14ac:dyDescent="0.3">
      <c r="B9" s="610">
        <v>8</v>
      </c>
      <c r="C9" s="618" t="s">
        <v>77</v>
      </c>
      <c r="D9" s="612" t="s">
        <v>980</v>
      </c>
      <c r="E9" s="620" t="s">
        <v>2</v>
      </c>
      <c r="F9" s="614" t="s">
        <v>1132</v>
      </c>
      <c r="G9" s="623">
        <v>36450000</v>
      </c>
      <c r="H9" s="602">
        <v>30137277.600000001</v>
      </c>
      <c r="I9" s="615">
        <v>37389480</v>
      </c>
      <c r="J9" s="615">
        <f>H9</f>
        <v>30137277.600000001</v>
      </c>
      <c r="K9" s="615"/>
      <c r="L9" s="616" t="s">
        <v>1149</v>
      </c>
      <c r="M9" s="616" t="s">
        <v>1150</v>
      </c>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row>
    <row r="10" spans="2:80" s="617" customFormat="1" ht="42" customHeight="1" x14ac:dyDescent="0.3">
      <c r="B10" s="610">
        <v>9</v>
      </c>
      <c r="C10" s="1454" t="s">
        <v>86</v>
      </c>
      <c r="D10" s="1455" t="s">
        <v>958</v>
      </c>
      <c r="E10" s="1456" t="s">
        <v>2</v>
      </c>
      <c r="F10" s="1456" t="s">
        <v>1132</v>
      </c>
      <c r="G10" s="1457">
        <v>36000000</v>
      </c>
      <c r="H10" s="602">
        <v>34850150</v>
      </c>
      <c r="I10" s="1458">
        <v>51388602</v>
      </c>
      <c r="J10" s="615">
        <f>SUM(H10:H11)</f>
        <v>43549665</v>
      </c>
      <c r="K10" s="615"/>
      <c r="L10" s="1447" t="s">
        <v>1151</v>
      </c>
      <c r="M10" s="616" t="s">
        <v>1152</v>
      </c>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row>
    <row r="11" spans="2:80" s="617" customFormat="1" ht="42" customHeight="1" x14ac:dyDescent="0.3">
      <c r="B11" s="610"/>
      <c r="C11" s="1454"/>
      <c r="D11" s="1455"/>
      <c r="E11" s="1456"/>
      <c r="F11" s="1456"/>
      <c r="G11" s="1457"/>
      <c r="H11" s="602">
        <v>8699515</v>
      </c>
      <c r="I11" s="1459"/>
      <c r="J11" s="624"/>
      <c r="K11" s="624"/>
      <c r="L11" s="1447"/>
      <c r="M11" s="616"/>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row>
    <row r="12" spans="2:80" s="617" customFormat="1" ht="42" customHeight="1" x14ac:dyDescent="0.3">
      <c r="B12" s="610">
        <v>10</v>
      </c>
      <c r="C12" s="611" t="s">
        <v>1153</v>
      </c>
      <c r="D12" s="612" t="s">
        <v>924</v>
      </c>
      <c r="E12" s="613" t="s">
        <v>926</v>
      </c>
      <c r="F12" s="614" t="s">
        <v>1132</v>
      </c>
      <c r="G12" s="625">
        <v>91000000</v>
      </c>
      <c r="H12" s="602">
        <v>85801610.715462491</v>
      </c>
      <c r="I12" s="621">
        <v>83936975.120000005</v>
      </c>
      <c r="J12" s="615">
        <f>I12</f>
        <v>83936975.120000005</v>
      </c>
      <c r="K12" s="615"/>
      <c r="L12" s="616" t="s">
        <v>1141</v>
      </c>
      <c r="M12" s="616" t="s">
        <v>1142</v>
      </c>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row>
    <row r="13" spans="2:80" s="617" customFormat="1" ht="42" customHeight="1" x14ac:dyDescent="0.3">
      <c r="B13" s="610">
        <v>11</v>
      </c>
      <c r="C13" s="611" t="s">
        <v>79</v>
      </c>
      <c r="D13" s="612" t="s">
        <v>972</v>
      </c>
      <c r="E13" s="620" t="s">
        <v>2</v>
      </c>
      <c r="F13" s="614" t="s">
        <v>1132</v>
      </c>
      <c r="G13" s="602">
        <v>7500000</v>
      </c>
      <c r="H13" s="602">
        <v>7650000</v>
      </c>
      <c r="I13" s="621">
        <v>9027000</v>
      </c>
      <c r="J13" s="615">
        <f>H13</f>
        <v>7650000</v>
      </c>
      <c r="K13" s="615"/>
      <c r="L13" s="616" t="s">
        <v>1154</v>
      </c>
      <c r="M13" s="616" t="s">
        <v>1155</v>
      </c>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row>
    <row r="14" spans="2:80" s="617" customFormat="1" ht="42" customHeight="1" x14ac:dyDescent="0.3">
      <c r="B14" s="610">
        <v>12</v>
      </c>
      <c r="C14" s="611" t="s">
        <v>81</v>
      </c>
      <c r="D14" s="612" t="s">
        <v>968</v>
      </c>
      <c r="E14" s="620" t="s">
        <v>2</v>
      </c>
      <c r="F14" s="614" t="s">
        <v>1132</v>
      </c>
      <c r="G14" s="602">
        <v>25000000</v>
      </c>
      <c r="H14" s="602">
        <v>14206000</v>
      </c>
      <c r="I14" s="621">
        <v>17700000</v>
      </c>
      <c r="J14" s="615">
        <f>H14</f>
        <v>14206000</v>
      </c>
      <c r="K14" s="615"/>
      <c r="L14" s="616" t="s">
        <v>1156</v>
      </c>
      <c r="M14" s="616" t="s">
        <v>1157</v>
      </c>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row>
    <row r="15" spans="2:80" s="617" customFormat="1" ht="42" customHeight="1" x14ac:dyDescent="0.3">
      <c r="B15" s="610">
        <v>13</v>
      </c>
      <c r="C15" s="611" t="s">
        <v>78</v>
      </c>
      <c r="D15" s="612" t="s">
        <v>969</v>
      </c>
      <c r="E15" s="620" t="s">
        <v>2</v>
      </c>
      <c r="F15" s="614" t="s">
        <v>1132</v>
      </c>
      <c r="G15" s="602">
        <v>30000000</v>
      </c>
      <c r="H15" s="602">
        <v>50283082</v>
      </c>
      <c r="I15" s="621">
        <v>50283082</v>
      </c>
      <c r="J15" s="615">
        <f>H15</f>
        <v>50283082</v>
      </c>
      <c r="K15" s="615"/>
      <c r="L15" s="616" t="s">
        <v>1158</v>
      </c>
      <c r="M15" s="616" t="s">
        <v>1159</v>
      </c>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row>
    <row r="16" spans="2:80" s="617" customFormat="1" ht="42" customHeight="1" x14ac:dyDescent="0.3">
      <c r="B16" s="610">
        <v>14</v>
      </c>
      <c r="C16" s="611" t="s">
        <v>80</v>
      </c>
      <c r="D16" s="612" t="s">
        <v>963</v>
      </c>
      <c r="E16" s="620" t="s">
        <v>2</v>
      </c>
      <c r="F16" s="614"/>
      <c r="G16" s="602">
        <v>55000000</v>
      </c>
      <c r="H16" s="602">
        <v>11270000</v>
      </c>
      <c r="I16" s="621"/>
      <c r="J16" s="615"/>
      <c r="K16" s="615"/>
      <c r="L16" s="616" t="s">
        <v>1160</v>
      </c>
      <c r="M16" s="616" t="s">
        <v>1161</v>
      </c>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row>
    <row r="17" spans="2:80" s="617" customFormat="1" ht="42" customHeight="1" x14ac:dyDescent="0.3">
      <c r="B17" s="610">
        <v>15</v>
      </c>
      <c r="C17" s="611" t="s">
        <v>234</v>
      </c>
      <c r="D17" s="612" t="s">
        <v>974</v>
      </c>
      <c r="E17" s="613" t="s">
        <v>975</v>
      </c>
      <c r="F17" s="614" t="s">
        <v>1132</v>
      </c>
      <c r="G17" s="602">
        <v>180000000</v>
      </c>
      <c r="H17" s="602">
        <v>121874955.67547499</v>
      </c>
      <c r="I17" s="621">
        <f>H17*0.8</f>
        <v>97499964.540380001</v>
      </c>
      <c r="J17" s="621">
        <f>I17</f>
        <v>97499964.540380001</v>
      </c>
      <c r="K17" s="619"/>
      <c r="L17" s="616" t="s">
        <v>1162</v>
      </c>
      <c r="M17" s="616" t="s">
        <v>1163</v>
      </c>
      <c r="N17" s="609" t="s">
        <v>1164</v>
      </c>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09"/>
      <c r="AL17" s="609"/>
      <c r="AM17" s="609"/>
      <c r="AN17" s="609"/>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row>
    <row r="18" spans="2:80" s="617" customFormat="1" ht="42" customHeight="1" x14ac:dyDescent="0.3">
      <c r="B18" s="610"/>
      <c r="C18" s="1448" t="s">
        <v>1165</v>
      </c>
      <c r="D18" s="1449"/>
      <c r="E18" s="1449"/>
      <c r="F18" s="1450"/>
      <c r="G18" s="626">
        <f>SUM(G2:G17)</f>
        <v>1504221428.5714285</v>
      </c>
      <c r="H18" s="627">
        <f>SUM(H2:H17)</f>
        <v>2146036611.1127586</v>
      </c>
      <c r="I18" s="626">
        <f>SUM(I2:I17)</f>
        <v>2144734259.8403802</v>
      </c>
      <c r="J18" s="627">
        <f>SUM(J2:J17)</f>
        <v>2124148600.4403801</v>
      </c>
      <c r="K18" s="619"/>
      <c r="L18" s="616"/>
      <c r="M18" s="616"/>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row>
    <row r="19" spans="2:80" ht="57.75" customHeight="1" x14ac:dyDescent="0.3">
      <c r="B19" s="628">
        <v>16</v>
      </c>
      <c r="C19" s="629" t="s">
        <v>72</v>
      </c>
      <c r="D19" s="630" t="s">
        <v>903</v>
      </c>
      <c r="E19" s="631" t="s">
        <v>184</v>
      </c>
      <c r="F19" s="632" t="s">
        <v>1166</v>
      </c>
      <c r="G19" s="633">
        <v>114800000</v>
      </c>
      <c r="H19" s="634">
        <v>132813014.5325</v>
      </c>
      <c r="I19" s="635">
        <v>136151644.5</v>
      </c>
      <c r="J19" s="635"/>
      <c r="K19" s="636" t="s">
        <v>1167</v>
      </c>
      <c r="L19" s="637" t="s">
        <v>1133</v>
      </c>
      <c r="M19" s="638" t="s">
        <v>1134</v>
      </c>
    </row>
    <row r="20" spans="2:80" ht="43.2" x14ac:dyDescent="0.3">
      <c r="B20" s="628">
        <v>17</v>
      </c>
      <c r="C20" s="639" t="s">
        <v>84</v>
      </c>
      <c r="D20" s="630" t="s">
        <v>342</v>
      </c>
      <c r="E20" s="640" t="s">
        <v>888</v>
      </c>
      <c r="F20" s="632" t="s">
        <v>1166</v>
      </c>
      <c r="G20" s="633">
        <v>53571.42857142858</v>
      </c>
      <c r="H20" s="634">
        <v>27206040.632699996</v>
      </c>
      <c r="I20" s="635">
        <v>30334249.629999995</v>
      </c>
      <c r="J20" s="635">
        <f>I20</f>
        <v>30334249.629999995</v>
      </c>
      <c r="K20" s="636" t="s">
        <v>1168</v>
      </c>
      <c r="L20" s="637" t="s">
        <v>1147</v>
      </c>
      <c r="M20" s="638" t="s">
        <v>1148</v>
      </c>
    </row>
    <row r="21" spans="2:80" ht="28.8" x14ac:dyDescent="0.3">
      <c r="B21" s="628">
        <v>18</v>
      </c>
      <c r="C21" s="639" t="s">
        <v>77</v>
      </c>
      <c r="D21" s="630" t="s">
        <v>483</v>
      </c>
      <c r="E21" s="640" t="s">
        <v>889</v>
      </c>
      <c r="F21" s="632" t="s">
        <v>1166</v>
      </c>
      <c r="G21" s="633">
        <v>12150000</v>
      </c>
      <c r="H21" s="634">
        <v>8756242.25</v>
      </c>
      <c r="I21" s="635" t="s">
        <v>1169</v>
      </c>
      <c r="J21" s="635"/>
      <c r="K21" s="636"/>
      <c r="L21" s="637" t="s">
        <v>1149</v>
      </c>
      <c r="M21" s="638" t="s">
        <v>1150</v>
      </c>
    </row>
    <row r="22" spans="2:80" ht="26.4" x14ac:dyDescent="0.3">
      <c r="B22" s="628">
        <v>19</v>
      </c>
      <c r="C22" s="639" t="s">
        <v>77</v>
      </c>
      <c r="D22" s="630" t="s">
        <v>979</v>
      </c>
      <c r="E22" s="631" t="s">
        <v>2</v>
      </c>
      <c r="F22" s="632"/>
      <c r="G22" s="633">
        <v>12150000</v>
      </c>
      <c r="H22" s="634">
        <v>8001990</v>
      </c>
      <c r="I22" s="635">
        <v>8001990</v>
      </c>
      <c r="J22" s="635">
        <f>I22</f>
        <v>8001990</v>
      </c>
      <c r="K22" s="636" t="s">
        <v>1170</v>
      </c>
      <c r="L22" s="637" t="s">
        <v>1149</v>
      </c>
      <c r="M22" s="638" t="s">
        <v>1150</v>
      </c>
    </row>
    <row r="23" spans="2:80" ht="66" x14ac:dyDescent="0.3">
      <c r="B23" s="628">
        <v>20</v>
      </c>
      <c r="C23" s="629" t="s">
        <v>94</v>
      </c>
      <c r="D23" s="630" t="s">
        <v>917</v>
      </c>
      <c r="E23" s="640" t="s">
        <v>919</v>
      </c>
      <c r="F23" s="632"/>
      <c r="G23" s="634">
        <v>18550000</v>
      </c>
      <c r="H23" s="634">
        <v>47753505.755834371</v>
      </c>
      <c r="I23" s="635">
        <v>47056822</v>
      </c>
      <c r="J23" s="635">
        <f>I23</f>
        <v>47056822</v>
      </c>
      <c r="K23" s="636" t="s">
        <v>1171</v>
      </c>
      <c r="L23" s="637" t="s">
        <v>1172</v>
      </c>
      <c r="M23" s="638" t="s">
        <v>1173</v>
      </c>
    </row>
    <row r="24" spans="2:80" ht="57.6" customHeight="1" x14ac:dyDescent="0.3">
      <c r="B24" s="628">
        <v>21</v>
      </c>
      <c r="C24" s="629" t="s">
        <v>94</v>
      </c>
      <c r="D24" s="630" t="s">
        <v>933</v>
      </c>
      <c r="E24" s="640" t="s">
        <v>936</v>
      </c>
      <c r="F24" s="641" t="s">
        <v>1166</v>
      </c>
      <c r="G24" s="634">
        <v>34450000</v>
      </c>
      <c r="H24" s="634">
        <v>127506586.38</v>
      </c>
      <c r="I24" s="642">
        <v>127506586.15000001</v>
      </c>
      <c r="J24" s="642">
        <f>I24</f>
        <v>127506586.15000001</v>
      </c>
      <c r="K24" s="643" t="s">
        <v>1174</v>
      </c>
      <c r="L24" s="637" t="s">
        <v>1172</v>
      </c>
      <c r="M24" s="638" t="s">
        <v>1173</v>
      </c>
    </row>
    <row r="25" spans="2:80" ht="76.5" customHeight="1" x14ac:dyDescent="0.3">
      <c r="B25" s="644">
        <v>22</v>
      </c>
      <c r="C25" s="645" t="s">
        <v>85</v>
      </c>
      <c r="D25" s="646" t="s">
        <v>1175</v>
      </c>
      <c r="E25" s="647" t="s">
        <v>936</v>
      </c>
      <c r="F25" s="648"/>
      <c r="G25" s="649">
        <v>115000000</v>
      </c>
      <c r="H25" s="649">
        <f>2000000*80</f>
        <v>160000000</v>
      </c>
      <c r="I25" s="649"/>
      <c r="J25" s="649">
        <f>H25</f>
        <v>160000000</v>
      </c>
      <c r="K25" s="636" t="s">
        <v>1176</v>
      </c>
      <c r="L25" s="650" t="s">
        <v>1177</v>
      </c>
      <c r="M25" s="638" t="s">
        <v>1178</v>
      </c>
    </row>
    <row r="26" spans="2:80" ht="21" x14ac:dyDescent="0.4">
      <c r="B26" s="1451" t="s">
        <v>1179</v>
      </c>
      <c r="C26" s="1451"/>
      <c r="D26" s="1451"/>
      <c r="E26" s="1451"/>
      <c r="F26" s="1451"/>
      <c r="G26" s="651">
        <f>SUM(G19:G25)</f>
        <v>307153571.42857146</v>
      </c>
      <c r="H26" s="651">
        <f>SUM(H19:H25)</f>
        <v>512037379.55103433</v>
      </c>
      <c r="I26" s="651">
        <f>SUM(I19:I25)</f>
        <v>349051292.27999997</v>
      </c>
      <c r="J26" s="651">
        <f>SUM(J19:J25)</f>
        <v>372899647.77999997</v>
      </c>
      <c r="K26" s="652"/>
    </row>
    <row r="30" spans="2:80" ht="21" x14ac:dyDescent="0.4">
      <c r="C30" s="1452" t="s">
        <v>1180</v>
      </c>
      <c r="D30" s="1453"/>
      <c r="E30" s="1453"/>
      <c r="F30" s="1453"/>
      <c r="G30" s="654">
        <f>SUM(G26,G18)</f>
        <v>1811375000</v>
      </c>
      <c r="H30" s="654">
        <f>SUM(H26,H18)</f>
        <v>2658073990.6637931</v>
      </c>
      <c r="I30" s="655">
        <f>SUM(I26,I18)</f>
        <v>2493785552.1203804</v>
      </c>
      <c r="J30" s="655">
        <f>SUM(J26,J18)</f>
        <v>2497048248.2203798</v>
      </c>
    </row>
    <row r="35" spans="7:8" s="609" customFormat="1" x14ac:dyDescent="0.3">
      <c r="G35" s="657"/>
      <c r="H35" s="657"/>
    </row>
    <row r="36" spans="7:8" s="609" customFormat="1" x14ac:dyDescent="0.3">
      <c r="G36" s="657"/>
      <c r="H36" s="657"/>
    </row>
    <row r="37" spans="7:8" s="609" customFormat="1" x14ac:dyDescent="0.3">
      <c r="G37" s="657"/>
      <c r="H37" s="657"/>
    </row>
    <row r="38" spans="7:8" s="609" customFormat="1" x14ac:dyDescent="0.3">
      <c r="G38" s="657"/>
      <c r="H38" s="657"/>
    </row>
    <row r="39" spans="7:8" s="609" customFormat="1" x14ac:dyDescent="0.3">
      <c r="G39" s="657"/>
      <c r="H39" s="657"/>
    </row>
  </sheetData>
  <mergeCells count="10">
    <mergeCell ref="L10:L11"/>
    <mergeCell ref="C18:F18"/>
    <mergeCell ref="B26:F26"/>
    <mergeCell ref="C30:F30"/>
    <mergeCell ref="C10:C11"/>
    <mergeCell ref="D10:D11"/>
    <mergeCell ref="E10:E11"/>
    <mergeCell ref="F10:F11"/>
    <mergeCell ref="G10:G11"/>
    <mergeCell ref="I10:I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35"/>
  <sheetViews>
    <sheetView workbookViewId="0">
      <selection activeCell="D11" sqref="D11:D21"/>
    </sheetView>
  </sheetViews>
  <sheetFormatPr defaultRowHeight="14.4" x14ac:dyDescent="0.3"/>
  <cols>
    <col min="2" max="2" width="37.109375" customWidth="1"/>
    <col min="3" max="3" width="15.44140625" bestFit="1" customWidth="1"/>
    <col min="4" max="4" width="30.109375" bestFit="1" customWidth="1"/>
    <col min="5" max="5" width="50.88671875" bestFit="1" customWidth="1"/>
  </cols>
  <sheetData>
    <row r="2" spans="2:5" ht="15" thickBot="1" x14ac:dyDescent="0.35"/>
    <row r="3" spans="2:5" ht="29.4" thickBot="1" x14ac:dyDescent="0.35">
      <c r="B3" s="447" t="s">
        <v>1040</v>
      </c>
      <c r="C3" s="476" t="s">
        <v>1041</v>
      </c>
      <c r="D3" s="474" t="s">
        <v>1039</v>
      </c>
      <c r="E3" s="475" t="s">
        <v>839</v>
      </c>
    </row>
    <row r="4" spans="2:5" x14ac:dyDescent="0.3">
      <c r="B4" s="479"/>
      <c r="C4" s="484"/>
      <c r="D4" s="489"/>
      <c r="E4" s="492"/>
    </row>
    <row r="5" spans="2:5" x14ac:dyDescent="0.3">
      <c r="B5" s="480" t="s">
        <v>483</v>
      </c>
      <c r="C5" s="485"/>
      <c r="D5" s="490" t="s">
        <v>889</v>
      </c>
      <c r="E5" s="493"/>
    </row>
    <row r="6" spans="2:5" ht="43.2" x14ac:dyDescent="0.3">
      <c r="B6" s="480" t="s">
        <v>1033</v>
      </c>
      <c r="C6" s="486" t="s">
        <v>390</v>
      </c>
      <c r="D6" s="490" t="s">
        <v>887</v>
      </c>
      <c r="E6" s="494" t="s">
        <v>1059</v>
      </c>
    </row>
    <row r="7" spans="2:5" x14ac:dyDescent="0.3">
      <c r="B7" s="480" t="s">
        <v>1034</v>
      </c>
      <c r="C7" s="487" t="s">
        <v>1064</v>
      </c>
      <c r="D7" s="490" t="s">
        <v>936</v>
      </c>
      <c r="E7" s="493" t="s">
        <v>1057</v>
      </c>
    </row>
    <row r="8" spans="2:5" x14ac:dyDescent="0.3">
      <c r="B8" s="480" t="s">
        <v>342</v>
      </c>
      <c r="C8" s="487" t="s">
        <v>1064</v>
      </c>
      <c r="D8" s="490" t="s">
        <v>888</v>
      </c>
      <c r="E8" s="493" t="s">
        <v>1057</v>
      </c>
    </row>
    <row r="9" spans="2:5" x14ac:dyDescent="0.3">
      <c r="B9" s="480" t="s">
        <v>1035</v>
      </c>
      <c r="C9" s="485"/>
      <c r="D9" s="490" t="s">
        <v>906</v>
      </c>
      <c r="E9" s="493" t="s">
        <v>1060</v>
      </c>
    </row>
    <row r="10" spans="2:5" x14ac:dyDescent="0.3">
      <c r="B10" s="480" t="s">
        <v>1036</v>
      </c>
      <c r="C10" s="486" t="s">
        <v>390</v>
      </c>
      <c r="D10" s="490" t="s">
        <v>906</v>
      </c>
      <c r="E10" s="493" t="s">
        <v>390</v>
      </c>
    </row>
    <row r="11" spans="2:5" x14ac:dyDescent="0.3">
      <c r="B11" s="480" t="s">
        <v>1037</v>
      </c>
      <c r="C11" s="485"/>
      <c r="D11" s="490" t="s">
        <v>915</v>
      </c>
      <c r="E11" s="493"/>
    </row>
    <row r="12" spans="2:5" x14ac:dyDescent="0.3">
      <c r="B12" s="480" t="s">
        <v>356</v>
      </c>
      <c r="C12" s="486" t="s">
        <v>390</v>
      </c>
      <c r="D12" s="490" t="s">
        <v>1038</v>
      </c>
      <c r="E12" s="493" t="s">
        <v>390</v>
      </c>
    </row>
    <row r="13" spans="2:5" x14ac:dyDescent="0.3">
      <c r="B13" s="480" t="s">
        <v>1042</v>
      </c>
      <c r="C13" s="487" t="s">
        <v>1064</v>
      </c>
      <c r="D13" s="490" t="s">
        <v>1043</v>
      </c>
      <c r="E13" s="493" t="s">
        <v>1057</v>
      </c>
    </row>
    <row r="14" spans="2:5" ht="28.8" x14ac:dyDescent="0.3">
      <c r="B14" s="480" t="s">
        <v>1045</v>
      </c>
      <c r="C14" s="486" t="s">
        <v>390</v>
      </c>
      <c r="D14" s="490" t="s">
        <v>1046</v>
      </c>
      <c r="E14" s="494" t="s">
        <v>472</v>
      </c>
    </row>
    <row r="15" spans="2:5" x14ac:dyDescent="0.3">
      <c r="B15" s="480" t="s">
        <v>949</v>
      </c>
      <c r="C15" s="485"/>
      <c r="D15" s="490" t="s">
        <v>1047</v>
      </c>
      <c r="E15" s="493"/>
    </row>
    <row r="16" spans="2:5" x14ac:dyDescent="0.3">
      <c r="B16" s="480" t="s">
        <v>937</v>
      </c>
      <c r="C16" s="485"/>
      <c r="D16" s="490" t="s">
        <v>1048</v>
      </c>
      <c r="E16" s="493" t="s">
        <v>1056</v>
      </c>
    </row>
    <row r="17" spans="2:5" ht="28.8" x14ac:dyDescent="0.3">
      <c r="B17" s="480" t="s">
        <v>921</v>
      </c>
      <c r="C17" s="486" t="s">
        <v>390</v>
      </c>
      <c r="D17" s="490" t="s">
        <v>887</v>
      </c>
      <c r="E17" s="494" t="s">
        <v>1058</v>
      </c>
    </row>
    <row r="18" spans="2:5" ht="29.4" thickBot="1" x14ac:dyDescent="0.35">
      <c r="B18" s="481" t="s">
        <v>974</v>
      </c>
      <c r="C18" s="488" t="s">
        <v>1061</v>
      </c>
      <c r="D18" s="491" t="s">
        <v>1054</v>
      </c>
      <c r="E18" s="495" t="s">
        <v>1062</v>
      </c>
    </row>
    <row r="20" spans="2:5" ht="15" thickBot="1" x14ac:dyDescent="0.35"/>
    <row r="21" spans="2:5" ht="28.8" x14ac:dyDescent="0.3">
      <c r="B21" s="497" t="s">
        <v>1052</v>
      </c>
      <c r="C21" s="501" t="s">
        <v>1041</v>
      </c>
      <c r="D21" s="1462" t="s">
        <v>839</v>
      </c>
      <c r="E21" s="1463"/>
    </row>
    <row r="22" spans="2:5" x14ac:dyDescent="0.3">
      <c r="B22" s="498"/>
      <c r="C22" s="502"/>
      <c r="D22" s="496"/>
      <c r="E22" s="477"/>
    </row>
    <row r="23" spans="2:5" ht="33" customHeight="1" x14ac:dyDescent="0.3">
      <c r="B23" s="493" t="s">
        <v>1044</v>
      </c>
      <c r="C23" s="503" t="s">
        <v>390</v>
      </c>
      <c r="D23" s="1460" t="s">
        <v>527</v>
      </c>
      <c r="E23" s="1461"/>
    </row>
    <row r="24" spans="2:5" ht="30.75" customHeight="1" x14ac:dyDescent="0.3">
      <c r="B24" s="493" t="s">
        <v>953</v>
      </c>
      <c r="C24" s="503" t="s">
        <v>390</v>
      </c>
      <c r="D24" s="1460" t="s">
        <v>1065</v>
      </c>
      <c r="E24" s="1461"/>
    </row>
    <row r="25" spans="2:5" x14ac:dyDescent="0.3">
      <c r="B25" s="493" t="s">
        <v>1049</v>
      </c>
      <c r="C25" s="503" t="s">
        <v>390</v>
      </c>
      <c r="D25" s="482" t="s">
        <v>512</v>
      </c>
      <c r="E25" s="477"/>
    </row>
    <row r="26" spans="2:5" x14ac:dyDescent="0.3">
      <c r="B26" s="493" t="s">
        <v>1050</v>
      </c>
      <c r="C26" s="503" t="s">
        <v>390</v>
      </c>
      <c r="D26" s="482" t="s">
        <v>519</v>
      </c>
      <c r="E26" s="477"/>
    </row>
    <row r="27" spans="2:5" x14ac:dyDescent="0.3">
      <c r="B27" s="493" t="s">
        <v>1053</v>
      </c>
      <c r="C27" s="504"/>
      <c r="D27" s="482"/>
      <c r="E27" s="477"/>
    </row>
    <row r="28" spans="2:5" x14ac:dyDescent="0.3">
      <c r="B28" s="493" t="s">
        <v>972</v>
      </c>
      <c r="C28" s="505" t="s">
        <v>1061</v>
      </c>
      <c r="D28" s="500" t="s">
        <v>1066</v>
      </c>
      <c r="E28" s="477"/>
    </row>
    <row r="29" spans="2:5" x14ac:dyDescent="0.3">
      <c r="B29" s="493" t="s">
        <v>968</v>
      </c>
      <c r="C29" s="504"/>
      <c r="D29" s="482"/>
      <c r="E29" s="477"/>
    </row>
    <row r="30" spans="2:5" x14ac:dyDescent="0.3">
      <c r="B30" s="493" t="s">
        <v>969</v>
      </c>
      <c r="C30" s="504"/>
      <c r="D30" s="482" t="s">
        <v>1057</v>
      </c>
      <c r="E30" s="477"/>
    </row>
    <row r="31" spans="2:5" x14ac:dyDescent="0.3">
      <c r="B31" s="493" t="s">
        <v>1055</v>
      </c>
      <c r="C31" s="503" t="s">
        <v>390</v>
      </c>
      <c r="D31" s="482" t="s">
        <v>531</v>
      </c>
      <c r="E31" s="477"/>
    </row>
    <row r="32" spans="2:5" x14ac:dyDescent="0.3">
      <c r="B32" s="493"/>
      <c r="C32" s="506"/>
      <c r="D32" s="482"/>
      <c r="E32" s="477"/>
    </row>
    <row r="33" spans="2:5" x14ac:dyDescent="0.3">
      <c r="B33" s="493" t="s">
        <v>1051</v>
      </c>
      <c r="C33" s="504"/>
      <c r="D33" s="482"/>
      <c r="E33" s="477" t="s">
        <v>1063</v>
      </c>
    </row>
    <row r="34" spans="2:5" x14ac:dyDescent="0.3">
      <c r="B34" s="493" t="s">
        <v>979</v>
      </c>
      <c r="C34" s="504"/>
      <c r="D34" s="482"/>
      <c r="E34" s="477" t="s">
        <v>1063</v>
      </c>
    </row>
    <row r="35" spans="2:5" ht="15" thickBot="1" x14ac:dyDescent="0.35">
      <c r="B35" s="499" t="s">
        <v>985</v>
      </c>
      <c r="C35" s="507"/>
      <c r="D35" s="483"/>
      <c r="E35" s="478" t="s">
        <v>1063</v>
      </c>
    </row>
  </sheetData>
  <mergeCells count="3">
    <mergeCell ref="D23:E23"/>
    <mergeCell ref="D24:E24"/>
    <mergeCell ref="D21:E21"/>
  </mergeCells>
  <printOptions horizontalCentered="1" verticalCentered="1" gridLines="1"/>
  <pageMargins left="0" right="0" top="0" bottom="0" header="0" footer="0"/>
  <pageSetup paperSize="9" scale="8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topLeftCell="A2" zoomScale="89" zoomScaleNormal="89" workbookViewId="0">
      <pane xSplit="5700" ySplit="1368" topLeftCell="W6" activePane="bottomRight"/>
      <selection activeCell="D11" sqref="D11:D21"/>
      <selection pane="topRight" activeCell="D11" sqref="D11:D21"/>
      <selection pane="bottomLeft" activeCell="D11" sqref="D11:D21"/>
      <selection pane="bottomRight" activeCell="D11" sqref="D11:D21"/>
    </sheetView>
  </sheetViews>
  <sheetFormatPr defaultRowHeight="14.4" x14ac:dyDescent="0.3"/>
  <cols>
    <col min="1" max="1" width="32.5546875" bestFit="1" customWidth="1"/>
    <col min="2" max="2" width="12" style="80" hidden="1" customWidth="1"/>
    <col min="3" max="3" width="12.33203125" style="80" bestFit="1" customWidth="1"/>
    <col min="4" max="4" width="14" bestFit="1" customWidth="1"/>
    <col min="5" max="5" width="14" hidden="1" customWidth="1"/>
    <col min="6" max="6" width="14.44140625" hidden="1" customWidth="1"/>
    <col min="7" max="7" width="8.44140625" hidden="1" customWidth="1"/>
    <col min="8" max="8" width="9.33203125" hidden="1" customWidth="1"/>
    <col min="9" max="9" width="4.5546875" customWidth="1"/>
    <col min="10" max="10" width="7.33203125" customWidth="1"/>
    <col min="11" max="11" width="9.5546875" customWidth="1"/>
    <col min="12" max="12" width="13.5546875" customWidth="1"/>
    <col min="13" max="13" width="11.6640625" bestFit="1" customWidth="1"/>
    <col min="14" max="14" width="11.5546875" customWidth="1"/>
    <col min="15" max="15" width="9.5546875" customWidth="1"/>
    <col min="16" max="16" width="12.5546875" bestFit="1" customWidth="1"/>
    <col min="17" max="17" width="2.109375" customWidth="1"/>
    <col min="18" max="18" width="11.6640625" customWidth="1"/>
    <col min="19" max="19" width="2.109375" customWidth="1"/>
    <col min="20" max="20" width="13" customWidth="1"/>
    <col min="21" max="21" width="13.33203125" customWidth="1"/>
    <col min="22" max="22" width="4.109375" customWidth="1"/>
    <col min="23" max="23" width="13.33203125" customWidth="1"/>
    <col min="24" max="25" width="13.88671875" customWidth="1"/>
    <col min="26" max="26" width="13.33203125" customWidth="1"/>
    <col min="27" max="27" width="13.33203125" style="288" customWidth="1"/>
    <col min="28" max="30" width="13.33203125" customWidth="1"/>
    <col min="31" max="31" width="19.6640625" customWidth="1"/>
    <col min="33" max="33" width="10" bestFit="1" customWidth="1"/>
    <col min="34" max="34" width="2.33203125" customWidth="1"/>
    <col min="35" max="35" width="33.88671875" customWidth="1"/>
    <col min="36" max="36" width="2.44140625" customWidth="1"/>
    <col min="37" max="37" width="10.5546875" bestFit="1" customWidth="1"/>
  </cols>
  <sheetData>
    <row r="1" spans="1:38" ht="15" thickBot="1" x14ac:dyDescent="0.35">
      <c r="A1" s="217" t="s">
        <v>91</v>
      </c>
    </row>
    <row r="2" spans="1:38" ht="15" thickBot="1" x14ac:dyDescent="0.35">
      <c r="A2" t="s">
        <v>421</v>
      </c>
      <c r="W2" s="1468" t="s">
        <v>827</v>
      </c>
      <c r="X2" s="1469"/>
      <c r="Y2" s="409"/>
      <c r="Z2" s="1470" t="s">
        <v>875</v>
      </c>
      <c r="AA2" s="1471"/>
      <c r="AB2" s="1471"/>
      <c r="AC2" s="1471"/>
      <c r="AD2" s="1472"/>
    </row>
    <row r="3" spans="1:38" ht="15" thickBot="1" x14ac:dyDescent="0.35">
      <c r="A3" t="s">
        <v>422</v>
      </c>
      <c r="P3" s="218" t="s">
        <v>423</v>
      </c>
      <c r="T3" s="1464" t="s">
        <v>825</v>
      </c>
      <c r="U3" s="1465"/>
      <c r="V3" s="80"/>
      <c r="W3" s="1464" t="s">
        <v>825</v>
      </c>
      <c r="X3" s="1465"/>
      <c r="Y3" s="80"/>
      <c r="Z3" s="80"/>
      <c r="AA3" s="306"/>
      <c r="AB3" s="80"/>
      <c r="AC3" s="80"/>
      <c r="AD3" s="80"/>
      <c r="AF3" s="1464" t="s">
        <v>424</v>
      </c>
      <c r="AG3" s="1465"/>
      <c r="AK3" s="81" t="s">
        <v>425</v>
      </c>
    </row>
    <row r="4" spans="1:38" s="224" customFormat="1" ht="29.4" thickBot="1" x14ac:dyDescent="0.35">
      <c r="A4" s="219" t="s">
        <v>426</v>
      </c>
      <c r="B4" s="220" t="s">
        <v>427</v>
      </c>
      <c r="C4" s="220" t="s">
        <v>428</v>
      </c>
      <c r="D4" s="221" t="s">
        <v>429</v>
      </c>
      <c r="E4" s="221" t="s">
        <v>430</v>
      </c>
      <c r="F4" s="221" t="s">
        <v>822</v>
      </c>
      <c r="G4" s="221" t="s">
        <v>431</v>
      </c>
      <c r="H4" s="221" t="s">
        <v>432</v>
      </c>
      <c r="I4" s="221"/>
      <c r="J4" s="221" t="s">
        <v>433</v>
      </c>
      <c r="K4" s="221" t="s">
        <v>434</v>
      </c>
      <c r="L4" s="221" t="s">
        <v>435</v>
      </c>
      <c r="M4" s="222" t="s">
        <v>436</v>
      </c>
      <c r="N4" s="221" t="s">
        <v>437</v>
      </c>
      <c r="O4" s="221" t="s">
        <v>438</v>
      </c>
      <c r="P4" s="223" t="s">
        <v>439</v>
      </c>
      <c r="R4" s="224" t="s">
        <v>440</v>
      </c>
      <c r="T4" s="225" t="s">
        <v>823</v>
      </c>
      <c r="U4" s="226" t="s">
        <v>824</v>
      </c>
      <c r="V4" s="286"/>
      <c r="W4" s="225" t="s">
        <v>823</v>
      </c>
      <c r="X4" s="226" t="s">
        <v>824</v>
      </c>
      <c r="Y4" s="410" t="s">
        <v>992</v>
      </c>
      <c r="Z4" s="286" t="s">
        <v>866</v>
      </c>
      <c r="AA4" s="307" t="s">
        <v>867</v>
      </c>
      <c r="AB4" s="286" t="s">
        <v>868</v>
      </c>
      <c r="AC4" s="286" t="s">
        <v>869</v>
      </c>
      <c r="AD4" s="286" t="s">
        <v>870</v>
      </c>
      <c r="AF4" s="225" t="s">
        <v>441</v>
      </c>
      <c r="AG4" s="226" t="s">
        <v>442</v>
      </c>
      <c r="AI4" s="227" t="s">
        <v>443</v>
      </c>
      <c r="AK4" s="228" t="s">
        <v>444</v>
      </c>
    </row>
    <row r="5" spans="1:38" ht="69" customHeight="1" x14ac:dyDescent="0.3">
      <c r="A5" t="s">
        <v>445</v>
      </c>
      <c r="B5" s="80" t="s">
        <v>446</v>
      </c>
      <c r="C5" s="80" t="s">
        <v>447</v>
      </c>
      <c r="D5" s="229">
        <v>142915.5</v>
      </c>
      <c r="E5" s="229">
        <v>142915.5</v>
      </c>
      <c r="F5" s="229">
        <v>10718662.5</v>
      </c>
      <c r="G5" t="s">
        <v>228</v>
      </c>
      <c r="H5" t="s">
        <v>228</v>
      </c>
      <c r="L5" s="229">
        <f>+D5+J5+K5</f>
        <v>142915.5</v>
      </c>
      <c r="M5" s="230">
        <v>83</v>
      </c>
      <c r="N5" s="231">
        <f>+L5*M5</f>
        <v>11861986.5</v>
      </c>
      <c r="O5" s="231"/>
      <c r="P5" s="231">
        <f>+N5+O5</f>
        <v>11861986.5</v>
      </c>
      <c r="R5" s="231">
        <f>+F5-P5</f>
        <v>-1143324</v>
      </c>
      <c r="T5">
        <v>81.144900000000007</v>
      </c>
      <c r="U5" s="231">
        <f>+L5*T5</f>
        <v>11596863.955950001</v>
      </c>
      <c r="V5" s="231"/>
      <c r="W5" s="288">
        <f>+T5</f>
        <v>81.144900000000007</v>
      </c>
      <c r="X5" s="385">
        <f>+U5</f>
        <v>11596863.955950001</v>
      </c>
      <c r="Y5" s="385"/>
      <c r="Z5" s="382">
        <v>37383</v>
      </c>
      <c r="AA5" s="309">
        <v>83.68</v>
      </c>
      <c r="AB5" s="290">
        <f t="shared" ref="AB5:AB16" si="0">+Z5*AA5</f>
        <v>3128209.4400000004</v>
      </c>
      <c r="AC5" s="312">
        <v>43403</v>
      </c>
      <c r="AD5" s="290" t="s">
        <v>871</v>
      </c>
      <c r="AE5" s="224"/>
      <c r="AF5" s="286"/>
      <c r="AG5" s="286"/>
      <c r="AI5" s="1466" t="s">
        <v>449</v>
      </c>
    </row>
    <row r="6" spans="1:38" ht="54.75" customHeight="1" x14ac:dyDescent="0.3">
      <c r="A6" t="s">
        <v>445</v>
      </c>
      <c r="B6" s="80" t="s">
        <v>450</v>
      </c>
      <c r="C6" s="80" t="s">
        <v>447</v>
      </c>
      <c r="D6" s="229">
        <v>230912.5</v>
      </c>
      <c r="E6" s="229">
        <v>230912.5</v>
      </c>
      <c r="F6" s="229">
        <v>17318437.5</v>
      </c>
      <c r="G6" t="s">
        <v>228</v>
      </c>
      <c r="H6" t="s">
        <v>228</v>
      </c>
      <c r="L6" s="229">
        <f>+D6+J6+K6</f>
        <v>230912.5</v>
      </c>
      <c r="M6" s="230">
        <v>83</v>
      </c>
      <c r="N6" s="231">
        <f>+L6*M6</f>
        <v>19165737.5</v>
      </c>
      <c r="O6" s="231"/>
      <c r="P6" s="231">
        <f>+N6+O6</f>
        <v>19165737.5</v>
      </c>
      <c r="R6" s="231">
        <f>+F6-P6</f>
        <v>-1847300</v>
      </c>
      <c r="T6">
        <v>81.144900000000007</v>
      </c>
      <c r="U6" s="231">
        <f>+L6*T6</f>
        <v>18737371.721250001</v>
      </c>
      <c r="V6" s="231"/>
      <c r="W6" s="288">
        <f>+T6</f>
        <v>81.144900000000007</v>
      </c>
      <c r="X6" s="386">
        <f>+U6</f>
        <v>18737371.721250001</v>
      </c>
      <c r="Y6" s="386"/>
      <c r="Z6" s="383">
        <v>207821</v>
      </c>
      <c r="AA6" s="309">
        <v>81.598699999999994</v>
      </c>
      <c r="AB6" s="290">
        <f t="shared" si="0"/>
        <v>16957923.432699997</v>
      </c>
      <c r="AC6" s="312">
        <v>43465</v>
      </c>
      <c r="AD6" s="290" t="s">
        <v>871</v>
      </c>
      <c r="AE6" s="224"/>
      <c r="AF6" s="286"/>
      <c r="AG6" s="286"/>
      <c r="AI6" s="1467"/>
    </row>
    <row r="7" spans="1:38" ht="15" thickBot="1" x14ac:dyDescent="0.35">
      <c r="D7" s="229"/>
      <c r="E7" s="229"/>
      <c r="F7" s="229"/>
      <c r="L7" s="229"/>
      <c r="M7" s="230"/>
      <c r="N7" s="231"/>
      <c r="O7" s="231"/>
      <c r="P7" s="231"/>
      <c r="R7" s="231"/>
      <c r="U7" s="231"/>
      <c r="V7" s="231"/>
      <c r="W7" s="288"/>
      <c r="X7" s="387"/>
      <c r="Y7" s="387"/>
      <c r="Z7" s="384">
        <v>128624</v>
      </c>
      <c r="AA7" s="309">
        <v>79.674999999999997</v>
      </c>
      <c r="AB7" s="290">
        <f t="shared" si="0"/>
        <v>10248117.199999999</v>
      </c>
      <c r="AC7" s="312">
        <v>43468</v>
      </c>
      <c r="AD7" s="290" t="s">
        <v>871</v>
      </c>
      <c r="AE7" s="224"/>
      <c r="AF7" s="286"/>
      <c r="AG7" s="286"/>
      <c r="AI7" s="324"/>
    </row>
    <row r="8" spans="1:38" x14ac:dyDescent="0.3">
      <c r="A8" s="325" t="s">
        <v>451</v>
      </c>
      <c r="B8" s="80" t="s">
        <v>452</v>
      </c>
      <c r="C8" s="80" t="s">
        <v>447</v>
      </c>
      <c r="D8" s="229">
        <v>259000</v>
      </c>
      <c r="E8" s="229">
        <v>259000</v>
      </c>
      <c r="F8" s="229">
        <v>19425000</v>
      </c>
      <c r="G8" t="s">
        <v>228</v>
      </c>
      <c r="H8" t="s">
        <v>228</v>
      </c>
      <c r="I8" t="s">
        <v>453</v>
      </c>
      <c r="J8">
        <v>0</v>
      </c>
      <c r="K8" s="230">
        <f>+D8*1.125%</f>
        <v>2913.75</v>
      </c>
      <c r="L8" s="229">
        <f>+D8+J8+K8</f>
        <v>261913.75</v>
      </c>
      <c r="M8" s="230">
        <v>83</v>
      </c>
      <c r="N8" s="231">
        <f>+L8*M8</f>
        <v>21738841.25</v>
      </c>
      <c r="O8" s="231">
        <v>0</v>
      </c>
      <c r="P8" s="231">
        <f>+N8+O8</f>
        <v>21738841.25</v>
      </c>
      <c r="R8" s="231">
        <f>+F8-P8</f>
        <v>-2313841.25</v>
      </c>
      <c r="T8" s="238"/>
      <c r="U8" s="238"/>
      <c r="V8" s="238"/>
      <c r="W8" s="288">
        <f>+T8</f>
        <v>0</v>
      </c>
      <c r="X8" s="381">
        <v>20701786</v>
      </c>
      <c r="Y8" s="381"/>
      <c r="Z8" s="382">
        <v>240870</v>
      </c>
      <c r="AA8" s="309">
        <v>79.887500000000003</v>
      </c>
      <c r="AB8" s="290">
        <f t="shared" si="0"/>
        <v>19242502.125</v>
      </c>
      <c r="AC8" s="312">
        <v>43472</v>
      </c>
      <c r="AD8" s="290" t="s">
        <v>871</v>
      </c>
      <c r="AF8" t="s">
        <v>448</v>
      </c>
      <c r="AG8" s="232">
        <v>43466</v>
      </c>
      <c r="AI8" s="82" t="s">
        <v>454</v>
      </c>
    </row>
    <row r="9" spans="1:38" ht="15" thickBot="1" x14ac:dyDescent="0.35">
      <c r="A9" s="325"/>
      <c r="D9" s="229"/>
      <c r="E9" s="229"/>
      <c r="F9" s="229"/>
      <c r="K9" s="230"/>
      <c r="L9" s="229"/>
      <c r="M9" s="230"/>
      <c r="N9" s="231"/>
      <c r="O9" s="231"/>
      <c r="P9" s="231"/>
      <c r="R9" s="231"/>
      <c r="T9" s="238"/>
      <c r="U9" s="238"/>
      <c r="V9" s="238"/>
      <c r="W9" s="288"/>
      <c r="X9" s="379">
        <f>+K8*M8</f>
        <v>241841.25</v>
      </c>
      <c r="Y9" s="379"/>
      <c r="Z9" s="384">
        <v>18130</v>
      </c>
      <c r="AA9" s="309">
        <v>80.489999999999995</v>
      </c>
      <c r="AB9" s="290">
        <f t="shared" si="0"/>
        <v>1459283.7</v>
      </c>
      <c r="AC9" s="312">
        <v>43521</v>
      </c>
      <c r="AD9" s="290" t="s">
        <v>871</v>
      </c>
      <c r="AG9" s="232"/>
      <c r="AI9" s="82"/>
    </row>
    <row r="10" spans="1:38" x14ac:dyDescent="0.3">
      <c r="A10" t="s">
        <v>350</v>
      </c>
      <c r="B10" s="80">
        <v>6702</v>
      </c>
      <c r="C10" s="80" t="s">
        <v>352</v>
      </c>
      <c r="D10" s="229">
        <v>11390000</v>
      </c>
      <c r="E10" s="229">
        <v>11390000</v>
      </c>
      <c r="F10" s="229">
        <v>740350000</v>
      </c>
      <c r="G10" t="s">
        <v>228</v>
      </c>
      <c r="H10" t="s">
        <v>228</v>
      </c>
      <c r="K10" s="230"/>
      <c r="L10" s="229">
        <f>+D10+J10+K10</f>
        <v>11390000</v>
      </c>
      <c r="M10" s="230">
        <v>72.55</v>
      </c>
      <c r="N10" s="231">
        <f>+L10*M10</f>
        <v>826344500</v>
      </c>
      <c r="O10" s="231"/>
      <c r="P10" s="231">
        <f t="shared" ref="P10:P29" si="1">+N10+O10</f>
        <v>826344500</v>
      </c>
      <c r="R10" s="231">
        <f>+F10-P10</f>
        <v>-85994500</v>
      </c>
      <c r="T10">
        <f>+'WFL Format-4 (2)'!AN13</f>
        <v>71.790000000000006</v>
      </c>
      <c r="U10">
        <f>+'WFL Format-4 (2)'!AO13</f>
        <v>828180929</v>
      </c>
      <c r="W10" s="288">
        <f t="shared" ref="W10:X12" si="2">+T10</f>
        <v>71.790000000000006</v>
      </c>
      <c r="X10" s="372">
        <f t="shared" si="2"/>
        <v>828180929</v>
      </c>
      <c r="Y10" s="287">
        <f>(18000000-16475150)*M10</f>
        <v>110627867.5</v>
      </c>
      <c r="Z10" s="289">
        <v>3500000</v>
      </c>
      <c r="AA10" s="308">
        <v>69.989999999999995</v>
      </c>
      <c r="AB10" s="290">
        <f t="shared" si="0"/>
        <v>244964999.99999997</v>
      </c>
      <c r="AC10" s="312">
        <v>43340</v>
      </c>
      <c r="AD10" s="289" t="s">
        <v>871</v>
      </c>
      <c r="AE10" s="231">
        <f>SUM(AB10:AB17)</f>
        <v>1140621541.5999999</v>
      </c>
      <c r="AF10" t="s">
        <v>448</v>
      </c>
      <c r="AG10" s="232">
        <v>43826</v>
      </c>
      <c r="AI10" s="82" t="s">
        <v>455</v>
      </c>
      <c r="AK10" t="s">
        <v>390</v>
      </c>
      <c r="AL10" t="s">
        <v>456</v>
      </c>
    </row>
    <row r="11" spans="1:38" x14ac:dyDescent="0.3">
      <c r="A11" t="s">
        <v>350</v>
      </c>
      <c r="B11" s="80">
        <v>6703</v>
      </c>
      <c r="C11" s="80" t="s">
        <v>352</v>
      </c>
      <c r="D11" s="229">
        <v>3202000</v>
      </c>
      <c r="E11" s="229">
        <v>3202000</v>
      </c>
      <c r="F11" s="229">
        <v>208130000</v>
      </c>
      <c r="G11" t="s">
        <v>228</v>
      </c>
      <c r="H11" t="s">
        <v>228</v>
      </c>
      <c r="K11" s="230"/>
      <c r="L11" s="229">
        <f>+D11+J11+K11</f>
        <v>3202000</v>
      </c>
      <c r="M11" s="230">
        <v>72.55</v>
      </c>
      <c r="N11" s="231">
        <f>+L11*M11</f>
        <v>232305100</v>
      </c>
      <c r="O11" s="231"/>
      <c r="P11" s="231">
        <f t="shared" si="1"/>
        <v>232305100</v>
      </c>
      <c r="R11" s="231">
        <f>+F11-P11</f>
        <v>-24175100</v>
      </c>
      <c r="T11">
        <f>+'WFL Format-4 (2)'!AN11</f>
        <v>64.112499999999997</v>
      </c>
      <c r="U11" s="231">
        <f>+'WFL Format-4 (2)'!AO11</f>
        <v>19283612.600000001</v>
      </c>
      <c r="V11" s="231"/>
      <c r="W11" s="288">
        <f t="shared" si="2"/>
        <v>64.112499999999997</v>
      </c>
      <c r="X11" s="374">
        <f t="shared" si="2"/>
        <v>19283612.600000001</v>
      </c>
      <c r="Y11" s="388"/>
      <c r="Z11" s="289">
        <v>3900000</v>
      </c>
      <c r="AA11" s="308">
        <v>70.391000000000005</v>
      </c>
      <c r="AB11" s="290">
        <f t="shared" si="0"/>
        <v>274524900</v>
      </c>
      <c r="AC11" s="312">
        <v>43340</v>
      </c>
      <c r="AD11" s="289" t="s">
        <v>871</v>
      </c>
      <c r="AE11" s="231">
        <f>SUM(Z10:Z17)</f>
        <v>16475150</v>
      </c>
      <c r="AF11" t="s">
        <v>448</v>
      </c>
      <c r="AG11" s="232">
        <v>43830</v>
      </c>
      <c r="AI11" s="82" t="s">
        <v>457</v>
      </c>
      <c r="AK11" t="s">
        <v>390</v>
      </c>
    </row>
    <row r="12" spans="1:38" ht="15" thickBot="1" x14ac:dyDescent="0.35">
      <c r="A12" t="s">
        <v>350</v>
      </c>
      <c r="B12" s="80">
        <v>6704</v>
      </c>
      <c r="C12" s="80" t="s">
        <v>352</v>
      </c>
      <c r="D12" s="229">
        <v>3408000</v>
      </c>
      <c r="E12" s="229">
        <v>3408000</v>
      </c>
      <c r="F12" s="229">
        <v>221520000</v>
      </c>
      <c r="G12" t="s">
        <v>228</v>
      </c>
      <c r="H12" t="s">
        <v>228</v>
      </c>
      <c r="K12" s="230"/>
      <c r="L12" s="229">
        <f>+D12+J12+K12</f>
        <v>3408000</v>
      </c>
      <c r="M12" s="230">
        <v>72.55</v>
      </c>
      <c r="N12" s="231">
        <f>+L12*M12</f>
        <v>247250400</v>
      </c>
      <c r="O12" s="231"/>
      <c r="P12" s="231">
        <f t="shared" si="1"/>
        <v>247250400</v>
      </c>
      <c r="R12" s="231">
        <f>+F12-P12</f>
        <v>-25730400</v>
      </c>
      <c r="T12">
        <f>+'WFL Format-4 (2)'!AN12</f>
        <v>65.69</v>
      </c>
      <c r="U12">
        <f>+'WFL Format-4 (2)'!AO12</f>
        <v>293157000</v>
      </c>
      <c r="W12" s="288">
        <f t="shared" si="2"/>
        <v>65.69</v>
      </c>
      <c r="X12" s="374">
        <f t="shared" si="2"/>
        <v>293157000</v>
      </c>
      <c r="Y12" s="388"/>
      <c r="Z12" s="289">
        <v>3500</v>
      </c>
      <c r="AA12" s="308">
        <v>70.084000000000003</v>
      </c>
      <c r="AB12" s="290">
        <f t="shared" si="0"/>
        <v>245294</v>
      </c>
      <c r="AC12" s="312">
        <v>43340</v>
      </c>
      <c r="AD12" s="289" t="s">
        <v>871</v>
      </c>
      <c r="AE12" s="352">
        <f>+AE10/AE11</f>
        <v>69.232847142514629</v>
      </c>
      <c r="AF12" t="s">
        <v>448</v>
      </c>
      <c r="AG12" s="232">
        <v>43700</v>
      </c>
      <c r="AI12" s="82" t="s">
        <v>457</v>
      </c>
      <c r="AK12" t="s">
        <v>390</v>
      </c>
    </row>
    <row r="13" spans="1:38" x14ac:dyDescent="0.3">
      <c r="A13" s="269">
        <v>18000000</v>
      </c>
      <c r="B13" s="577"/>
      <c r="C13" s="578"/>
      <c r="D13" s="229"/>
      <c r="E13" s="229"/>
      <c r="F13" s="229"/>
      <c r="K13" s="230"/>
      <c r="L13" s="229"/>
      <c r="M13" s="230"/>
      <c r="N13" s="231"/>
      <c r="O13" s="231"/>
      <c r="P13" s="231"/>
      <c r="R13" s="231"/>
      <c r="W13" s="231"/>
      <c r="X13" s="374"/>
      <c r="Y13" s="388"/>
      <c r="Z13" s="289">
        <v>275150</v>
      </c>
      <c r="AA13" s="308">
        <v>70.084000000000003</v>
      </c>
      <c r="AB13" s="290">
        <f t="shared" si="0"/>
        <v>19283612.600000001</v>
      </c>
      <c r="AC13" s="312">
        <v>43340</v>
      </c>
      <c r="AD13" s="289" t="s">
        <v>871</v>
      </c>
      <c r="AE13">
        <f>11390000+700000</f>
        <v>12090000</v>
      </c>
      <c r="AG13" s="232"/>
      <c r="AI13" s="82"/>
    </row>
    <row r="14" spans="1:38" ht="15" thickBot="1" x14ac:dyDescent="0.35">
      <c r="A14" s="579">
        <f>SUM(Z10:Z17)</f>
        <v>16475150</v>
      </c>
      <c r="C14" s="584">
        <f>SUM(AB10:AB17)/A14</f>
        <v>69.232847142514629</v>
      </c>
      <c r="D14" s="229"/>
      <c r="E14" s="229"/>
      <c r="F14" s="229"/>
      <c r="K14" s="230"/>
      <c r="L14" s="229"/>
      <c r="M14" s="230"/>
      <c r="N14" s="231"/>
      <c r="O14" s="231"/>
      <c r="P14" s="231"/>
      <c r="R14" s="231"/>
      <c r="W14" s="231"/>
      <c r="X14" s="374"/>
      <c r="Y14" s="388"/>
      <c r="Z14" s="289">
        <v>2215200</v>
      </c>
      <c r="AA14" s="308">
        <v>71.790000000000006</v>
      </c>
      <c r="AB14" s="290">
        <f t="shared" si="0"/>
        <v>159029208</v>
      </c>
      <c r="AC14" s="312">
        <v>43354</v>
      </c>
      <c r="AD14" s="289" t="s">
        <v>871</v>
      </c>
      <c r="AE14" s="217">
        <f>+AE13*AE12</f>
        <v>837025121.95300186</v>
      </c>
      <c r="AG14" s="232"/>
      <c r="AI14" s="82"/>
    </row>
    <row r="15" spans="1:38" ht="15" thickBot="1" x14ac:dyDescent="0.35">
      <c r="A15" s="580">
        <f>+A14/A13</f>
        <v>0.91528611111111113</v>
      </c>
      <c r="B15" s="581"/>
      <c r="C15" s="582" t="s">
        <v>1120</v>
      </c>
      <c r="D15" s="229"/>
      <c r="E15" s="229"/>
      <c r="F15" s="229"/>
      <c r="K15" s="230"/>
      <c r="L15" s="229"/>
      <c r="M15" s="230"/>
      <c r="N15" s="231"/>
      <c r="O15" s="231"/>
      <c r="P15" s="231"/>
      <c r="R15" s="231"/>
      <c r="W15" s="231"/>
      <c r="X15" s="374"/>
      <c r="Y15" s="388"/>
      <c r="Z15" s="289">
        <v>2081300</v>
      </c>
      <c r="AA15" s="308">
        <v>71.790000000000006</v>
      </c>
      <c r="AB15" s="290">
        <f t="shared" si="0"/>
        <v>149416527</v>
      </c>
      <c r="AC15" s="312">
        <v>43354</v>
      </c>
      <c r="AD15" s="289" t="s">
        <v>871</v>
      </c>
      <c r="AE15" s="350">
        <f>+AE14*91.5286%</f>
        <v>766117375.77187514</v>
      </c>
      <c r="AF15" s="351" t="s">
        <v>940</v>
      </c>
      <c r="AG15" s="232"/>
      <c r="AI15" s="82"/>
    </row>
    <row r="16" spans="1:38" ht="15" thickBot="1" x14ac:dyDescent="0.35">
      <c r="A16" s="583">
        <f>100%-A15</f>
        <v>8.4713888888888866E-2</v>
      </c>
      <c r="B16" s="581"/>
      <c r="C16" s="582" t="s">
        <v>1121</v>
      </c>
      <c r="D16" s="229"/>
      <c r="E16" s="229"/>
      <c r="F16" s="229"/>
      <c r="K16" s="230"/>
      <c r="L16" s="229"/>
      <c r="M16" s="230"/>
      <c r="N16" s="231"/>
      <c r="O16" s="231"/>
      <c r="P16" s="231"/>
      <c r="R16" s="231"/>
      <c r="W16" s="231"/>
      <c r="X16" s="374"/>
      <c r="Y16" s="388"/>
      <c r="Z16" s="313">
        <v>2700000</v>
      </c>
      <c r="AA16" s="314">
        <v>65.69</v>
      </c>
      <c r="AB16" s="313">
        <f t="shared" si="0"/>
        <v>177363000</v>
      </c>
      <c r="AC16" s="315">
        <v>43208</v>
      </c>
      <c r="AD16" s="313" t="s">
        <v>872</v>
      </c>
      <c r="AE16" s="326">
        <v>5910000</v>
      </c>
      <c r="AG16" s="232"/>
      <c r="AI16" s="82"/>
    </row>
    <row r="17" spans="1:38" ht="15" thickBot="1" x14ac:dyDescent="0.35">
      <c r="A17" s="570">
        <v>5910000</v>
      </c>
      <c r="B17" s="571"/>
      <c r="C17" s="585">
        <f>+A17/A19</f>
        <v>0.32833333333333331</v>
      </c>
      <c r="D17" s="229"/>
      <c r="E17" s="229"/>
      <c r="F17" s="229"/>
      <c r="K17" s="230"/>
      <c r="L17" s="229"/>
      <c r="M17" s="230"/>
      <c r="N17" s="231"/>
      <c r="O17" s="231"/>
      <c r="P17" s="231"/>
      <c r="R17" s="231"/>
      <c r="W17" s="288"/>
      <c r="X17" s="374"/>
      <c r="Y17" s="388"/>
      <c r="Z17" s="313">
        <v>1800000</v>
      </c>
      <c r="AA17" s="314">
        <f>AB17/Z17</f>
        <v>64.33</v>
      </c>
      <c r="AB17" s="313">
        <v>115794000</v>
      </c>
      <c r="AC17" s="315">
        <v>42990</v>
      </c>
      <c r="AD17" s="313" t="s">
        <v>872</v>
      </c>
      <c r="AE17" s="231">
        <f>+AE16*AE12</f>
        <v>409166126.61226147</v>
      </c>
      <c r="AG17" s="232"/>
      <c r="AI17" s="82"/>
    </row>
    <row r="18" spans="1:38" ht="15" thickBot="1" x14ac:dyDescent="0.35">
      <c r="A18" s="572">
        <v>12090000</v>
      </c>
      <c r="B18" s="573"/>
      <c r="C18" s="586">
        <f>+A18/A19</f>
        <v>0.67166666666666663</v>
      </c>
      <c r="D18" s="229"/>
      <c r="E18" s="229"/>
      <c r="F18" s="229"/>
      <c r="K18" s="230"/>
      <c r="L18" s="229"/>
      <c r="M18" s="230"/>
      <c r="N18" s="231"/>
      <c r="O18" s="231"/>
      <c r="P18" s="231"/>
      <c r="R18" s="231"/>
      <c r="W18" s="288"/>
      <c r="X18" s="374"/>
      <c r="Y18" s="388"/>
      <c r="Z18" s="289"/>
      <c r="AA18" s="308"/>
      <c r="AB18" s="289"/>
      <c r="AC18" s="289"/>
      <c r="AD18" s="289"/>
      <c r="AE18" s="350">
        <f>+AE17*91.5286%</f>
        <v>374504027.36243033</v>
      </c>
      <c r="AF18" s="351" t="s">
        <v>143</v>
      </c>
      <c r="AG18" s="232"/>
      <c r="AI18" s="82"/>
    </row>
    <row r="19" spans="1:38" ht="15" thickBot="1" x14ac:dyDescent="0.35">
      <c r="A19" s="574">
        <f>+A17+A18</f>
        <v>18000000</v>
      </c>
      <c r="B19" s="575"/>
      <c r="C19" s="576"/>
      <c r="D19" s="229"/>
      <c r="E19" s="229"/>
      <c r="F19" s="229"/>
      <c r="K19" s="230"/>
      <c r="L19" s="229"/>
      <c r="M19" s="230"/>
      <c r="N19" s="231"/>
      <c r="O19" s="231"/>
      <c r="P19" s="231"/>
      <c r="R19" s="231"/>
      <c r="W19" s="288"/>
      <c r="X19" s="375"/>
      <c r="Y19" s="388"/>
      <c r="Z19" s="289"/>
      <c r="AA19" s="308"/>
      <c r="AB19" s="289"/>
      <c r="AC19" s="289"/>
      <c r="AD19" s="289"/>
      <c r="AG19" s="232"/>
      <c r="AI19" s="82"/>
    </row>
    <row r="20" spans="1:38" x14ac:dyDescent="0.3">
      <c r="A20" t="s">
        <v>458</v>
      </c>
      <c r="B20" s="80">
        <v>2018000548</v>
      </c>
      <c r="C20" s="80" t="s">
        <v>447</v>
      </c>
      <c r="D20" s="229">
        <v>642626.5</v>
      </c>
      <c r="E20" s="229">
        <v>642626.5</v>
      </c>
      <c r="F20" s="229">
        <v>48196987.5</v>
      </c>
      <c r="G20" t="s">
        <v>228</v>
      </c>
      <c r="H20" t="s">
        <v>228</v>
      </c>
      <c r="K20" s="230"/>
      <c r="L20" s="229">
        <f>+D20+J20+K20</f>
        <v>642626.5</v>
      </c>
      <c r="M20" s="230">
        <v>81.8</v>
      </c>
      <c r="N20" s="231">
        <f>+L20*M20</f>
        <v>52566847.699999996</v>
      </c>
      <c r="O20" s="231"/>
      <c r="P20" s="231">
        <f t="shared" si="1"/>
        <v>52566847.699999996</v>
      </c>
      <c r="R20" s="231">
        <f>+F20-P20</f>
        <v>-4369860.1999999955</v>
      </c>
      <c r="T20">
        <f>+'WFL Format-4 (2)'!AN28</f>
        <v>81.8</v>
      </c>
      <c r="U20" s="231">
        <f>+'WFL Format-4 (2)'!AO28</f>
        <v>52434564.490000002</v>
      </c>
      <c r="V20" s="231"/>
      <c r="W20" s="288">
        <f>+T20</f>
        <v>81.8</v>
      </c>
      <c r="X20" s="379">
        <f>+U20*0+AB20</f>
        <v>52345141.557499997</v>
      </c>
      <c r="Y20" s="379"/>
      <c r="Z20" s="389">
        <v>642626.5</v>
      </c>
      <c r="AA20" s="309">
        <v>81.454999999999998</v>
      </c>
      <c r="AB20" s="290">
        <f>+Z20*AA20</f>
        <v>52345141.557499997</v>
      </c>
      <c r="AC20" s="312">
        <v>43418</v>
      </c>
      <c r="AD20" s="290" t="s">
        <v>871</v>
      </c>
      <c r="AF20" t="s">
        <v>448</v>
      </c>
      <c r="AG20" s="232">
        <v>43713</v>
      </c>
      <c r="AI20" s="82" t="s">
        <v>459</v>
      </c>
      <c r="AK20" t="s">
        <v>390</v>
      </c>
      <c r="AL20" t="s">
        <v>460</v>
      </c>
    </row>
    <row r="21" spans="1:38" ht="15" thickBot="1" x14ac:dyDescent="0.35">
      <c r="A21" t="s">
        <v>458</v>
      </c>
      <c r="B21" s="80">
        <v>2018000628</v>
      </c>
      <c r="C21" s="80" t="s">
        <v>447</v>
      </c>
      <c r="D21" s="229">
        <v>1157575.5</v>
      </c>
      <c r="E21" s="229">
        <v>1157575.5</v>
      </c>
      <c r="F21" s="229">
        <v>86818162.5</v>
      </c>
      <c r="G21" t="s">
        <v>228</v>
      </c>
      <c r="H21" t="s">
        <v>228</v>
      </c>
      <c r="K21" s="230"/>
      <c r="L21" s="229">
        <f>+D21+J21+K21</f>
        <v>1157575.5</v>
      </c>
      <c r="M21" s="230">
        <v>81.55</v>
      </c>
      <c r="N21" s="231">
        <f>+L21*M21</f>
        <v>94400282.024999991</v>
      </c>
      <c r="O21" s="231"/>
      <c r="P21" s="231">
        <f t="shared" si="1"/>
        <v>94400282.024999991</v>
      </c>
      <c r="R21" s="231">
        <f>+F21-P21</f>
        <v>-7582119.5249999911</v>
      </c>
      <c r="T21" s="238"/>
      <c r="U21" s="231">
        <f>+'WFL Format-4 (2)'!AO29</f>
        <v>93921277.280000001</v>
      </c>
      <c r="V21" s="231"/>
      <c r="W21" s="288">
        <f>+T21</f>
        <v>0</v>
      </c>
      <c r="X21" s="380">
        <f>+U21*0+AB21</f>
        <v>93832204.340015993</v>
      </c>
      <c r="Y21" s="380"/>
      <c r="Z21" s="390">
        <v>1156477.68</v>
      </c>
      <c r="AA21" s="309">
        <v>81.136200000000002</v>
      </c>
      <c r="AB21" s="290">
        <f>+Z21*AA21</f>
        <v>93832204.340015993</v>
      </c>
      <c r="AC21" s="312">
        <v>43476</v>
      </c>
      <c r="AD21" s="290" t="s">
        <v>871</v>
      </c>
      <c r="AF21" t="s">
        <v>448</v>
      </c>
      <c r="AG21" s="232">
        <v>43713</v>
      </c>
      <c r="AI21" s="82" t="s">
        <v>459</v>
      </c>
      <c r="AK21" t="s">
        <v>390</v>
      </c>
      <c r="AL21" t="s">
        <v>461</v>
      </c>
    </row>
    <row r="22" spans="1:38" ht="15" thickBot="1" x14ac:dyDescent="0.35">
      <c r="D22" s="229"/>
      <c r="E22" s="229"/>
      <c r="F22" s="229"/>
      <c r="K22" s="230"/>
      <c r="L22" s="229"/>
      <c r="M22" s="230"/>
      <c r="N22" s="231"/>
      <c r="O22" s="231"/>
      <c r="P22" s="231"/>
      <c r="R22" s="231"/>
      <c r="T22" s="238"/>
      <c r="U22" s="231"/>
      <c r="V22" s="231"/>
      <c r="W22" s="288"/>
      <c r="X22" s="231"/>
      <c r="Y22" s="231"/>
      <c r="Z22" s="289"/>
      <c r="AA22" s="308"/>
      <c r="AB22" s="289"/>
      <c r="AC22" s="289"/>
      <c r="AD22" s="289"/>
      <c r="AG22" s="232"/>
      <c r="AI22" s="82"/>
    </row>
    <row r="23" spans="1:38" x14ac:dyDescent="0.3">
      <c r="A23" t="s">
        <v>462</v>
      </c>
      <c r="B23" s="80">
        <v>654</v>
      </c>
      <c r="C23" s="80" t="s">
        <v>447</v>
      </c>
      <c r="D23" s="229">
        <v>692000</v>
      </c>
      <c r="E23" s="229">
        <v>692000</v>
      </c>
      <c r="F23" s="229">
        <v>51900000</v>
      </c>
      <c r="G23" t="s">
        <v>228</v>
      </c>
      <c r="H23" t="s">
        <v>228</v>
      </c>
      <c r="K23" s="230"/>
      <c r="L23" s="229">
        <f t="shared" ref="L23:L29" si="3">+D23+J23+K23</f>
        <v>692000</v>
      </c>
      <c r="M23" s="230">
        <v>80</v>
      </c>
      <c r="N23" s="231">
        <f t="shared" ref="N23:N29" si="4">+L23*M23</f>
        <v>55360000</v>
      </c>
      <c r="O23" s="231"/>
      <c r="P23" s="231">
        <f t="shared" si="1"/>
        <v>55360000</v>
      </c>
      <c r="R23" s="231">
        <f t="shared" ref="R23:R29" si="5">+F23-P23</f>
        <v>-3460000</v>
      </c>
      <c r="T23" s="269">
        <f>+'WFL Format-4 (2)'!AN20</f>
        <v>80.3</v>
      </c>
      <c r="U23" s="270">
        <f>+'WFL Format-4 (2)'!AO20</f>
        <v>35000100</v>
      </c>
      <c r="W23" s="321">
        <f t="shared" ref="W23:X29" si="6">+T23</f>
        <v>80.3</v>
      </c>
      <c r="X23" s="381">
        <f t="shared" si="6"/>
        <v>35000100</v>
      </c>
      <c r="Y23" s="381"/>
      <c r="Z23" s="382">
        <v>652500</v>
      </c>
      <c r="AA23" s="309">
        <v>84.197500000000005</v>
      </c>
      <c r="AB23" s="290">
        <f t="shared" ref="AB23:AB42" si="7">+Z23*AA23</f>
        <v>54938868.75</v>
      </c>
      <c r="AC23" s="312">
        <v>43392</v>
      </c>
      <c r="AD23" s="290" t="s">
        <v>871</v>
      </c>
      <c r="AF23" t="s">
        <v>448</v>
      </c>
      <c r="AG23" s="232">
        <v>43417</v>
      </c>
      <c r="AI23" s="82" t="s">
        <v>463</v>
      </c>
      <c r="AK23" t="s">
        <v>390</v>
      </c>
    </row>
    <row r="24" spans="1:38" x14ac:dyDescent="0.3">
      <c r="A24" t="s">
        <v>462</v>
      </c>
      <c r="B24" s="80">
        <v>651</v>
      </c>
      <c r="C24" s="80" t="s">
        <v>447</v>
      </c>
      <c r="D24" s="229">
        <v>585000</v>
      </c>
      <c r="E24" s="229">
        <v>585000</v>
      </c>
      <c r="F24" s="229">
        <v>43875000</v>
      </c>
      <c r="G24" t="s">
        <v>228</v>
      </c>
      <c r="H24" t="s">
        <v>228</v>
      </c>
      <c r="K24" s="230"/>
      <c r="L24" s="229">
        <f t="shared" si="3"/>
        <v>585000</v>
      </c>
      <c r="M24" s="230">
        <v>78.55</v>
      </c>
      <c r="N24" s="231">
        <f t="shared" si="4"/>
        <v>45951750</v>
      </c>
      <c r="O24" s="231"/>
      <c r="P24" s="231">
        <f t="shared" si="1"/>
        <v>45951750</v>
      </c>
      <c r="R24" s="231">
        <f t="shared" si="5"/>
        <v>-2076750</v>
      </c>
      <c r="T24" s="271">
        <f>+'WFL Format-4 (2)'!AN18</f>
        <v>78.55</v>
      </c>
      <c r="U24" s="272">
        <f>+'WFL Format-4 (2)'!AO18</f>
        <v>54938869</v>
      </c>
      <c r="W24" s="322">
        <f t="shared" si="6"/>
        <v>78.55</v>
      </c>
      <c r="X24" s="379">
        <f t="shared" si="6"/>
        <v>54938869</v>
      </c>
      <c r="Y24" s="379"/>
      <c r="Z24" s="383">
        <v>490200</v>
      </c>
      <c r="AA24" s="309">
        <v>78.243300000000005</v>
      </c>
      <c r="AB24" s="290">
        <f t="shared" si="7"/>
        <v>38354865.660000004</v>
      </c>
      <c r="AC24" s="312">
        <v>43553</v>
      </c>
      <c r="AD24" s="290" t="s">
        <v>871</v>
      </c>
      <c r="AF24" t="s">
        <v>448</v>
      </c>
      <c r="AG24" s="232">
        <v>43481</v>
      </c>
      <c r="AI24" s="82" t="s">
        <v>463</v>
      </c>
      <c r="AK24" t="s">
        <v>390</v>
      </c>
    </row>
    <row r="25" spans="1:38" x14ac:dyDescent="0.3">
      <c r="A25" t="s">
        <v>462</v>
      </c>
      <c r="B25" s="80">
        <v>652</v>
      </c>
      <c r="C25" s="80" t="s">
        <v>447</v>
      </c>
      <c r="D25" s="229">
        <v>668500</v>
      </c>
      <c r="E25" s="229">
        <v>668499.30000000005</v>
      </c>
      <c r="F25" s="229">
        <v>50137447.5</v>
      </c>
      <c r="G25" t="s">
        <v>228</v>
      </c>
      <c r="H25" t="s">
        <v>228</v>
      </c>
      <c r="K25" s="230"/>
      <c r="L25" s="229">
        <f t="shared" si="3"/>
        <v>668500</v>
      </c>
      <c r="M25" s="230">
        <v>80</v>
      </c>
      <c r="N25" s="231">
        <f t="shared" si="4"/>
        <v>53480000</v>
      </c>
      <c r="O25" s="231"/>
      <c r="P25" s="231">
        <f t="shared" si="1"/>
        <v>53480000</v>
      </c>
      <c r="R25" s="231">
        <f t="shared" si="5"/>
        <v>-3342552.5</v>
      </c>
      <c r="T25" s="271">
        <f>+'WFL Format-4 (2)'!AN17</f>
        <v>80</v>
      </c>
      <c r="U25" s="272">
        <f>+'WFL Format-4 (2)'!AO17</f>
        <v>38354866</v>
      </c>
      <c r="W25" s="322">
        <f t="shared" si="6"/>
        <v>80</v>
      </c>
      <c r="X25" s="379">
        <f t="shared" si="6"/>
        <v>38354866</v>
      </c>
      <c r="Y25" s="379"/>
      <c r="Z25" s="383">
        <v>69200</v>
      </c>
      <c r="AA25" s="309">
        <v>77.402500000000003</v>
      </c>
      <c r="AB25" s="290">
        <f t="shared" si="7"/>
        <v>5356253</v>
      </c>
      <c r="AC25" s="312">
        <v>43664</v>
      </c>
      <c r="AD25" s="290" t="s">
        <v>871</v>
      </c>
      <c r="AE25">
        <f>+U23/T23</f>
        <v>435866.74968866754</v>
      </c>
      <c r="AI25" s="82" t="s">
        <v>463</v>
      </c>
      <c r="AK25" t="s">
        <v>390</v>
      </c>
    </row>
    <row r="26" spans="1:38" x14ac:dyDescent="0.3">
      <c r="A26" t="s">
        <v>462</v>
      </c>
      <c r="B26" s="80">
        <v>656</v>
      </c>
      <c r="C26" s="80" t="s">
        <v>447</v>
      </c>
      <c r="D26" s="229">
        <v>649500</v>
      </c>
      <c r="E26" s="229">
        <v>649498.5</v>
      </c>
      <c r="F26" s="229">
        <v>48712387.5</v>
      </c>
      <c r="G26" t="s">
        <v>228</v>
      </c>
      <c r="H26" t="s">
        <v>228</v>
      </c>
      <c r="K26" s="230"/>
      <c r="L26" s="229">
        <f t="shared" si="3"/>
        <v>649500</v>
      </c>
      <c r="M26" s="230">
        <v>80.3</v>
      </c>
      <c r="N26" s="231">
        <f t="shared" si="4"/>
        <v>52154850</v>
      </c>
      <c r="O26" s="231"/>
      <c r="P26" s="231">
        <f t="shared" si="1"/>
        <v>52154850</v>
      </c>
      <c r="R26" s="231">
        <f t="shared" si="5"/>
        <v>-3442462.5</v>
      </c>
      <c r="T26" s="271">
        <f>+'WFL Format-4 (2)'!AN19</f>
        <v>80.3</v>
      </c>
      <c r="U26" s="273">
        <f>+'WFL Format-4 (2)'!AO19</f>
        <v>150987641.34</v>
      </c>
      <c r="V26" s="231"/>
      <c r="W26" s="322">
        <f t="shared" si="6"/>
        <v>80.3</v>
      </c>
      <c r="X26" s="379">
        <f t="shared" si="6"/>
        <v>150987641.34</v>
      </c>
      <c r="Y26" s="379"/>
      <c r="Z26" s="369">
        <v>435000</v>
      </c>
      <c r="AA26" s="314">
        <v>80.459999999999994</v>
      </c>
      <c r="AB26" s="313">
        <f t="shared" si="7"/>
        <v>35000100</v>
      </c>
      <c r="AC26" s="315">
        <v>43286</v>
      </c>
      <c r="AD26" s="313" t="s">
        <v>872</v>
      </c>
      <c r="AE26">
        <f>+U24/T24</f>
        <v>699412.71801400383</v>
      </c>
      <c r="AF26" t="s">
        <v>448</v>
      </c>
      <c r="AG26" s="232">
        <v>43530</v>
      </c>
      <c r="AI26" s="82" t="s">
        <v>463</v>
      </c>
      <c r="AK26" t="s">
        <v>390</v>
      </c>
    </row>
    <row r="27" spans="1:38" x14ac:dyDescent="0.3">
      <c r="A27" t="s">
        <v>462</v>
      </c>
      <c r="B27" s="80">
        <v>653</v>
      </c>
      <c r="C27" s="80" t="s">
        <v>447</v>
      </c>
      <c r="D27" s="229">
        <v>817000</v>
      </c>
      <c r="E27" s="229">
        <v>816999.62</v>
      </c>
      <c r="F27" s="229">
        <v>61274971.5</v>
      </c>
      <c r="G27" t="s">
        <v>228</v>
      </c>
      <c r="H27" t="s">
        <v>228</v>
      </c>
      <c r="K27" s="230"/>
      <c r="L27" s="229">
        <f t="shared" si="3"/>
        <v>817000</v>
      </c>
      <c r="M27" s="230">
        <v>78.55</v>
      </c>
      <c r="N27" s="231">
        <f t="shared" si="4"/>
        <v>64175350</v>
      </c>
      <c r="O27" s="231"/>
      <c r="P27" s="231">
        <f t="shared" si="1"/>
        <v>64175350</v>
      </c>
      <c r="R27" s="231">
        <f t="shared" si="5"/>
        <v>-2900378.5</v>
      </c>
      <c r="T27" s="271">
        <f>+'WFL Format-4 (2)'!AN16</f>
        <v>78.55</v>
      </c>
      <c r="U27" s="272">
        <f>+'WFL Format-4 (2)'!AO16</f>
        <v>5356253</v>
      </c>
      <c r="W27" s="322">
        <f t="shared" si="6"/>
        <v>78.55</v>
      </c>
      <c r="X27" s="379">
        <f t="shared" si="6"/>
        <v>5356253</v>
      </c>
      <c r="Y27" s="379"/>
      <c r="Z27" s="383">
        <v>351000</v>
      </c>
      <c r="AA27" s="309">
        <v>78.598299999999995</v>
      </c>
      <c r="AB27" s="290">
        <f t="shared" si="7"/>
        <v>27588003.299999997</v>
      </c>
      <c r="AC27" s="312">
        <v>43535</v>
      </c>
      <c r="AD27" s="290" t="s">
        <v>871</v>
      </c>
      <c r="AE27">
        <f>+U25/T25</f>
        <v>479435.82500000001</v>
      </c>
      <c r="AF27" t="s">
        <v>448</v>
      </c>
      <c r="AG27" s="232">
        <v>43536</v>
      </c>
      <c r="AI27" s="82" t="s">
        <v>463</v>
      </c>
      <c r="AK27" t="s">
        <v>390</v>
      </c>
    </row>
    <row r="28" spans="1:38" x14ac:dyDescent="0.3">
      <c r="A28" t="s">
        <v>462</v>
      </c>
      <c r="B28" s="80">
        <v>657</v>
      </c>
      <c r="C28" s="80" t="s">
        <v>447</v>
      </c>
      <c r="D28" s="229">
        <v>358000</v>
      </c>
      <c r="E28" s="229">
        <v>358000.65</v>
      </c>
      <c r="F28" s="229">
        <v>26850048.75</v>
      </c>
      <c r="G28" t="s">
        <v>228</v>
      </c>
      <c r="H28" t="s">
        <v>228</v>
      </c>
      <c r="K28" s="230"/>
      <c r="L28" s="229">
        <f t="shared" si="3"/>
        <v>358000</v>
      </c>
      <c r="M28" s="230">
        <v>80.3</v>
      </c>
      <c r="N28" s="231">
        <f t="shared" si="4"/>
        <v>28747400</v>
      </c>
      <c r="O28" s="231"/>
      <c r="P28" s="231">
        <f t="shared" si="1"/>
        <v>28747400</v>
      </c>
      <c r="R28" s="231">
        <f t="shared" si="5"/>
        <v>-1897351.25</v>
      </c>
      <c r="T28" s="271">
        <f>+'WFL Format-4 (2)'!AN21</f>
        <v>80.3</v>
      </c>
      <c r="U28" s="272">
        <f>+'WFL Format-4 (2)'!AO21</f>
        <v>17504429</v>
      </c>
      <c r="W28" s="322">
        <f t="shared" si="6"/>
        <v>80.3</v>
      </c>
      <c r="X28" s="379">
        <f t="shared" si="6"/>
        <v>17504429</v>
      </c>
      <c r="Y28" s="379"/>
      <c r="Z28" s="383">
        <v>415200</v>
      </c>
      <c r="AA28" s="309">
        <v>78.347700000000003</v>
      </c>
      <c r="AB28" s="290">
        <f t="shared" si="7"/>
        <v>32529965.040000003</v>
      </c>
      <c r="AC28" s="312">
        <v>43573</v>
      </c>
      <c r="AD28" s="290" t="s">
        <v>871</v>
      </c>
      <c r="AE28">
        <f>+U26/T26</f>
        <v>1880294.4127023662</v>
      </c>
      <c r="AF28" t="s">
        <v>448</v>
      </c>
      <c r="AG28" s="232">
        <v>43593</v>
      </c>
      <c r="AI28" s="82" t="s">
        <v>463</v>
      </c>
      <c r="AK28" t="s">
        <v>390</v>
      </c>
    </row>
    <row r="29" spans="1:38" ht="15" thickBot="1" x14ac:dyDescent="0.35">
      <c r="A29" t="s">
        <v>462</v>
      </c>
      <c r="B29" s="80">
        <v>658</v>
      </c>
      <c r="C29" s="80" t="s">
        <v>447</v>
      </c>
      <c r="D29" s="229">
        <v>580000</v>
      </c>
      <c r="E29" s="229">
        <v>580000</v>
      </c>
      <c r="F29" s="229">
        <v>43500000</v>
      </c>
      <c r="G29" t="s">
        <v>228</v>
      </c>
      <c r="H29" t="s">
        <v>228</v>
      </c>
      <c r="K29" s="230"/>
      <c r="L29" s="229">
        <f t="shared" si="3"/>
        <v>580000</v>
      </c>
      <c r="M29" s="230">
        <v>80.3</v>
      </c>
      <c r="N29" s="231">
        <f t="shared" si="4"/>
        <v>46574000</v>
      </c>
      <c r="O29" s="231"/>
      <c r="P29" s="231">
        <f t="shared" si="1"/>
        <v>46574000</v>
      </c>
      <c r="R29" s="231">
        <f t="shared" si="5"/>
        <v>-3074000</v>
      </c>
      <c r="T29" s="274">
        <f>+'WFL Format-4 (2)'!AN22</f>
        <v>80.3</v>
      </c>
      <c r="U29" s="275">
        <f>+'WFL Format-4 (2)'!AO22</f>
        <v>36679716</v>
      </c>
      <c r="W29" s="323">
        <f t="shared" si="6"/>
        <v>80.3</v>
      </c>
      <c r="X29" s="380">
        <f t="shared" si="6"/>
        <v>36679716</v>
      </c>
      <c r="Y29" s="379"/>
      <c r="Z29" s="383">
        <v>562800</v>
      </c>
      <c r="AA29" s="309">
        <v>78.173000000000002</v>
      </c>
      <c r="AB29" s="290">
        <f t="shared" si="7"/>
        <v>43995764.399999999</v>
      </c>
      <c r="AC29" s="312">
        <v>43594</v>
      </c>
      <c r="AD29" s="290" t="s">
        <v>871</v>
      </c>
      <c r="AE29">
        <f>+U27/T27</f>
        <v>68189.089751750478</v>
      </c>
      <c r="AF29" t="s">
        <v>448</v>
      </c>
      <c r="AG29" s="232">
        <v>43550</v>
      </c>
      <c r="AI29" s="82" t="s">
        <v>463</v>
      </c>
      <c r="AK29" t="s">
        <v>390</v>
      </c>
    </row>
    <row r="30" spans="1:38" ht="15" thickBot="1" x14ac:dyDescent="0.35">
      <c r="D30" s="229"/>
      <c r="E30" s="229"/>
      <c r="F30" s="229"/>
      <c r="K30" s="230"/>
      <c r="L30" s="229"/>
      <c r="M30" s="230"/>
      <c r="N30" s="231"/>
      <c r="O30" s="231"/>
      <c r="P30" s="231"/>
      <c r="R30" s="231"/>
      <c r="W30" s="323"/>
      <c r="X30" s="380">
        <f>+AB41+AB42</f>
        <v>6223796.75</v>
      </c>
      <c r="Y30" s="370"/>
      <c r="Z30" s="383">
        <v>389700</v>
      </c>
      <c r="AA30" s="309">
        <v>78.8476</v>
      </c>
      <c r="AB30" s="290">
        <f t="shared" si="7"/>
        <v>30726909.719999999</v>
      </c>
      <c r="AC30" s="312">
        <v>43598</v>
      </c>
      <c r="AD30" s="290" t="s">
        <v>871</v>
      </c>
      <c r="AG30" s="232"/>
      <c r="AI30" s="82"/>
    </row>
    <row r="31" spans="1:38" x14ac:dyDescent="0.3">
      <c r="D31" s="229"/>
      <c r="E31" s="229"/>
      <c r="F31" s="229"/>
      <c r="K31" s="230"/>
      <c r="L31" s="229"/>
      <c r="M31" s="230"/>
      <c r="N31" s="231"/>
      <c r="O31" s="231"/>
      <c r="P31" s="231"/>
      <c r="R31" s="231"/>
      <c r="W31" s="288"/>
      <c r="X31" s="370"/>
      <c r="Y31" s="370"/>
      <c r="Z31" s="383">
        <v>58500</v>
      </c>
      <c r="AA31" s="309">
        <v>78.572500000000005</v>
      </c>
      <c r="AB31" s="290">
        <f t="shared" si="7"/>
        <v>4596491.25</v>
      </c>
      <c r="AC31" s="312">
        <v>43627</v>
      </c>
      <c r="AD31" s="290" t="s">
        <v>871</v>
      </c>
      <c r="AG31" s="232"/>
      <c r="AI31" s="82"/>
    </row>
    <row r="32" spans="1:38" x14ac:dyDescent="0.3">
      <c r="D32" s="229"/>
      <c r="E32" s="229"/>
      <c r="F32" s="229"/>
      <c r="K32" s="230"/>
      <c r="L32" s="229"/>
      <c r="M32" s="230"/>
      <c r="N32" s="231"/>
      <c r="O32" s="231"/>
      <c r="P32" s="231"/>
      <c r="R32" s="231"/>
      <c r="W32" s="288"/>
      <c r="X32" s="370"/>
      <c r="Y32" s="370"/>
      <c r="Z32" s="383">
        <v>66850</v>
      </c>
      <c r="AA32" s="309">
        <v>78.25</v>
      </c>
      <c r="AB32" s="290">
        <f t="shared" si="7"/>
        <v>5231012.5</v>
      </c>
      <c r="AC32" s="312">
        <v>43633</v>
      </c>
      <c r="AD32" s="290" t="s">
        <v>871</v>
      </c>
      <c r="AG32" s="232"/>
      <c r="AI32" s="82"/>
    </row>
    <row r="33" spans="1:38" x14ac:dyDescent="0.3">
      <c r="D33" s="229"/>
      <c r="E33" s="229"/>
      <c r="F33" s="229"/>
      <c r="K33" s="230"/>
      <c r="L33" s="229"/>
      <c r="M33" s="230"/>
      <c r="N33" s="231"/>
      <c r="O33" s="231"/>
      <c r="P33" s="231"/>
      <c r="R33" s="231"/>
      <c r="W33" s="288"/>
      <c r="X33" s="370"/>
      <c r="Y33" s="370"/>
      <c r="Z33" s="383">
        <v>81700</v>
      </c>
      <c r="AA33" s="309">
        <v>77.349999999999994</v>
      </c>
      <c r="AB33" s="290">
        <f t="shared" si="7"/>
        <v>6319495</v>
      </c>
      <c r="AC33" s="312">
        <v>43651</v>
      </c>
      <c r="AD33" s="290" t="s">
        <v>871</v>
      </c>
      <c r="AG33" s="232"/>
      <c r="AI33" s="82"/>
    </row>
    <row r="34" spans="1:38" x14ac:dyDescent="0.3">
      <c r="D34" s="229"/>
      <c r="E34" s="229"/>
      <c r="F34" s="229"/>
      <c r="K34" s="230"/>
      <c r="L34" s="229"/>
      <c r="M34" s="230"/>
      <c r="N34" s="231"/>
      <c r="O34" s="231"/>
      <c r="P34" s="231"/>
      <c r="R34" s="231"/>
      <c r="W34" s="288"/>
      <c r="X34" s="370"/>
      <c r="Y34" s="370"/>
      <c r="Z34" s="383">
        <v>64950</v>
      </c>
      <c r="AA34" s="309">
        <v>78.89</v>
      </c>
      <c r="AB34" s="290">
        <f t="shared" si="7"/>
        <v>5123905.5</v>
      </c>
      <c r="AC34" s="312">
        <v>43696</v>
      </c>
      <c r="AD34" s="290" t="s">
        <v>871</v>
      </c>
      <c r="AG34" s="232"/>
      <c r="AI34" s="82"/>
    </row>
    <row r="35" spans="1:38" x14ac:dyDescent="0.3">
      <c r="D35" s="229"/>
      <c r="E35" s="229"/>
      <c r="F35" s="229"/>
      <c r="K35" s="230"/>
      <c r="L35" s="229"/>
      <c r="M35" s="230"/>
      <c r="N35" s="231"/>
      <c r="O35" s="231"/>
      <c r="P35" s="231"/>
      <c r="R35" s="231"/>
      <c r="W35" s="288"/>
      <c r="X35" s="370"/>
      <c r="Y35" s="370"/>
      <c r="Z35" s="383">
        <v>93800</v>
      </c>
      <c r="AA35" s="309">
        <v>78.97</v>
      </c>
      <c r="AB35" s="290">
        <f t="shared" si="7"/>
        <v>7407386</v>
      </c>
      <c r="AC35" s="312">
        <v>43686</v>
      </c>
      <c r="AD35" s="290" t="s">
        <v>871</v>
      </c>
      <c r="AG35" s="232"/>
      <c r="AI35" s="82"/>
    </row>
    <row r="36" spans="1:38" x14ac:dyDescent="0.3">
      <c r="D36" s="229"/>
      <c r="E36" s="229"/>
      <c r="F36" s="229"/>
      <c r="K36" s="230"/>
      <c r="L36" s="229"/>
      <c r="M36" s="230"/>
      <c r="N36" s="231"/>
      <c r="O36" s="231"/>
      <c r="P36" s="231"/>
      <c r="R36" s="231"/>
      <c r="W36" s="288"/>
      <c r="X36" s="370"/>
      <c r="Y36" s="370"/>
      <c r="Z36" s="383">
        <v>29250</v>
      </c>
      <c r="AA36" s="309">
        <v>79.62</v>
      </c>
      <c r="AB36" s="290">
        <f t="shared" si="7"/>
        <v>2328885</v>
      </c>
      <c r="AC36" s="312">
        <v>43690</v>
      </c>
      <c r="AD36" s="290" t="s">
        <v>871</v>
      </c>
      <c r="AG36" s="232"/>
      <c r="AI36" s="82"/>
    </row>
    <row r="37" spans="1:38" x14ac:dyDescent="0.3">
      <c r="D37" s="229"/>
      <c r="E37" s="229"/>
      <c r="F37" s="229"/>
      <c r="K37" s="230"/>
      <c r="L37" s="229"/>
      <c r="M37" s="230"/>
      <c r="N37" s="231"/>
      <c r="O37" s="231"/>
      <c r="P37" s="231"/>
      <c r="R37" s="231"/>
      <c r="W37" s="288"/>
      <c r="X37" s="370"/>
      <c r="Y37" s="370"/>
      <c r="Z37" s="383">
        <v>33425</v>
      </c>
      <c r="AA37" s="309">
        <v>79.11</v>
      </c>
      <c r="AB37" s="290">
        <f t="shared" si="7"/>
        <v>2644251.75</v>
      </c>
      <c r="AC37" s="312">
        <v>43693</v>
      </c>
      <c r="AD37" s="290" t="s">
        <v>871</v>
      </c>
      <c r="AG37" s="232"/>
      <c r="AI37" s="82"/>
    </row>
    <row r="38" spans="1:38" x14ac:dyDescent="0.3">
      <c r="D38" s="229"/>
      <c r="E38" s="229"/>
      <c r="F38" s="229"/>
      <c r="K38" s="230"/>
      <c r="L38" s="229"/>
      <c r="M38" s="230"/>
      <c r="N38" s="231"/>
      <c r="O38" s="231"/>
      <c r="P38" s="231"/>
      <c r="R38" s="231"/>
      <c r="W38" s="288"/>
      <c r="X38" s="370"/>
      <c r="Y38" s="370"/>
      <c r="Z38" s="383">
        <v>401100</v>
      </c>
      <c r="AA38" s="309">
        <v>76.572500000000005</v>
      </c>
      <c r="AB38" s="290">
        <f t="shared" si="7"/>
        <v>30713229.750000004</v>
      </c>
      <c r="AC38" s="312">
        <v>43676</v>
      </c>
      <c r="AD38" s="290" t="s">
        <v>871</v>
      </c>
      <c r="AG38" s="232"/>
      <c r="AI38" s="82"/>
    </row>
    <row r="39" spans="1:38" x14ac:dyDescent="0.3">
      <c r="D39" s="229"/>
      <c r="E39" s="229"/>
      <c r="F39" s="229"/>
      <c r="K39" s="230"/>
      <c r="L39" s="229"/>
      <c r="M39" s="230"/>
      <c r="N39" s="231"/>
      <c r="O39" s="231"/>
      <c r="P39" s="231"/>
      <c r="R39" s="231"/>
      <c r="W39" s="288"/>
      <c r="X39" s="370"/>
      <c r="Y39" s="370"/>
      <c r="Z39" s="383">
        <v>40850</v>
      </c>
      <c r="AA39" s="309">
        <v>79.23</v>
      </c>
      <c r="AB39" s="290">
        <f t="shared" si="7"/>
        <v>3236545.5</v>
      </c>
      <c r="AC39" s="312">
        <v>43713</v>
      </c>
      <c r="AD39" s="290" t="s">
        <v>871</v>
      </c>
      <c r="AG39" s="232"/>
      <c r="AI39" s="82"/>
    </row>
    <row r="40" spans="1:38" x14ac:dyDescent="0.3">
      <c r="D40" s="229"/>
      <c r="E40" s="229"/>
      <c r="F40" s="229"/>
      <c r="K40" s="230"/>
      <c r="L40" s="229"/>
      <c r="M40" s="230"/>
      <c r="N40" s="231"/>
      <c r="O40" s="231"/>
      <c r="P40" s="231"/>
      <c r="R40" s="231"/>
      <c r="W40" s="288"/>
      <c r="X40" s="370"/>
      <c r="Y40" s="370"/>
      <c r="Z40" s="383">
        <v>34600</v>
      </c>
      <c r="AA40" s="309">
        <v>78.900000000000006</v>
      </c>
      <c r="AB40" s="290">
        <f t="shared" si="7"/>
        <v>2729940</v>
      </c>
      <c r="AC40" s="312">
        <v>43726</v>
      </c>
      <c r="AD40" s="290" t="s">
        <v>871</v>
      </c>
      <c r="AG40" s="232"/>
      <c r="AI40" s="82"/>
    </row>
    <row r="41" spans="1:38" x14ac:dyDescent="0.3">
      <c r="D41" s="229"/>
      <c r="E41" s="229"/>
      <c r="F41" s="229"/>
      <c r="K41" s="230"/>
      <c r="L41" s="229"/>
      <c r="M41" s="230"/>
      <c r="N41" s="231"/>
      <c r="O41" s="231"/>
      <c r="P41" s="231"/>
      <c r="R41" s="231"/>
      <c r="W41" s="288"/>
      <c r="X41" s="370"/>
      <c r="Y41" s="370"/>
      <c r="Z41" s="383">
        <v>32475</v>
      </c>
      <c r="AA41" s="309">
        <v>78.930000000000007</v>
      </c>
      <c r="AB41" s="290">
        <f t="shared" si="7"/>
        <v>2563251.75</v>
      </c>
      <c r="AC41" s="312">
        <v>43754</v>
      </c>
      <c r="AD41" s="290" t="s">
        <v>871</v>
      </c>
      <c r="AG41" s="232"/>
      <c r="AI41" s="82"/>
    </row>
    <row r="42" spans="1:38" x14ac:dyDescent="0.3">
      <c r="D42" s="229"/>
      <c r="E42" s="229"/>
      <c r="F42" s="229"/>
      <c r="K42" s="230"/>
      <c r="L42" s="229"/>
      <c r="M42" s="230"/>
      <c r="N42" s="231"/>
      <c r="O42" s="231"/>
      <c r="P42" s="231"/>
      <c r="R42" s="231"/>
      <c r="W42" s="288"/>
      <c r="X42" s="370"/>
      <c r="Y42" s="370"/>
      <c r="Z42" s="383">
        <v>46900</v>
      </c>
      <c r="AA42" s="309">
        <v>78.05</v>
      </c>
      <c r="AB42" s="290">
        <f t="shared" si="7"/>
        <v>3660545</v>
      </c>
      <c r="AC42" s="312">
        <v>43747</v>
      </c>
      <c r="AD42" s="290" t="s">
        <v>871</v>
      </c>
      <c r="AG42" s="232"/>
      <c r="AI42" s="82"/>
    </row>
    <row r="43" spans="1:38" ht="15" thickBot="1" x14ac:dyDescent="0.35">
      <c r="D43" s="229"/>
      <c r="E43" s="229"/>
      <c r="F43" s="229"/>
      <c r="K43" s="230"/>
      <c r="L43" s="229"/>
      <c r="M43" s="230"/>
      <c r="N43" s="231"/>
      <c r="O43" s="231"/>
      <c r="P43" s="231"/>
      <c r="R43" s="231"/>
      <c r="W43" s="288"/>
      <c r="X43" s="371"/>
      <c r="Y43" s="371"/>
      <c r="Z43" s="384"/>
      <c r="AA43" s="309"/>
      <c r="AB43" s="290"/>
      <c r="AC43" s="312"/>
      <c r="AD43" s="290"/>
      <c r="AG43" s="232"/>
      <c r="AI43" s="82"/>
    </row>
    <row r="44" spans="1:38" ht="15" thickBot="1" x14ac:dyDescent="0.35">
      <c r="A44" t="s">
        <v>464</v>
      </c>
      <c r="B44" s="80" t="s">
        <v>465</v>
      </c>
      <c r="C44" s="80" t="s">
        <v>447</v>
      </c>
      <c r="D44" s="229">
        <v>598500.01</v>
      </c>
      <c r="E44" s="229">
        <v>598500.01</v>
      </c>
      <c r="F44" s="229">
        <v>44887500.75</v>
      </c>
      <c r="G44" t="s">
        <v>228</v>
      </c>
      <c r="H44" t="s">
        <v>228</v>
      </c>
      <c r="I44" s="599" t="s">
        <v>466</v>
      </c>
      <c r="J44" s="600">
        <v>0</v>
      </c>
      <c r="K44" s="601">
        <f t="shared" ref="K44:K49" si="8">+D44*1.125%</f>
        <v>6733.1251124999999</v>
      </c>
      <c r="L44" s="229">
        <f>+D44+J44+K44</f>
        <v>605233.13511250005</v>
      </c>
      <c r="M44" s="230">
        <v>80.75</v>
      </c>
      <c r="N44" s="231">
        <f>+L44*M44</f>
        <v>48872575.660334378</v>
      </c>
      <c r="O44" s="235">
        <v>152984</v>
      </c>
      <c r="P44" s="231">
        <f>+N44+O44</f>
        <v>49025559.660334378</v>
      </c>
      <c r="R44" s="231">
        <f>+F44-P44</f>
        <v>-4138058.9103343785</v>
      </c>
      <c r="T44">
        <f>+'WFL Format-4 (2)'!AN9</f>
        <v>80.75</v>
      </c>
      <c r="U44">
        <f>+'WFL Format-4 (2)'!AO9</f>
        <v>47056822</v>
      </c>
      <c r="W44" s="288">
        <f>+T44</f>
        <v>80.75</v>
      </c>
      <c r="X44" s="378">
        <f>+U44</f>
        <v>47056822</v>
      </c>
      <c r="Y44" s="378"/>
      <c r="Z44" s="391">
        <v>59850</v>
      </c>
      <c r="AA44" s="314">
        <v>79.06</v>
      </c>
      <c r="AB44" s="313">
        <f>+Z44*AA44</f>
        <v>4731741</v>
      </c>
      <c r="AC44" s="315">
        <v>43270</v>
      </c>
      <c r="AD44" s="313" t="s">
        <v>876</v>
      </c>
      <c r="AE44">
        <f>+U28/T28</f>
        <v>217987.90784557909</v>
      </c>
      <c r="AI44" s="82" t="s">
        <v>467</v>
      </c>
      <c r="AK44" t="s">
        <v>390</v>
      </c>
      <c r="AL44" t="s">
        <v>468</v>
      </c>
    </row>
    <row r="45" spans="1:38" x14ac:dyDescent="0.3">
      <c r="D45" s="229"/>
      <c r="E45" s="229"/>
      <c r="F45" s="229"/>
      <c r="K45" s="230"/>
      <c r="L45" s="229"/>
      <c r="M45" s="230"/>
      <c r="N45" s="231"/>
      <c r="O45" s="231"/>
      <c r="P45" s="231"/>
      <c r="R45" s="231"/>
      <c r="W45" s="288"/>
      <c r="X45" s="379">
        <f>+O44+(K44*M44)</f>
        <v>696683.85283437499</v>
      </c>
      <c r="Y45" s="379"/>
      <c r="Z45" s="383">
        <v>484785</v>
      </c>
      <c r="AA45" s="309">
        <v>78.598299999999995</v>
      </c>
      <c r="AB45" s="290">
        <f>+Z45*AA45</f>
        <v>38103276.865499996</v>
      </c>
      <c r="AC45" s="312">
        <v>43535</v>
      </c>
      <c r="AD45" s="290" t="s">
        <v>871</v>
      </c>
      <c r="AI45" s="82"/>
    </row>
    <row r="46" spans="1:38" x14ac:dyDescent="0.3">
      <c r="D46" s="229"/>
      <c r="E46" s="229"/>
      <c r="F46" s="229"/>
      <c r="K46" s="230"/>
      <c r="L46" s="229"/>
      <c r="M46" s="230"/>
      <c r="N46" s="231"/>
      <c r="O46" s="231"/>
      <c r="P46" s="231"/>
      <c r="R46" s="231"/>
      <c r="W46" s="288"/>
      <c r="X46" s="370"/>
      <c r="Y46" s="370"/>
      <c r="Z46" s="383">
        <v>53865</v>
      </c>
      <c r="AA46" s="309">
        <v>78.377499999999998</v>
      </c>
      <c r="AB46" s="290">
        <f>+Z46*AA46</f>
        <v>4221804.0374999996</v>
      </c>
      <c r="AC46" s="312">
        <v>43682</v>
      </c>
      <c r="AD46" s="290" t="s">
        <v>871</v>
      </c>
      <c r="AI46" s="82"/>
    </row>
    <row r="47" spans="1:38" ht="15" thickBot="1" x14ac:dyDescent="0.35">
      <c r="D47" s="229"/>
      <c r="E47" s="229"/>
      <c r="F47" s="229"/>
      <c r="K47" s="230"/>
      <c r="L47" s="229"/>
      <c r="M47" s="230"/>
      <c r="N47" s="231"/>
      <c r="O47" s="231"/>
      <c r="P47" s="231"/>
      <c r="R47" s="231"/>
      <c r="W47" s="288"/>
      <c r="X47" s="371"/>
      <c r="Y47" s="371"/>
      <c r="Z47" s="384"/>
      <c r="AA47" s="309"/>
      <c r="AB47" s="290"/>
      <c r="AC47" s="290"/>
      <c r="AD47" s="290"/>
      <c r="AI47" s="82"/>
    </row>
    <row r="48" spans="1:38" ht="28.8" x14ac:dyDescent="0.3">
      <c r="A48" t="s">
        <v>469</v>
      </c>
      <c r="B48" s="80" t="s">
        <v>470</v>
      </c>
      <c r="C48" s="80" t="s">
        <v>447</v>
      </c>
      <c r="D48" s="229">
        <v>255832.27</v>
      </c>
      <c r="E48" s="229">
        <v>255832.27</v>
      </c>
      <c r="F48" s="229">
        <v>19187420.25</v>
      </c>
      <c r="G48" t="s">
        <v>228</v>
      </c>
      <c r="H48" t="s">
        <v>228</v>
      </c>
      <c r="I48" s="570" t="s">
        <v>466</v>
      </c>
      <c r="J48" s="587">
        <v>600</v>
      </c>
      <c r="K48" s="588">
        <f t="shared" si="8"/>
        <v>2878.1130374999998</v>
      </c>
      <c r="L48" s="229">
        <f>+D48+J48+K48</f>
        <v>259310.3830375</v>
      </c>
      <c r="M48" s="230">
        <v>80</v>
      </c>
      <c r="N48" s="231">
        <f>+L48*M48</f>
        <v>20744830.642999999</v>
      </c>
      <c r="O48" s="593">
        <v>0</v>
      </c>
      <c r="P48" s="231">
        <f>+N48+O48</f>
        <v>20744830.642999999</v>
      </c>
      <c r="R48" s="231">
        <f>+F48-P48</f>
        <v>-1557410.3929999992</v>
      </c>
      <c r="T48" s="238">
        <f>+'WFL Format-4 (2)'!AN25</f>
        <v>80</v>
      </c>
      <c r="U48" s="238">
        <f>+'WFL Format-4 (2)'!AO25</f>
        <v>71638730</v>
      </c>
      <c r="V48" s="238"/>
      <c r="W48" s="288">
        <f>+T48</f>
        <v>80</v>
      </c>
      <c r="X48" s="376">
        <f>+U48</f>
        <v>71638730</v>
      </c>
      <c r="Y48" s="376">
        <f>((D48+D49)-(Z48+Z49+Z50))*M48</f>
        <v>12663279.199999999</v>
      </c>
      <c r="Z48" s="382">
        <v>166291</v>
      </c>
      <c r="AA48" s="309">
        <v>78.038899999999998</v>
      </c>
      <c r="AB48" s="290">
        <f>+Z48*AA48</f>
        <v>12977166.719899999</v>
      </c>
      <c r="AC48" s="312">
        <v>43581</v>
      </c>
      <c r="AD48" s="290" t="s">
        <v>871</v>
      </c>
      <c r="AE48">
        <f>+U29/T29</f>
        <v>456783.51183063514</v>
      </c>
      <c r="AI48" s="233" t="s">
        <v>471</v>
      </c>
      <c r="AL48" t="s">
        <v>472</v>
      </c>
    </row>
    <row r="49" spans="1:37" ht="29.4" thickBot="1" x14ac:dyDescent="0.35">
      <c r="A49" t="s">
        <v>469</v>
      </c>
      <c r="B49" s="80" t="s">
        <v>473</v>
      </c>
      <c r="C49" s="80" t="s">
        <v>447</v>
      </c>
      <c r="D49" s="229">
        <v>799437.72</v>
      </c>
      <c r="E49" s="229">
        <v>799437.72</v>
      </c>
      <c r="F49" s="229">
        <v>59957829</v>
      </c>
      <c r="G49" t="s">
        <v>228</v>
      </c>
      <c r="H49" t="s">
        <v>228</v>
      </c>
      <c r="I49" s="574" t="s">
        <v>466</v>
      </c>
      <c r="J49" s="591">
        <v>0</v>
      </c>
      <c r="K49" s="592">
        <f t="shared" si="8"/>
        <v>8993.6743499999993</v>
      </c>
      <c r="L49" s="229">
        <f>+D49+J49+K49</f>
        <v>808431.39434999996</v>
      </c>
      <c r="M49" s="230">
        <v>80.75</v>
      </c>
      <c r="N49" s="231">
        <f>+L49*M49</f>
        <v>65280835.093762495</v>
      </c>
      <c r="O49" s="595">
        <v>811695</v>
      </c>
      <c r="P49" s="231">
        <f>+N49+O49</f>
        <v>66092530.093762495</v>
      </c>
      <c r="R49" s="231">
        <f>+F49-P49</f>
        <v>-6134701.0937624946</v>
      </c>
      <c r="T49" s="238"/>
      <c r="U49" s="238"/>
      <c r="V49" s="238"/>
      <c r="W49" s="288">
        <f>+T49</f>
        <v>0</v>
      </c>
      <c r="X49" s="374">
        <f>+U49</f>
        <v>0</v>
      </c>
      <c r="Y49" s="374"/>
      <c r="Z49" s="369">
        <v>211054</v>
      </c>
      <c r="AA49" s="314">
        <v>79.831199999999995</v>
      </c>
      <c r="AB49" s="313">
        <f>+Z49*AA49</f>
        <v>16848694.084799998</v>
      </c>
      <c r="AC49" s="315">
        <v>43278</v>
      </c>
      <c r="AD49" s="313" t="s">
        <v>872</v>
      </c>
      <c r="AI49" s="233" t="s">
        <v>471</v>
      </c>
    </row>
    <row r="50" spans="1:37" x14ac:dyDescent="0.3">
      <c r="D50" s="229"/>
      <c r="E50" s="229"/>
      <c r="F50" s="229"/>
      <c r="K50" s="230"/>
      <c r="L50" s="229"/>
      <c r="M50" s="230"/>
      <c r="N50" s="231"/>
      <c r="O50" s="231"/>
      <c r="P50" s="231"/>
      <c r="R50" s="231"/>
      <c r="T50" s="238"/>
      <c r="U50" s="238"/>
      <c r="V50" s="238"/>
      <c r="W50" s="288"/>
      <c r="X50" s="374">
        <f>+O49</f>
        <v>811695</v>
      </c>
      <c r="Y50" s="374"/>
      <c r="Z50" s="383">
        <v>519634</v>
      </c>
      <c r="AA50" s="309">
        <v>80.465999999999994</v>
      </c>
      <c r="AB50" s="290">
        <f>+Z50*AA50</f>
        <v>41812869.443999998</v>
      </c>
      <c r="AC50" s="312">
        <v>43504</v>
      </c>
      <c r="AD50" s="290" t="s">
        <v>871</v>
      </c>
      <c r="AI50" s="233"/>
    </row>
    <row r="51" spans="1:37" x14ac:dyDescent="0.3">
      <c r="D51" s="229"/>
      <c r="E51" s="229"/>
      <c r="F51" s="229"/>
      <c r="K51" s="230"/>
      <c r="L51" s="229"/>
      <c r="M51" s="230"/>
      <c r="N51" s="231"/>
      <c r="O51" s="231"/>
      <c r="P51" s="231"/>
      <c r="R51" s="231"/>
      <c r="T51" s="238"/>
      <c r="U51" s="238"/>
      <c r="V51" s="238"/>
      <c r="W51" s="288"/>
      <c r="X51" s="374">
        <f>+(J48+K48)*M48</f>
        <v>278249.04300000001</v>
      </c>
      <c r="Y51" s="374"/>
      <c r="Z51" s="370"/>
      <c r="AB51" s="231"/>
      <c r="AC51" s="231"/>
      <c r="AD51" s="231"/>
      <c r="AI51" s="233"/>
    </row>
    <row r="52" spans="1:37" x14ac:dyDescent="0.3">
      <c r="D52" s="229"/>
      <c r="E52" s="229"/>
      <c r="F52" s="229"/>
      <c r="K52" s="230"/>
      <c r="L52" s="229"/>
      <c r="M52" s="230"/>
      <c r="N52" s="231"/>
      <c r="O52" s="231"/>
      <c r="P52" s="231"/>
      <c r="R52" s="231"/>
      <c r="T52" s="238"/>
      <c r="U52" s="238"/>
      <c r="V52" s="238"/>
      <c r="W52" s="288"/>
      <c r="X52" s="374">
        <f>+K49*M49</f>
        <v>726239.20376249996</v>
      </c>
      <c r="Y52" s="374"/>
      <c r="Z52" s="370"/>
      <c r="AB52" s="231"/>
      <c r="AC52" s="231"/>
      <c r="AD52" s="231"/>
      <c r="AI52" s="233"/>
    </row>
    <row r="53" spans="1:37" ht="15" thickBot="1" x14ac:dyDescent="0.35">
      <c r="D53" s="229"/>
      <c r="E53" s="229"/>
      <c r="F53" s="229"/>
      <c r="K53" s="230"/>
      <c r="L53" s="229"/>
      <c r="M53" s="230"/>
      <c r="N53" s="231"/>
      <c r="O53" s="231"/>
      <c r="P53" s="231"/>
      <c r="R53" s="231"/>
      <c r="T53" s="238"/>
      <c r="U53" s="238"/>
      <c r="V53" s="238"/>
      <c r="W53" s="288"/>
      <c r="X53" s="375"/>
      <c r="Y53" s="375"/>
      <c r="Z53" s="371"/>
      <c r="AB53" s="231"/>
      <c r="AC53" s="231"/>
      <c r="AD53" s="231"/>
      <c r="AI53" s="233"/>
    </row>
    <row r="54" spans="1:37" ht="69" customHeight="1" x14ac:dyDescent="0.3">
      <c r="A54" t="s">
        <v>474</v>
      </c>
      <c r="B54" s="80" t="s">
        <v>475</v>
      </c>
      <c r="C54" s="80" t="s">
        <v>447</v>
      </c>
      <c r="D54" s="229">
        <v>1615000</v>
      </c>
      <c r="E54" s="229">
        <v>1615000</v>
      </c>
      <c r="F54" s="229">
        <v>121125000</v>
      </c>
      <c r="G54" t="s">
        <v>228</v>
      </c>
      <c r="H54" t="s">
        <v>228</v>
      </c>
      <c r="K54" s="230"/>
      <c r="L54" s="229">
        <f>+D54+J54+K54</f>
        <v>1615000</v>
      </c>
      <c r="M54" s="230">
        <v>80</v>
      </c>
      <c r="N54" s="231">
        <f>+L54*M54</f>
        <v>129200000</v>
      </c>
      <c r="O54" s="231"/>
      <c r="P54" s="231">
        <f>+N54+O54</f>
        <v>129200000</v>
      </c>
      <c r="R54" s="231">
        <f>+F54-P54</f>
        <v>-8075000</v>
      </c>
      <c r="T54">
        <f>+'WFL Format-4 (2)'!AN8</f>
        <v>85.078100000000006</v>
      </c>
      <c r="U54" s="231">
        <f>+'WFL Format-4 (2)'!AO8</f>
        <v>127506586.15000001</v>
      </c>
      <c r="V54" s="231"/>
      <c r="W54" s="288">
        <f>+T54</f>
        <v>85.078100000000006</v>
      </c>
      <c r="X54" s="385">
        <f>+U54</f>
        <v>127506586.15000001</v>
      </c>
      <c r="Y54" s="385"/>
      <c r="Z54" s="382">
        <v>161500</v>
      </c>
      <c r="AA54" s="309">
        <v>85.078100000000006</v>
      </c>
      <c r="AB54" s="290">
        <f>+Z54*AA54</f>
        <v>13740113.15</v>
      </c>
      <c r="AC54" s="312">
        <v>43382</v>
      </c>
      <c r="AD54" s="290" t="s">
        <v>871</v>
      </c>
      <c r="AE54">
        <f>+U48/T48</f>
        <v>895484.125</v>
      </c>
      <c r="AF54" t="s">
        <v>448</v>
      </c>
      <c r="AG54" s="232">
        <v>43575</v>
      </c>
      <c r="AI54" s="233" t="s">
        <v>477</v>
      </c>
      <c r="AK54" t="s">
        <v>478</v>
      </c>
    </row>
    <row r="55" spans="1:37" x14ac:dyDescent="0.3">
      <c r="D55" s="229"/>
      <c r="E55" s="229"/>
      <c r="F55" s="229"/>
      <c r="K55" s="230"/>
      <c r="L55" s="229"/>
      <c r="M55" s="230"/>
      <c r="N55" s="231"/>
      <c r="O55" s="231"/>
      <c r="P55" s="231"/>
      <c r="R55" s="231"/>
      <c r="U55" s="231"/>
      <c r="V55" s="231"/>
      <c r="W55" s="288"/>
      <c r="X55" s="369"/>
      <c r="Y55" s="369"/>
      <c r="Z55" s="383">
        <v>1453450</v>
      </c>
      <c r="AA55" s="309">
        <v>78.273399999999995</v>
      </c>
      <c r="AB55" s="290">
        <f>+Z55*AA55</f>
        <v>113766473.22999999</v>
      </c>
      <c r="AC55" s="312">
        <v>43577</v>
      </c>
      <c r="AD55" s="290" t="s">
        <v>476</v>
      </c>
      <c r="AG55" s="232"/>
      <c r="AI55" s="233"/>
    </row>
    <row r="56" spans="1:37" ht="15" thickBot="1" x14ac:dyDescent="0.35">
      <c r="D56" s="229"/>
      <c r="E56" s="229"/>
      <c r="F56" s="229"/>
      <c r="K56" s="230"/>
      <c r="L56" s="229"/>
      <c r="M56" s="230"/>
      <c r="N56" s="231"/>
      <c r="O56" s="231"/>
      <c r="P56" s="231"/>
      <c r="R56" s="231"/>
      <c r="U56" s="231"/>
      <c r="V56" s="231"/>
      <c r="W56" s="288"/>
      <c r="X56" s="387"/>
      <c r="Y56" s="387"/>
      <c r="Z56" s="384"/>
      <c r="AA56" s="309"/>
      <c r="AB56" s="290"/>
      <c r="AC56" s="290"/>
      <c r="AD56" s="290"/>
      <c r="AG56" s="232"/>
      <c r="AI56" s="233"/>
    </row>
    <row r="57" spans="1:37" ht="28.8" x14ac:dyDescent="0.3">
      <c r="A57" t="s">
        <v>479</v>
      </c>
      <c r="B57" s="80" t="s">
        <v>480</v>
      </c>
      <c r="C57" s="80" t="s">
        <v>481</v>
      </c>
      <c r="D57" s="229">
        <v>586000</v>
      </c>
      <c r="E57" s="229">
        <v>586000</v>
      </c>
      <c r="F57" s="229">
        <v>51783754.359999999</v>
      </c>
      <c r="G57" t="s">
        <v>228</v>
      </c>
      <c r="H57" t="s">
        <v>228</v>
      </c>
      <c r="K57" s="230"/>
      <c r="L57" s="229">
        <f>+D57+J57+K57</f>
        <v>586000</v>
      </c>
      <c r="M57" s="230">
        <v>94.05</v>
      </c>
      <c r="N57" s="231">
        <f>+L57*M57</f>
        <v>55113300</v>
      </c>
      <c r="O57" s="231"/>
      <c r="P57" s="231">
        <f>+N57+O57</f>
        <v>55113300</v>
      </c>
      <c r="R57" s="231">
        <f>+F57-P57</f>
        <v>-3329545.6400000006</v>
      </c>
      <c r="T57" s="238"/>
      <c r="U57" s="238"/>
      <c r="V57" s="238"/>
      <c r="W57" s="288">
        <f>+T57</f>
        <v>0</v>
      </c>
      <c r="X57" s="392">
        <v>46884383</v>
      </c>
      <c r="Y57" s="411">
        <f>(D57-Z57-Z58-Z59)*M57</f>
        <v>8266995</v>
      </c>
      <c r="Z57" s="382">
        <v>380900</v>
      </c>
      <c r="AA57" s="309">
        <v>94.609200000000001</v>
      </c>
      <c r="AB57" s="290">
        <f>+Z57*AA57</f>
        <v>36036644.280000001</v>
      </c>
      <c r="AC57" s="312">
        <v>43524</v>
      </c>
      <c r="AD57" s="290" t="s">
        <v>871</v>
      </c>
      <c r="AF57" t="s">
        <v>448</v>
      </c>
      <c r="AG57" s="232">
        <v>43500</v>
      </c>
      <c r="AI57" s="233" t="s">
        <v>482</v>
      </c>
      <c r="AK57" t="s">
        <v>478</v>
      </c>
    </row>
    <row r="58" spans="1:37" x14ac:dyDescent="0.3">
      <c r="D58" s="229"/>
      <c r="E58" s="229"/>
      <c r="F58" s="229"/>
      <c r="K58" s="230"/>
      <c r="L58" s="229"/>
      <c r="M58" s="230"/>
      <c r="N58" s="231"/>
      <c r="O58" s="231"/>
      <c r="P58" s="231"/>
      <c r="R58" s="231"/>
      <c r="T58" s="238"/>
      <c r="U58" s="238"/>
      <c r="V58" s="238"/>
      <c r="W58" s="288"/>
      <c r="X58" s="393"/>
      <c r="Y58" s="393"/>
      <c r="Z58" s="383">
        <v>58600</v>
      </c>
      <c r="AA58" s="309">
        <v>89.44</v>
      </c>
      <c r="AB58" s="290">
        <f>+Z58*AA58</f>
        <v>5241184</v>
      </c>
      <c r="AC58" s="312">
        <v>43316</v>
      </c>
      <c r="AD58" s="290" t="s">
        <v>871</v>
      </c>
      <c r="AG58" s="232"/>
      <c r="AI58" s="233"/>
    </row>
    <row r="59" spans="1:37" x14ac:dyDescent="0.3">
      <c r="D59" s="229"/>
      <c r="E59" s="229"/>
      <c r="F59" s="229"/>
      <c r="K59" s="230"/>
      <c r="L59" s="229"/>
      <c r="M59" s="230"/>
      <c r="N59" s="231"/>
      <c r="O59" s="231"/>
      <c r="P59" s="231"/>
      <c r="R59" s="231"/>
      <c r="T59" s="238"/>
      <c r="U59" s="238"/>
      <c r="V59" s="238"/>
      <c r="W59" s="288"/>
      <c r="X59" s="393"/>
      <c r="Y59" s="393"/>
      <c r="Z59" s="383">
        <v>58600</v>
      </c>
      <c r="AA59" s="309">
        <v>95.674999999999997</v>
      </c>
      <c r="AB59" s="290">
        <f>+Z59*AA59</f>
        <v>5606555</v>
      </c>
      <c r="AC59" s="312">
        <v>43392</v>
      </c>
      <c r="AD59" s="290" t="s">
        <v>871</v>
      </c>
      <c r="AG59" s="232"/>
      <c r="AI59" s="233"/>
    </row>
    <row r="60" spans="1:37" ht="15" thickBot="1" x14ac:dyDescent="0.35">
      <c r="D60" s="229"/>
      <c r="E60" s="229"/>
      <c r="F60" s="229"/>
      <c r="K60" s="230"/>
      <c r="L60" s="229"/>
      <c r="M60" s="230"/>
      <c r="N60" s="231"/>
      <c r="O60" s="231"/>
      <c r="P60" s="231"/>
      <c r="R60" s="231"/>
      <c r="T60" s="238"/>
      <c r="U60" s="238"/>
      <c r="V60" s="238"/>
      <c r="W60" s="288"/>
      <c r="X60" s="394"/>
      <c r="Y60" s="394"/>
      <c r="Z60" s="384"/>
      <c r="AA60" s="309"/>
      <c r="AB60" s="290"/>
      <c r="AC60" s="312"/>
      <c r="AD60" s="290"/>
      <c r="AG60" s="232"/>
      <c r="AI60" s="233"/>
    </row>
    <row r="61" spans="1:37" ht="15" thickBot="1" x14ac:dyDescent="0.35">
      <c r="A61" t="s">
        <v>483</v>
      </c>
      <c r="B61" s="80" t="s">
        <v>484</v>
      </c>
      <c r="C61" s="80" t="s">
        <v>447</v>
      </c>
      <c r="D61" s="229">
        <v>112820</v>
      </c>
      <c r="E61" s="229">
        <v>112820</v>
      </c>
      <c r="F61" s="229">
        <v>8776315.1799999997</v>
      </c>
      <c r="G61" t="s">
        <v>228</v>
      </c>
      <c r="H61" t="s">
        <v>228</v>
      </c>
      <c r="K61" s="230"/>
      <c r="L61" s="229">
        <f>+D61+J61+K61</f>
        <v>112820</v>
      </c>
      <c r="M61" s="230">
        <v>78.55</v>
      </c>
      <c r="N61" s="231">
        <f>+L61*M61</f>
        <v>8862011</v>
      </c>
      <c r="O61" s="231"/>
      <c r="P61" s="231">
        <f>+N61+O61</f>
        <v>8862011</v>
      </c>
      <c r="R61" s="231">
        <f>+F61-P61</f>
        <v>-85695.820000000298</v>
      </c>
      <c r="T61" s="238"/>
      <c r="U61" s="238"/>
      <c r="V61" s="238"/>
      <c r="W61" s="288">
        <f>+T61</f>
        <v>0</v>
      </c>
      <c r="X61" s="381">
        <v>8756242</v>
      </c>
      <c r="Y61" s="381"/>
      <c r="Z61" s="395">
        <v>112820</v>
      </c>
      <c r="AA61" s="309">
        <v>77.612499999999997</v>
      </c>
      <c r="AB61" s="290">
        <f>+Z61*AA61</f>
        <v>8756242.25</v>
      </c>
      <c r="AC61" s="312">
        <v>43560</v>
      </c>
      <c r="AD61" s="290" t="s">
        <v>871</v>
      </c>
      <c r="AF61" t="s">
        <v>476</v>
      </c>
      <c r="AI61" s="233" t="s">
        <v>485</v>
      </c>
    </row>
    <row r="62" spans="1:37" ht="15" thickBot="1" x14ac:dyDescent="0.35">
      <c r="A62" t="s">
        <v>486</v>
      </c>
      <c r="B62" s="80" t="s">
        <v>487</v>
      </c>
      <c r="C62" s="80" t="s">
        <v>447</v>
      </c>
      <c r="D62" s="229">
        <v>1470000.01</v>
      </c>
      <c r="E62" s="229">
        <v>1470000.01</v>
      </c>
      <c r="F62">
        <v>110250000.75</v>
      </c>
      <c r="G62" t="s">
        <v>228</v>
      </c>
      <c r="H62" t="s">
        <v>228</v>
      </c>
      <c r="I62" s="596" t="s">
        <v>466</v>
      </c>
      <c r="J62" s="597">
        <v>0</v>
      </c>
      <c r="K62" s="598">
        <f>+D62*1.125%</f>
        <v>16537.500112499998</v>
      </c>
      <c r="L62" s="229">
        <f>+D62+J62+K62</f>
        <v>1486537.5101125001</v>
      </c>
      <c r="M62" s="230">
        <v>80.75</v>
      </c>
      <c r="N62" s="231">
        <f>+L62*M62</f>
        <v>120037903.94158438</v>
      </c>
      <c r="O62" s="235">
        <v>463826</v>
      </c>
      <c r="P62" s="231">
        <f>+N62+O62</f>
        <v>120501729.94158438</v>
      </c>
      <c r="R62" s="231">
        <f>+F62-P62</f>
        <v>-10251729.191584378</v>
      </c>
      <c r="T62">
        <f>+'WFL Format-4 (2)'!AN26</f>
        <v>80.75</v>
      </c>
      <c r="U62">
        <f>+'WFL Format-4 (2)'!AO26</f>
        <v>111878576</v>
      </c>
      <c r="W62" s="288">
        <f>+T62</f>
        <v>80.75</v>
      </c>
      <c r="X62" s="372">
        <f>+U62</f>
        <v>111878576</v>
      </c>
      <c r="Y62" s="376">
        <f>(D62-Z62-Z63-Z64-Z65-Z66-Z67)*M62</f>
        <v>5935125.807500001</v>
      </c>
      <c r="Z62" s="391">
        <v>220500</v>
      </c>
      <c r="AA62" s="314">
        <v>79.709999999999994</v>
      </c>
      <c r="AB62" s="313">
        <f>+Z62*AA62</f>
        <v>17576055</v>
      </c>
      <c r="AC62" s="315">
        <v>43264</v>
      </c>
      <c r="AD62" s="313" t="s">
        <v>872</v>
      </c>
      <c r="AF62" t="s">
        <v>448</v>
      </c>
      <c r="AG62" s="232">
        <v>43521</v>
      </c>
      <c r="AI62" s="233" t="s">
        <v>488</v>
      </c>
    </row>
    <row r="63" spans="1:37" x14ac:dyDescent="0.3">
      <c r="D63" s="229"/>
      <c r="E63" s="229"/>
      <c r="K63" s="230"/>
      <c r="L63" s="229"/>
      <c r="M63" s="230"/>
      <c r="N63" s="231"/>
      <c r="O63" s="231"/>
      <c r="P63" s="231"/>
      <c r="R63" s="231"/>
      <c r="W63" s="288"/>
      <c r="X63" s="374">
        <f>+O62</f>
        <v>463826</v>
      </c>
      <c r="Y63" s="374"/>
      <c r="Z63" s="369">
        <v>147000</v>
      </c>
      <c r="AA63" s="317">
        <f>AB63/Z63</f>
        <v>78.94</v>
      </c>
      <c r="AB63" s="313">
        <v>11604180</v>
      </c>
      <c r="AC63" s="315">
        <v>43270</v>
      </c>
      <c r="AD63" s="313" t="s">
        <v>872</v>
      </c>
      <c r="AG63" s="232"/>
      <c r="AI63" s="233"/>
    </row>
    <row r="64" spans="1:37" x14ac:dyDescent="0.3">
      <c r="D64" s="229"/>
      <c r="E64" s="229"/>
      <c r="K64" s="230"/>
      <c r="L64" s="229"/>
      <c r="M64" s="230"/>
      <c r="N64" s="231"/>
      <c r="O64" s="231"/>
      <c r="P64" s="231"/>
      <c r="R64" s="231"/>
      <c r="W64" s="288"/>
      <c r="X64" s="374">
        <f>+K62*M62</f>
        <v>1335403.1340843749</v>
      </c>
      <c r="Y64" s="374"/>
      <c r="Z64" s="383">
        <v>73500</v>
      </c>
      <c r="AA64" s="309">
        <v>79</v>
      </c>
      <c r="AB64" s="290">
        <f>+Z64*AA64</f>
        <v>5806500</v>
      </c>
      <c r="AC64" s="312">
        <v>43322</v>
      </c>
      <c r="AD64" s="290" t="s">
        <v>871</v>
      </c>
      <c r="AG64" s="232"/>
      <c r="AI64" s="233"/>
    </row>
    <row r="65" spans="1:37" x14ac:dyDescent="0.3">
      <c r="D65" s="229"/>
      <c r="E65" s="229"/>
      <c r="K65" s="230"/>
      <c r="L65" s="229"/>
      <c r="M65" s="230"/>
      <c r="N65" s="231"/>
      <c r="O65" s="231"/>
      <c r="P65" s="231"/>
      <c r="R65" s="231"/>
      <c r="W65" s="288"/>
      <c r="X65" s="374"/>
      <c r="Y65" s="374"/>
      <c r="Z65" s="383">
        <v>661500</v>
      </c>
      <c r="AA65" s="309">
        <v>81.61</v>
      </c>
      <c r="AB65" s="290">
        <f>+Z65*AA65</f>
        <v>53985015</v>
      </c>
      <c r="AC65" s="312">
        <v>43424</v>
      </c>
      <c r="AD65" s="290" t="s">
        <v>871</v>
      </c>
      <c r="AG65" s="232"/>
      <c r="AI65" s="233"/>
    </row>
    <row r="66" spans="1:37" x14ac:dyDescent="0.3">
      <c r="D66" s="229"/>
      <c r="E66" s="229"/>
      <c r="K66" s="230"/>
      <c r="L66" s="229"/>
      <c r="M66" s="230"/>
      <c r="N66" s="231"/>
      <c r="O66" s="231"/>
      <c r="P66" s="231"/>
      <c r="R66" s="231"/>
      <c r="W66" s="288"/>
      <c r="X66" s="374"/>
      <c r="Y66" s="374"/>
      <c r="Z66" s="383">
        <v>220500</v>
      </c>
      <c r="AA66" s="309">
        <v>77.84</v>
      </c>
      <c r="AB66" s="290">
        <f>+Z66*AA66</f>
        <v>17163720</v>
      </c>
      <c r="AC66" s="312">
        <v>43607</v>
      </c>
      <c r="AD66" s="290" t="s">
        <v>871</v>
      </c>
      <c r="AG66" s="232"/>
      <c r="AI66" s="233"/>
    </row>
    <row r="67" spans="1:37" x14ac:dyDescent="0.3">
      <c r="D67" s="229"/>
      <c r="E67" s="229"/>
      <c r="K67" s="230"/>
      <c r="L67" s="229"/>
      <c r="M67" s="230"/>
      <c r="N67" s="231"/>
      <c r="O67" s="231"/>
      <c r="P67" s="231"/>
      <c r="R67" s="231"/>
      <c r="W67" s="288"/>
      <c r="X67" s="374"/>
      <c r="Y67" s="374"/>
      <c r="Z67" s="383">
        <v>73500</v>
      </c>
      <c r="AA67" s="309">
        <v>78.137500000000003</v>
      </c>
      <c r="AB67" s="290">
        <f>+Z67*AA67</f>
        <v>5743106.25</v>
      </c>
      <c r="AC67" s="312">
        <v>43647</v>
      </c>
      <c r="AD67" s="290" t="s">
        <v>871</v>
      </c>
      <c r="AG67" s="232"/>
      <c r="AI67" s="233"/>
    </row>
    <row r="68" spans="1:37" x14ac:dyDescent="0.3">
      <c r="D68" s="229"/>
      <c r="E68" s="229"/>
      <c r="K68" s="230"/>
      <c r="L68" s="229"/>
      <c r="M68" s="230"/>
      <c r="N68" s="231"/>
      <c r="O68" s="231"/>
      <c r="P68" s="231"/>
      <c r="R68" s="231"/>
      <c r="W68" s="288"/>
      <c r="X68" s="374"/>
      <c r="Y68" s="374"/>
      <c r="Z68" s="370"/>
      <c r="AB68" s="231"/>
      <c r="AC68" s="231"/>
      <c r="AD68" s="231"/>
      <c r="AG68" s="232"/>
      <c r="AI68" s="233"/>
    </row>
    <row r="69" spans="1:37" ht="15" thickBot="1" x14ac:dyDescent="0.35">
      <c r="D69" s="229"/>
      <c r="E69" s="229"/>
      <c r="K69" s="230"/>
      <c r="L69" s="229"/>
      <c r="M69" s="230"/>
      <c r="N69" s="231"/>
      <c r="O69" s="231"/>
      <c r="P69" s="231"/>
      <c r="R69" s="231"/>
      <c r="W69" s="288"/>
      <c r="X69" s="375"/>
      <c r="Y69" s="375"/>
      <c r="Z69" s="371"/>
      <c r="AB69" s="231"/>
      <c r="AC69" s="231"/>
      <c r="AD69" s="231"/>
      <c r="AG69" s="232"/>
      <c r="AI69" s="233"/>
    </row>
    <row r="70" spans="1:37" x14ac:dyDescent="0.3">
      <c r="A70" t="s">
        <v>489</v>
      </c>
      <c r="B70" s="80" t="s">
        <v>490</v>
      </c>
      <c r="C70" s="80" t="s">
        <v>352</v>
      </c>
      <c r="D70" s="229">
        <v>96840</v>
      </c>
      <c r="E70" s="229">
        <v>96840</v>
      </c>
      <c r="F70" s="229">
        <v>6294600</v>
      </c>
      <c r="G70" t="s">
        <v>228</v>
      </c>
      <c r="H70" t="s">
        <v>228</v>
      </c>
      <c r="K70" s="230"/>
      <c r="L70" s="229">
        <f>+D70+J70+K70</f>
        <v>96840</v>
      </c>
      <c r="M70" s="230">
        <v>71.45</v>
      </c>
      <c r="N70" s="231">
        <f>+L70*M70</f>
        <v>6919218</v>
      </c>
      <c r="O70" s="231"/>
      <c r="P70" s="231">
        <f>+N70+O70</f>
        <v>6919218</v>
      </c>
      <c r="R70" s="231">
        <f>+F70-P70</f>
        <v>-624618</v>
      </c>
      <c r="T70" s="230">
        <f>+'WFL Format-4 (2)'!AN15</f>
        <v>71.45</v>
      </c>
      <c r="U70" s="231">
        <f>+'WFL Format-4 (2)'!AO15</f>
        <v>6852422.6100000003</v>
      </c>
      <c r="V70" s="231"/>
      <c r="W70" s="288">
        <f>+T70</f>
        <v>71.45</v>
      </c>
      <c r="X70" s="381">
        <f>+U70</f>
        <v>6852422.6100000003</v>
      </c>
      <c r="Y70" s="381"/>
      <c r="Z70" s="382">
        <v>87156</v>
      </c>
      <c r="AA70" s="309">
        <v>70.872500000000002</v>
      </c>
      <c r="AB70" s="290">
        <f>+Z70*AA70</f>
        <v>6176963.6100000003</v>
      </c>
      <c r="AC70" s="312">
        <v>43431</v>
      </c>
      <c r="AD70" s="290" t="s">
        <v>871</v>
      </c>
      <c r="AF70" t="s">
        <v>448</v>
      </c>
      <c r="AG70" s="232">
        <v>43558</v>
      </c>
      <c r="AI70" s="233" t="s">
        <v>491</v>
      </c>
    </row>
    <row r="71" spans="1:37" x14ac:dyDescent="0.3">
      <c r="D71" s="229"/>
      <c r="E71" s="229"/>
      <c r="F71" s="229"/>
      <c r="K71" s="230"/>
      <c r="L71" s="229"/>
      <c r="M71" s="230"/>
      <c r="N71" s="231"/>
      <c r="O71" s="231"/>
      <c r="P71" s="231"/>
      <c r="R71" s="231"/>
      <c r="T71" s="230"/>
      <c r="U71" s="231"/>
      <c r="V71" s="231"/>
      <c r="W71" s="288"/>
      <c r="X71" s="370"/>
      <c r="Y71" s="370"/>
      <c r="Z71" s="383">
        <v>9684</v>
      </c>
      <c r="AA71" s="309">
        <v>69.75</v>
      </c>
      <c r="AB71" s="290">
        <f>+Z71*AA71</f>
        <v>675459</v>
      </c>
      <c r="AC71" s="312">
        <v>43332</v>
      </c>
      <c r="AD71" s="290" t="s">
        <v>871</v>
      </c>
      <c r="AG71" s="232"/>
      <c r="AI71" s="233"/>
    </row>
    <row r="72" spans="1:37" ht="15" thickBot="1" x14ac:dyDescent="0.35">
      <c r="D72" s="229"/>
      <c r="E72" s="229"/>
      <c r="F72" s="229"/>
      <c r="K72" s="230"/>
      <c r="L72" s="229"/>
      <c r="M72" s="230"/>
      <c r="N72" s="231"/>
      <c r="O72" s="231"/>
      <c r="P72" s="231"/>
      <c r="R72" s="231"/>
      <c r="T72" s="230"/>
      <c r="U72" s="231"/>
      <c r="V72" s="231"/>
      <c r="W72" s="288"/>
      <c r="X72" s="371"/>
      <c r="Y72" s="371"/>
      <c r="Z72" s="384"/>
      <c r="AA72" s="309"/>
      <c r="AB72" s="290"/>
      <c r="AC72" s="312"/>
      <c r="AD72" s="290"/>
      <c r="AG72" s="232"/>
      <c r="AI72" s="233"/>
    </row>
    <row r="73" spans="1:37" x14ac:dyDescent="0.3">
      <c r="A73" t="s">
        <v>492</v>
      </c>
      <c r="B73" s="80" t="s">
        <v>493</v>
      </c>
      <c r="C73" s="80" t="s">
        <v>352</v>
      </c>
      <c r="D73" s="229">
        <v>60000</v>
      </c>
      <c r="E73" s="229">
        <v>60000</v>
      </c>
      <c r="F73" s="229">
        <v>3900000</v>
      </c>
      <c r="G73" t="s">
        <v>228</v>
      </c>
      <c r="H73" t="s">
        <v>228</v>
      </c>
      <c r="I73" s="570" t="s">
        <v>466</v>
      </c>
      <c r="J73" s="587">
        <v>950</v>
      </c>
      <c r="K73" s="588">
        <f>+D73*1.125%</f>
        <v>675</v>
      </c>
      <c r="L73" s="229">
        <f>+D73+J73+K73</f>
        <v>61625</v>
      </c>
      <c r="M73" s="230">
        <v>70.400000000000006</v>
      </c>
      <c r="N73" s="231">
        <f>+L73*M73</f>
        <v>4338400</v>
      </c>
      <c r="O73" s="593">
        <v>0</v>
      </c>
      <c r="P73" s="231">
        <f>+N73+O73</f>
        <v>4338400</v>
      </c>
      <c r="R73" s="231">
        <f>+F73-P73</f>
        <v>-438400</v>
      </c>
      <c r="T73" s="269">
        <f>+'WFL Format-4 (2)'!AN14</f>
        <v>69.12</v>
      </c>
      <c r="U73" s="276">
        <f>+'WFL Format-4 (2)'!AO14</f>
        <v>136151644.5</v>
      </c>
      <c r="V73" s="231"/>
      <c r="W73" s="288">
        <f>+T73</f>
        <v>69.12</v>
      </c>
      <c r="X73" s="376">
        <f>+U73*0+AB73+AB74+AB75+AB76+AB77</f>
        <v>136142644.065</v>
      </c>
      <c r="Y73" s="376">
        <f>(2190000-Z74-Z76-Z77)*M76</f>
        <v>21770230.5</v>
      </c>
      <c r="Z73" s="382">
        <v>34941</v>
      </c>
      <c r="AA73" s="309">
        <v>69.125</v>
      </c>
      <c r="AB73" s="290">
        <f>+Z73*AA73</f>
        <v>2415296.625</v>
      </c>
      <c r="AC73" s="312">
        <v>43643</v>
      </c>
      <c r="AD73" s="290" t="s">
        <v>476</v>
      </c>
      <c r="AI73" s="233" t="s">
        <v>494</v>
      </c>
      <c r="AK73" t="s">
        <v>478</v>
      </c>
    </row>
    <row r="74" spans="1:37" x14ac:dyDescent="0.3">
      <c r="A74" t="s">
        <v>492</v>
      </c>
      <c r="B74" s="80">
        <v>145292</v>
      </c>
      <c r="C74" s="80" t="s">
        <v>352</v>
      </c>
      <c r="D74" s="229">
        <v>1430000</v>
      </c>
      <c r="E74" s="229">
        <v>1430000</v>
      </c>
      <c r="F74" s="229">
        <v>92950000</v>
      </c>
      <c r="G74" t="s">
        <v>228</v>
      </c>
      <c r="H74" t="s">
        <v>228</v>
      </c>
      <c r="I74" s="572" t="s">
        <v>466</v>
      </c>
      <c r="J74" s="589">
        <v>950</v>
      </c>
      <c r="K74" s="590">
        <f>+D74*1.125%</f>
        <v>16087.5</v>
      </c>
      <c r="L74" s="229">
        <f>+D74+J74+K74</f>
        <v>1447037.5</v>
      </c>
      <c r="M74" s="230">
        <v>70.400000000000006</v>
      </c>
      <c r="N74" s="231">
        <f>+L74*M74</f>
        <v>101871440.00000001</v>
      </c>
      <c r="O74" s="594">
        <v>0</v>
      </c>
      <c r="P74" s="231">
        <f>+N74+O74</f>
        <v>101871440.00000001</v>
      </c>
      <c r="R74" s="231">
        <f>+F74-P74</f>
        <v>-8921440.0000000149</v>
      </c>
      <c r="T74" s="271"/>
      <c r="U74" s="272"/>
      <c r="W74" s="288">
        <f>+T74</f>
        <v>0</v>
      </c>
      <c r="X74" s="373">
        <f>25000000*0</f>
        <v>0</v>
      </c>
      <c r="Y74" s="373"/>
      <c r="Z74" s="383">
        <v>1000941</v>
      </c>
      <c r="AA74" s="309">
        <v>69.357500000000002</v>
      </c>
      <c r="AB74" s="290">
        <f>+Z74*AA74</f>
        <v>69422765.407499999</v>
      </c>
      <c r="AC74" s="312">
        <v>43641</v>
      </c>
      <c r="AD74" s="290" t="s">
        <v>476</v>
      </c>
      <c r="AI74" s="233" t="s">
        <v>495</v>
      </c>
      <c r="AK74" t="s">
        <v>478</v>
      </c>
    </row>
    <row r="75" spans="1:37" ht="15" thickBot="1" x14ac:dyDescent="0.35">
      <c r="A75" t="s">
        <v>492</v>
      </c>
      <c r="B75" s="80" t="s">
        <v>496</v>
      </c>
      <c r="C75" s="80" t="s">
        <v>352</v>
      </c>
      <c r="D75" s="229">
        <v>50000</v>
      </c>
      <c r="E75" s="229">
        <v>50000</v>
      </c>
      <c r="F75" s="229">
        <v>3250000</v>
      </c>
      <c r="G75" t="s">
        <v>228</v>
      </c>
      <c r="H75" t="s">
        <v>228</v>
      </c>
      <c r="I75" s="572" t="s">
        <v>466</v>
      </c>
      <c r="J75" s="589">
        <v>950</v>
      </c>
      <c r="K75" s="590">
        <f>+D75*1.125%</f>
        <v>562.5</v>
      </c>
      <c r="L75" s="229">
        <f>+D75+J75+K75</f>
        <v>51512.5</v>
      </c>
      <c r="M75" s="230">
        <v>70.400000000000006</v>
      </c>
      <c r="N75" s="231">
        <f>+L75*M75</f>
        <v>3626480.0000000005</v>
      </c>
      <c r="O75" s="594">
        <v>0</v>
      </c>
      <c r="P75" s="231">
        <f>+N75+O75</f>
        <v>3626480.0000000005</v>
      </c>
      <c r="R75" s="231">
        <f>+F75-P75</f>
        <v>-376480.00000000047</v>
      </c>
      <c r="T75" s="274"/>
      <c r="U75" s="275"/>
      <c r="W75" s="288">
        <f>+T75</f>
        <v>0</v>
      </c>
      <c r="X75" s="373">
        <f>+U75</f>
        <v>0</v>
      </c>
      <c r="Y75" s="373">
        <f>(110000-Z73-Z75)*M75</f>
        <v>2331507.2000000002</v>
      </c>
      <c r="Z75" s="383">
        <v>41941</v>
      </c>
      <c r="AA75" s="309">
        <v>69.357500000000002</v>
      </c>
      <c r="AB75" s="290">
        <f>+Z75*AA75</f>
        <v>2908922.9075000002</v>
      </c>
      <c r="AC75" s="312">
        <v>43641</v>
      </c>
      <c r="AD75" s="290" t="s">
        <v>476</v>
      </c>
      <c r="AI75" s="233" t="s">
        <v>494</v>
      </c>
      <c r="AK75" t="s">
        <v>478</v>
      </c>
    </row>
    <row r="76" spans="1:37" ht="15" thickBot="1" x14ac:dyDescent="0.35">
      <c r="A76" t="s">
        <v>492</v>
      </c>
      <c r="B76" s="80" t="s">
        <v>496</v>
      </c>
      <c r="C76" s="80" t="s">
        <v>352</v>
      </c>
      <c r="D76" s="229">
        <v>760000</v>
      </c>
      <c r="E76" s="229"/>
      <c r="F76" s="229"/>
      <c r="I76" s="574" t="s">
        <v>466</v>
      </c>
      <c r="J76" s="591">
        <v>2850</v>
      </c>
      <c r="K76" s="592">
        <f>+D76*1.125%</f>
        <v>8550</v>
      </c>
      <c r="L76" s="229">
        <f>+D76+J76+K76</f>
        <v>771400</v>
      </c>
      <c r="M76" s="230">
        <v>69.75</v>
      </c>
      <c r="N76" s="231">
        <f>+L76*M76</f>
        <v>53805150</v>
      </c>
      <c r="O76" s="595">
        <v>0</v>
      </c>
      <c r="P76" s="231">
        <f>+N76+O76</f>
        <v>53805150</v>
      </c>
      <c r="R76" s="231"/>
      <c r="W76" s="288"/>
      <c r="X76" s="373"/>
      <c r="Y76" s="373"/>
      <c r="Z76" s="383">
        <v>531941</v>
      </c>
      <c r="AA76" s="309">
        <v>69.125</v>
      </c>
      <c r="AB76" s="290">
        <f>+Z76*AA76</f>
        <v>36770421.625</v>
      </c>
      <c r="AC76" s="312">
        <v>43643</v>
      </c>
      <c r="AD76" s="290" t="s">
        <v>476</v>
      </c>
      <c r="AI76" s="224"/>
    </row>
    <row r="77" spans="1:37" x14ac:dyDescent="0.3">
      <c r="D77" s="229"/>
      <c r="E77" s="229"/>
      <c r="F77" s="229"/>
      <c r="K77" s="230"/>
      <c r="L77" s="229"/>
      <c r="M77" s="230"/>
      <c r="N77" s="231"/>
      <c r="O77" s="231"/>
      <c r="P77" s="231"/>
      <c r="R77" s="231"/>
      <c r="W77" s="288"/>
      <c r="X77" s="373">
        <f>(J74+K74)*M74+(J76+K76)*M76</f>
        <v>1994590</v>
      </c>
      <c r="Y77" s="373"/>
      <c r="Z77" s="383">
        <v>345000</v>
      </c>
      <c r="AA77" s="309">
        <v>71.377499999999998</v>
      </c>
      <c r="AB77" s="290">
        <f>+Z77*AA77</f>
        <v>24625237.5</v>
      </c>
      <c r="AC77" s="312">
        <v>43503</v>
      </c>
      <c r="AD77" s="290" t="s">
        <v>871</v>
      </c>
      <c r="AI77" s="224"/>
    </row>
    <row r="78" spans="1:37" x14ac:dyDescent="0.3">
      <c r="D78" s="229"/>
      <c r="E78" s="229"/>
      <c r="F78" s="229"/>
      <c r="K78" s="230"/>
      <c r="L78" s="229"/>
      <c r="M78" s="230"/>
      <c r="N78" s="231"/>
      <c r="O78" s="231"/>
      <c r="P78" s="231"/>
      <c r="R78" s="231"/>
      <c r="W78" s="288"/>
      <c r="X78" s="373"/>
      <c r="Y78" s="373"/>
      <c r="Z78" s="383"/>
      <c r="AA78" s="309"/>
      <c r="AB78" s="290"/>
      <c r="AC78" s="312"/>
      <c r="AD78" s="290"/>
      <c r="AI78" s="224"/>
    </row>
    <row r="79" spans="1:37" ht="15" thickBot="1" x14ac:dyDescent="0.35">
      <c r="D79" s="229"/>
      <c r="E79" s="229"/>
      <c r="F79" s="229"/>
      <c r="K79" s="230"/>
      <c r="L79" s="229"/>
      <c r="M79" s="230"/>
      <c r="N79" s="231"/>
      <c r="O79" s="231"/>
      <c r="P79" s="231"/>
      <c r="R79" s="231"/>
      <c r="W79" s="288"/>
      <c r="X79" s="377">
        <f>+(J73+K73+J75+K75)*M75</f>
        <v>220880.00000000003</v>
      </c>
      <c r="Y79" s="377"/>
      <c r="Z79" s="371"/>
      <c r="AB79" s="231"/>
      <c r="AC79" s="231"/>
      <c r="AD79" s="231"/>
      <c r="AI79" s="224"/>
    </row>
    <row r="80" spans="1:37" x14ac:dyDescent="0.3">
      <c r="D80" s="229"/>
      <c r="E80" s="229"/>
      <c r="F80" s="229"/>
      <c r="K80" s="230"/>
      <c r="L80" s="229"/>
      <c r="M80" s="230"/>
      <c r="N80" s="231"/>
      <c r="O80" s="231"/>
      <c r="P80" s="231"/>
      <c r="R80" s="231"/>
      <c r="W80" s="288"/>
      <c r="X80" s="231"/>
      <c r="Y80" s="231"/>
      <c r="Z80" s="231"/>
      <c r="AB80" s="231"/>
      <c r="AC80" s="231"/>
      <c r="AD80" s="231"/>
      <c r="AI80" s="224"/>
    </row>
    <row r="81" spans="2:38" x14ac:dyDescent="0.3">
      <c r="D81" s="229"/>
      <c r="E81" s="229"/>
      <c r="F81" s="229"/>
      <c r="K81" s="230"/>
      <c r="L81" s="229"/>
      <c r="M81" s="230"/>
      <c r="N81" s="231"/>
      <c r="O81" s="231"/>
      <c r="P81" s="231"/>
      <c r="R81" s="231"/>
      <c r="W81" s="288"/>
      <c r="X81" s="231"/>
      <c r="Y81" s="231"/>
      <c r="Z81" s="231"/>
      <c r="AB81" s="231"/>
      <c r="AC81" s="231"/>
      <c r="AD81" s="231"/>
      <c r="AI81" s="224"/>
    </row>
    <row r="82" spans="2:38" x14ac:dyDescent="0.3">
      <c r="D82" s="229"/>
      <c r="E82" s="229"/>
      <c r="F82" s="229"/>
      <c r="K82" s="230"/>
      <c r="L82" s="229"/>
      <c r="M82" s="230"/>
      <c r="N82" s="231"/>
      <c r="O82" s="231"/>
      <c r="P82" s="231"/>
      <c r="R82" s="231"/>
      <c r="W82" s="288"/>
      <c r="X82" s="231"/>
      <c r="Y82" s="231"/>
      <c r="Z82" s="231"/>
      <c r="AB82" s="231"/>
      <c r="AC82" s="231"/>
      <c r="AD82" s="231"/>
      <c r="AI82" s="224"/>
    </row>
    <row r="83" spans="2:38" x14ac:dyDescent="0.3">
      <c r="D83" s="229"/>
      <c r="E83" s="229"/>
      <c r="F83" s="229"/>
      <c r="K83" s="230"/>
      <c r="L83" s="229"/>
      <c r="M83" s="230"/>
      <c r="N83" s="231"/>
      <c r="O83" s="231"/>
      <c r="P83" s="231"/>
      <c r="R83" s="231"/>
      <c r="W83" s="288"/>
      <c r="X83" s="231"/>
      <c r="Y83" s="231"/>
      <c r="Z83" s="231"/>
      <c r="AB83" s="231"/>
      <c r="AC83" s="231"/>
      <c r="AD83" s="231"/>
      <c r="AI83" s="224"/>
    </row>
    <row r="84" spans="2:38" x14ac:dyDescent="0.3">
      <c r="D84" s="229"/>
      <c r="E84" s="229"/>
      <c r="F84" s="229"/>
      <c r="K84" s="230"/>
      <c r="L84" s="229"/>
      <c r="M84" s="230"/>
      <c r="N84" s="231"/>
      <c r="O84" s="231"/>
      <c r="P84" s="231"/>
      <c r="R84" s="231"/>
      <c r="W84" s="288"/>
      <c r="X84" s="231"/>
      <c r="Y84" s="231"/>
      <c r="Z84" s="231"/>
      <c r="AB84" s="231"/>
      <c r="AC84" s="231"/>
      <c r="AD84" s="231"/>
      <c r="AI84" s="224"/>
    </row>
    <row r="85" spans="2:38" x14ac:dyDescent="0.3">
      <c r="D85" s="229"/>
      <c r="E85" s="229"/>
      <c r="F85" s="229"/>
      <c r="K85" s="230"/>
      <c r="L85" s="229"/>
      <c r="M85" s="230"/>
      <c r="N85" s="231"/>
      <c r="O85" s="231"/>
      <c r="P85" s="231"/>
      <c r="R85" s="231"/>
      <c r="W85" s="288"/>
      <c r="X85" s="231"/>
      <c r="Y85" s="231"/>
      <c r="Z85" s="231"/>
      <c r="AB85" s="231"/>
      <c r="AC85" s="231"/>
      <c r="AD85" s="231"/>
      <c r="AI85" s="224"/>
    </row>
    <row r="86" spans="2:38" ht="15" thickBot="1" x14ac:dyDescent="0.35"/>
    <row r="87" spans="2:38" ht="15" thickBot="1" x14ac:dyDescent="0.35">
      <c r="E87" s="234" t="s">
        <v>388</v>
      </c>
      <c r="F87" s="235">
        <f>SUM(F5:F86)</f>
        <v>2201089525.54</v>
      </c>
      <c r="I87" s="229"/>
      <c r="J87" s="235">
        <f>SUM(J5:J86)</f>
        <v>6300</v>
      </c>
      <c r="K87" s="235">
        <f>SUM(K5:K86)</f>
        <v>63931.162612499997</v>
      </c>
      <c r="O87" s="235">
        <f>SUM(O5:O86)</f>
        <v>1428505</v>
      </c>
      <c r="P87" s="235">
        <f>SUM(P5:P86)</f>
        <v>2472177694.3136816</v>
      </c>
      <c r="R87" s="231">
        <f>+F87-P87</f>
        <v>-271088168.77368164</v>
      </c>
      <c r="U87" s="235">
        <f>SUM(U5:U86)</f>
        <v>2157218274.6471996</v>
      </c>
      <c r="V87" s="287"/>
      <c r="W87" s="287"/>
      <c r="X87" s="235">
        <f>SUM(X5:X86)</f>
        <v>2246366393.5733972</v>
      </c>
      <c r="Y87" s="235">
        <f>SUM(Y5:Y86)</f>
        <v>161595005.20749998</v>
      </c>
      <c r="Z87" s="287" t="s">
        <v>988</v>
      </c>
      <c r="AA87" s="310"/>
      <c r="AB87" s="287"/>
      <c r="AC87" s="287"/>
      <c r="AD87" s="287"/>
    </row>
    <row r="88" spans="2:38" ht="15" thickBot="1" x14ac:dyDescent="0.35">
      <c r="B88"/>
      <c r="C88"/>
      <c r="I88" s="229"/>
      <c r="X88" s="231"/>
      <c r="Y88" s="231"/>
      <c r="AL88" t="s">
        <v>497</v>
      </c>
    </row>
    <row r="89" spans="2:38" ht="15" thickBot="1" x14ac:dyDescent="0.35">
      <c r="Y89" s="376">
        <f>+Y87-Y10</f>
        <v>50967137.707499981</v>
      </c>
      <c r="Z89" t="s">
        <v>994</v>
      </c>
    </row>
    <row r="90" spans="2:38" ht="15" thickBot="1" x14ac:dyDescent="0.35">
      <c r="B90"/>
      <c r="C90"/>
      <c r="F90">
        <f>SUM(F10:F12)*5%</f>
        <v>58500000</v>
      </c>
      <c r="O90" t="s">
        <v>498</v>
      </c>
      <c r="P90">
        <f>SUM(P10:P12)*5%</f>
        <v>65295000</v>
      </c>
      <c r="Y90" s="419">
        <f>+Y89+'WFL Domestic-MC'!H170</f>
        <v>84579885.476299971</v>
      </c>
      <c r="Z90" s="421" t="s">
        <v>995</v>
      </c>
      <c r="AA90" s="420"/>
    </row>
    <row r="91" spans="2:38" ht="15" thickBot="1" x14ac:dyDescent="0.35">
      <c r="B91"/>
      <c r="C91"/>
      <c r="F91" s="236">
        <f>+F87-F90</f>
        <v>2142589525.54</v>
      </c>
      <c r="P91" s="236">
        <f>+P87-P90</f>
        <v>2406882694.3136816</v>
      </c>
    </row>
    <row r="92" spans="2:38" x14ac:dyDescent="0.3">
      <c r="AB92" s="448">
        <f>+AB63+AB62+AB49+AB26+AB17+AB16</f>
        <v>374186029.0848</v>
      </c>
      <c r="AC92" s="449" t="s">
        <v>998</v>
      </c>
      <c r="AD92" s="270"/>
    </row>
    <row r="93" spans="2:38" ht="15" thickBot="1" x14ac:dyDescent="0.35">
      <c r="W93" t="s">
        <v>828</v>
      </c>
      <c r="X93" s="231">
        <f>SUM(X54:X86)+X6+X5+X8+X7+X9</f>
        <v>493313415.88628441</v>
      </c>
      <c r="Y93" s="231"/>
      <c r="Z93" s="231"/>
      <c r="AB93" s="450">
        <f>+AB44</f>
        <v>4731741</v>
      </c>
      <c r="AC93" s="313" t="s">
        <v>999</v>
      </c>
      <c r="AD93" s="273"/>
    </row>
    <row r="94" spans="2:38" ht="15" thickBot="1" x14ac:dyDescent="0.35">
      <c r="W94" t="s">
        <v>829</v>
      </c>
      <c r="X94" s="231">
        <f>SUM(X10:X53)</f>
        <v>1753052977.6871126</v>
      </c>
      <c r="Y94" s="231"/>
      <c r="Z94" s="231"/>
      <c r="AB94" s="419">
        <f>+AB92+AB93</f>
        <v>378917770.0848</v>
      </c>
      <c r="AC94" s="451"/>
      <c r="AD94" s="275"/>
    </row>
    <row r="95" spans="2:38" x14ac:dyDescent="0.3">
      <c r="W95" t="s">
        <v>830</v>
      </c>
      <c r="X95" s="231">
        <f>-SUM(X10:X12)*5%</f>
        <v>-57031077.079999998</v>
      </c>
      <c r="Y95" s="231"/>
      <c r="Z95" s="231"/>
      <c r="AB95" s="231"/>
      <c r="AC95" s="231"/>
      <c r="AD95" s="231"/>
    </row>
    <row r="96" spans="2:38" x14ac:dyDescent="0.3">
      <c r="X96" s="231">
        <f>+X93+X94+X95</f>
        <v>2189335316.4933972</v>
      </c>
      <c r="Y96" s="231"/>
      <c r="Z96" s="231"/>
      <c r="AB96" s="231"/>
      <c r="AC96" s="231"/>
      <c r="AD96" s="231"/>
    </row>
    <row r="97" spans="23:31" ht="15" thickBot="1" x14ac:dyDescent="0.35"/>
    <row r="98" spans="23:31" ht="15" thickBot="1" x14ac:dyDescent="0.35">
      <c r="X98" s="291">
        <f>+X96</f>
        <v>2189335316.4933972</v>
      </c>
      <c r="Y98" s="231"/>
      <c r="Z98" s="231"/>
      <c r="AB98" s="231"/>
      <c r="AC98" s="231"/>
      <c r="AD98" s="231"/>
    </row>
    <row r="100" spans="23:31" x14ac:dyDescent="0.3">
      <c r="W100" t="s">
        <v>831</v>
      </c>
      <c r="X100" s="282">
        <f>+'WFL Domestic-MC'!G5+'WFL Domestic-MC'!G12+'WFL Domestic-MC'!G17+'WFL Domestic-MC'!G149+'WFL Domestic-MC'!G8</f>
        <v>90830065</v>
      </c>
      <c r="Y100" s="282"/>
      <c r="Z100" s="282"/>
      <c r="AB100" s="282"/>
      <c r="AC100" s="282"/>
      <c r="AD100" s="282"/>
    </row>
    <row r="101" spans="23:31" x14ac:dyDescent="0.3">
      <c r="W101" t="s">
        <v>899</v>
      </c>
    </row>
    <row r="102" spans="23:31" ht="15" thickBot="1" x14ac:dyDescent="0.35">
      <c r="W102" t="s">
        <v>832</v>
      </c>
      <c r="X102" s="282">
        <f>+'WFL Domestic-MC'!G27+'WFL Domestic-MC'!G88+'WFL Domestic-MC'!G105+'WFL Domestic-MC'!G158+'WFL Domestic-MC'!G163+'WFL Domestic-MC'!G164</f>
        <v>151287735.36000001</v>
      </c>
      <c r="Y102" s="282"/>
      <c r="Z102" s="282"/>
      <c r="AB102" s="282"/>
      <c r="AC102" s="282"/>
      <c r="AD102" s="282"/>
    </row>
    <row r="103" spans="23:31" ht="15" thickBot="1" x14ac:dyDescent="0.35">
      <c r="X103" s="292">
        <f>+X100+X101+X102</f>
        <v>242117800.36000001</v>
      </c>
      <c r="Y103" s="282"/>
      <c r="Z103" s="282"/>
      <c r="AB103" s="282"/>
      <c r="AC103" s="282"/>
      <c r="AD103" s="282"/>
    </row>
    <row r="104" spans="23:31" ht="15" thickBot="1" x14ac:dyDescent="0.35">
      <c r="X104" s="285">
        <f>+X98+X103</f>
        <v>2431453116.8533974</v>
      </c>
      <c r="Y104" s="304"/>
      <c r="Z104" s="304"/>
      <c r="AA104" s="311"/>
      <c r="AB104" s="304"/>
      <c r="AC104" s="304"/>
      <c r="AD104" s="304"/>
    </row>
    <row r="105" spans="23:31" ht="15" thickBot="1" x14ac:dyDescent="0.35"/>
    <row r="106" spans="23:31" x14ac:dyDescent="0.3">
      <c r="X106" s="294">
        <v>177</v>
      </c>
      <c r="AE106" t="s">
        <v>833</v>
      </c>
    </row>
    <row r="107" spans="23:31" x14ac:dyDescent="0.3">
      <c r="X107" s="295">
        <v>20.46</v>
      </c>
      <c r="AE107" t="s">
        <v>834</v>
      </c>
    </row>
    <row r="108" spans="23:31" x14ac:dyDescent="0.3">
      <c r="X108" s="295">
        <v>27</v>
      </c>
      <c r="AE108" t="s">
        <v>835</v>
      </c>
    </row>
    <row r="109" spans="23:31" ht="15" thickBot="1" x14ac:dyDescent="0.35">
      <c r="X109" s="296">
        <v>10</v>
      </c>
      <c r="AE109" t="s">
        <v>836</v>
      </c>
    </row>
    <row r="110" spans="23:31" ht="15" thickBot="1" x14ac:dyDescent="0.35">
      <c r="X110" s="293">
        <f>SUM(X106:X109)</f>
        <v>234.46</v>
      </c>
      <c r="Y110" s="305"/>
      <c r="Z110" s="305"/>
      <c r="AA110" s="309"/>
      <c r="AB110" s="305"/>
      <c r="AC110" s="305"/>
      <c r="AD110" s="305"/>
    </row>
  </sheetData>
  <autoFilter ref="A4:AL4"/>
  <mergeCells count="6">
    <mergeCell ref="AF3:AG3"/>
    <mergeCell ref="AI5:AI6"/>
    <mergeCell ref="T3:U3"/>
    <mergeCell ref="W3:X3"/>
    <mergeCell ref="W2:X2"/>
    <mergeCell ref="Z2:AD2"/>
  </mergeCells>
  <printOptions gridLines="1"/>
  <pageMargins left="0" right="0" top="0" bottom="0" header="0" footer="0"/>
  <pageSetup paperSize="9" scale="4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0"/>
  <sheetViews>
    <sheetView zoomScale="95" zoomScaleNormal="95" workbookViewId="0">
      <selection activeCell="D11" sqref="D11:D21"/>
    </sheetView>
  </sheetViews>
  <sheetFormatPr defaultRowHeight="14.4" x14ac:dyDescent="0.3"/>
  <cols>
    <col min="1" max="1" width="41.33203125" bestFit="1" customWidth="1"/>
    <col min="2" max="2" width="17" style="80" bestFit="1" customWidth="1"/>
    <col min="3" max="3" width="10.44140625" style="80" bestFit="1" customWidth="1"/>
    <col min="4" max="4" width="21" bestFit="1" customWidth="1"/>
    <col min="5" max="5" width="16.33203125" bestFit="1" customWidth="1"/>
    <col min="6" max="6" width="18" bestFit="1" customWidth="1"/>
    <col min="7" max="7" width="14.5546875" bestFit="1" customWidth="1"/>
    <col min="8" max="8" width="14.5546875" customWidth="1"/>
    <col min="9" max="9" width="4.5546875" customWidth="1"/>
    <col min="10" max="13" width="18" customWidth="1"/>
    <col min="14" max="14" width="8.44140625" customWidth="1"/>
    <col min="15" max="15" width="9.33203125" customWidth="1"/>
    <col min="16" max="16" width="49.109375" customWidth="1"/>
    <col min="17" max="17" width="3" customWidth="1"/>
    <col min="18" max="18" width="12" bestFit="1" customWidth="1"/>
  </cols>
  <sheetData>
    <row r="1" spans="1:19" x14ac:dyDescent="0.3">
      <c r="A1" t="s">
        <v>91</v>
      </c>
    </row>
    <row r="2" spans="1:19" x14ac:dyDescent="0.3">
      <c r="A2" t="s">
        <v>421</v>
      </c>
    </row>
    <row r="3" spans="1:19" ht="15" thickBot="1" x14ac:dyDescent="0.35">
      <c r="A3" t="s">
        <v>499</v>
      </c>
      <c r="R3" s="81" t="s">
        <v>425</v>
      </c>
    </row>
    <row r="4" spans="1:19" ht="29.4" thickBot="1" x14ac:dyDescent="0.35">
      <c r="A4" t="s">
        <v>426</v>
      </c>
      <c r="B4" s="80" t="s">
        <v>427</v>
      </c>
      <c r="C4" s="80" t="s">
        <v>428</v>
      </c>
      <c r="D4" t="s">
        <v>429</v>
      </c>
      <c r="E4" t="s">
        <v>989</v>
      </c>
      <c r="F4" t="s">
        <v>430</v>
      </c>
      <c r="G4" s="277" t="s">
        <v>826</v>
      </c>
      <c r="H4" s="410" t="s">
        <v>993</v>
      </c>
      <c r="J4" s="286" t="s">
        <v>868</v>
      </c>
      <c r="K4" s="286" t="s">
        <v>869</v>
      </c>
      <c r="L4" s="286" t="s">
        <v>870</v>
      </c>
      <c r="N4" t="s">
        <v>431</v>
      </c>
      <c r="O4" t="s">
        <v>432</v>
      </c>
      <c r="P4" s="237" t="s">
        <v>443</v>
      </c>
      <c r="Q4" s="224"/>
      <c r="R4" s="228" t="s">
        <v>444</v>
      </c>
    </row>
    <row r="5" spans="1:19" ht="15" customHeight="1" x14ac:dyDescent="0.3">
      <c r="A5" s="238" t="s">
        <v>500</v>
      </c>
      <c r="B5" s="80" t="s">
        <v>501</v>
      </c>
      <c r="C5" s="80" t="s">
        <v>359</v>
      </c>
      <c r="D5" s="229">
        <v>944000</v>
      </c>
      <c r="E5" s="320">
        <v>800000</v>
      </c>
      <c r="F5" s="229">
        <v>944000</v>
      </c>
      <c r="G5" s="318">
        <f>+'WFL Format-4 (2)'!AO30*0+E5+E6+E7</f>
        <v>3464000</v>
      </c>
      <c r="H5" s="319"/>
      <c r="I5" s="229"/>
      <c r="J5" s="320">
        <v>360000</v>
      </c>
      <c r="K5" s="312">
        <v>43575</v>
      </c>
      <c r="L5" s="289" t="s">
        <v>871</v>
      </c>
      <c r="M5" s="229"/>
      <c r="N5" t="s">
        <v>502</v>
      </c>
      <c r="O5" t="s">
        <v>502</v>
      </c>
      <c r="P5" s="1474" t="s">
        <v>503</v>
      </c>
      <c r="Q5" s="229"/>
      <c r="R5" s="229"/>
      <c r="S5" t="s">
        <v>504</v>
      </c>
    </row>
    <row r="6" spans="1:19" x14ac:dyDescent="0.3">
      <c r="A6" t="s">
        <v>500</v>
      </c>
      <c r="B6" s="80" t="s">
        <v>505</v>
      </c>
      <c r="C6" s="80" t="s">
        <v>359</v>
      </c>
      <c r="D6" s="229">
        <v>2360000</v>
      </c>
      <c r="E6" s="278">
        <v>2000000</v>
      </c>
      <c r="F6" s="229">
        <v>2360000</v>
      </c>
      <c r="G6" s="366"/>
      <c r="H6" s="282"/>
      <c r="I6" s="229"/>
      <c r="J6" s="278">
        <v>3168000</v>
      </c>
      <c r="K6" s="312">
        <v>43606</v>
      </c>
      <c r="L6" s="289" t="s">
        <v>871</v>
      </c>
      <c r="M6" s="229"/>
      <c r="N6" t="s">
        <v>502</v>
      </c>
      <c r="O6" t="s">
        <v>502</v>
      </c>
      <c r="P6" s="1474"/>
      <c r="Q6" s="229"/>
      <c r="R6" s="229"/>
      <c r="S6" t="s">
        <v>506</v>
      </c>
    </row>
    <row r="7" spans="1:19" ht="15" thickBot="1" x14ac:dyDescent="0.35">
      <c r="A7" t="s">
        <v>500</v>
      </c>
      <c r="B7" s="80" t="s">
        <v>507</v>
      </c>
      <c r="C7" s="80" t="s">
        <v>359</v>
      </c>
      <c r="D7" s="229">
        <v>783520</v>
      </c>
      <c r="E7" s="279">
        <v>664000</v>
      </c>
      <c r="F7" s="229">
        <v>783520</v>
      </c>
      <c r="G7" s="367"/>
      <c r="H7" s="282"/>
      <c r="I7" s="229"/>
      <c r="J7" s="279">
        <v>559520</v>
      </c>
      <c r="K7" s="312">
        <v>43762</v>
      </c>
      <c r="L7" s="289" t="s">
        <v>871</v>
      </c>
      <c r="M7" s="229"/>
      <c r="N7" t="s">
        <v>502</v>
      </c>
      <c r="O7" t="s">
        <v>502</v>
      </c>
      <c r="P7" s="1474"/>
      <c r="Q7" s="229"/>
      <c r="R7" s="229"/>
    </row>
    <row r="8" spans="1:19" x14ac:dyDescent="0.3">
      <c r="A8" s="354" t="s">
        <v>508</v>
      </c>
      <c r="B8" s="80" t="s">
        <v>509</v>
      </c>
      <c r="C8" s="80" t="s">
        <v>359</v>
      </c>
      <c r="D8" s="229">
        <v>9002338</v>
      </c>
      <c r="E8" s="320">
        <v>7629100</v>
      </c>
      <c r="F8" s="229">
        <v>9002338</v>
      </c>
      <c r="G8" s="358">
        <f>(+J8+J9+J10)*0+E8+E9+E10+E11</f>
        <v>30516400</v>
      </c>
      <c r="H8" s="319"/>
      <c r="I8" s="229"/>
      <c r="J8" s="278">
        <v>16478856</v>
      </c>
      <c r="K8" s="312">
        <v>43623</v>
      </c>
      <c r="L8" s="289" t="s">
        <v>871</v>
      </c>
      <c r="M8" s="229"/>
      <c r="N8" t="s">
        <v>502</v>
      </c>
      <c r="O8" t="s">
        <v>502</v>
      </c>
      <c r="P8" s="1473" t="s">
        <v>510</v>
      </c>
      <c r="Q8" s="229"/>
      <c r="R8" s="229" t="s">
        <v>511</v>
      </c>
      <c r="S8" t="s">
        <v>512</v>
      </c>
    </row>
    <row r="9" spans="1:19" x14ac:dyDescent="0.3">
      <c r="A9" s="295" t="s">
        <v>508</v>
      </c>
      <c r="B9" s="80" t="s">
        <v>513</v>
      </c>
      <c r="C9" s="80" t="s">
        <v>359</v>
      </c>
      <c r="D9" s="229">
        <v>9002338.0099999998</v>
      </c>
      <c r="E9" s="278">
        <v>7629100</v>
      </c>
      <c r="F9" s="229">
        <v>9002338.0099999998</v>
      </c>
      <c r="G9" s="278"/>
      <c r="H9" s="229"/>
      <c r="I9" s="229"/>
      <c r="J9" s="278">
        <v>3051640</v>
      </c>
      <c r="K9" s="312">
        <v>43497</v>
      </c>
      <c r="L9" s="289" t="s">
        <v>871</v>
      </c>
      <c r="M9" s="229"/>
      <c r="N9" t="s">
        <v>502</v>
      </c>
      <c r="O9" t="s">
        <v>502</v>
      </c>
      <c r="P9" s="1473"/>
      <c r="Q9" s="229"/>
      <c r="R9" s="229" t="s">
        <v>511</v>
      </c>
    </row>
    <row r="10" spans="1:19" x14ac:dyDescent="0.3">
      <c r="A10" s="295" t="s">
        <v>508</v>
      </c>
      <c r="B10" s="80" t="s">
        <v>514</v>
      </c>
      <c r="C10" s="80" t="s">
        <v>359</v>
      </c>
      <c r="D10" s="229">
        <v>9002338.1099999994</v>
      </c>
      <c r="E10" s="278">
        <v>7629100</v>
      </c>
      <c r="F10" s="229">
        <v>9002338.1099999994</v>
      </c>
      <c r="G10" s="278"/>
      <c r="H10" s="229"/>
      <c r="I10" s="229"/>
      <c r="J10" s="278">
        <v>16478856</v>
      </c>
      <c r="K10" s="312">
        <v>43670</v>
      </c>
      <c r="L10" s="289" t="s">
        <v>871</v>
      </c>
      <c r="M10" s="229"/>
      <c r="N10" t="s">
        <v>502</v>
      </c>
      <c r="O10" t="s">
        <v>502</v>
      </c>
      <c r="P10" s="1473"/>
      <c r="Q10" s="229"/>
      <c r="R10" s="229" t="s">
        <v>511</v>
      </c>
    </row>
    <row r="11" spans="1:19" ht="15" thickBot="1" x14ac:dyDescent="0.35">
      <c r="A11" s="296" t="s">
        <v>508</v>
      </c>
      <c r="B11" s="80" t="s">
        <v>515</v>
      </c>
      <c r="C11" s="80" t="s">
        <v>359</v>
      </c>
      <c r="D11" s="229">
        <v>9002338.0600000005</v>
      </c>
      <c r="E11" s="279">
        <v>7629100</v>
      </c>
      <c r="F11" s="229">
        <v>9002338.0600000005</v>
      </c>
      <c r="G11" s="278"/>
      <c r="H11" s="229"/>
      <c r="I11" s="229"/>
      <c r="J11" s="279"/>
      <c r="K11" s="312"/>
      <c r="L11" s="289"/>
      <c r="M11" s="229"/>
      <c r="N11" t="s">
        <v>502</v>
      </c>
      <c r="O11" t="s">
        <v>502</v>
      </c>
      <c r="P11" s="1473"/>
      <c r="Q11" s="229"/>
      <c r="R11" s="229" t="s">
        <v>511</v>
      </c>
    </row>
    <row r="12" spans="1:19" x14ac:dyDescent="0.3">
      <c r="A12" s="294" t="s">
        <v>516</v>
      </c>
      <c r="B12" s="80" t="s">
        <v>517</v>
      </c>
      <c r="C12" s="80" t="s">
        <v>359</v>
      </c>
      <c r="D12" s="229">
        <v>20463813.699999999</v>
      </c>
      <c r="E12" s="320">
        <v>17342215</v>
      </c>
      <c r="F12" s="229">
        <v>20463813.699999999</v>
      </c>
      <c r="G12" s="318">
        <f>+'WFL Format-4 (2)'!AO35*0+E12+E13+E14+E15</f>
        <v>43549665</v>
      </c>
      <c r="H12" s="319"/>
      <c r="I12" s="229"/>
      <c r="J12" s="278">
        <v>20000000</v>
      </c>
      <c r="K12" s="312">
        <v>43606</v>
      </c>
      <c r="L12" s="289" t="s">
        <v>871</v>
      </c>
      <c r="M12" s="229"/>
      <c r="N12" t="s">
        <v>502</v>
      </c>
      <c r="O12" t="s">
        <v>502</v>
      </c>
      <c r="P12" s="1474" t="s">
        <v>518</v>
      </c>
      <c r="Q12" s="229"/>
      <c r="R12" s="229" t="s">
        <v>511</v>
      </c>
      <c r="S12" t="s">
        <v>519</v>
      </c>
    </row>
    <row r="13" spans="1:19" x14ac:dyDescent="0.3">
      <c r="A13" s="295" t="s">
        <v>516</v>
      </c>
      <c r="B13" s="80" t="s">
        <v>520</v>
      </c>
      <c r="C13" s="80" t="s">
        <v>359</v>
      </c>
      <c r="D13" s="229">
        <v>5118745.5999999996</v>
      </c>
      <c r="E13" s="278">
        <v>4337920</v>
      </c>
      <c r="F13" s="229">
        <v>5118745.5999999996</v>
      </c>
      <c r="G13" s="278"/>
      <c r="H13" s="229"/>
      <c r="I13" s="229"/>
      <c r="J13" s="278">
        <v>4354966</v>
      </c>
      <c r="K13" s="312">
        <v>43452</v>
      </c>
      <c r="L13" s="289" t="s">
        <v>871</v>
      </c>
      <c r="M13" s="229"/>
      <c r="N13" t="s">
        <v>502</v>
      </c>
      <c r="O13" t="s">
        <v>502</v>
      </c>
      <c r="P13" s="1474"/>
      <c r="Q13" s="229"/>
      <c r="R13" s="229" t="s">
        <v>511</v>
      </c>
      <c r="S13" t="s">
        <v>521</v>
      </c>
    </row>
    <row r="14" spans="1:19" x14ac:dyDescent="0.3">
      <c r="A14" s="295" t="s">
        <v>516</v>
      </c>
      <c r="B14" s="80" t="s">
        <v>522</v>
      </c>
      <c r="C14" s="80" t="s">
        <v>359</v>
      </c>
      <c r="D14" s="229">
        <v>5146682.0999999996</v>
      </c>
      <c r="E14" s="278">
        <v>4361595</v>
      </c>
      <c r="F14" s="229">
        <v>5146682.0999999996</v>
      </c>
      <c r="G14" s="278"/>
      <c r="H14" s="229"/>
      <c r="I14" s="229"/>
      <c r="J14" s="278">
        <v>20000000</v>
      </c>
      <c r="K14" s="312">
        <v>43575</v>
      </c>
      <c r="L14" s="289" t="s">
        <v>871</v>
      </c>
      <c r="M14" s="229"/>
      <c r="N14" t="s">
        <v>502</v>
      </c>
      <c r="O14" t="s">
        <v>502</v>
      </c>
      <c r="P14" s="1474"/>
      <c r="Q14" s="229"/>
      <c r="R14" s="229" t="s">
        <v>511</v>
      </c>
    </row>
    <row r="15" spans="1:19" ht="15" thickBot="1" x14ac:dyDescent="0.35">
      <c r="A15" s="296" t="s">
        <v>516</v>
      </c>
      <c r="B15" s="80" t="s">
        <v>523</v>
      </c>
      <c r="C15" s="80" t="s">
        <v>359</v>
      </c>
      <c r="D15" s="229">
        <v>20659363.300000001</v>
      </c>
      <c r="E15" s="279">
        <v>17507935</v>
      </c>
      <c r="F15" s="229">
        <v>20659363.300000001</v>
      </c>
      <c r="G15" s="278"/>
      <c r="H15" s="229"/>
      <c r="I15" s="229"/>
      <c r="J15" s="278">
        <v>3414545</v>
      </c>
      <c r="K15" s="312">
        <v>43575</v>
      </c>
      <c r="L15" s="289" t="s">
        <v>871</v>
      </c>
      <c r="M15" s="229"/>
      <c r="N15" t="s">
        <v>502</v>
      </c>
      <c r="O15" t="s">
        <v>502</v>
      </c>
      <c r="P15" s="1474"/>
      <c r="Q15" s="229"/>
      <c r="R15" s="229" t="s">
        <v>511</v>
      </c>
    </row>
    <row r="16" spans="1:19" ht="15" thickBot="1" x14ac:dyDescent="0.35">
      <c r="D16" s="229"/>
      <c r="E16" s="229"/>
      <c r="F16" s="229"/>
      <c r="G16" s="278"/>
      <c r="H16" s="229"/>
      <c r="I16" s="229"/>
      <c r="J16" s="279">
        <v>3619092</v>
      </c>
      <c r="K16" s="312">
        <v>43594</v>
      </c>
      <c r="L16" s="289" t="s">
        <v>871</v>
      </c>
      <c r="M16" s="229"/>
      <c r="P16" s="228"/>
      <c r="Q16" s="229"/>
      <c r="R16" s="229"/>
    </row>
    <row r="17" spans="1:19" ht="15" thickBot="1" x14ac:dyDescent="0.35">
      <c r="A17" s="238" t="s">
        <v>524</v>
      </c>
      <c r="B17" s="80" t="s">
        <v>525</v>
      </c>
      <c r="C17" s="80" t="s">
        <v>359</v>
      </c>
      <c r="D17" s="229">
        <v>6782640</v>
      </c>
      <c r="E17" s="396">
        <v>5650000</v>
      </c>
      <c r="F17" s="229">
        <v>6782640</v>
      </c>
      <c r="G17" s="318">
        <f>+'WFL Format-4 (2)'!AO23*0+E17</f>
        <v>5650000</v>
      </c>
      <c r="H17" s="319"/>
      <c r="I17" s="229"/>
      <c r="J17" s="320">
        <v>565000</v>
      </c>
      <c r="K17" s="312">
        <v>43440</v>
      </c>
      <c r="L17" s="289" t="s">
        <v>871</v>
      </c>
      <c r="M17" s="229"/>
      <c r="N17" t="s">
        <v>502</v>
      </c>
      <c r="O17" t="s">
        <v>502</v>
      </c>
      <c r="P17" s="82" t="s">
        <v>526</v>
      </c>
      <c r="Q17" s="229"/>
      <c r="R17" s="229"/>
      <c r="S17" t="s">
        <v>527</v>
      </c>
    </row>
    <row r="18" spans="1:19" x14ac:dyDescent="0.3">
      <c r="D18" s="229"/>
      <c r="E18" s="229"/>
      <c r="F18" s="229"/>
      <c r="G18" s="366"/>
      <c r="H18" s="282"/>
      <c r="I18" s="229"/>
      <c r="J18" s="278">
        <v>5537000</v>
      </c>
      <c r="K18" s="312">
        <v>43656</v>
      </c>
      <c r="L18" s="289" t="s">
        <v>871</v>
      </c>
      <c r="M18" s="229"/>
      <c r="P18" s="82"/>
      <c r="Q18" s="229"/>
      <c r="R18" s="229"/>
    </row>
    <row r="19" spans="1:19" x14ac:dyDescent="0.3">
      <c r="D19" s="229"/>
      <c r="E19" s="229"/>
      <c r="F19" s="229"/>
      <c r="G19" s="366"/>
      <c r="H19" s="282"/>
      <c r="I19" s="229"/>
      <c r="J19" s="278">
        <v>115640</v>
      </c>
      <c r="K19" s="312">
        <v>43676</v>
      </c>
      <c r="L19" s="289" t="s">
        <v>871</v>
      </c>
      <c r="M19" s="229"/>
      <c r="P19" s="82"/>
      <c r="Q19" s="229"/>
      <c r="R19" s="229"/>
    </row>
    <row r="20" spans="1:19" ht="15" thickBot="1" x14ac:dyDescent="0.35">
      <c r="D20" s="229"/>
      <c r="E20" s="229"/>
      <c r="F20" s="229"/>
      <c r="G20" s="367"/>
      <c r="H20" s="282"/>
      <c r="I20" s="229"/>
      <c r="J20" s="279">
        <v>565000</v>
      </c>
      <c r="K20" s="312">
        <v>43787</v>
      </c>
      <c r="L20" s="289" t="s">
        <v>871</v>
      </c>
      <c r="M20" s="229"/>
      <c r="P20" s="82"/>
      <c r="Q20" s="229"/>
      <c r="R20" s="229"/>
    </row>
    <row r="21" spans="1:19" x14ac:dyDescent="0.3">
      <c r="A21" s="238" t="s">
        <v>528</v>
      </c>
      <c r="B21" s="80" t="s">
        <v>529</v>
      </c>
      <c r="C21" s="80" t="s">
        <v>359</v>
      </c>
      <c r="D21" s="229">
        <v>1817200</v>
      </c>
      <c r="E21" s="320">
        <v>1540000</v>
      </c>
      <c r="F21" s="229">
        <v>1817200</v>
      </c>
      <c r="G21" s="397">
        <f>+'WFL Format-4 (2)'!AO42</f>
        <v>11270000</v>
      </c>
      <c r="H21" s="412">
        <f>11500000-G21</f>
        <v>230000</v>
      </c>
      <c r="I21" s="229"/>
      <c r="J21" s="407">
        <v>4671920</v>
      </c>
      <c r="K21" s="312">
        <v>43558</v>
      </c>
      <c r="L21" s="289" t="s">
        <v>871</v>
      </c>
      <c r="M21" s="229"/>
      <c r="N21" t="s">
        <v>502</v>
      </c>
      <c r="O21" t="s">
        <v>502</v>
      </c>
      <c r="P21" s="1473" t="s">
        <v>530</v>
      </c>
      <c r="Q21" s="229"/>
      <c r="R21" s="229"/>
      <c r="S21" t="s">
        <v>531</v>
      </c>
    </row>
    <row r="22" spans="1:19" x14ac:dyDescent="0.3">
      <c r="A22" t="s">
        <v>528</v>
      </c>
      <c r="B22" s="80" t="s">
        <v>532</v>
      </c>
      <c r="C22" s="80" t="s">
        <v>359</v>
      </c>
      <c r="D22" s="229">
        <v>5530660</v>
      </c>
      <c r="E22" s="278">
        <v>4687000</v>
      </c>
      <c r="F22" s="229">
        <v>5530660</v>
      </c>
      <c r="G22" s="353"/>
      <c r="H22" s="413"/>
      <c r="I22" s="229"/>
      <c r="J22" s="280">
        <v>5448080</v>
      </c>
      <c r="K22" s="312">
        <v>43529</v>
      </c>
      <c r="L22" s="289" t="s">
        <v>871</v>
      </c>
      <c r="M22" s="229"/>
      <c r="N22" t="s">
        <v>502</v>
      </c>
      <c r="O22" t="s">
        <v>502</v>
      </c>
      <c r="P22" s="1473"/>
      <c r="Q22" s="229"/>
      <c r="R22" s="229"/>
    </row>
    <row r="23" spans="1:19" x14ac:dyDescent="0.3">
      <c r="A23" t="s">
        <v>528</v>
      </c>
      <c r="B23" s="80" t="s">
        <v>533</v>
      </c>
      <c r="C23" s="80" t="s">
        <v>359</v>
      </c>
      <c r="D23" s="229">
        <v>1218114</v>
      </c>
      <c r="E23" s="278">
        <v>1032300</v>
      </c>
      <c r="F23" s="229">
        <v>1218114</v>
      </c>
      <c r="G23" s="353"/>
      <c r="H23" s="413"/>
      <c r="I23" s="229"/>
      <c r="J23" s="280">
        <v>1150000</v>
      </c>
      <c r="K23" s="312">
        <v>43507</v>
      </c>
      <c r="L23" s="289" t="s">
        <v>871</v>
      </c>
      <c r="M23" s="229"/>
      <c r="N23" t="s">
        <v>502</v>
      </c>
      <c r="O23" t="s">
        <v>502</v>
      </c>
      <c r="P23" s="1473"/>
      <c r="Q23" s="229"/>
      <c r="R23" s="229"/>
    </row>
    <row r="24" spans="1:19" x14ac:dyDescent="0.3">
      <c r="A24" t="s">
        <v>528</v>
      </c>
      <c r="B24" s="80" t="s">
        <v>534</v>
      </c>
      <c r="C24" s="80" t="s">
        <v>359</v>
      </c>
      <c r="D24" s="229">
        <v>3767858</v>
      </c>
      <c r="E24" s="278">
        <v>3193100</v>
      </c>
      <c r="F24" s="229">
        <v>3767858</v>
      </c>
      <c r="G24" s="353"/>
      <c r="H24" s="413"/>
      <c r="I24" s="229"/>
      <c r="J24" s="278"/>
      <c r="K24" s="229"/>
      <c r="L24" s="229"/>
      <c r="M24" s="229"/>
      <c r="N24" t="s">
        <v>502</v>
      </c>
      <c r="O24" t="s">
        <v>502</v>
      </c>
      <c r="P24" s="1473"/>
      <c r="Q24" s="229"/>
      <c r="R24" s="229"/>
    </row>
    <row r="25" spans="1:19" x14ac:dyDescent="0.3">
      <c r="A25" t="s">
        <v>528</v>
      </c>
      <c r="B25" s="80" t="s">
        <v>535</v>
      </c>
      <c r="C25" s="80" t="s">
        <v>359</v>
      </c>
      <c r="D25" s="229">
        <v>140538</v>
      </c>
      <c r="E25" s="278">
        <v>119100</v>
      </c>
      <c r="F25" s="229">
        <v>140538</v>
      </c>
      <c r="G25" s="353"/>
      <c r="H25" s="413"/>
      <c r="I25" s="229"/>
      <c r="J25" s="278"/>
      <c r="K25" s="229"/>
      <c r="L25" s="229"/>
      <c r="M25" s="229"/>
      <c r="N25" t="s">
        <v>502</v>
      </c>
      <c r="O25" t="s">
        <v>502</v>
      </c>
      <c r="P25" s="1473"/>
      <c r="Q25" s="229"/>
      <c r="R25" s="229"/>
    </row>
    <row r="26" spans="1:19" ht="15" thickBot="1" x14ac:dyDescent="0.35">
      <c r="A26" t="s">
        <v>528</v>
      </c>
      <c r="B26" s="80" t="s">
        <v>536</v>
      </c>
      <c r="C26" s="80" t="s">
        <v>359</v>
      </c>
      <c r="D26" s="229">
        <v>1095630</v>
      </c>
      <c r="E26" s="279">
        <v>928500</v>
      </c>
      <c r="F26" s="229">
        <v>1095630</v>
      </c>
      <c r="G26" s="360"/>
      <c r="H26" s="413"/>
      <c r="I26" s="229"/>
      <c r="J26" s="279"/>
      <c r="K26" s="229"/>
      <c r="L26" s="229"/>
      <c r="M26" s="229"/>
      <c r="N26" t="s">
        <v>502</v>
      </c>
      <c r="O26" t="s">
        <v>502</v>
      </c>
      <c r="P26" s="1473"/>
      <c r="Q26" s="229"/>
      <c r="R26" s="229"/>
    </row>
    <row r="27" spans="1:19" x14ac:dyDescent="0.3">
      <c r="A27" s="238" t="s">
        <v>537</v>
      </c>
      <c r="B27" s="239">
        <v>6410029438</v>
      </c>
      <c r="C27" s="239"/>
      <c r="D27" s="240">
        <v>2468326.2400000002</v>
      </c>
      <c r="E27" s="398">
        <f>+D27*0.82</f>
        <v>2024027.5168000001</v>
      </c>
      <c r="F27" s="240">
        <v>2468326.2400000002</v>
      </c>
      <c r="G27" s="401">
        <f>+'WFL Format-4 (2)'!AO40</f>
        <v>20758333.359999999</v>
      </c>
      <c r="H27" s="414">
        <f>SUM(E27:E87)-G27</f>
        <v>24065402.76879999</v>
      </c>
      <c r="I27" s="240"/>
      <c r="J27" s="320">
        <v>5107891</v>
      </c>
      <c r="K27" s="312">
        <v>43652</v>
      </c>
      <c r="L27" s="289" t="s">
        <v>871</v>
      </c>
      <c r="M27" s="240"/>
      <c r="N27" t="s">
        <v>502</v>
      </c>
      <c r="O27" t="s">
        <v>502</v>
      </c>
      <c r="P27" s="1473" t="s">
        <v>538</v>
      </c>
      <c r="Q27" s="229"/>
      <c r="R27" s="229"/>
    </row>
    <row r="28" spans="1:19" x14ac:dyDescent="0.3">
      <c r="A28" t="s">
        <v>537</v>
      </c>
      <c r="B28" s="239">
        <v>6410029441</v>
      </c>
      <c r="C28" s="80" t="s">
        <v>359</v>
      </c>
      <c r="D28" s="241">
        <v>1970214.1</v>
      </c>
      <c r="E28" s="399">
        <f t="shared" ref="E28:E87" si="0">+D28*0.82</f>
        <v>1615575.5619999999</v>
      </c>
      <c r="F28" s="241">
        <v>1970214.1</v>
      </c>
      <c r="G28" s="362"/>
      <c r="H28" s="415"/>
      <c r="I28" s="241"/>
      <c r="J28" s="280">
        <v>13709824</v>
      </c>
      <c r="K28" s="312">
        <v>43757</v>
      </c>
      <c r="L28" s="289" t="s">
        <v>871</v>
      </c>
      <c r="M28" s="241"/>
      <c r="N28" t="s">
        <v>502</v>
      </c>
      <c r="O28" t="s">
        <v>502</v>
      </c>
      <c r="P28" s="1473"/>
      <c r="Q28" s="229"/>
      <c r="R28" s="229"/>
    </row>
    <row r="29" spans="1:19" ht="15" thickBot="1" x14ac:dyDescent="0.35">
      <c r="A29" t="s">
        <v>537</v>
      </c>
      <c r="B29" s="239">
        <v>6410029445</v>
      </c>
      <c r="C29" s="80" t="s">
        <v>359</v>
      </c>
      <c r="D29" s="241">
        <v>771216.52</v>
      </c>
      <c r="E29" s="399">
        <f t="shared" si="0"/>
        <v>632397.54639999999</v>
      </c>
      <c r="F29" s="241">
        <v>771216.52</v>
      </c>
      <c r="G29" s="362"/>
      <c r="H29" s="415"/>
      <c r="I29" s="241"/>
      <c r="J29" s="281">
        <v>1940618</v>
      </c>
      <c r="K29" s="312">
        <v>43588</v>
      </c>
      <c r="L29" s="289" t="s">
        <v>871</v>
      </c>
      <c r="M29" s="241"/>
      <c r="N29" t="s">
        <v>502</v>
      </c>
      <c r="O29" t="s">
        <v>502</v>
      </c>
      <c r="P29" s="1473"/>
      <c r="Q29" s="229"/>
      <c r="R29" s="229"/>
    </row>
    <row r="30" spans="1:19" x14ac:dyDescent="0.3">
      <c r="A30" t="s">
        <v>537</v>
      </c>
      <c r="B30" s="239">
        <v>6410029443</v>
      </c>
      <c r="C30" s="80" t="s">
        <v>359</v>
      </c>
      <c r="D30" s="241">
        <v>2279725.46</v>
      </c>
      <c r="E30" s="399">
        <f t="shared" si="0"/>
        <v>1869374.8771999998</v>
      </c>
      <c r="F30" s="241">
        <v>2279725.46</v>
      </c>
      <c r="G30" s="362"/>
      <c r="H30" s="415"/>
      <c r="I30" s="241"/>
      <c r="J30" s="408">
        <v>2056140</v>
      </c>
      <c r="K30" s="312">
        <v>43588</v>
      </c>
      <c r="L30" s="289" t="s">
        <v>871</v>
      </c>
      <c r="M30" s="241"/>
      <c r="N30" t="s">
        <v>502</v>
      </c>
      <c r="O30" t="s">
        <v>502</v>
      </c>
      <c r="P30" s="1473"/>
      <c r="Q30" s="229"/>
      <c r="R30" s="229"/>
    </row>
    <row r="31" spans="1:19" x14ac:dyDescent="0.3">
      <c r="A31" t="s">
        <v>537</v>
      </c>
      <c r="B31" s="239">
        <v>6410029448</v>
      </c>
      <c r="C31" s="80" t="s">
        <v>359</v>
      </c>
      <c r="D31" s="241">
        <v>48430.03</v>
      </c>
      <c r="E31" s="399">
        <f t="shared" si="0"/>
        <v>39712.624599999996</v>
      </c>
      <c r="F31" s="241">
        <v>48430.03</v>
      </c>
      <c r="G31" s="362"/>
      <c r="H31" s="415"/>
      <c r="I31" s="241"/>
      <c r="J31" s="241"/>
      <c r="K31" s="241"/>
      <c r="L31" s="241"/>
      <c r="M31" s="241"/>
      <c r="N31" t="s">
        <v>502</v>
      </c>
      <c r="O31" t="s">
        <v>502</v>
      </c>
      <c r="P31" s="1473"/>
      <c r="Q31" s="229"/>
      <c r="R31" s="229"/>
    </row>
    <row r="32" spans="1:19" x14ac:dyDescent="0.3">
      <c r="A32" t="s">
        <v>537</v>
      </c>
      <c r="B32" s="239">
        <v>6410029449</v>
      </c>
      <c r="C32" s="80" t="s">
        <v>359</v>
      </c>
      <c r="D32" s="241">
        <v>1437810.55</v>
      </c>
      <c r="E32" s="399">
        <f t="shared" si="0"/>
        <v>1179004.6510000001</v>
      </c>
      <c r="F32" s="241">
        <v>1437810.55</v>
      </c>
      <c r="G32" s="362"/>
      <c r="H32" s="415"/>
      <c r="I32" s="241"/>
      <c r="J32" s="241"/>
      <c r="K32" s="241"/>
      <c r="L32" s="241"/>
      <c r="M32" s="241"/>
      <c r="N32" t="s">
        <v>502</v>
      </c>
      <c r="O32" t="s">
        <v>502</v>
      </c>
      <c r="P32" s="1473"/>
      <c r="Q32" s="229"/>
      <c r="R32" s="229"/>
    </row>
    <row r="33" spans="1:18" x14ac:dyDescent="0.3">
      <c r="A33" t="s">
        <v>537</v>
      </c>
      <c r="B33" s="239">
        <v>6410029447</v>
      </c>
      <c r="C33" s="80" t="s">
        <v>359</v>
      </c>
      <c r="D33" s="241">
        <v>1434512.5</v>
      </c>
      <c r="E33" s="399">
        <f t="shared" si="0"/>
        <v>1176300.25</v>
      </c>
      <c r="F33" s="241">
        <v>1434512.5</v>
      </c>
      <c r="G33" s="362"/>
      <c r="H33" s="415"/>
      <c r="I33" s="241"/>
      <c r="J33" s="241"/>
      <c r="K33" s="241"/>
      <c r="L33" s="241"/>
      <c r="M33" s="241"/>
      <c r="N33" t="s">
        <v>502</v>
      </c>
      <c r="O33" t="s">
        <v>502</v>
      </c>
      <c r="P33" s="1473"/>
      <c r="Q33" s="229"/>
      <c r="R33" s="229"/>
    </row>
    <row r="34" spans="1:18" x14ac:dyDescent="0.3">
      <c r="A34" t="s">
        <v>537</v>
      </c>
      <c r="B34" s="239">
        <v>6410029528</v>
      </c>
      <c r="C34" s="80" t="s">
        <v>359</v>
      </c>
      <c r="D34" s="241">
        <v>1488261.52</v>
      </c>
      <c r="E34" s="399">
        <f t="shared" si="0"/>
        <v>1220374.4464</v>
      </c>
      <c r="F34" s="241">
        <v>1488261.52</v>
      </c>
      <c r="G34" s="362"/>
      <c r="H34" s="415"/>
      <c r="I34" s="241"/>
      <c r="J34" s="241"/>
      <c r="K34" s="241"/>
      <c r="L34" s="241"/>
      <c r="M34" s="241"/>
      <c r="N34" t="s">
        <v>502</v>
      </c>
      <c r="O34" t="s">
        <v>502</v>
      </c>
      <c r="P34" s="1473"/>
      <c r="Q34" s="229"/>
      <c r="R34" s="229"/>
    </row>
    <row r="35" spans="1:18" x14ac:dyDescent="0.3">
      <c r="A35" t="s">
        <v>537</v>
      </c>
      <c r="B35" s="239">
        <v>6410029545</v>
      </c>
      <c r="C35" s="80" t="s">
        <v>359</v>
      </c>
      <c r="D35" s="241">
        <v>1916421.04</v>
      </c>
      <c r="E35" s="399">
        <f t="shared" si="0"/>
        <v>1571465.2527999999</v>
      </c>
      <c r="F35" s="241">
        <v>1916421.04</v>
      </c>
      <c r="G35" s="362"/>
      <c r="H35" s="415"/>
      <c r="I35" s="241"/>
      <c r="J35" s="241"/>
      <c r="K35" s="241"/>
      <c r="L35" s="241"/>
      <c r="M35" s="241"/>
      <c r="N35" t="s">
        <v>502</v>
      </c>
      <c r="O35" t="s">
        <v>502</v>
      </c>
      <c r="P35" s="1473"/>
      <c r="Q35" s="229"/>
      <c r="R35" s="229"/>
    </row>
    <row r="36" spans="1:18" x14ac:dyDescent="0.3">
      <c r="A36" t="s">
        <v>537</v>
      </c>
      <c r="B36" s="239">
        <v>6410029527</v>
      </c>
      <c r="C36" s="80" t="s">
        <v>359</v>
      </c>
      <c r="D36" s="241">
        <v>2196669.2400000002</v>
      </c>
      <c r="E36" s="399">
        <f t="shared" si="0"/>
        <v>1801268.7768000001</v>
      </c>
      <c r="F36" s="241">
        <v>2196669.2400000002</v>
      </c>
      <c r="G36" s="362"/>
      <c r="H36" s="415"/>
      <c r="I36" s="241"/>
      <c r="J36" s="241"/>
      <c r="K36" s="241"/>
      <c r="L36" s="241"/>
      <c r="M36" s="241"/>
      <c r="N36" t="s">
        <v>502</v>
      </c>
      <c r="O36" t="s">
        <v>502</v>
      </c>
      <c r="P36" s="1473"/>
      <c r="Q36" s="229"/>
      <c r="R36" s="229"/>
    </row>
    <row r="37" spans="1:18" x14ac:dyDescent="0.3">
      <c r="A37" t="s">
        <v>537</v>
      </c>
      <c r="B37" s="239">
        <v>6440402419</v>
      </c>
      <c r="C37" s="80" t="s">
        <v>359</v>
      </c>
      <c r="D37" s="241">
        <v>885994.03</v>
      </c>
      <c r="E37" s="399">
        <f t="shared" si="0"/>
        <v>726515.10459999996</v>
      </c>
      <c r="F37" s="241">
        <v>885994.03</v>
      </c>
      <c r="G37" s="362"/>
      <c r="H37" s="415"/>
      <c r="I37" s="241"/>
      <c r="J37" s="241"/>
      <c r="K37" s="241"/>
      <c r="L37" s="241"/>
      <c r="M37" s="241"/>
      <c r="N37" t="s">
        <v>502</v>
      </c>
      <c r="O37" t="s">
        <v>502</v>
      </c>
      <c r="P37" s="1473"/>
      <c r="Q37" s="229"/>
      <c r="R37" s="229"/>
    </row>
    <row r="38" spans="1:18" x14ac:dyDescent="0.3">
      <c r="A38" t="s">
        <v>537</v>
      </c>
      <c r="B38" s="239">
        <v>6410029585</v>
      </c>
      <c r="C38" s="80" t="s">
        <v>359</v>
      </c>
      <c r="D38" s="241">
        <v>461633.75</v>
      </c>
      <c r="E38" s="399">
        <f t="shared" si="0"/>
        <v>378539.67499999999</v>
      </c>
      <c r="F38" s="241">
        <v>461633.75</v>
      </c>
      <c r="G38" s="362"/>
      <c r="H38" s="415"/>
      <c r="I38" s="241"/>
      <c r="J38" s="241"/>
      <c r="K38" s="241"/>
      <c r="L38" s="241"/>
      <c r="M38" s="241"/>
      <c r="N38" t="s">
        <v>502</v>
      </c>
      <c r="O38" t="s">
        <v>502</v>
      </c>
      <c r="P38" s="1473"/>
      <c r="Q38" s="229"/>
      <c r="R38" s="229"/>
    </row>
    <row r="39" spans="1:18" x14ac:dyDescent="0.3">
      <c r="A39" t="s">
        <v>537</v>
      </c>
      <c r="B39" s="239">
        <v>6410029530</v>
      </c>
      <c r="C39" s="80" t="s">
        <v>359</v>
      </c>
      <c r="D39" s="241">
        <v>2350101.59</v>
      </c>
      <c r="E39" s="399">
        <f t="shared" si="0"/>
        <v>1927083.3037999999</v>
      </c>
      <c r="F39" s="241">
        <v>2350101.59</v>
      </c>
      <c r="G39" s="362"/>
      <c r="H39" s="415"/>
      <c r="I39" s="241"/>
      <c r="J39" s="241"/>
      <c r="K39" s="241"/>
      <c r="L39" s="241"/>
      <c r="M39" s="241"/>
      <c r="N39" t="s">
        <v>502</v>
      </c>
      <c r="O39" t="s">
        <v>502</v>
      </c>
      <c r="P39" s="82" t="s">
        <v>539</v>
      </c>
      <c r="Q39" s="229"/>
      <c r="R39" s="229"/>
    </row>
    <row r="40" spans="1:18" x14ac:dyDescent="0.3">
      <c r="A40" t="s">
        <v>537</v>
      </c>
      <c r="B40" s="239">
        <v>6440402448</v>
      </c>
      <c r="C40" s="80" t="s">
        <v>359</v>
      </c>
      <c r="D40" s="241">
        <v>907089.13</v>
      </c>
      <c r="E40" s="399">
        <f t="shared" si="0"/>
        <v>743813.08659999992</v>
      </c>
      <c r="F40" s="241">
        <v>907089.13</v>
      </c>
      <c r="G40" s="362"/>
      <c r="H40" s="415"/>
      <c r="I40" s="241"/>
      <c r="J40" s="241"/>
      <c r="K40" s="241"/>
      <c r="L40" s="241"/>
      <c r="M40" s="241"/>
      <c r="N40" t="s">
        <v>502</v>
      </c>
      <c r="O40" t="s">
        <v>502</v>
      </c>
      <c r="P40" s="1473" t="s">
        <v>538</v>
      </c>
      <c r="Q40" s="229"/>
      <c r="R40" s="229"/>
    </row>
    <row r="41" spans="1:18" x14ac:dyDescent="0.3">
      <c r="A41" t="s">
        <v>537</v>
      </c>
      <c r="B41" s="239">
        <v>6440402459</v>
      </c>
      <c r="C41" s="80" t="s">
        <v>359</v>
      </c>
      <c r="D41" s="241">
        <v>738328.36</v>
      </c>
      <c r="E41" s="399">
        <f t="shared" si="0"/>
        <v>605429.2551999999</v>
      </c>
      <c r="F41" s="241">
        <v>738328.36</v>
      </c>
      <c r="G41" s="362"/>
      <c r="H41" s="415"/>
      <c r="I41" s="241"/>
      <c r="J41" s="241"/>
      <c r="K41" s="241"/>
      <c r="L41" s="241"/>
      <c r="M41" s="241"/>
      <c r="N41" t="s">
        <v>502</v>
      </c>
      <c r="O41" t="s">
        <v>502</v>
      </c>
      <c r="P41" s="1473"/>
      <c r="Q41" s="229"/>
      <c r="R41" s="229"/>
    </row>
    <row r="42" spans="1:18" x14ac:dyDescent="0.3">
      <c r="A42" t="s">
        <v>537</v>
      </c>
      <c r="B42" s="239">
        <v>6440402463</v>
      </c>
      <c r="C42" s="80" t="s">
        <v>359</v>
      </c>
      <c r="D42" s="241">
        <v>738328.37</v>
      </c>
      <c r="E42" s="399">
        <f t="shared" si="0"/>
        <v>605429.26339999994</v>
      </c>
      <c r="F42" s="241">
        <v>738328.37</v>
      </c>
      <c r="G42" s="362"/>
      <c r="H42" s="415"/>
      <c r="I42" s="241"/>
      <c r="J42" s="241"/>
      <c r="K42" s="241"/>
      <c r="L42" s="241"/>
      <c r="M42" s="241"/>
      <c r="N42" t="s">
        <v>502</v>
      </c>
      <c r="O42" t="s">
        <v>502</v>
      </c>
      <c r="P42" s="1473"/>
      <c r="Q42" s="229"/>
      <c r="R42" s="229"/>
    </row>
    <row r="43" spans="1:18" x14ac:dyDescent="0.3">
      <c r="A43" t="s">
        <v>537</v>
      </c>
      <c r="B43" s="239">
        <v>6410029680</v>
      </c>
      <c r="C43" s="80" t="s">
        <v>359</v>
      </c>
      <c r="D43" s="241">
        <v>1337026.78</v>
      </c>
      <c r="E43" s="399">
        <f t="shared" si="0"/>
        <v>1096361.9595999999</v>
      </c>
      <c r="F43" s="241">
        <v>1337026.78</v>
      </c>
      <c r="G43" s="362"/>
      <c r="H43" s="415"/>
      <c r="I43" s="241"/>
      <c r="J43" s="241"/>
      <c r="K43" s="241"/>
      <c r="L43" s="241"/>
      <c r="M43" s="241"/>
      <c r="N43" t="s">
        <v>502</v>
      </c>
      <c r="O43" t="s">
        <v>502</v>
      </c>
      <c r="P43" s="82" t="s">
        <v>540</v>
      </c>
      <c r="Q43" s="229"/>
      <c r="R43" s="229"/>
    </row>
    <row r="44" spans="1:18" x14ac:dyDescent="0.3">
      <c r="A44" t="s">
        <v>537</v>
      </c>
      <c r="B44" s="239">
        <v>6410029679</v>
      </c>
      <c r="C44" s="80" t="s">
        <v>359</v>
      </c>
      <c r="D44" s="241">
        <v>6988.43</v>
      </c>
      <c r="E44" s="399">
        <f t="shared" si="0"/>
        <v>5730.5126</v>
      </c>
      <c r="F44" s="241">
        <v>6988.43</v>
      </c>
      <c r="G44" s="362"/>
      <c r="H44" s="415"/>
      <c r="I44" s="241"/>
      <c r="J44" s="241"/>
      <c r="K44" s="241"/>
      <c r="L44" s="241"/>
      <c r="M44" s="241"/>
      <c r="N44" t="s">
        <v>502</v>
      </c>
      <c r="O44" t="s">
        <v>502</v>
      </c>
      <c r="P44" s="1473" t="s">
        <v>538</v>
      </c>
      <c r="Q44" s="229"/>
      <c r="R44" s="229"/>
    </row>
    <row r="45" spans="1:18" x14ac:dyDescent="0.3">
      <c r="A45" t="s">
        <v>537</v>
      </c>
      <c r="B45" s="239">
        <v>6410029664</v>
      </c>
      <c r="C45" s="80" t="s">
        <v>359</v>
      </c>
      <c r="D45" s="241">
        <v>1445242.81</v>
      </c>
      <c r="E45" s="399">
        <f t="shared" si="0"/>
        <v>1185099.1041999999</v>
      </c>
      <c r="F45" s="241">
        <v>1445242.81</v>
      </c>
      <c r="G45" s="362"/>
      <c r="H45" s="415"/>
      <c r="I45" s="241"/>
      <c r="J45" s="241"/>
      <c r="K45" s="241"/>
      <c r="L45" s="241"/>
      <c r="M45" s="241"/>
      <c r="N45" t="s">
        <v>502</v>
      </c>
      <c r="O45" t="s">
        <v>502</v>
      </c>
      <c r="P45" s="1473"/>
      <c r="Q45" s="229"/>
      <c r="R45" s="229"/>
    </row>
    <row r="46" spans="1:18" x14ac:dyDescent="0.3">
      <c r="A46" t="s">
        <v>537</v>
      </c>
      <c r="B46" s="239">
        <v>6410029661</v>
      </c>
      <c r="C46" s="80" t="s">
        <v>359</v>
      </c>
      <c r="D46" s="241">
        <v>1458307.01</v>
      </c>
      <c r="E46" s="399">
        <f t="shared" si="0"/>
        <v>1195811.7482</v>
      </c>
      <c r="F46" s="241">
        <v>1458307.01</v>
      </c>
      <c r="G46" s="362"/>
      <c r="H46" s="415"/>
      <c r="I46" s="241"/>
      <c r="J46" s="241"/>
      <c r="K46" s="241"/>
      <c r="L46" s="241"/>
      <c r="M46" s="241"/>
      <c r="N46" t="s">
        <v>502</v>
      </c>
      <c r="O46" t="s">
        <v>502</v>
      </c>
      <c r="P46" s="1473"/>
      <c r="Q46" s="229"/>
      <c r="R46" s="229"/>
    </row>
    <row r="47" spans="1:18" x14ac:dyDescent="0.3">
      <c r="A47" t="s">
        <v>537</v>
      </c>
      <c r="B47" s="239">
        <v>6410029662</v>
      </c>
      <c r="C47" s="80" t="s">
        <v>359</v>
      </c>
      <c r="D47" s="241">
        <v>1590.73</v>
      </c>
      <c r="E47" s="399">
        <f t="shared" si="0"/>
        <v>1304.3986</v>
      </c>
      <c r="F47" s="241">
        <v>1590.73</v>
      </c>
      <c r="G47" s="362"/>
      <c r="H47" s="415"/>
      <c r="I47" s="241"/>
      <c r="J47" s="241"/>
      <c r="K47" s="241"/>
      <c r="L47" s="241"/>
      <c r="M47" s="241"/>
      <c r="N47" t="s">
        <v>502</v>
      </c>
      <c r="O47" t="s">
        <v>502</v>
      </c>
      <c r="P47" s="1473"/>
      <c r="Q47" s="229"/>
      <c r="R47" s="229"/>
    </row>
    <row r="48" spans="1:18" x14ac:dyDescent="0.3">
      <c r="A48" t="s">
        <v>537</v>
      </c>
      <c r="B48" s="239">
        <v>6440402515</v>
      </c>
      <c r="C48" s="80" t="s">
        <v>359</v>
      </c>
      <c r="D48" s="241">
        <v>738328.4</v>
      </c>
      <c r="E48" s="399">
        <f t="shared" si="0"/>
        <v>605429.28799999994</v>
      </c>
      <c r="F48" s="241">
        <v>738328.4</v>
      </c>
      <c r="G48" s="362"/>
      <c r="H48" s="415"/>
      <c r="I48" s="241"/>
      <c r="J48" s="241"/>
      <c r="K48" s="241"/>
      <c r="L48" s="241"/>
      <c r="M48" s="241"/>
      <c r="N48" t="s">
        <v>502</v>
      </c>
      <c r="O48" t="s">
        <v>502</v>
      </c>
      <c r="P48" s="1473"/>
      <c r="Q48" s="229"/>
      <c r="R48" s="229"/>
    </row>
    <row r="49" spans="1:18" x14ac:dyDescent="0.3">
      <c r="A49" t="s">
        <v>537</v>
      </c>
      <c r="B49" s="239">
        <v>6410029551</v>
      </c>
      <c r="C49" s="80" t="s">
        <v>359</v>
      </c>
      <c r="D49" s="241">
        <v>2025013.57</v>
      </c>
      <c r="E49" s="399">
        <f t="shared" si="0"/>
        <v>1660511.1273999999</v>
      </c>
      <c r="F49" s="241">
        <v>2025013.57</v>
      </c>
      <c r="G49" s="362"/>
      <c r="H49" s="415"/>
      <c r="I49" s="241"/>
      <c r="J49" s="241"/>
      <c r="K49" s="241"/>
      <c r="L49" s="241"/>
      <c r="M49" s="241"/>
      <c r="N49" t="s">
        <v>502</v>
      </c>
      <c r="O49" t="s">
        <v>502</v>
      </c>
      <c r="P49" s="1473"/>
      <c r="Q49" s="229"/>
      <c r="R49" s="229"/>
    </row>
    <row r="50" spans="1:18" x14ac:dyDescent="0.3">
      <c r="A50" t="s">
        <v>537</v>
      </c>
      <c r="B50" s="239">
        <v>6410029652</v>
      </c>
      <c r="C50" s="80" t="s">
        <v>359</v>
      </c>
      <c r="D50" s="241">
        <v>31447.94</v>
      </c>
      <c r="E50" s="399">
        <f t="shared" si="0"/>
        <v>25787.310799999996</v>
      </c>
      <c r="F50" s="241">
        <v>31447.94</v>
      </c>
      <c r="G50" s="362"/>
      <c r="H50" s="415"/>
      <c r="I50" s="241"/>
      <c r="J50" s="241"/>
      <c r="K50" s="241"/>
      <c r="L50" s="241"/>
      <c r="M50" s="241"/>
      <c r="N50" t="s">
        <v>502</v>
      </c>
      <c r="O50" t="s">
        <v>502</v>
      </c>
      <c r="P50" s="1473"/>
      <c r="Q50" s="229"/>
      <c r="R50" s="229"/>
    </row>
    <row r="51" spans="1:18" x14ac:dyDescent="0.3">
      <c r="A51" t="s">
        <v>537</v>
      </c>
      <c r="B51" s="239">
        <v>6410029651</v>
      </c>
      <c r="C51" s="80" t="s">
        <v>359</v>
      </c>
      <c r="D51" s="241">
        <v>962534.88</v>
      </c>
      <c r="E51" s="399">
        <f t="shared" si="0"/>
        <v>789278.60159999994</v>
      </c>
      <c r="F51" s="241">
        <v>962534.88</v>
      </c>
      <c r="G51" s="362"/>
      <c r="H51" s="415"/>
      <c r="I51" s="241"/>
      <c r="J51" s="241"/>
      <c r="K51" s="241"/>
      <c r="L51" s="241"/>
      <c r="M51" s="241"/>
      <c r="N51" t="s">
        <v>502</v>
      </c>
      <c r="O51" t="s">
        <v>502</v>
      </c>
      <c r="P51" s="1473"/>
      <c r="Q51" s="229"/>
      <c r="R51" s="229"/>
    </row>
    <row r="52" spans="1:18" x14ac:dyDescent="0.3">
      <c r="A52" t="s">
        <v>537</v>
      </c>
      <c r="B52" s="239">
        <v>6410029650</v>
      </c>
      <c r="C52" s="80" t="s">
        <v>359</v>
      </c>
      <c r="D52" s="241">
        <v>420139.28</v>
      </c>
      <c r="E52" s="399">
        <f t="shared" si="0"/>
        <v>344514.2096</v>
      </c>
      <c r="F52" s="241">
        <v>420139.28</v>
      </c>
      <c r="G52" s="362"/>
      <c r="H52" s="415"/>
      <c r="I52" s="241"/>
      <c r="J52" s="241"/>
      <c r="K52" s="241"/>
      <c r="L52" s="241"/>
      <c r="M52" s="241"/>
      <c r="N52" t="s">
        <v>502</v>
      </c>
      <c r="O52" t="s">
        <v>502</v>
      </c>
      <c r="P52" s="1473"/>
      <c r="Q52" s="229"/>
      <c r="R52" s="229"/>
    </row>
    <row r="53" spans="1:18" x14ac:dyDescent="0.3">
      <c r="A53" t="s">
        <v>537</v>
      </c>
      <c r="B53" s="239">
        <v>6410029699</v>
      </c>
      <c r="C53" s="239"/>
      <c r="D53" s="241">
        <v>5439.19</v>
      </c>
      <c r="E53" s="399">
        <f t="shared" si="0"/>
        <v>4460.1357999999991</v>
      </c>
      <c r="F53" s="241">
        <v>5439.19</v>
      </c>
      <c r="G53" s="362"/>
      <c r="H53" s="415"/>
      <c r="I53" s="241"/>
      <c r="J53" s="241"/>
      <c r="K53" s="241"/>
      <c r="L53" s="241"/>
      <c r="M53" s="241"/>
      <c r="N53" t="s">
        <v>502</v>
      </c>
      <c r="O53" t="s">
        <v>502</v>
      </c>
      <c r="P53" s="1473"/>
      <c r="Q53" s="229"/>
      <c r="R53" s="229"/>
    </row>
    <row r="54" spans="1:18" x14ac:dyDescent="0.3">
      <c r="A54" t="s">
        <v>537</v>
      </c>
      <c r="B54" s="239">
        <v>6440402516</v>
      </c>
      <c r="C54" s="80" t="s">
        <v>359</v>
      </c>
      <c r="D54" s="241">
        <v>738328.49</v>
      </c>
      <c r="E54" s="399">
        <f t="shared" si="0"/>
        <v>605429.36179999996</v>
      </c>
      <c r="F54" s="241">
        <v>738328.49</v>
      </c>
      <c r="G54" s="362"/>
      <c r="H54" s="415"/>
      <c r="I54" s="241"/>
      <c r="J54" s="241"/>
      <c r="K54" s="241"/>
      <c r="L54" s="241"/>
      <c r="M54" s="241"/>
      <c r="N54" t="s">
        <v>502</v>
      </c>
      <c r="O54" t="s">
        <v>502</v>
      </c>
      <c r="P54" s="1473"/>
      <c r="Q54" s="229"/>
      <c r="R54" s="229"/>
    </row>
    <row r="55" spans="1:18" x14ac:dyDescent="0.3">
      <c r="A55" t="s">
        <v>537</v>
      </c>
      <c r="B55" s="239">
        <v>6440402584</v>
      </c>
      <c r="C55" s="80" t="s">
        <v>359</v>
      </c>
      <c r="D55" s="241">
        <v>843803.84</v>
      </c>
      <c r="E55" s="399">
        <f t="shared" si="0"/>
        <v>691919.14879999997</v>
      </c>
      <c r="F55" s="241">
        <v>843803.84</v>
      </c>
      <c r="G55" s="362"/>
      <c r="H55" s="415"/>
      <c r="I55" s="241"/>
      <c r="J55" s="241"/>
      <c r="K55" s="241"/>
      <c r="L55" s="241"/>
      <c r="M55" s="241"/>
      <c r="N55" t="s">
        <v>502</v>
      </c>
      <c r="O55" t="s">
        <v>502</v>
      </c>
      <c r="P55" s="1473"/>
      <c r="Q55" s="229"/>
      <c r="R55" s="229"/>
    </row>
    <row r="56" spans="1:18" x14ac:dyDescent="0.3">
      <c r="A56" t="s">
        <v>537</v>
      </c>
      <c r="B56" s="239">
        <v>6440402605</v>
      </c>
      <c r="C56" s="80" t="s">
        <v>359</v>
      </c>
      <c r="D56" s="241">
        <v>794663.54</v>
      </c>
      <c r="E56" s="399">
        <f t="shared" si="0"/>
        <v>651624.10279999999</v>
      </c>
      <c r="F56" s="241">
        <v>794663.54</v>
      </c>
      <c r="G56" s="362"/>
      <c r="H56" s="415"/>
      <c r="I56" s="241"/>
      <c r="J56" s="241"/>
      <c r="K56" s="241"/>
      <c r="L56" s="241"/>
      <c r="M56" s="241"/>
      <c r="N56" t="s">
        <v>502</v>
      </c>
      <c r="O56" t="s">
        <v>502</v>
      </c>
      <c r="P56" s="1473"/>
      <c r="Q56" s="229"/>
      <c r="R56" s="229"/>
    </row>
    <row r="57" spans="1:18" x14ac:dyDescent="0.3">
      <c r="A57" t="s">
        <v>537</v>
      </c>
      <c r="B57" s="239">
        <v>6440402637</v>
      </c>
      <c r="C57" s="80" t="s">
        <v>359</v>
      </c>
      <c r="D57" s="241">
        <v>738328.43</v>
      </c>
      <c r="E57" s="399">
        <f t="shared" si="0"/>
        <v>605429.31260000006</v>
      </c>
      <c r="F57" s="241">
        <v>738328.43</v>
      </c>
      <c r="G57" s="362"/>
      <c r="H57" s="415"/>
      <c r="I57" s="241"/>
      <c r="J57" s="241"/>
      <c r="K57" s="241"/>
      <c r="L57" s="241"/>
      <c r="M57" s="241"/>
      <c r="N57" t="s">
        <v>502</v>
      </c>
      <c r="O57" t="s">
        <v>502</v>
      </c>
      <c r="P57" s="1473"/>
      <c r="Q57" s="229"/>
      <c r="R57" s="229"/>
    </row>
    <row r="58" spans="1:18" x14ac:dyDescent="0.3">
      <c r="A58" t="s">
        <v>537</v>
      </c>
      <c r="B58" s="239">
        <v>6440402635</v>
      </c>
      <c r="C58" s="80" t="s">
        <v>359</v>
      </c>
      <c r="D58" s="241">
        <v>738328.44</v>
      </c>
      <c r="E58" s="399">
        <f t="shared" si="0"/>
        <v>605429.32079999987</v>
      </c>
      <c r="F58" s="241">
        <v>738328.44</v>
      </c>
      <c r="G58" s="362"/>
      <c r="H58" s="415"/>
      <c r="I58" s="241"/>
      <c r="J58" s="241"/>
      <c r="K58" s="241"/>
      <c r="L58" s="241"/>
      <c r="M58" s="241"/>
      <c r="N58" t="s">
        <v>502</v>
      </c>
      <c r="O58" t="s">
        <v>502</v>
      </c>
      <c r="P58" s="1473"/>
      <c r="Q58" s="229"/>
      <c r="R58" s="229"/>
    </row>
    <row r="59" spans="1:18" x14ac:dyDescent="0.3">
      <c r="A59" t="s">
        <v>537</v>
      </c>
      <c r="B59" s="239">
        <v>6440402639</v>
      </c>
      <c r="C59" s="80" t="s">
        <v>359</v>
      </c>
      <c r="D59" s="241">
        <v>698247.68000000005</v>
      </c>
      <c r="E59" s="399">
        <f t="shared" si="0"/>
        <v>572563.09759999998</v>
      </c>
      <c r="F59" s="241">
        <v>698247.68000000005</v>
      </c>
      <c r="G59" s="362"/>
      <c r="H59" s="415"/>
      <c r="I59" s="241"/>
      <c r="J59" s="241"/>
      <c r="K59" s="241"/>
      <c r="L59" s="241"/>
      <c r="M59" s="241"/>
      <c r="N59" t="s">
        <v>502</v>
      </c>
      <c r="O59" t="s">
        <v>502</v>
      </c>
      <c r="P59" s="1473"/>
      <c r="Q59" s="229"/>
      <c r="R59" s="229"/>
    </row>
    <row r="60" spans="1:18" x14ac:dyDescent="0.3">
      <c r="A60" t="s">
        <v>537</v>
      </c>
      <c r="B60" s="239">
        <v>6410029801</v>
      </c>
      <c r="C60" s="80" t="s">
        <v>359</v>
      </c>
      <c r="D60" s="241">
        <v>97755.51</v>
      </c>
      <c r="E60" s="399">
        <f t="shared" si="0"/>
        <v>80159.518199999991</v>
      </c>
      <c r="F60" s="241">
        <v>97755.51</v>
      </c>
      <c r="G60" s="362"/>
      <c r="H60" s="415"/>
      <c r="I60" s="241"/>
      <c r="J60" s="241"/>
      <c r="K60" s="241"/>
      <c r="L60" s="241"/>
      <c r="M60" s="241"/>
      <c r="N60" t="s">
        <v>502</v>
      </c>
      <c r="O60" t="s">
        <v>502</v>
      </c>
      <c r="P60" s="1473"/>
      <c r="Q60" s="229"/>
      <c r="R60" s="229"/>
    </row>
    <row r="61" spans="1:18" x14ac:dyDescent="0.3">
      <c r="A61" t="s">
        <v>537</v>
      </c>
      <c r="B61" s="239">
        <v>6410029700</v>
      </c>
      <c r="C61" s="80" t="s">
        <v>359</v>
      </c>
      <c r="D61" s="241">
        <v>1892830.63</v>
      </c>
      <c r="E61" s="399">
        <f t="shared" si="0"/>
        <v>1552121.1165999998</v>
      </c>
      <c r="F61" s="241">
        <v>1892830.63</v>
      </c>
      <c r="G61" s="362"/>
      <c r="H61" s="415"/>
      <c r="I61" s="241"/>
      <c r="J61" s="241"/>
      <c r="K61" s="241"/>
      <c r="L61" s="241"/>
      <c r="M61" s="241"/>
      <c r="N61" t="s">
        <v>502</v>
      </c>
      <c r="O61" t="s">
        <v>502</v>
      </c>
      <c r="P61" s="1473"/>
      <c r="Q61" s="229"/>
      <c r="R61" s="229"/>
    </row>
    <row r="62" spans="1:18" x14ac:dyDescent="0.3">
      <c r="A62" t="s">
        <v>537</v>
      </c>
      <c r="B62" s="239">
        <v>6410029802</v>
      </c>
      <c r="C62" s="80" t="s">
        <v>359</v>
      </c>
      <c r="D62" s="241">
        <v>582002.43000000005</v>
      </c>
      <c r="E62" s="399">
        <f t="shared" si="0"/>
        <v>477241.9926</v>
      </c>
      <c r="F62" s="241">
        <v>582002.43000000005</v>
      </c>
      <c r="G62" s="362"/>
      <c r="H62" s="415"/>
      <c r="I62" s="241"/>
      <c r="J62" s="241"/>
      <c r="K62" s="241"/>
      <c r="L62" s="241"/>
      <c r="M62" s="241"/>
      <c r="N62" t="s">
        <v>502</v>
      </c>
      <c r="O62" t="s">
        <v>502</v>
      </c>
      <c r="P62" s="1473"/>
      <c r="Q62" s="229"/>
      <c r="R62" s="229"/>
    </row>
    <row r="63" spans="1:18" x14ac:dyDescent="0.3">
      <c r="A63" t="s">
        <v>537</v>
      </c>
      <c r="B63" s="239">
        <v>6440402636</v>
      </c>
      <c r="C63" s="80" t="s">
        <v>359</v>
      </c>
      <c r="D63" s="241">
        <v>738328.47</v>
      </c>
      <c r="E63" s="399">
        <f t="shared" si="0"/>
        <v>605429.34539999999</v>
      </c>
      <c r="F63" s="241">
        <v>738328.47</v>
      </c>
      <c r="G63" s="362"/>
      <c r="H63" s="415"/>
      <c r="I63" s="241"/>
      <c r="J63" s="241"/>
      <c r="K63" s="241"/>
      <c r="L63" s="241"/>
      <c r="M63" s="241"/>
      <c r="N63" t="s">
        <v>502</v>
      </c>
      <c r="O63" t="s">
        <v>502</v>
      </c>
      <c r="P63" s="1473"/>
      <c r="Q63" s="229"/>
      <c r="R63" s="229"/>
    </row>
    <row r="64" spans="1:18" x14ac:dyDescent="0.3">
      <c r="A64" t="s">
        <v>537</v>
      </c>
      <c r="B64" s="239">
        <v>6410029722</v>
      </c>
      <c r="C64" s="80" t="s">
        <v>359</v>
      </c>
      <c r="D64" s="241">
        <v>194924.24</v>
      </c>
      <c r="E64" s="399">
        <f t="shared" si="0"/>
        <v>159837.87679999997</v>
      </c>
      <c r="F64" s="241">
        <v>194924.24</v>
      </c>
      <c r="G64" s="362"/>
      <c r="H64" s="415"/>
      <c r="I64" s="241"/>
      <c r="J64" s="241"/>
      <c r="K64" s="241"/>
      <c r="L64" s="241"/>
      <c r="M64" s="241"/>
      <c r="N64" t="s">
        <v>502</v>
      </c>
      <c r="O64" t="s">
        <v>502</v>
      </c>
      <c r="P64" s="1473"/>
      <c r="Q64" s="229"/>
      <c r="R64" s="229"/>
    </row>
    <row r="65" spans="1:18" x14ac:dyDescent="0.3">
      <c r="A65" t="s">
        <v>537</v>
      </c>
      <c r="B65" s="239">
        <v>6440402633</v>
      </c>
      <c r="C65" s="80" t="s">
        <v>359</v>
      </c>
      <c r="D65" s="241">
        <v>738328.61</v>
      </c>
      <c r="E65" s="399">
        <f t="shared" si="0"/>
        <v>605429.46019999997</v>
      </c>
      <c r="F65" s="241">
        <v>738328.61</v>
      </c>
      <c r="G65" s="362"/>
      <c r="H65" s="415"/>
      <c r="I65" s="241"/>
      <c r="J65" s="241"/>
      <c r="K65" s="241"/>
      <c r="L65" s="241"/>
      <c r="M65" s="241"/>
      <c r="N65" t="s">
        <v>502</v>
      </c>
      <c r="O65" t="s">
        <v>502</v>
      </c>
      <c r="P65" s="1473"/>
      <c r="Q65" s="229"/>
      <c r="R65" s="229"/>
    </row>
    <row r="66" spans="1:18" x14ac:dyDescent="0.3">
      <c r="A66" t="s">
        <v>537</v>
      </c>
      <c r="B66" s="239">
        <v>6440402624</v>
      </c>
      <c r="C66" s="80" t="s">
        <v>359</v>
      </c>
      <c r="D66" s="241">
        <v>738328.51</v>
      </c>
      <c r="E66" s="399">
        <f t="shared" si="0"/>
        <v>605429.37819999992</v>
      </c>
      <c r="F66" s="241">
        <v>738328.51</v>
      </c>
      <c r="G66" s="362"/>
      <c r="H66" s="415"/>
      <c r="I66" s="241"/>
      <c r="J66" s="241"/>
      <c r="K66" s="241"/>
      <c r="L66" s="241"/>
      <c r="M66" s="241"/>
      <c r="N66" t="s">
        <v>502</v>
      </c>
      <c r="O66" t="s">
        <v>502</v>
      </c>
      <c r="P66" s="1473"/>
      <c r="Q66" s="229"/>
      <c r="R66" s="229"/>
    </row>
    <row r="67" spans="1:18" x14ac:dyDescent="0.3">
      <c r="A67" t="s">
        <v>537</v>
      </c>
      <c r="B67" s="239">
        <v>6440402634</v>
      </c>
      <c r="C67" s="80" t="s">
        <v>359</v>
      </c>
      <c r="D67" s="241">
        <v>738328.66</v>
      </c>
      <c r="E67" s="399">
        <f t="shared" si="0"/>
        <v>605429.50119999994</v>
      </c>
      <c r="F67" s="241">
        <v>738328.66</v>
      </c>
      <c r="G67" s="362"/>
      <c r="H67" s="415"/>
      <c r="I67" s="241"/>
      <c r="J67" s="241"/>
      <c r="K67" s="241"/>
      <c r="L67" s="241"/>
      <c r="M67" s="241"/>
      <c r="N67" t="s">
        <v>502</v>
      </c>
      <c r="O67" t="s">
        <v>502</v>
      </c>
      <c r="P67" s="1473"/>
      <c r="Q67" s="229"/>
      <c r="R67" s="229"/>
    </row>
    <row r="68" spans="1:18" x14ac:dyDescent="0.3">
      <c r="A68" t="s">
        <v>537</v>
      </c>
      <c r="B68" s="239">
        <v>6440402644</v>
      </c>
      <c r="C68" s="80" t="s">
        <v>359</v>
      </c>
      <c r="D68" s="241">
        <v>637071.9</v>
      </c>
      <c r="E68" s="399">
        <f t="shared" si="0"/>
        <v>522398.95799999998</v>
      </c>
      <c r="F68" s="241">
        <v>637071.9</v>
      </c>
      <c r="G68" s="362"/>
      <c r="H68" s="415"/>
      <c r="I68" s="241"/>
      <c r="J68" s="241"/>
      <c r="K68" s="241"/>
      <c r="L68" s="241"/>
      <c r="M68" s="241"/>
      <c r="N68" t="s">
        <v>502</v>
      </c>
      <c r="O68" t="s">
        <v>502</v>
      </c>
      <c r="P68" s="1473"/>
      <c r="Q68" s="229"/>
      <c r="R68" s="229"/>
    </row>
    <row r="69" spans="1:18" x14ac:dyDescent="0.3">
      <c r="A69" t="s">
        <v>537</v>
      </c>
      <c r="B69" s="239">
        <v>6410029946</v>
      </c>
      <c r="C69" s="80" t="s">
        <v>359</v>
      </c>
      <c r="D69" s="241">
        <v>5166.16</v>
      </c>
      <c r="E69" s="399">
        <f t="shared" si="0"/>
        <v>4236.2511999999997</v>
      </c>
      <c r="F69" s="241">
        <v>5166.16</v>
      </c>
      <c r="G69" s="362"/>
      <c r="H69" s="415"/>
      <c r="I69" s="241"/>
      <c r="J69" s="241"/>
      <c r="K69" s="241"/>
      <c r="L69" s="241"/>
      <c r="M69" s="241"/>
      <c r="N69" t="s">
        <v>502</v>
      </c>
      <c r="O69" t="s">
        <v>502</v>
      </c>
      <c r="P69" s="1473"/>
      <c r="Q69" s="229"/>
      <c r="R69" s="229"/>
    </row>
    <row r="70" spans="1:18" x14ac:dyDescent="0.3">
      <c r="A70" t="s">
        <v>537</v>
      </c>
      <c r="B70" s="239">
        <v>6440402685</v>
      </c>
      <c r="C70" s="80" t="s">
        <v>359</v>
      </c>
      <c r="D70" s="241">
        <v>727358.84</v>
      </c>
      <c r="E70" s="399">
        <f t="shared" si="0"/>
        <v>596434.24879999994</v>
      </c>
      <c r="F70" s="241">
        <v>727358.84</v>
      </c>
      <c r="G70" s="362"/>
      <c r="H70" s="415"/>
      <c r="I70" s="241"/>
      <c r="J70" s="241"/>
      <c r="K70" s="241"/>
      <c r="L70" s="241"/>
      <c r="M70" s="241"/>
      <c r="N70" t="s">
        <v>502</v>
      </c>
      <c r="O70" t="s">
        <v>502</v>
      </c>
      <c r="P70" s="1473"/>
      <c r="Q70" s="229"/>
      <c r="R70" s="229"/>
    </row>
    <row r="71" spans="1:18" x14ac:dyDescent="0.3">
      <c r="A71" t="s">
        <v>537</v>
      </c>
      <c r="B71" s="239">
        <v>6440402686</v>
      </c>
      <c r="C71" s="80" t="s">
        <v>359</v>
      </c>
      <c r="D71" s="241">
        <v>738328.38</v>
      </c>
      <c r="E71" s="399">
        <f t="shared" si="0"/>
        <v>605429.27159999998</v>
      </c>
      <c r="F71" s="241">
        <v>738328.38</v>
      </c>
      <c r="G71" s="362"/>
      <c r="H71" s="415"/>
      <c r="I71" s="241"/>
      <c r="J71" s="241"/>
      <c r="K71" s="241"/>
      <c r="L71" s="241"/>
      <c r="M71" s="241"/>
      <c r="N71" t="s">
        <v>502</v>
      </c>
      <c r="O71" t="s">
        <v>502</v>
      </c>
      <c r="P71" s="1473"/>
      <c r="Q71" s="229"/>
      <c r="R71" s="229"/>
    </row>
    <row r="72" spans="1:18" x14ac:dyDescent="0.3">
      <c r="A72" t="s">
        <v>537</v>
      </c>
      <c r="B72" s="239">
        <v>6440402681</v>
      </c>
      <c r="C72" s="80" t="s">
        <v>359</v>
      </c>
      <c r="D72" s="241">
        <v>738328.35</v>
      </c>
      <c r="E72" s="399">
        <f t="shared" si="0"/>
        <v>605429.24699999997</v>
      </c>
      <c r="F72" s="241">
        <v>738328.35</v>
      </c>
      <c r="G72" s="362"/>
      <c r="H72" s="415"/>
      <c r="I72" s="241"/>
      <c r="J72" s="241"/>
      <c r="K72" s="241"/>
      <c r="L72" s="241"/>
      <c r="M72" s="241"/>
      <c r="N72" t="s">
        <v>502</v>
      </c>
      <c r="O72" t="s">
        <v>502</v>
      </c>
      <c r="P72" s="1473"/>
      <c r="Q72" s="229"/>
      <c r="R72" s="229"/>
    </row>
    <row r="73" spans="1:18" x14ac:dyDescent="0.3">
      <c r="A73" t="s">
        <v>537</v>
      </c>
      <c r="B73" s="239">
        <v>6440402660</v>
      </c>
      <c r="C73" s="80" t="s">
        <v>359</v>
      </c>
      <c r="D73" s="241">
        <v>742547.38</v>
      </c>
      <c r="E73" s="399">
        <f t="shared" si="0"/>
        <v>608888.85159999994</v>
      </c>
      <c r="F73" s="241">
        <v>742547.38</v>
      </c>
      <c r="G73" s="362"/>
      <c r="H73" s="415"/>
      <c r="I73" s="241"/>
      <c r="J73" s="241"/>
      <c r="K73" s="241"/>
      <c r="L73" s="241"/>
      <c r="M73" s="241"/>
      <c r="N73" t="s">
        <v>502</v>
      </c>
      <c r="O73" t="s">
        <v>502</v>
      </c>
      <c r="P73" s="1473"/>
      <c r="Q73" s="229"/>
      <c r="R73" s="229"/>
    </row>
    <row r="74" spans="1:18" x14ac:dyDescent="0.3">
      <c r="A74" t="s">
        <v>537</v>
      </c>
      <c r="B74" s="239">
        <v>6440402645</v>
      </c>
      <c r="C74" s="80" t="s">
        <v>359</v>
      </c>
      <c r="D74" s="241">
        <v>738328.5</v>
      </c>
      <c r="E74" s="399">
        <f t="shared" si="0"/>
        <v>605429.37</v>
      </c>
      <c r="F74" s="241">
        <v>738328.5</v>
      </c>
      <c r="G74" s="362"/>
      <c r="H74" s="415"/>
      <c r="I74" s="241"/>
      <c r="J74" s="241"/>
      <c r="K74" s="241"/>
      <c r="L74" s="241"/>
      <c r="M74" s="241"/>
      <c r="N74" t="s">
        <v>502</v>
      </c>
      <c r="O74" t="s">
        <v>502</v>
      </c>
      <c r="P74" s="1473"/>
      <c r="Q74" s="229"/>
      <c r="R74" s="229"/>
    </row>
    <row r="75" spans="1:18" x14ac:dyDescent="0.3">
      <c r="A75" t="s">
        <v>537</v>
      </c>
      <c r="B75" s="239">
        <v>6440402653</v>
      </c>
      <c r="C75" s="80" t="s">
        <v>359</v>
      </c>
      <c r="D75" s="241">
        <v>729094.86</v>
      </c>
      <c r="E75" s="399">
        <f t="shared" si="0"/>
        <v>597857.78519999993</v>
      </c>
      <c r="F75" s="241">
        <v>729094.86</v>
      </c>
      <c r="G75" s="362"/>
      <c r="H75" s="415"/>
      <c r="I75" s="241"/>
      <c r="J75" s="241"/>
      <c r="K75" s="241"/>
      <c r="L75" s="241"/>
      <c r="M75" s="241"/>
      <c r="N75" t="s">
        <v>502</v>
      </c>
      <c r="O75" t="s">
        <v>502</v>
      </c>
      <c r="P75" s="1473"/>
      <c r="Q75" s="229"/>
      <c r="R75" s="229"/>
    </row>
    <row r="76" spans="1:18" x14ac:dyDescent="0.3">
      <c r="A76" t="s">
        <v>537</v>
      </c>
      <c r="B76" s="239">
        <v>6440402659</v>
      </c>
      <c r="C76" s="80" t="s">
        <v>359</v>
      </c>
      <c r="D76" s="241">
        <v>632852.88</v>
      </c>
      <c r="E76" s="399">
        <f t="shared" si="0"/>
        <v>518939.36159999995</v>
      </c>
      <c r="F76" s="241">
        <v>632852.88</v>
      </c>
      <c r="G76" s="362"/>
      <c r="H76" s="415"/>
      <c r="I76" s="241"/>
      <c r="J76" s="241"/>
      <c r="K76" s="241"/>
      <c r="L76" s="241"/>
      <c r="M76" s="241"/>
      <c r="N76" t="s">
        <v>502</v>
      </c>
      <c r="O76" t="s">
        <v>502</v>
      </c>
      <c r="P76" s="1473"/>
      <c r="Q76" s="229"/>
      <c r="R76" s="229"/>
    </row>
    <row r="77" spans="1:18" x14ac:dyDescent="0.3">
      <c r="A77" t="s">
        <v>537</v>
      </c>
      <c r="B77" s="239">
        <v>6440402643</v>
      </c>
      <c r="C77" s="80" t="s">
        <v>359</v>
      </c>
      <c r="D77" s="241">
        <v>392368.79</v>
      </c>
      <c r="E77" s="399">
        <f t="shared" si="0"/>
        <v>321742.40779999999</v>
      </c>
      <c r="F77" s="241">
        <v>392368.79</v>
      </c>
      <c r="G77" s="362"/>
      <c r="H77" s="415"/>
      <c r="I77" s="241"/>
      <c r="J77" s="241"/>
      <c r="K77" s="241"/>
      <c r="L77" s="241"/>
      <c r="M77" s="241"/>
      <c r="N77" t="s">
        <v>502</v>
      </c>
      <c r="O77" t="s">
        <v>502</v>
      </c>
      <c r="P77" s="1473"/>
      <c r="Q77" s="229"/>
      <c r="R77" s="229"/>
    </row>
    <row r="78" spans="1:18" x14ac:dyDescent="0.3">
      <c r="A78" t="s">
        <v>537</v>
      </c>
      <c r="B78" s="239">
        <v>6440402698</v>
      </c>
      <c r="C78" s="80" t="s">
        <v>359</v>
      </c>
      <c r="D78" s="241">
        <v>943996.75</v>
      </c>
      <c r="E78" s="399">
        <f t="shared" si="0"/>
        <v>774077.33499999996</v>
      </c>
      <c r="F78" s="241">
        <v>943996.75</v>
      </c>
      <c r="G78" s="362"/>
      <c r="H78" s="415"/>
      <c r="I78" s="241"/>
      <c r="J78" s="241"/>
      <c r="K78" s="241"/>
      <c r="L78" s="241"/>
      <c r="M78" s="241"/>
      <c r="N78" t="s">
        <v>502</v>
      </c>
      <c r="O78" t="s">
        <v>502</v>
      </c>
      <c r="P78" s="1473"/>
      <c r="Q78" s="229"/>
      <c r="R78" s="229"/>
    </row>
    <row r="79" spans="1:18" x14ac:dyDescent="0.3">
      <c r="A79" t="s">
        <v>537</v>
      </c>
      <c r="B79" s="239">
        <v>6440402701</v>
      </c>
      <c r="C79" s="239"/>
      <c r="D79" s="241">
        <v>711063.09</v>
      </c>
      <c r="E79" s="399">
        <f t="shared" si="0"/>
        <v>583071.73379999993</v>
      </c>
      <c r="F79" s="241">
        <v>711063.09</v>
      </c>
      <c r="G79" s="362"/>
      <c r="H79" s="415"/>
      <c r="I79" s="241"/>
      <c r="J79" s="241"/>
      <c r="K79" s="241"/>
      <c r="L79" s="241"/>
      <c r="M79" s="241"/>
      <c r="N79" t="s">
        <v>502</v>
      </c>
      <c r="O79" t="s">
        <v>502</v>
      </c>
      <c r="P79" s="1473"/>
      <c r="Q79" s="229"/>
      <c r="R79" s="229"/>
    </row>
    <row r="80" spans="1:18" x14ac:dyDescent="0.3">
      <c r="A80" t="s">
        <v>537</v>
      </c>
      <c r="B80" s="239">
        <v>6440402694</v>
      </c>
      <c r="C80" s="80" t="s">
        <v>359</v>
      </c>
      <c r="D80" s="241">
        <v>663099.52</v>
      </c>
      <c r="E80" s="399">
        <f t="shared" si="0"/>
        <v>543741.60639999993</v>
      </c>
      <c r="F80" s="241">
        <v>663099.52</v>
      </c>
      <c r="G80" s="362"/>
      <c r="H80" s="415"/>
      <c r="I80" s="241"/>
      <c r="J80" s="241"/>
      <c r="K80" s="241"/>
      <c r="L80" s="241"/>
      <c r="M80" s="241"/>
      <c r="N80" t="s">
        <v>502</v>
      </c>
      <c r="O80" t="s">
        <v>502</v>
      </c>
      <c r="P80" s="1473"/>
      <c r="Q80" s="229"/>
      <c r="R80" s="229"/>
    </row>
    <row r="81" spans="1:18" x14ac:dyDescent="0.3">
      <c r="A81" t="s">
        <v>537</v>
      </c>
      <c r="B81" s="239">
        <v>6440402697</v>
      </c>
      <c r="C81" s="80" t="s">
        <v>359</v>
      </c>
      <c r="D81" s="241">
        <v>954817.67</v>
      </c>
      <c r="E81" s="399">
        <f t="shared" si="0"/>
        <v>782950.48939999996</v>
      </c>
      <c r="F81" s="241">
        <v>954817.67</v>
      </c>
      <c r="G81" s="362"/>
      <c r="H81" s="415"/>
      <c r="I81" s="241"/>
      <c r="J81" s="241"/>
      <c r="K81" s="241"/>
      <c r="L81" s="241"/>
      <c r="M81" s="241"/>
      <c r="N81" t="s">
        <v>502</v>
      </c>
      <c r="O81" t="s">
        <v>502</v>
      </c>
      <c r="P81" s="1473"/>
      <c r="Q81" s="229"/>
      <c r="R81" s="229"/>
    </row>
    <row r="82" spans="1:18" x14ac:dyDescent="0.3">
      <c r="A82" t="s">
        <v>537</v>
      </c>
      <c r="B82" s="239">
        <v>6440402704</v>
      </c>
      <c r="C82" s="80" t="s">
        <v>359</v>
      </c>
      <c r="D82" s="241">
        <v>543397.65</v>
      </c>
      <c r="E82" s="399">
        <f t="shared" si="0"/>
        <v>445586.07299999997</v>
      </c>
      <c r="F82" s="241">
        <v>543397.65</v>
      </c>
      <c r="G82" s="362"/>
      <c r="H82" s="415"/>
      <c r="I82" s="241"/>
      <c r="J82" s="241"/>
      <c r="K82" s="241"/>
      <c r="L82" s="241"/>
      <c r="M82" s="241"/>
      <c r="N82" t="s">
        <v>502</v>
      </c>
      <c r="O82" t="s">
        <v>502</v>
      </c>
      <c r="P82" s="1473"/>
      <c r="Q82" s="229"/>
      <c r="R82" s="229"/>
    </row>
    <row r="83" spans="1:18" x14ac:dyDescent="0.3">
      <c r="A83" t="s">
        <v>537</v>
      </c>
      <c r="B83" s="239">
        <v>6440402700</v>
      </c>
      <c r="C83" s="80" t="s">
        <v>359</v>
      </c>
      <c r="D83" s="241">
        <v>516500.66</v>
      </c>
      <c r="E83" s="399">
        <f t="shared" si="0"/>
        <v>423530.54119999998</v>
      </c>
      <c r="F83" s="241">
        <v>516500.66</v>
      </c>
      <c r="G83" s="362"/>
      <c r="H83" s="415"/>
      <c r="I83" s="241"/>
      <c r="J83" s="241"/>
      <c r="K83" s="241"/>
      <c r="L83" s="241"/>
      <c r="M83" s="241"/>
      <c r="N83" t="s">
        <v>502</v>
      </c>
      <c r="O83" t="s">
        <v>502</v>
      </c>
      <c r="P83" s="1473"/>
      <c r="Q83" s="229"/>
      <c r="R83" s="229"/>
    </row>
    <row r="84" spans="1:18" x14ac:dyDescent="0.3">
      <c r="A84" t="s">
        <v>537</v>
      </c>
      <c r="B84" s="239">
        <v>6410029921</v>
      </c>
      <c r="C84" s="80" t="s">
        <v>359</v>
      </c>
      <c r="D84" s="241">
        <v>1271209.18</v>
      </c>
      <c r="E84" s="399">
        <f t="shared" si="0"/>
        <v>1042391.5275999999</v>
      </c>
      <c r="F84" s="241">
        <v>1271209.18</v>
      </c>
      <c r="G84" s="362"/>
      <c r="H84" s="415"/>
      <c r="I84" s="241"/>
      <c r="J84" s="241"/>
      <c r="K84" s="241"/>
      <c r="L84" s="241"/>
      <c r="M84" s="241"/>
      <c r="N84" t="s">
        <v>502</v>
      </c>
      <c r="O84" t="s">
        <v>502</v>
      </c>
      <c r="P84" s="1473"/>
      <c r="Q84" s="229"/>
      <c r="R84" s="229"/>
    </row>
    <row r="85" spans="1:18" x14ac:dyDescent="0.3">
      <c r="A85" t="s">
        <v>537</v>
      </c>
      <c r="B85" s="239">
        <v>6440402774</v>
      </c>
      <c r="C85" s="80" t="s">
        <v>359</v>
      </c>
      <c r="D85" s="241">
        <v>232046.06</v>
      </c>
      <c r="E85" s="399">
        <f t="shared" si="0"/>
        <v>190277.76919999998</v>
      </c>
      <c r="F85" s="241">
        <v>232046.06</v>
      </c>
      <c r="G85" s="362"/>
      <c r="H85" s="415"/>
      <c r="I85" s="241"/>
      <c r="J85" s="241"/>
      <c r="K85" s="241"/>
      <c r="L85" s="241"/>
      <c r="M85" s="241"/>
      <c r="N85" t="s">
        <v>502</v>
      </c>
      <c r="O85" t="s">
        <v>502</v>
      </c>
      <c r="P85" s="1473"/>
      <c r="Q85" s="229"/>
      <c r="R85" s="229"/>
    </row>
    <row r="86" spans="1:18" x14ac:dyDescent="0.3">
      <c r="A86" t="s">
        <v>537</v>
      </c>
      <c r="B86" s="239">
        <v>6410029529</v>
      </c>
      <c r="C86" s="80" t="s">
        <v>359</v>
      </c>
      <c r="D86" s="241">
        <v>1841717.98</v>
      </c>
      <c r="E86" s="399">
        <f t="shared" si="0"/>
        <v>1510208.7435999999</v>
      </c>
      <c r="F86" s="241">
        <v>1841717.98</v>
      </c>
      <c r="G86" s="362"/>
      <c r="H86" s="415"/>
      <c r="I86" s="241"/>
      <c r="J86" s="241"/>
      <c r="K86" s="241"/>
      <c r="L86" s="241"/>
      <c r="M86" s="241"/>
      <c r="N86" t="s">
        <v>502</v>
      </c>
      <c r="O86" t="s">
        <v>502</v>
      </c>
      <c r="P86" s="1473"/>
      <c r="Q86" s="229"/>
      <c r="R86" s="229"/>
    </row>
    <row r="87" spans="1:18" ht="15" thickBot="1" x14ac:dyDescent="0.35">
      <c r="A87" t="s">
        <v>537</v>
      </c>
      <c r="B87" s="239">
        <v>6410029854</v>
      </c>
      <c r="C87" s="80" t="s">
        <v>359</v>
      </c>
      <c r="D87" s="241">
        <v>106149.31</v>
      </c>
      <c r="E87" s="400">
        <f t="shared" si="0"/>
        <v>87042.434199999989</v>
      </c>
      <c r="F87" s="241">
        <v>106149.31</v>
      </c>
      <c r="G87" s="363"/>
      <c r="H87" s="415"/>
      <c r="I87" s="241"/>
      <c r="J87" s="241"/>
      <c r="K87" s="241"/>
      <c r="L87" s="241"/>
      <c r="M87" s="241"/>
      <c r="N87" t="s">
        <v>502</v>
      </c>
      <c r="O87" t="s">
        <v>502</v>
      </c>
      <c r="P87" s="1473"/>
      <c r="Q87" s="229"/>
      <c r="R87" s="229"/>
    </row>
    <row r="88" spans="1:18" x14ac:dyDescent="0.3">
      <c r="A88" s="238" t="s">
        <v>541</v>
      </c>
      <c r="B88" s="80" t="s">
        <v>542</v>
      </c>
      <c r="C88" s="80" t="s">
        <v>359</v>
      </c>
      <c r="D88" s="229">
        <v>59000</v>
      </c>
      <c r="E88" s="402">
        <v>50000</v>
      </c>
      <c r="F88" s="229">
        <v>59000</v>
      </c>
      <c r="G88" s="318">
        <f>+'WFL Format-4 (2)'!AO39*0+14206000</f>
        <v>14206000</v>
      </c>
      <c r="H88" s="319"/>
      <c r="I88" s="229"/>
      <c r="J88" s="320">
        <v>10000000</v>
      </c>
      <c r="K88" s="312">
        <v>43495</v>
      </c>
      <c r="L88" s="289" t="s">
        <v>871</v>
      </c>
      <c r="M88" s="229"/>
      <c r="N88" t="s">
        <v>502</v>
      </c>
      <c r="O88" t="s">
        <v>502</v>
      </c>
      <c r="P88" s="1473" t="s">
        <v>543</v>
      </c>
      <c r="Q88" s="229"/>
      <c r="R88" s="229"/>
    </row>
    <row r="89" spans="1:18" x14ac:dyDescent="0.3">
      <c r="A89" t="s">
        <v>541</v>
      </c>
      <c r="B89" s="80" t="s">
        <v>544</v>
      </c>
      <c r="C89" s="80" t="s">
        <v>359</v>
      </c>
      <c r="D89" s="229">
        <v>1829000</v>
      </c>
      <c r="E89" s="403">
        <v>1550000</v>
      </c>
      <c r="F89" s="229">
        <v>1829000</v>
      </c>
      <c r="G89" s="278"/>
      <c r="H89" s="229"/>
      <c r="I89" s="229"/>
      <c r="J89" s="278">
        <v>3200000</v>
      </c>
      <c r="K89" s="312">
        <v>43488</v>
      </c>
      <c r="L89" s="289" t="s">
        <v>871</v>
      </c>
      <c r="M89" s="229"/>
      <c r="N89" t="s">
        <v>502</v>
      </c>
      <c r="O89" t="s">
        <v>502</v>
      </c>
      <c r="P89" s="1473"/>
      <c r="Q89" s="229"/>
      <c r="R89" s="229"/>
    </row>
    <row r="90" spans="1:18" x14ac:dyDescent="0.3">
      <c r="A90" t="s">
        <v>541</v>
      </c>
      <c r="B90" s="80" t="s">
        <v>545</v>
      </c>
      <c r="C90" s="80" t="s">
        <v>359</v>
      </c>
      <c r="D90" s="229">
        <v>3422000</v>
      </c>
      <c r="E90" s="403">
        <v>2900000</v>
      </c>
      <c r="F90" s="229">
        <v>3422000</v>
      </c>
      <c r="G90" s="278"/>
      <c r="H90" s="229"/>
      <c r="I90" s="229"/>
      <c r="J90" s="278">
        <v>1500000</v>
      </c>
      <c r="K90" s="312">
        <v>43407</v>
      </c>
      <c r="L90" s="289" t="s">
        <v>871</v>
      </c>
      <c r="M90" s="229"/>
      <c r="N90" t="s">
        <v>502</v>
      </c>
      <c r="O90" t="s">
        <v>502</v>
      </c>
      <c r="P90" s="1473"/>
      <c r="Q90" s="229"/>
      <c r="R90" s="229"/>
    </row>
    <row r="91" spans="1:18" x14ac:dyDescent="0.3">
      <c r="A91" t="s">
        <v>541</v>
      </c>
      <c r="B91" s="80" t="s">
        <v>546</v>
      </c>
      <c r="C91" s="80" t="s">
        <v>359</v>
      </c>
      <c r="D91" s="229">
        <v>2454400</v>
      </c>
      <c r="E91" s="403">
        <v>2080000</v>
      </c>
      <c r="F91" s="229">
        <v>2454400</v>
      </c>
      <c r="G91" s="278"/>
      <c r="H91" s="229"/>
      <c r="I91" s="229"/>
      <c r="J91" s="278">
        <v>1500000</v>
      </c>
      <c r="K91" s="312">
        <v>43433</v>
      </c>
      <c r="L91" s="289" t="s">
        <v>871</v>
      </c>
      <c r="M91" s="229"/>
      <c r="N91" t="s">
        <v>502</v>
      </c>
      <c r="O91" t="s">
        <v>502</v>
      </c>
      <c r="P91" s="1473" t="s">
        <v>547</v>
      </c>
      <c r="Q91" s="229"/>
      <c r="R91" s="229"/>
    </row>
    <row r="92" spans="1:18" x14ac:dyDescent="0.3">
      <c r="A92" t="s">
        <v>541</v>
      </c>
      <c r="B92" s="80" t="s">
        <v>548</v>
      </c>
      <c r="C92" s="80" t="s">
        <v>359</v>
      </c>
      <c r="D92" s="229">
        <v>2360000</v>
      </c>
      <c r="E92" s="403">
        <v>800000</v>
      </c>
      <c r="F92" s="229">
        <v>2360000</v>
      </c>
      <c r="G92" s="278"/>
      <c r="H92" s="229"/>
      <c r="I92" s="229"/>
      <c r="J92" s="278">
        <v>1500000</v>
      </c>
      <c r="K92" s="312">
        <v>43577</v>
      </c>
      <c r="L92" s="289" t="s">
        <v>871</v>
      </c>
      <c r="M92" s="229"/>
      <c r="N92" t="s">
        <v>502</v>
      </c>
      <c r="O92" t="s">
        <v>502</v>
      </c>
      <c r="P92" s="1473"/>
      <c r="Q92" s="229"/>
      <c r="R92" s="229"/>
    </row>
    <row r="93" spans="1:18" x14ac:dyDescent="0.3">
      <c r="A93" t="s">
        <v>541</v>
      </c>
      <c r="B93" s="80" t="s">
        <v>549</v>
      </c>
      <c r="C93" s="80" t="s">
        <v>359</v>
      </c>
      <c r="D93" s="229">
        <v>2112200</v>
      </c>
      <c r="E93" s="403">
        <v>1790000</v>
      </c>
      <c r="F93" s="229">
        <v>2112200</v>
      </c>
      <c r="G93" s="278"/>
      <c r="H93" s="229"/>
      <c r="I93" s="229"/>
      <c r="J93" s="278"/>
      <c r="K93" s="229"/>
      <c r="L93" s="229"/>
      <c r="M93" s="229"/>
      <c r="N93" t="s">
        <v>502</v>
      </c>
      <c r="O93" t="s">
        <v>502</v>
      </c>
      <c r="P93" s="1473"/>
      <c r="Q93" s="229"/>
      <c r="R93" s="229"/>
    </row>
    <row r="94" spans="1:18" x14ac:dyDescent="0.3">
      <c r="A94" t="s">
        <v>541</v>
      </c>
      <c r="B94" s="80" t="s">
        <v>550</v>
      </c>
      <c r="C94" s="80" t="s">
        <v>359</v>
      </c>
      <c r="D94" s="229">
        <v>1628400</v>
      </c>
      <c r="E94" s="403">
        <v>1380000</v>
      </c>
      <c r="F94" s="229">
        <v>1628400</v>
      </c>
      <c r="G94" s="278"/>
      <c r="H94" s="229"/>
      <c r="I94" s="229"/>
      <c r="J94" s="278"/>
      <c r="K94" s="229"/>
      <c r="L94" s="229"/>
      <c r="M94" s="229"/>
      <c r="N94" t="s">
        <v>502</v>
      </c>
      <c r="O94" t="s">
        <v>502</v>
      </c>
      <c r="P94" s="1473"/>
      <c r="Q94" s="229"/>
      <c r="R94" s="229"/>
    </row>
    <row r="95" spans="1:18" x14ac:dyDescent="0.3">
      <c r="A95" t="s">
        <v>541</v>
      </c>
      <c r="B95" s="80">
        <v>1438</v>
      </c>
      <c r="C95" s="80" t="s">
        <v>359</v>
      </c>
      <c r="D95" s="229">
        <v>1203600</v>
      </c>
      <c r="E95" s="403">
        <v>1020000</v>
      </c>
      <c r="F95" s="229">
        <v>1203600</v>
      </c>
      <c r="G95" s="278"/>
      <c r="H95" s="229"/>
      <c r="I95" s="229"/>
      <c r="J95" s="278"/>
      <c r="K95" s="229"/>
      <c r="L95" s="229"/>
      <c r="M95" s="229"/>
      <c r="N95" t="s">
        <v>502</v>
      </c>
      <c r="O95" t="s">
        <v>502</v>
      </c>
      <c r="P95" s="1473"/>
      <c r="Q95" s="229"/>
      <c r="R95" s="229"/>
    </row>
    <row r="96" spans="1:18" x14ac:dyDescent="0.3">
      <c r="A96" t="s">
        <v>541</v>
      </c>
      <c r="B96" s="80" t="s">
        <v>551</v>
      </c>
      <c r="C96" s="80" t="s">
        <v>359</v>
      </c>
      <c r="D96" s="229">
        <v>243080</v>
      </c>
      <c r="E96" s="403">
        <v>206000</v>
      </c>
      <c r="F96" s="229">
        <v>243080</v>
      </c>
      <c r="G96" s="278"/>
      <c r="H96" s="229"/>
      <c r="I96" s="229"/>
      <c r="J96" s="278"/>
      <c r="K96" s="229"/>
      <c r="L96" s="229"/>
      <c r="M96" s="229"/>
      <c r="N96" t="s">
        <v>502</v>
      </c>
      <c r="O96" t="s">
        <v>502</v>
      </c>
      <c r="P96" s="1473"/>
      <c r="Q96" s="229"/>
      <c r="R96" s="229"/>
    </row>
    <row r="97" spans="1:18" x14ac:dyDescent="0.3">
      <c r="A97" t="s">
        <v>541</v>
      </c>
      <c r="B97" s="80" t="s">
        <v>552</v>
      </c>
      <c r="C97" s="80" t="s">
        <v>359</v>
      </c>
      <c r="D97" s="229">
        <v>87320</v>
      </c>
      <c r="E97" s="403">
        <v>74000</v>
      </c>
      <c r="F97" s="229">
        <v>87320</v>
      </c>
      <c r="G97" s="278"/>
      <c r="H97" s="229"/>
      <c r="I97" s="229"/>
      <c r="J97" s="278"/>
      <c r="K97" s="229"/>
      <c r="L97" s="229"/>
      <c r="M97" s="229"/>
      <c r="N97" t="s">
        <v>502</v>
      </c>
      <c r="O97" t="s">
        <v>502</v>
      </c>
      <c r="P97" s="1473"/>
      <c r="Q97" s="229"/>
      <c r="R97" s="229"/>
    </row>
    <row r="98" spans="1:18" x14ac:dyDescent="0.3">
      <c r="A98" t="s">
        <v>541</v>
      </c>
      <c r="B98" s="80" t="s">
        <v>553</v>
      </c>
      <c r="C98" s="80" t="s">
        <v>359</v>
      </c>
      <c r="D98" s="229">
        <v>76700</v>
      </c>
      <c r="E98" s="404">
        <v>65000</v>
      </c>
      <c r="F98" s="229">
        <v>76700</v>
      </c>
      <c r="G98" s="278"/>
      <c r="H98" s="229"/>
      <c r="I98" s="229"/>
      <c r="J98" s="278"/>
      <c r="K98" s="229"/>
      <c r="L98" s="229"/>
      <c r="M98" s="229"/>
      <c r="N98" t="s">
        <v>502</v>
      </c>
      <c r="O98" t="s">
        <v>502</v>
      </c>
      <c r="P98" s="1473"/>
      <c r="Q98" s="229"/>
      <c r="R98" s="229"/>
    </row>
    <row r="99" spans="1:18" x14ac:dyDescent="0.3">
      <c r="A99" t="s">
        <v>541</v>
      </c>
      <c r="B99" s="80" t="s">
        <v>554</v>
      </c>
      <c r="C99" s="80" t="s">
        <v>359</v>
      </c>
      <c r="D99" s="229">
        <v>696200</v>
      </c>
      <c r="E99" s="403">
        <v>590000</v>
      </c>
      <c r="F99" s="229">
        <v>696200</v>
      </c>
      <c r="G99" s="278"/>
      <c r="H99" s="229"/>
      <c r="I99" s="229"/>
      <c r="J99" s="278"/>
      <c r="K99" s="229"/>
      <c r="L99" s="229"/>
      <c r="M99" s="229"/>
      <c r="N99" t="s">
        <v>502</v>
      </c>
      <c r="O99" t="s">
        <v>502</v>
      </c>
      <c r="P99" s="1473"/>
      <c r="Q99" s="229"/>
      <c r="R99" s="229"/>
    </row>
    <row r="100" spans="1:18" x14ac:dyDescent="0.3">
      <c r="A100" t="s">
        <v>541</v>
      </c>
      <c r="B100" s="80" t="s">
        <v>555</v>
      </c>
      <c r="C100" s="80" t="s">
        <v>359</v>
      </c>
      <c r="D100" s="229">
        <v>1439600</v>
      </c>
      <c r="E100" s="404">
        <v>1220000</v>
      </c>
      <c r="F100" s="229">
        <v>1439600</v>
      </c>
      <c r="G100" s="278"/>
      <c r="H100" s="229"/>
      <c r="I100" s="229"/>
      <c r="J100" s="278"/>
      <c r="K100" s="229"/>
      <c r="L100" s="229"/>
      <c r="M100" s="229"/>
      <c r="N100" t="s">
        <v>502</v>
      </c>
      <c r="O100" t="s">
        <v>502</v>
      </c>
      <c r="P100" s="82" t="s">
        <v>556</v>
      </c>
      <c r="Q100" s="229"/>
      <c r="R100" s="229"/>
    </row>
    <row r="101" spans="1:18" x14ac:dyDescent="0.3">
      <c r="A101" t="s">
        <v>541</v>
      </c>
      <c r="B101" s="80" t="s">
        <v>557</v>
      </c>
      <c r="C101" s="80" t="s">
        <v>359</v>
      </c>
      <c r="D101" s="229">
        <v>127440</v>
      </c>
      <c r="E101" s="403">
        <v>108000</v>
      </c>
      <c r="F101" s="229">
        <v>127440</v>
      </c>
      <c r="G101" s="278"/>
      <c r="H101" s="229"/>
      <c r="I101" s="229"/>
      <c r="J101" s="278"/>
      <c r="K101" s="229"/>
      <c r="L101" s="229"/>
      <c r="M101" s="229"/>
      <c r="N101" t="s">
        <v>502</v>
      </c>
      <c r="O101" t="s">
        <v>502</v>
      </c>
      <c r="P101" s="1473" t="s">
        <v>558</v>
      </c>
      <c r="Q101" s="229"/>
      <c r="R101" s="229"/>
    </row>
    <row r="102" spans="1:18" x14ac:dyDescent="0.3">
      <c r="A102" t="s">
        <v>541</v>
      </c>
      <c r="B102" s="80" t="s">
        <v>559</v>
      </c>
      <c r="C102" s="80" t="s">
        <v>359</v>
      </c>
      <c r="D102" s="229">
        <v>29500</v>
      </c>
      <c r="E102" s="403">
        <v>25000</v>
      </c>
      <c r="F102" s="229">
        <v>29500</v>
      </c>
      <c r="G102" s="278"/>
      <c r="H102" s="229"/>
      <c r="I102" s="229"/>
      <c r="J102" s="278"/>
      <c r="K102" s="229"/>
      <c r="L102" s="229"/>
      <c r="M102" s="229"/>
      <c r="N102" t="s">
        <v>502</v>
      </c>
      <c r="O102" t="s">
        <v>502</v>
      </c>
      <c r="P102" s="1473"/>
      <c r="Q102" s="229"/>
      <c r="R102" s="229"/>
    </row>
    <row r="103" spans="1:18" x14ac:dyDescent="0.3">
      <c r="A103" t="s">
        <v>541</v>
      </c>
      <c r="B103" s="80" t="s">
        <v>560</v>
      </c>
      <c r="C103" s="80" t="s">
        <v>359</v>
      </c>
      <c r="D103" s="229">
        <v>127440.13</v>
      </c>
      <c r="E103" s="403">
        <v>108000</v>
      </c>
      <c r="F103" s="229">
        <v>127440.13</v>
      </c>
      <c r="G103" s="278"/>
      <c r="H103" s="229"/>
      <c r="I103" s="229"/>
      <c r="J103" s="278"/>
      <c r="K103" s="229"/>
      <c r="L103" s="229"/>
      <c r="M103" s="229"/>
      <c r="N103" t="s">
        <v>502</v>
      </c>
      <c r="O103" t="s">
        <v>502</v>
      </c>
      <c r="P103" s="1473"/>
      <c r="Q103" s="229"/>
      <c r="R103" s="229"/>
    </row>
    <row r="104" spans="1:18" ht="15" thickBot="1" x14ac:dyDescent="0.35">
      <c r="A104" t="s">
        <v>541</v>
      </c>
      <c r="B104" s="80" t="s">
        <v>561</v>
      </c>
      <c r="C104" s="80" t="s">
        <v>359</v>
      </c>
      <c r="D104" s="229">
        <v>283200</v>
      </c>
      <c r="E104" s="405">
        <v>240000</v>
      </c>
      <c r="F104" s="229">
        <v>283200</v>
      </c>
      <c r="G104" s="279"/>
      <c r="H104" s="229"/>
      <c r="I104" s="229"/>
      <c r="J104" s="279"/>
      <c r="K104" s="229"/>
      <c r="L104" s="229"/>
      <c r="M104" s="229"/>
      <c r="N104" t="s">
        <v>502</v>
      </c>
      <c r="O104" t="s">
        <v>502</v>
      </c>
      <c r="P104" s="1473"/>
      <c r="Q104" s="229"/>
      <c r="R104" s="229"/>
    </row>
    <row r="105" spans="1:18" x14ac:dyDescent="0.3">
      <c r="A105" s="238" t="s">
        <v>562</v>
      </c>
      <c r="B105" s="80" t="s">
        <v>563</v>
      </c>
      <c r="C105" s="80" t="s">
        <v>359</v>
      </c>
      <c r="D105" s="229">
        <v>413000</v>
      </c>
      <c r="E105" s="320">
        <v>350000</v>
      </c>
      <c r="F105" s="229">
        <v>413000</v>
      </c>
      <c r="G105" s="361">
        <f>+'WFL Format-4 (2)'!AO41</f>
        <v>50283082</v>
      </c>
      <c r="H105" s="412">
        <f>SUM(E105:E148)-G105</f>
        <v>9317345</v>
      </c>
      <c r="I105" s="229"/>
      <c r="J105" s="229">
        <v>1111656</v>
      </c>
      <c r="K105" s="312">
        <v>43593</v>
      </c>
      <c r="L105" s="289" t="s">
        <v>871</v>
      </c>
      <c r="M105" s="229"/>
      <c r="N105" t="s">
        <v>502</v>
      </c>
      <c r="O105" t="s">
        <v>502</v>
      </c>
      <c r="P105" s="1474" t="s">
        <v>564</v>
      </c>
      <c r="Q105" s="229"/>
      <c r="R105" s="229"/>
    </row>
    <row r="106" spans="1:18" x14ac:dyDescent="0.3">
      <c r="A106" t="s">
        <v>562</v>
      </c>
      <c r="B106" s="80" t="s">
        <v>565</v>
      </c>
      <c r="C106" s="80" t="s">
        <v>359</v>
      </c>
      <c r="D106" s="229">
        <v>257796.96</v>
      </c>
      <c r="E106" s="278">
        <v>218472</v>
      </c>
      <c r="F106" s="229">
        <v>257796.96</v>
      </c>
      <c r="G106" s="353"/>
      <c r="H106" s="413"/>
      <c r="I106" s="229"/>
      <c r="J106" s="241">
        <v>8958770</v>
      </c>
      <c r="K106" s="312">
        <v>43588</v>
      </c>
      <c r="L106" s="289" t="s">
        <v>871</v>
      </c>
      <c r="M106" s="229"/>
      <c r="N106" t="s">
        <v>502</v>
      </c>
      <c r="O106" t="s">
        <v>502</v>
      </c>
      <c r="P106" s="1474"/>
      <c r="Q106" s="229"/>
      <c r="R106" s="229"/>
    </row>
    <row r="107" spans="1:18" x14ac:dyDescent="0.3">
      <c r="A107" t="s">
        <v>562</v>
      </c>
      <c r="B107" s="80" t="s">
        <v>566</v>
      </c>
      <c r="C107" s="80" t="s">
        <v>359</v>
      </c>
      <c r="D107" s="229">
        <v>442500</v>
      </c>
      <c r="E107" s="278">
        <v>375000</v>
      </c>
      <c r="F107" s="229">
        <v>442500</v>
      </c>
      <c r="G107" s="353"/>
      <c r="H107" s="413"/>
      <c r="I107" s="229"/>
      <c r="J107" s="241">
        <v>11900000</v>
      </c>
      <c r="K107" s="312">
        <v>43563</v>
      </c>
      <c r="L107" s="289" t="s">
        <v>871</v>
      </c>
      <c r="M107" s="229"/>
      <c r="N107" t="s">
        <v>502</v>
      </c>
      <c r="O107" t="s">
        <v>502</v>
      </c>
      <c r="P107" s="1474"/>
      <c r="Q107" s="229"/>
      <c r="R107" s="229"/>
    </row>
    <row r="108" spans="1:18" x14ac:dyDescent="0.3">
      <c r="A108" t="s">
        <v>562</v>
      </c>
      <c r="B108" s="80" t="s">
        <v>567</v>
      </c>
      <c r="C108" s="80" t="s">
        <v>359</v>
      </c>
      <c r="D108" s="229">
        <v>1964434.5</v>
      </c>
      <c r="E108" s="278">
        <v>1664775</v>
      </c>
      <c r="F108" s="229">
        <v>1964434.5</v>
      </c>
      <c r="G108" s="353"/>
      <c r="H108" s="413"/>
      <c r="I108" s="229"/>
      <c r="J108" s="241">
        <v>16412656</v>
      </c>
      <c r="K108" s="312">
        <v>43608</v>
      </c>
      <c r="L108" s="289" t="s">
        <v>871</v>
      </c>
      <c r="M108" s="229"/>
      <c r="N108" t="s">
        <v>502</v>
      </c>
      <c r="O108" t="s">
        <v>502</v>
      </c>
      <c r="P108" s="1473" t="s">
        <v>568</v>
      </c>
      <c r="Q108" s="229"/>
      <c r="R108" s="229"/>
    </row>
    <row r="109" spans="1:18" x14ac:dyDescent="0.3">
      <c r="A109" t="s">
        <v>562</v>
      </c>
      <c r="B109" s="80" t="s">
        <v>569</v>
      </c>
      <c r="C109" s="80" t="s">
        <v>359</v>
      </c>
      <c r="D109" s="229">
        <v>1964434.5</v>
      </c>
      <c r="E109" s="278">
        <v>1664775</v>
      </c>
      <c r="F109" s="229">
        <v>1964434.5</v>
      </c>
      <c r="G109" s="353"/>
      <c r="H109" s="413"/>
      <c r="I109" s="229"/>
      <c r="J109" s="229">
        <v>11900000</v>
      </c>
      <c r="K109" s="312">
        <v>43518</v>
      </c>
      <c r="L109" s="289" t="s">
        <v>871</v>
      </c>
      <c r="M109" s="229"/>
      <c r="N109" t="s">
        <v>502</v>
      </c>
      <c r="O109" t="s">
        <v>502</v>
      </c>
      <c r="P109" s="1473"/>
      <c r="Q109" s="229"/>
      <c r="R109" s="229"/>
    </row>
    <row r="110" spans="1:18" x14ac:dyDescent="0.3">
      <c r="A110" t="s">
        <v>562</v>
      </c>
      <c r="B110" s="80" t="s">
        <v>570</v>
      </c>
      <c r="C110" s="80" t="s">
        <v>359</v>
      </c>
      <c r="D110" s="229">
        <v>1440585.2999999998</v>
      </c>
      <c r="E110" s="278">
        <v>1220835</v>
      </c>
      <c r="F110" s="229">
        <v>1440585.2999999998</v>
      </c>
      <c r="G110" s="353"/>
      <c r="H110" s="413"/>
      <c r="I110" s="229"/>
      <c r="J110" s="229"/>
      <c r="K110" s="229"/>
      <c r="L110" s="229"/>
      <c r="M110" s="229"/>
      <c r="N110" t="s">
        <v>502</v>
      </c>
      <c r="O110" t="s">
        <v>502</v>
      </c>
      <c r="P110" s="82" t="s">
        <v>571</v>
      </c>
      <c r="Q110" s="229"/>
      <c r="R110" s="229"/>
    </row>
    <row r="111" spans="1:18" x14ac:dyDescent="0.3">
      <c r="A111" t="s">
        <v>562</v>
      </c>
      <c r="B111" s="80" t="s">
        <v>572</v>
      </c>
      <c r="C111" s="80" t="s">
        <v>359</v>
      </c>
      <c r="D111" s="229">
        <v>1113296.96</v>
      </c>
      <c r="E111" s="278">
        <v>943472</v>
      </c>
      <c r="F111" s="229">
        <v>1113296.96</v>
      </c>
      <c r="G111" s="353"/>
      <c r="H111" s="413"/>
      <c r="I111" s="229"/>
      <c r="J111" s="229"/>
      <c r="K111" s="229"/>
      <c r="L111" s="229"/>
      <c r="M111" s="229"/>
      <c r="N111" t="s">
        <v>502</v>
      </c>
      <c r="O111" t="s">
        <v>502</v>
      </c>
      <c r="P111" s="82" t="s">
        <v>573</v>
      </c>
      <c r="Q111" s="229"/>
      <c r="R111" s="229"/>
    </row>
    <row r="112" spans="1:18" x14ac:dyDescent="0.3">
      <c r="A112" t="s">
        <v>562</v>
      </c>
      <c r="B112" s="80" t="s">
        <v>574</v>
      </c>
      <c r="C112" s="80" t="s">
        <v>359</v>
      </c>
      <c r="D112" s="229">
        <v>1440585.2999999998</v>
      </c>
      <c r="E112" s="278">
        <v>1220835</v>
      </c>
      <c r="F112" s="229">
        <v>1440585.2999999998</v>
      </c>
      <c r="G112" s="353"/>
      <c r="H112" s="413"/>
      <c r="I112" s="229"/>
      <c r="J112" s="229"/>
      <c r="K112" s="229"/>
      <c r="L112" s="229"/>
      <c r="M112" s="229"/>
      <c r="N112" t="s">
        <v>502</v>
      </c>
      <c r="O112" t="s">
        <v>502</v>
      </c>
      <c r="P112" s="82" t="s">
        <v>575</v>
      </c>
      <c r="Q112" s="229"/>
      <c r="R112" s="229"/>
    </row>
    <row r="113" spans="1:18" x14ac:dyDescent="0.3">
      <c r="A113" t="s">
        <v>562</v>
      </c>
      <c r="B113" s="80" t="s">
        <v>576</v>
      </c>
      <c r="C113" s="80" t="s">
        <v>359</v>
      </c>
      <c r="D113" s="229">
        <v>519487.91999999993</v>
      </c>
      <c r="E113" s="278">
        <v>440244</v>
      </c>
      <c r="F113" s="229">
        <v>519487.91999999993</v>
      </c>
      <c r="G113" s="353"/>
      <c r="H113" s="413"/>
      <c r="I113" s="229"/>
      <c r="J113" s="229"/>
      <c r="K113" s="229"/>
      <c r="L113" s="229"/>
      <c r="M113" s="229"/>
      <c r="N113" t="s">
        <v>502</v>
      </c>
      <c r="O113" t="s">
        <v>502</v>
      </c>
      <c r="P113" s="82" t="s">
        <v>577</v>
      </c>
      <c r="Q113" s="229"/>
      <c r="R113" s="229"/>
    </row>
    <row r="114" spans="1:18" x14ac:dyDescent="0.3">
      <c r="A114" t="s">
        <v>562</v>
      </c>
      <c r="B114" s="80" t="s">
        <v>578</v>
      </c>
      <c r="C114" s="80" t="s">
        <v>359</v>
      </c>
      <c r="D114" s="229">
        <v>1498212.96</v>
      </c>
      <c r="E114" s="278">
        <v>1269672</v>
      </c>
      <c r="F114" s="229">
        <v>1498212.96</v>
      </c>
      <c r="G114" s="353"/>
      <c r="H114" s="413"/>
      <c r="I114" s="229"/>
      <c r="J114" s="229"/>
      <c r="K114" s="229"/>
      <c r="L114" s="229"/>
      <c r="M114" s="229"/>
      <c r="N114" t="s">
        <v>502</v>
      </c>
      <c r="O114" t="s">
        <v>502</v>
      </c>
      <c r="P114" s="82" t="s">
        <v>579</v>
      </c>
      <c r="Q114" s="229"/>
      <c r="R114" s="229"/>
    </row>
    <row r="115" spans="1:18" x14ac:dyDescent="0.3">
      <c r="A115" t="s">
        <v>562</v>
      </c>
      <c r="B115" s="80" t="s">
        <v>580</v>
      </c>
      <c r="C115" s="80" t="s">
        <v>359</v>
      </c>
      <c r="D115" s="229">
        <v>2239455.92</v>
      </c>
      <c r="E115" s="278">
        <v>1897844</v>
      </c>
      <c r="F115" s="229">
        <v>2239455.92</v>
      </c>
      <c r="G115" s="353"/>
      <c r="H115" s="413"/>
      <c r="I115" s="229"/>
      <c r="J115" s="229"/>
      <c r="K115" s="229"/>
      <c r="L115" s="229"/>
      <c r="M115" s="229"/>
      <c r="N115" t="s">
        <v>502</v>
      </c>
      <c r="O115" t="s">
        <v>502</v>
      </c>
      <c r="P115" s="1473" t="s">
        <v>581</v>
      </c>
      <c r="Q115" s="229"/>
      <c r="R115" s="229"/>
    </row>
    <row r="116" spans="1:18" x14ac:dyDescent="0.3">
      <c r="A116" t="s">
        <v>562</v>
      </c>
      <c r="B116" s="80" t="s">
        <v>582</v>
      </c>
      <c r="C116" s="80" t="s">
        <v>359</v>
      </c>
      <c r="D116" s="229">
        <v>2239455.92</v>
      </c>
      <c r="E116" s="278">
        <v>1897844</v>
      </c>
      <c r="F116" s="229">
        <v>2239455.92</v>
      </c>
      <c r="G116" s="353"/>
      <c r="H116" s="413"/>
      <c r="I116" s="229"/>
      <c r="J116" s="229"/>
      <c r="K116" s="229"/>
      <c r="L116" s="229"/>
      <c r="M116" s="229"/>
      <c r="N116" t="s">
        <v>502</v>
      </c>
      <c r="O116" t="s">
        <v>502</v>
      </c>
      <c r="P116" s="1473"/>
      <c r="Q116" s="229"/>
      <c r="R116" s="229"/>
    </row>
    <row r="117" spans="1:18" x14ac:dyDescent="0.3">
      <c r="A117" t="s">
        <v>562</v>
      </c>
      <c r="B117" s="80" t="s">
        <v>583</v>
      </c>
      <c r="C117" s="80" t="s">
        <v>359</v>
      </c>
      <c r="D117" s="229">
        <v>2239455.92</v>
      </c>
      <c r="E117" s="278">
        <v>1897844</v>
      </c>
      <c r="F117" s="229">
        <v>2239455.92</v>
      </c>
      <c r="G117" s="353"/>
      <c r="H117" s="413"/>
      <c r="I117" s="229"/>
      <c r="J117" s="229"/>
      <c r="K117" s="229"/>
      <c r="L117" s="229"/>
      <c r="M117" s="229"/>
      <c r="N117" t="s">
        <v>502</v>
      </c>
      <c r="O117" t="s">
        <v>502</v>
      </c>
      <c r="P117" s="1473"/>
      <c r="Q117" s="229"/>
      <c r="R117" s="229"/>
    </row>
    <row r="118" spans="1:18" x14ac:dyDescent="0.3">
      <c r="A118" t="s">
        <v>562</v>
      </c>
      <c r="B118" s="80" t="s">
        <v>584</v>
      </c>
      <c r="C118" s="80" t="s">
        <v>359</v>
      </c>
      <c r="D118" s="229">
        <v>1113296.96</v>
      </c>
      <c r="E118" s="278">
        <v>943472</v>
      </c>
      <c r="F118" s="229">
        <v>1113296.96</v>
      </c>
      <c r="G118" s="353"/>
      <c r="H118" s="413"/>
      <c r="I118" s="229"/>
      <c r="J118" s="229"/>
      <c r="K118" s="229"/>
      <c r="L118" s="229"/>
      <c r="M118" s="229"/>
      <c r="N118" t="s">
        <v>502</v>
      </c>
      <c r="O118" t="s">
        <v>502</v>
      </c>
      <c r="P118" s="82" t="s">
        <v>573</v>
      </c>
      <c r="Q118" s="229"/>
      <c r="R118" s="229"/>
    </row>
    <row r="119" spans="1:18" ht="28.8" x14ac:dyDescent="0.3">
      <c r="A119" t="s">
        <v>562</v>
      </c>
      <c r="B119" s="80" t="s">
        <v>585</v>
      </c>
      <c r="C119" s="80" t="s">
        <v>359</v>
      </c>
      <c r="D119" s="242">
        <v>4929395.72</v>
      </c>
      <c r="E119" s="283">
        <v>4177454</v>
      </c>
      <c r="F119" s="242">
        <v>4929395.72</v>
      </c>
      <c r="G119" s="364"/>
      <c r="H119" s="416"/>
      <c r="I119" s="242"/>
      <c r="J119" s="242"/>
      <c r="K119" s="242"/>
      <c r="L119" s="242"/>
      <c r="M119" s="242"/>
      <c r="N119" t="s">
        <v>502</v>
      </c>
      <c r="O119" t="s">
        <v>502</v>
      </c>
      <c r="P119" s="233" t="s">
        <v>586</v>
      </c>
      <c r="Q119" s="229"/>
      <c r="R119" s="229"/>
    </row>
    <row r="120" spans="1:18" x14ac:dyDescent="0.3">
      <c r="A120" t="s">
        <v>562</v>
      </c>
      <c r="B120" s="80" t="s">
        <v>587</v>
      </c>
      <c r="C120" s="80" t="s">
        <v>359</v>
      </c>
      <c r="D120" s="242">
        <v>944001.17999999993</v>
      </c>
      <c r="E120" s="283">
        <v>800001</v>
      </c>
      <c r="F120" s="242">
        <v>944001.17999999993</v>
      </c>
      <c r="G120" s="364"/>
      <c r="H120" s="416"/>
      <c r="I120" s="242"/>
      <c r="J120" s="242"/>
      <c r="K120" s="242"/>
      <c r="L120" s="242"/>
      <c r="M120" s="242"/>
      <c r="N120" t="s">
        <v>502</v>
      </c>
      <c r="O120" t="s">
        <v>502</v>
      </c>
      <c r="P120" s="82" t="s">
        <v>588</v>
      </c>
      <c r="Q120" s="229"/>
      <c r="R120" s="229"/>
    </row>
    <row r="121" spans="1:18" x14ac:dyDescent="0.3">
      <c r="A121" t="s">
        <v>562</v>
      </c>
      <c r="B121" s="80" t="s">
        <v>589</v>
      </c>
      <c r="C121" s="80" t="s">
        <v>359</v>
      </c>
      <c r="D121" s="242">
        <v>2242748.12</v>
      </c>
      <c r="E121" s="283">
        <v>1900634</v>
      </c>
      <c r="F121" s="242">
        <v>2242748.12</v>
      </c>
      <c r="G121" s="364"/>
      <c r="H121" s="416"/>
      <c r="I121" s="242"/>
      <c r="J121" s="242"/>
      <c r="K121" s="242"/>
      <c r="L121" s="242"/>
      <c r="M121" s="242"/>
      <c r="N121" t="s">
        <v>502</v>
      </c>
      <c r="O121" t="s">
        <v>502</v>
      </c>
      <c r="P121" s="82" t="s">
        <v>590</v>
      </c>
      <c r="Q121" s="229"/>
      <c r="R121" s="229"/>
    </row>
    <row r="122" spans="1:18" x14ac:dyDescent="0.3">
      <c r="A122" t="s">
        <v>562</v>
      </c>
      <c r="B122" s="80" t="s">
        <v>591</v>
      </c>
      <c r="C122" s="80" t="s">
        <v>359</v>
      </c>
      <c r="D122" s="242">
        <v>1964434.6311111113</v>
      </c>
      <c r="E122" s="283">
        <v>1664775</v>
      </c>
      <c r="F122" s="242">
        <v>1964434.6311111113</v>
      </c>
      <c r="G122" s="364"/>
      <c r="H122" s="416"/>
      <c r="I122" s="242"/>
      <c r="J122" s="242"/>
      <c r="K122" s="242"/>
      <c r="L122" s="242"/>
      <c r="M122" s="242"/>
      <c r="N122" t="s">
        <v>502</v>
      </c>
      <c r="O122" t="s">
        <v>502</v>
      </c>
      <c r="P122" s="82" t="s">
        <v>568</v>
      </c>
      <c r="Q122" s="229"/>
      <c r="R122" s="229"/>
    </row>
    <row r="123" spans="1:18" x14ac:dyDescent="0.3">
      <c r="A123" t="s">
        <v>562</v>
      </c>
      <c r="B123" s="80" t="s">
        <v>592</v>
      </c>
      <c r="C123" s="80" t="s">
        <v>359</v>
      </c>
      <c r="D123" s="242">
        <v>1117408.08</v>
      </c>
      <c r="E123" s="283">
        <v>946956</v>
      </c>
      <c r="F123" s="242">
        <v>1117408.08</v>
      </c>
      <c r="G123" s="364"/>
      <c r="H123" s="416"/>
      <c r="I123" s="242"/>
      <c r="J123" s="242"/>
      <c r="K123" s="242"/>
      <c r="L123" s="242"/>
      <c r="M123" s="242"/>
      <c r="N123" t="s">
        <v>502</v>
      </c>
      <c r="O123" t="s">
        <v>502</v>
      </c>
      <c r="P123" s="233" t="s">
        <v>593</v>
      </c>
      <c r="Q123" s="229"/>
      <c r="R123" s="229"/>
    </row>
    <row r="124" spans="1:18" x14ac:dyDescent="0.3">
      <c r="A124" t="s">
        <v>562</v>
      </c>
      <c r="B124" s="80" t="s">
        <v>594</v>
      </c>
      <c r="C124" s="80" t="s">
        <v>359</v>
      </c>
      <c r="D124" s="242">
        <v>1440585.3655555556</v>
      </c>
      <c r="E124" s="283">
        <v>1220835</v>
      </c>
      <c r="F124" s="242">
        <v>1440585.3655555556</v>
      </c>
      <c r="G124" s="364"/>
      <c r="H124" s="416"/>
      <c r="I124" s="242"/>
      <c r="J124" s="242"/>
      <c r="K124" s="242"/>
      <c r="L124" s="242"/>
      <c r="M124" s="242"/>
      <c r="N124" t="s">
        <v>502</v>
      </c>
      <c r="O124" t="s">
        <v>502</v>
      </c>
      <c r="P124" s="82" t="s">
        <v>595</v>
      </c>
      <c r="Q124" s="229"/>
      <c r="R124" s="229"/>
    </row>
    <row r="125" spans="1:18" x14ac:dyDescent="0.3">
      <c r="A125" t="s">
        <v>562</v>
      </c>
      <c r="B125" s="80" t="s">
        <v>596</v>
      </c>
      <c r="C125" s="80" t="s">
        <v>359</v>
      </c>
      <c r="D125" s="242">
        <v>1440585.4311111111</v>
      </c>
      <c r="E125" s="283">
        <v>1220835</v>
      </c>
      <c r="F125" s="242">
        <v>1440585.4311111111</v>
      </c>
      <c r="G125" s="364"/>
      <c r="H125" s="416"/>
      <c r="I125" s="242"/>
      <c r="J125" s="242"/>
      <c r="K125" s="242"/>
      <c r="L125" s="242"/>
      <c r="M125" s="242"/>
      <c r="N125" t="s">
        <v>502</v>
      </c>
      <c r="O125" t="s">
        <v>502</v>
      </c>
      <c r="P125" s="82" t="s">
        <v>595</v>
      </c>
      <c r="Q125" s="229"/>
      <c r="R125" s="229"/>
    </row>
    <row r="126" spans="1:18" x14ac:dyDescent="0.3">
      <c r="A126" t="s">
        <v>562</v>
      </c>
      <c r="B126" s="80" t="s">
        <v>597</v>
      </c>
      <c r="C126" s="80" t="s">
        <v>359</v>
      </c>
      <c r="D126" s="242">
        <v>1964434.5655555555</v>
      </c>
      <c r="E126" s="283">
        <v>1664775</v>
      </c>
      <c r="F126" s="242">
        <v>1964434.5655555555</v>
      </c>
      <c r="G126" s="364"/>
      <c r="H126" s="416"/>
      <c r="I126" s="242"/>
      <c r="J126" s="242"/>
      <c r="K126" s="242"/>
      <c r="L126" s="242"/>
      <c r="M126" s="242"/>
      <c r="N126" t="s">
        <v>502</v>
      </c>
      <c r="O126" t="s">
        <v>502</v>
      </c>
      <c r="P126" s="82" t="s">
        <v>598</v>
      </c>
      <c r="Q126" s="229"/>
      <c r="R126" s="229"/>
    </row>
    <row r="127" spans="1:18" x14ac:dyDescent="0.3">
      <c r="A127" t="s">
        <v>562</v>
      </c>
      <c r="B127" s="80" t="s">
        <v>599</v>
      </c>
      <c r="C127" s="80" t="s">
        <v>359</v>
      </c>
      <c r="D127" s="242">
        <v>1741802.72</v>
      </c>
      <c r="E127" s="283">
        <v>1476104</v>
      </c>
      <c r="F127" s="242">
        <v>1741802.72</v>
      </c>
      <c r="G127" s="364"/>
      <c r="H127" s="416"/>
      <c r="I127" s="242"/>
      <c r="J127" s="242"/>
      <c r="K127" s="242"/>
      <c r="L127" s="242"/>
      <c r="M127" s="242"/>
      <c r="N127" t="s">
        <v>502</v>
      </c>
      <c r="O127" t="s">
        <v>502</v>
      </c>
      <c r="P127" s="82" t="s">
        <v>600</v>
      </c>
      <c r="Q127" s="229"/>
      <c r="R127" s="229"/>
    </row>
    <row r="128" spans="1:18" x14ac:dyDescent="0.3">
      <c r="A128" t="s">
        <v>562</v>
      </c>
      <c r="B128" s="80" t="s">
        <v>601</v>
      </c>
      <c r="C128" s="80" t="s">
        <v>359</v>
      </c>
      <c r="D128" s="242">
        <v>1440585.4311111111</v>
      </c>
      <c r="E128" s="283">
        <v>1220835</v>
      </c>
      <c r="F128" s="242">
        <v>1440585.4311111111</v>
      </c>
      <c r="G128" s="364"/>
      <c r="H128" s="416"/>
      <c r="I128" s="242"/>
      <c r="J128" s="242"/>
      <c r="K128" s="242"/>
      <c r="L128" s="242"/>
      <c r="M128" s="242"/>
      <c r="N128" t="s">
        <v>502</v>
      </c>
      <c r="O128" t="s">
        <v>502</v>
      </c>
      <c r="P128" s="82" t="s">
        <v>595</v>
      </c>
      <c r="Q128" s="229"/>
      <c r="R128" s="229"/>
    </row>
    <row r="129" spans="1:18" x14ac:dyDescent="0.3">
      <c r="A129" t="s">
        <v>562</v>
      </c>
      <c r="B129" s="80" t="s">
        <v>602</v>
      </c>
      <c r="C129" s="80" t="s">
        <v>359</v>
      </c>
      <c r="D129" s="242">
        <v>255847.59999999998</v>
      </c>
      <c r="E129" s="283">
        <v>216820</v>
      </c>
      <c r="F129" s="242">
        <v>255847.59999999998</v>
      </c>
      <c r="G129" s="364"/>
      <c r="H129" s="416"/>
      <c r="I129" s="242"/>
      <c r="J129" s="242"/>
      <c r="K129" s="242"/>
      <c r="L129" s="242"/>
      <c r="M129" s="242"/>
      <c r="N129" t="s">
        <v>502</v>
      </c>
      <c r="O129" t="s">
        <v>502</v>
      </c>
      <c r="P129" s="82" t="s">
        <v>603</v>
      </c>
      <c r="Q129" s="229"/>
      <c r="R129" s="229"/>
    </row>
    <row r="130" spans="1:18" x14ac:dyDescent="0.3">
      <c r="A130" t="s">
        <v>562</v>
      </c>
      <c r="B130" s="80" t="s">
        <v>604</v>
      </c>
      <c r="C130" s="80" t="s">
        <v>359</v>
      </c>
      <c r="D130" s="242">
        <v>1440585.4311111111</v>
      </c>
      <c r="E130" s="283">
        <v>1220835</v>
      </c>
      <c r="F130" s="242">
        <v>1440585.4311111111</v>
      </c>
      <c r="G130" s="364"/>
      <c r="H130" s="416"/>
      <c r="I130" s="242"/>
      <c r="J130" s="242"/>
      <c r="K130" s="242"/>
      <c r="L130" s="242"/>
      <c r="M130" s="242"/>
      <c r="N130" t="s">
        <v>502</v>
      </c>
      <c r="O130" t="s">
        <v>502</v>
      </c>
      <c r="P130" s="82" t="s">
        <v>595</v>
      </c>
      <c r="Q130" s="229"/>
      <c r="R130" s="229"/>
    </row>
    <row r="131" spans="1:18" x14ac:dyDescent="0.3">
      <c r="A131" t="s">
        <v>562</v>
      </c>
      <c r="B131" s="80" t="s">
        <v>605</v>
      </c>
      <c r="C131" s="80" t="s">
        <v>359</v>
      </c>
      <c r="D131" s="242">
        <v>1440585.4966666666</v>
      </c>
      <c r="E131" s="283">
        <v>1220835</v>
      </c>
      <c r="F131" s="242">
        <v>1440585.4966666666</v>
      </c>
      <c r="G131" s="364"/>
      <c r="H131" s="416"/>
      <c r="I131" s="242"/>
      <c r="J131" s="242"/>
      <c r="K131" s="242"/>
      <c r="L131" s="242"/>
      <c r="M131" s="242"/>
      <c r="N131" t="s">
        <v>502</v>
      </c>
      <c r="O131" t="s">
        <v>502</v>
      </c>
      <c r="P131" s="82" t="s">
        <v>595</v>
      </c>
      <c r="Q131" s="229"/>
      <c r="R131" s="229"/>
    </row>
    <row r="132" spans="1:18" x14ac:dyDescent="0.3">
      <c r="A132" t="s">
        <v>562</v>
      </c>
      <c r="B132" s="80" t="s">
        <v>606</v>
      </c>
      <c r="C132" s="80" t="s">
        <v>359</v>
      </c>
      <c r="D132" s="229">
        <v>3492328</v>
      </c>
      <c r="E132" s="278">
        <v>2959600</v>
      </c>
      <c r="F132" s="229">
        <v>3492328</v>
      </c>
      <c r="G132" s="353"/>
      <c r="H132" s="413"/>
      <c r="I132" s="229"/>
      <c r="J132" s="229"/>
      <c r="K132" s="229"/>
      <c r="L132" s="229"/>
      <c r="M132" s="229"/>
      <c r="N132" t="s">
        <v>502</v>
      </c>
      <c r="O132" t="s">
        <v>502</v>
      </c>
      <c r="P132" s="82" t="s">
        <v>607</v>
      </c>
      <c r="Q132" s="229"/>
      <c r="R132" s="229"/>
    </row>
    <row r="133" spans="1:18" x14ac:dyDescent="0.3">
      <c r="A133" t="s">
        <v>562</v>
      </c>
      <c r="B133" s="80" t="s">
        <v>608</v>
      </c>
      <c r="C133" s="80" t="s">
        <v>359</v>
      </c>
      <c r="D133" s="229">
        <v>1964435.0244444448</v>
      </c>
      <c r="E133" s="278">
        <v>1664775</v>
      </c>
      <c r="F133" s="229">
        <v>1964435.0244444448</v>
      </c>
      <c r="G133" s="353"/>
      <c r="H133" s="413"/>
      <c r="I133" s="229"/>
      <c r="J133" s="229"/>
      <c r="K133" s="229"/>
      <c r="L133" s="229"/>
      <c r="M133" s="229"/>
      <c r="N133" t="s">
        <v>502</v>
      </c>
      <c r="O133" t="s">
        <v>502</v>
      </c>
      <c r="P133" s="82" t="s">
        <v>598</v>
      </c>
      <c r="Q133" s="229"/>
      <c r="R133" s="229"/>
    </row>
    <row r="134" spans="1:18" x14ac:dyDescent="0.3">
      <c r="A134" t="s">
        <v>562</v>
      </c>
      <c r="B134" s="80" t="s">
        <v>609</v>
      </c>
      <c r="C134" s="80" t="s">
        <v>359</v>
      </c>
      <c r="D134" s="229">
        <v>3492328</v>
      </c>
      <c r="E134" s="278">
        <v>2959600</v>
      </c>
      <c r="F134" s="229">
        <v>3492328</v>
      </c>
      <c r="G134" s="353"/>
      <c r="H134" s="413"/>
      <c r="I134" s="229"/>
      <c r="J134" s="229"/>
      <c r="K134" s="229"/>
      <c r="L134" s="229"/>
      <c r="M134" s="229"/>
      <c r="N134" t="s">
        <v>502</v>
      </c>
      <c r="O134" t="s">
        <v>502</v>
      </c>
      <c r="P134" s="82" t="s">
        <v>610</v>
      </c>
      <c r="Q134" s="229"/>
      <c r="R134" s="229"/>
    </row>
    <row r="135" spans="1:18" x14ac:dyDescent="0.3">
      <c r="A135" t="s">
        <v>562</v>
      </c>
      <c r="B135" s="80" t="s">
        <v>611</v>
      </c>
      <c r="C135" s="80" t="s">
        <v>359</v>
      </c>
      <c r="D135" s="229">
        <v>1942609.0233333334</v>
      </c>
      <c r="E135" s="278">
        <v>1646279</v>
      </c>
      <c r="F135" s="229">
        <v>1942609.0233333334</v>
      </c>
      <c r="G135" s="353"/>
      <c r="H135" s="413"/>
      <c r="I135" s="229"/>
      <c r="J135" s="229"/>
      <c r="K135" s="229"/>
      <c r="L135" s="229"/>
      <c r="M135" s="229"/>
      <c r="N135" t="s">
        <v>502</v>
      </c>
      <c r="O135" t="s">
        <v>502</v>
      </c>
      <c r="P135" s="82" t="s">
        <v>612</v>
      </c>
      <c r="Q135" s="229"/>
      <c r="R135" s="229"/>
    </row>
    <row r="136" spans="1:18" x14ac:dyDescent="0.3">
      <c r="A136" t="s">
        <v>562</v>
      </c>
      <c r="B136" s="80" t="s">
        <v>613</v>
      </c>
      <c r="C136" s="80" t="s">
        <v>359</v>
      </c>
      <c r="D136" s="229">
        <v>1113180.9922222223</v>
      </c>
      <c r="E136" s="278">
        <v>943374</v>
      </c>
      <c r="F136" s="229">
        <v>1113180.9922222223</v>
      </c>
      <c r="G136" s="353"/>
      <c r="H136" s="413"/>
      <c r="I136" s="229"/>
      <c r="J136" s="229"/>
      <c r="K136" s="229"/>
      <c r="L136" s="229"/>
      <c r="M136" s="229"/>
      <c r="N136" t="s">
        <v>502</v>
      </c>
      <c r="O136" t="s">
        <v>502</v>
      </c>
      <c r="P136" s="82" t="s">
        <v>614</v>
      </c>
      <c r="Q136" s="229"/>
      <c r="R136" s="229"/>
    </row>
    <row r="137" spans="1:18" x14ac:dyDescent="0.3">
      <c r="A137" t="s">
        <v>562</v>
      </c>
      <c r="B137" s="80" t="s">
        <v>615</v>
      </c>
      <c r="C137" s="80" t="s">
        <v>359</v>
      </c>
      <c r="D137" s="229">
        <v>1964435.0244444448</v>
      </c>
      <c r="E137" s="278">
        <v>1664775</v>
      </c>
      <c r="F137" s="229">
        <v>1964435.0244444448</v>
      </c>
      <c r="G137" s="353"/>
      <c r="H137" s="413"/>
      <c r="I137" s="229"/>
      <c r="J137" s="229"/>
      <c r="K137" s="229"/>
      <c r="L137" s="229"/>
      <c r="M137" s="229"/>
      <c r="N137" t="s">
        <v>502</v>
      </c>
      <c r="O137" t="s">
        <v>502</v>
      </c>
      <c r="P137" s="82" t="s">
        <v>612</v>
      </c>
      <c r="Q137" s="229"/>
      <c r="R137" s="229"/>
    </row>
    <row r="138" spans="1:18" x14ac:dyDescent="0.3">
      <c r="A138" t="s">
        <v>562</v>
      </c>
      <c r="B138" s="80" t="s">
        <v>616</v>
      </c>
      <c r="C138" s="80" t="s">
        <v>359</v>
      </c>
      <c r="D138" s="229">
        <v>1112826.9922222223</v>
      </c>
      <c r="E138" s="278">
        <v>943074</v>
      </c>
      <c r="F138" s="229">
        <v>1112826.9922222223</v>
      </c>
      <c r="G138" s="353"/>
      <c r="H138" s="413"/>
      <c r="I138" s="229"/>
      <c r="J138" s="229"/>
      <c r="K138" s="229"/>
      <c r="L138" s="229"/>
      <c r="M138" s="229"/>
      <c r="N138" t="s">
        <v>502</v>
      </c>
      <c r="O138" t="s">
        <v>502</v>
      </c>
      <c r="P138" s="82" t="s">
        <v>573</v>
      </c>
      <c r="Q138" s="229"/>
      <c r="R138" s="229"/>
    </row>
    <row r="139" spans="1:18" x14ac:dyDescent="0.3">
      <c r="A139" t="s">
        <v>562</v>
      </c>
      <c r="B139" s="80" t="s">
        <v>617</v>
      </c>
      <c r="C139" s="80" t="s">
        <v>359</v>
      </c>
      <c r="D139" s="229">
        <v>1964435.0244444448</v>
      </c>
      <c r="E139" s="278">
        <v>1664775</v>
      </c>
      <c r="F139" s="229">
        <v>1964435.0244444448</v>
      </c>
      <c r="G139" s="353"/>
      <c r="H139" s="413"/>
      <c r="I139" s="229"/>
      <c r="J139" s="229"/>
      <c r="K139" s="229"/>
      <c r="L139" s="229"/>
      <c r="M139" s="229"/>
      <c r="N139" t="s">
        <v>502</v>
      </c>
      <c r="O139" t="s">
        <v>502</v>
      </c>
      <c r="P139" s="82" t="s">
        <v>598</v>
      </c>
      <c r="Q139" s="229"/>
      <c r="R139" s="229"/>
    </row>
    <row r="140" spans="1:18" x14ac:dyDescent="0.3">
      <c r="A140" t="s">
        <v>562</v>
      </c>
      <c r="B140" s="80" t="s">
        <v>618</v>
      </c>
      <c r="C140" s="80" t="s">
        <v>359</v>
      </c>
      <c r="D140" s="229">
        <v>1484242.0222222221</v>
      </c>
      <c r="E140" s="278">
        <v>1257832</v>
      </c>
      <c r="F140" s="229">
        <v>1484242.0222222221</v>
      </c>
      <c r="G140" s="353"/>
      <c r="H140" s="413"/>
      <c r="I140" s="229"/>
      <c r="J140" s="229"/>
      <c r="K140" s="229"/>
      <c r="L140" s="229"/>
      <c r="M140" s="229"/>
      <c r="N140" t="s">
        <v>502</v>
      </c>
      <c r="O140" t="s">
        <v>502</v>
      </c>
      <c r="P140" s="82" t="s">
        <v>619</v>
      </c>
      <c r="Q140" s="229"/>
      <c r="R140" s="229"/>
    </row>
    <row r="141" spans="1:18" x14ac:dyDescent="0.3">
      <c r="A141" t="s">
        <v>562</v>
      </c>
      <c r="B141" s="80" t="s">
        <v>620</v>
      </c>
      <c r="C141" s="80" t="s">
        <v>359</v>
      </c>
      <c r="D141" s="229">
        <v>152790.00555555554</v>
      </c>
      <c r="E141" s="278">
        <v>129483</v>
      </c>
      <c r="F141" s="229">
        <v>152790.00555555554</v>
      </c>
      <c r="G141" s="353"/>
      <c r="H141" s="413"/>
      <c r="I141" s="229"/>
      <c r="J141" s="229"/>
      <c r="K141" s="229"/>
      <c r="L141" s="229"/>
      <c r="M141" s="229"/>
      <c r="N141" t="s">
        <v>502</v>
      </c>
      <c r="O141" t="s">
        <v>502</v>
      </c>
      <c r="P141" s="82" t="s">
        <v>621</v>
      </c>
      <c r="Q141" s="229"/>
      <c r="R141" s="229"/>
    </row>
    <row r="142" spans="1:18" ht="28.8" x14ac:dyDescent="0.3">
      <c r="A142" t="s">
        <v>562</v>
      </c>
      <c r="B142" s="80" t="s">
        <v>622</v>
      </c>
      <c r="C142" s="80" t="s">
        <v>359</v>
      </c>
      <c r="D142" s="229">
        <v>1574305.26</v>
      </c>
      <c r="E142" s="278">
        <v>1334157</v>
      </c>
      <c r="F142" s="229">
        <v>1574305.26</v>
      </c>
      <c r="G142" s="353"/>
      <c r="H142" s="413"/>
      <c r="I142" s="229"/>
      <c r="J142" s="229"/>
      <c r="K142" s="229"/>
      <c r="L142" s="229"/>
      <c r="M142" s="229"/>
      <c r="N142" t="s">
        <v>502</v>
      </c>
      <c r="O142" t="s">
        <v>502</v>
      </c>
      <c r="P142" s="233" t="s">
        <v>623</v>
      </c>
      <c r="Q142" s="229"/>
      <c r="R142" s="229"/>
    </row>
    <row r="143" spans="1:18" x14ac:dyDescent="0.3">
      <c r="A143" t="s">
        <v>562</v>
      </c>
      <c r="B143" s="80" t="s">
        <v>624</v>
      </c>
      <c r="C143" s="80" t="s">
        <v>359</v>
      </c>
      <c r="D143" s="242">
        <v>1113181.32</v>
      </c>
      <c r="E143" s="283">
        <v>943374</v>
      </c>
      <c r="F143" s="242">
        <v>1113181.32</v>
      </c>
      <c r="G143" s="364"/>
      <c r="H143" s="416"/>
      <c r="I143" s="242"/>
      <c r="J143" s="242"/>
      <c r="K143" s="242"/>
      <c r="L143" s="242"/>
      <c r="M143" s="242"/>
      <c r="N143" t="s">
        <v>502</v>
      </c>
      <c r="O143" t="s">
        <v>502</v>
      </c>
      <c r="P143" s="82" t="s">
        <v>625</v>
      </c>
      <c r="Q143" s="229"/>
      <c r="R143" s="229"/>
    </row>
    <row r="144" spans="1:18" x14ac:dyDescent="0.3">
      <c r="A144" t="s">
        <v>562</v>
      </c>
      <c r="B144" s="80" t="s">
        <v>626</v>
      </c>
      <c r="C144" s="80" t="s">
        <v>359</v>
      </c>
      <c r="D144" s="242">
        <v>589332.12</v>
      </c>
      <c r="E144" s="283">
        <v>499434</v>
      </c>
      <c r="F144" s="242">
        <v>589332.12</v>
      </c>
      <c r="G144" s="364"/>
      <c r="H144" s="416"/>
      <c r="I144" s="242"/>
      <c r="J144" s="242"/>
      <c r="K144" s="242"/>
      <c r="L144" s="242"/>
      <c r="M144" s="242"/>
      <c r="N144" t="s">
        <v>502</v>
      </c>
      <c r="O144" t="s">
        <v>502</v>
      </c>
      <c r="P144" s="82" t="s">
        <v>627</v>
      </c>
      <c r="Q144" s="229"/>
      <c r="R144" s="229"/>
    </row>
    <row r="145" spans="1:18" x14ac:dyDescent="0.3">
      <c r="A145" t="s">
        <v>562</v>
      </c>
      <c r="B145" s="80" t="s">
        <v>628</v>
      </c>
      <c r="C145" s="80" t="s">
        <v>359</v>
      </c>
      <c r="D145" s="242">
        <v>2622933.5</v>
      </c>
      <c r="E145" s="283">
        <v>2222825</v>
      </c>
      <c r="F145" s="242">
        <v>2622933.5</v>
      </c>
      <c r="G145" s="364"/>
      <c r="H145" s="416"/>
      <c r="I145" s="242"/>
      <c r="J145" s="242"/>
      <c r="K145" s="242"/>
      <c r="L145" s="242"/>
      <c r="M145" s="242"/>
      <c r="N145" t="s">
        <v>502</v>
      </c>
      <c r="O145" t="s">
        <v>502</v>
      </c>
      <c r="P145" s="82" t="s">
        <v>629</v>
      </c>
      <c r="Q145" s="229"/>
      <c r="R145" s="229"/>
    </row>
    <row r="146" spans="1:18" x14ac:dyDescent="0.3">
      <c r="A146" t="s">
        <v>562</v>
      </c>
      <c r="B146" s="80" t="s">
        <v>630</v>
      </c>
      <c r="C146" s="80" t="s">
        <v>359</v>
      </c>
      <c r="D146" s="242">
        <v>1855302.2000000002</v>
      </c>
      <c r="E146" s="283">
        <v>1572290</v>
      </c>
      <c r="F146" s="242">
        <v>1855302.2000000002</v>
      </c>
      <c r="G146" s="364"/>
      <c r="H146" s="416"/>
      <c r="I146" s="242"/>
      <c r="J146" s="242"/>
      <c r="K146" s="242"/>
      <c r="L146" s="242"/>
      <c r="M146" s="242"/>
      <c r="N146" t="s">
        <v>502</v>
      </c>
      <c r="O146" t="s">
        <v>502</v>
      </c>
      <c r="P146" s="82" t="s">
        <v>631</v>
      </c>
      <c r="Q146" s="229"/>
      <c r="R146" s="229"/>
    </row>
    <row r="147" spans="1:18" x14ac:dyDescent="0.3">
      <c r="A147" t="s">
        <v>562</v>
      </c>
      <c r="B147" s="239" t="s">
        <v>632</v>
      </c>
      <c r="C147" s="80" t="s">
        <v>359</v>
      </c>
      <c r="D147" s="242">
        <v>2598933.348888889</v>
      </c>
      <c r="E147" s="283">
        <v>2202486</v>
      </c>
      <c r="F147" s="242">
        <v>2598933.348888889</v>
      </c>
      <c r="G147" s="364"/>
      <c r="H147" s="416"/>
      <c r="I147" s="242"/>
      <c r="J147" s="242"/>
      <c r="K147" s="242"/>
      <c r="L147" s="242"/>
      <c r="M147" s="242"/>
      <c r="N147" t="s">
        <v>502</v>
      </c>
      <c r="O147" t="s">
        <v>502</v>
      </c>
      <c r="P147" s="82" t="s">
        <v>633</v>
      </c>
      <c r="Q147" s="229"/>
      <c r="R147" s="229"/>
    </row>
    <row r="148" spans="1:18" ht="15" thickBot="1" x14ac:dyDescent="0.35">
      <c r="A148" t="s">
        <v>562</v>
      </c>
      <c r="B148" s="239" t="s">
        <v>634</v>
      </c>
      <c r="C148" s="80" t="s">
        <v>359</v>
      </c>
      <c r="D148" s="242">
        <v>41908.879999999997</v>
      </c>
      <c r="E148" s="284">
        <v>35516</v>
      </c>
      <c r="F148" s="242">
        <v>41908.879999999997</v>
      </c>
      <c r="G148" s="365"/>
      <c r="H148" s="416"/>
      <c r="I148" s="242"/>
      <c r="J148" s="242"/>
      <c r="K148" s="242"/>
      <c r="L148" s="242"/>
      <c r="M148" s="242"/>
      <c r="N148" t="s">
        <v>502</v>
      </c>
      <c r="O148" t="s">
        <v>502</v>
      </c>
      <c r="P148" s="82" t="s">
        <v>635</v>
      </c>
      <c r="Q148" s="229"/>
      <c r="R148" s="229"/>
    </row>
    <row r="149" spans="1:18" x14ac:dyDescent="0.3">
      <c r="A149" s="238" t="s">
        <v>636</v>
      </c>
      <c r="B149" s="355">
        <v>271700006617</v>
      </c>
      <c r="C149" s="80" t="s">
        <v>359</v>
      </c>
      <c r="D149" s="242">
        <v>1680320</v>
      </c>
      <c r="E149" s="406">
        <v>1424000</v>
      </c>
      <c r="F149" s="229">
        <v>1680320</v>
      </c>
      <c r="G149" s="368">
        <f>+'WFL Format-4 (2)'!AO38*0+7650000</f>
        <v>7650000</v>
      </c>
      <c r="H149" s="417"/>
      <c r="I149" s="229"/>
      <c r="J149" s="320">
        <v>1198648</v>
      </c>
      <c r="K149" s="312">
        <v>43557</v>
      </c>
      <c r="L149" s="289" t="s">
        <v>871</v>
      </c>
      <c r="M149" s="229"/>
      <c r="N149" t="s">
        <v>502</v>
      </c>
      <c r="O149" t="s">
        <v>502</v>
      </c>
      <c r="P149" s="1474" t="s">
        <v>637</v>
      </c>
      <c r="Q149" s="229"/>
      <c r="R149" s="229" t="s">
        <v>638</v>
      </c>
    </row>
    <row r="150" spans="1:18" x14ac:dyDescent="0.3">
      <c r="A150" t="s">
        <v>636</v>
      </c>
      <c r="B150" s="355">
        <v>271700006765</v>
      </c>
      <c r="C150" s="80" t="s">
        <v>359</v>
      </c>
      <c r="D150" s="242">
        <v>1607278</v>
      </c>
      <c r="E150" s="283">
        <v>1362100</v>
      </c>
      <c r="F150" s="229">
        <v>1607278</v>
      </c>
      <c r="G150" s="366"/>
      <c r="H150" s="282"/>
      <c r="I150" s="229"/>
      <c r="J150" s="278">
        <v>1412312</v>
      </c>
      <c r="K150" s="312">
        <v>43567</v>
      </c>
      <c r="L150" s="289" t="s">
        <v>871</v>
      </c>
      <c r="M150" s="229"/>
      <c r="N150" t="s">
        <v>502</v>
      </c>
      <c r="O150" t="s">
        <v>502</v>
      </c>
      <c r="P150" s="1474"/>
      <c r="Q150" s="229"/>
      <c r="R150" s="229"/>
    </row>
    <row r="151" spans="1:18" x14ac:dyDescent="0.3">
      <c r="A151" t="s">
        <v>636</v>
      </c>
      <c r="B151" s="355">
        <v>271700006813</v>
      </c>
      <c r="C151" s="80" t="s">
        <v>359</v>
      </c>
      <c r="D151" s="242">
        <v>1263839</v>
      </c>
      <c r="E151" s="283">
        <v>1071050</v>
      </c>
      <c r="F151" s="229">
        <v>1263839</v>
      </c>
      <c r="G151" s="366"/>
      <c r="H151" s="282"/>
      <c r="I151" s="229"/>
      <c r="J151" s="278">
        <v>1530000</v>
      </c>
      <c r="K151" s="312">
        <v>43462</v>
      </c>
      <c r="L151" s="289" t="s">
        <v>871</v>
      </c>
      <c r="M151" s="229"/>
      <c r="N151" t="s">
        <v>502</v>
      </c>
      <c r="O151" t="s">
        <v>502</v>
      </c>
      <c r="P151" s="1474"/>
      <c r="Q151" s="229"/>
      <c r="R151" s="229"/>
    </row>
    <row r="152" spans="1:18" x14ac:dyDescent="0.3">
      <c r="A152" t="s">
        <v>636</v>
      </c>
      <c r="B152" s="355">
        <v>271700006882</v>
      </c>
      <c r="C152" s="80" t="s">
        <v>359</v>
      </c>
      <c r="D152" s="242">
        <v>608762</v>
      </c>
      <c r="E152" s="283">
        <v>515900</v>
      </c>
      <c r="F152" s="229">
        <v>608762</v>
      </c>
      <c r="G152" s="366"/>
      <c r="H152" s="282"/>
      <c r="I152" s="229"/>
      <c r="J152" s="278">
        <v>1019832</v>
      </c>
      <c r="K152" s="312">
        <v>43585</v>
      </c>
      <c r="L152" s="289" t="s">
        <v>871</v>
      </c>
      <c r="M152" s="229"/>
      <c r="N152" t="s">
        <v>502</v>
      </c>
      <c r="O152" t="s">
        <v>502</v>
      </c>
      <c r="P152" s="1474"/>
      <c r="Q152" s="229"/>
      <c r="R152" s="229"/>
    </row>
    <row r="153" spans="1:18" x14ac:dyDescent="0.3">
      <c r="A153" t="s">
        <v>636</v>
      </c>
      <c r="B153" s="355">
        <v>271700000000</v>
      </c>
      <c r="C153" s="80" t="s">
        <v>359</v>
      </c>
      <c r="D153" s="242">
        <v>1893782</v>
      </c>
      <c r="E153" s="283">
        <v>1604900</v>
      </c>
      <c r="F153" s="229">
        <v>1893782</v>
      </c>
      <c r="G153" s="366"/>
      <c r="H153" s="282"/>
      <c r="I153" s="229"/>
      <c r="J153" s="278">
        <v>451572</v>
      </c>
      <c r="K153" s="312">
        <v>43620</v>
      </c>
      <c r="L153" s="289" t="s">
        <v>871</v>
      </c>
      <c r="M153" s="229"/>
      <c r="N153" t="s">
        <v>502</v>
      </c>
      <c r="O153" t="s">
        <v>502</v>
      </c>
      <c r="P153" s="1474"/>
      <c r="Q153" s="229"/>
      <c r="R153" s="229"/>
    </row>
    <row r="154" spans="1:18" x14ac:dyDescent="0.3">
      <c r="A154" t="s">
        <v>636</v>
      </c>
      <c r="B154" s="356">
        <v>271700000000</v>
      </c>
      <c r="C154" s="80" t="s">
        <v>359</v>
      </c>
      <c r="D154" s="229">
        <v>512415</v>
      </c>
      <c r="E154" s="278">
        <v>434250</v>
      </c>
      <c r="F154" s="229">
        <v>512415</v>
      </c>
      <c r="G154" s="366"/>
      <c r="H154" s="282"/>
      <c r="I154" s="229"/>
      <c r="J154" s="278">
        <v>765000</v>
      </c>
      <c r="K154" s="312">
        <v>43635</v>
      </c>
      <c r="L154" s="289" t="s">
        <v>871</v>
      </c>
      <c r="M154" s="229"/>
      <c r="N154" t="s">
        <v>502</v>
      </c>
      <c r="O154" t="s">
        <v>502</v>
      </c>
      <c r="P154" s="1474"/>
    </row>
    <row r="155" spans="1:18" x14ac:dyDescent="0.3">
      <c r="A155" t="s">
        <v>636</v>
      </c>
      <c r="B155" s="356">
        <v>271700000000</v>
      </c>
      <c r="C155" s="80" t="s">
        <v>359</v>
      </c>
      <c r="D155" s="229">
        <v>855087</v>
      </c>
      <c r="E155" s="278">
        <v>724650</v>
      </c>
      <c r="F155" s="229">
        <v>855087</v>
      </c>
      <c r="G155" s="366"/>
      <c r="H155" s="282"/>
      <c r="I155" s="229"/>
      <c r="J155" s="278">
        <v>1396516</v>
      </c>
      <c r="K155" s="312">
        <v>43552</v>
      </c>
      <c r="L155" s="289" t="s">
        <v>871</v>
      </c>
      <c r="M155" s="229"/>
      <c r="N155" t="s">
        <v>502</v>
      </c>
      <c r="O155" t="s">
        <v>502</v>
      </c>
      <c r="P155" s="1474"/>
    </row>
    <row r="156" spans="1:18" x14ac:dyDescent="0.3">
      <c r="A156" t="s">
        <v>636</v>
      </c>
      <c r="B156" s="356">
        <v>271700007643</v>
      </c>
      <c r="C156" s="80" t="s">
        <v>359</v>
      </c>
      <c r="D156" s="229">
        <v>378308</v>
      </c>
      <c r="E156" s="278">
        <v>320600</v>
      </c>
      <c r="F156" s="229">
        <v>378308</v>
      </c>
      <c r="G156" s="366"/>
      <c r="H156" s="282"/>
      <c r="I156" s="229"/>
      <c r="J156" s="278">
        <v>1253120</v>
      </c>
      <c r="K156" s="312">
        <v>43535</v>
      </c>
      <c r="L156" s="289" t="s">
        <v>871</v>
      </c>
      <c r="M156" s="229"/>
      <c r="N156" t="s">
        <v>502</v>
      </c>
      <c r="O156" t="s">
        <v>502</v>
      </c>
      <c r="P156" s="1474"/>
    </row>
    <row r="157" spans="1:18" ht="15" thickBot="1" x14ac:dyDescent="0.35">
      <c r="A157" t="s">
        <v>636</v>
      </c>
      <c r="B157" s="356">
        <v>271700007716</v>
      </c>
      <c r="C157" s="80" t="s">
        <v>359</v>
      </c>
      <c r="D157" s="229">
        <v>227209</v>
      </c>
      <c r="E157" s="279">
        <v>192550</v>
      </c>
      <c r="F157" s="229">
        <v>227209</v>
      </c>
      <c r="G157" s="367"/>
      <c r="H157" s="282"/>
      <c r="I157" s="229"/>
      <c r="J157" s="279"/>
      <c r="K157" s="229"/>
      <c r="L157" s="229"/>
      <c r="M157" s="229"/>
      <c r="N157" t="s">
        <v>502</v>
      </c>
      <c r="O157" t="s">
        <v>502</v>
      </c>
      <c r="P157" s="82" t="s">
        <v>639</v>
      </c>
    </row>
    <row r="158" spans="1:18" x14ac:dyDescent="0.3">
      <c r="A158" s="238" t="s">
        <v>640</v>
      </c>
      <c r="B158" s="80">
        <v>2118190458</v>
      </c>
      <c r="C158" s="80" t="s">
        <v>359</v>
      </c>
      <c r="D158" s="229">
        <v>30680</v>
      </c>
      <c r="E158" s="320">
        <v>26000</v>
      </c>
      <c r="F158" s="229">
        <v>30680</v>
      </c>
      <c r="G158" s="368">
        <f>+'WFL Format-4 (2)'!AO32*0+26352330</f>
        <v>26352330</v>
      </c>
      <c r="H158" s="417"/>
      <c r="I158" s="229"/>
      <c r="J158" s="320">
        <v>9000000</v>
      </c>
      <c r="K158" s="312">
        <v>43494</v>
      </c>
      <c r="L158" s="289" t="s">
        <v>871</v>
      </c>
      <c r="M158" s="229"/>
      <c r="N158" t="s">
        <v>502</v>
      </c>
      <c r="O158" t="s">
        <v>502</v>
      </c>
      <c r="P158" s="82" t="s">
        <v>641</v>
      </c>
    </row>
    <row r="159" spans="1:18" x14ac:dyDescent="0.3">
      <c r="A159" t="s">
        <v>640</v>
      </c>
      <c r="B159" s="80">
        <v>2118190550</v>
      </c>
      <c r="C159" s="80" t="s">
        <v>359</v>
      </c>
      <c r="D159" s="229">
        <v>8348000</v>
      </c>
      <c r="E159" s="278">
        <f>4174000*2</f>
        <v>8348000</v>
      </c>
      <c r="F159" s="229">
        <v>8348000</v>
      </c>
      <c r="G159" s="366"/>
      <c r="H159" s="282"/>
      <c r="I159" s="229"/>
      <c r="J159" s="278">
        <v>3775600</v>
      </c>
      <c r="K159" s="312">
        <v>43495</v>
      </c>
      <c r="L159" s="289" t="s">
        <v>871</v>
      </c>
      <c r="M159" s="229"/>
      <c r="N159" t="s">
        <v>502</v>
      </c>
      <c r="O159" t="s">
        <v>502</v>
      </c>
      <c r="P159" s="82" t="s">
        <v>642</v>
      </c>
    </row>
    <row r="160" spans="1:18" x14ac:dyDescent="0.3">
      <c r="A160" t="s">
        <v>640</v>
      </c>
      <c r="B160" s="80">
        <v>2118190551</v>
      </c>
      <c r="C160" s="80" t="s">
        <v>359</v>
      </c>
      <c r="D160" s="229">
        <v>5100000</v>
      </c>
      <c r="E160" s="278">
        <f>2550000*2</f>
        <v>5100000</v>
      </c>
      <c r="F160" s="229">
        <v>5100000</v>
      </c>
      <c r="G160" s="366"/>
      <c r="H160" s="282"/>
      <c r="I160" s="229"/>
      <c r="J160" s="278">
        <v>30680</v>
      </c>
      <c r="K160" s="312">
        <v>43567</v>
      </c>
      <c r="L160" s="289" t="s">
        <v>871</v>
      </c>
      <c r="M160" s="229"/>
      <c r="N160" t="s">
        <v>502</v>
      </c>
      <c r="O160" t="s">
        <v>502</v>
      </c>
      <c r="P160" s="82" t="s">
        <v>642</v>
      </c>
    </row>
    <row r="161" spans="1:16" x14ac:dyDescent="0.3">
      <c r="A161" t="s">
        <v>640</v>
      </c>
      <c r="C161" s="80" t="s">
        <v>359</v>
      </c>
      <c r="D161" s="229"/>
      <c r="E161" s="278"/>
      <c r="F161" s="229"/>
      <c r="G161" s="366"/>
      <c r="H161" s="282"/>
      <c r="I161" s="229"/>
      <c r="J161" s="278">
        <v>1256850</v>
      </c>
      <c r="K161" s="312">
        <v>43762</v>
      </c>
      <c r="L161" s="289" t="s">
        <v>871</v>
      </c>
      <c r="M161" s="229"/>
      <c r="P161" s="82"/>
    </row>
    <row r="162" spans="1:16" ht="15" thickBot="1" x14ac:dyDescent="0.35">
      <c r="A162" t="s">
        <v>640</v>
      </c>
      <c r="B162" s="80">
        <v>2118190593</v>
      </c>
      <c r="C162" s="80" t="s">
        <v>359</v>
      </c>
      <c r="D162" s="229">
        <v>12936000</v>
      </c>
      <c r="E162" s="279">
        <v>12936000</v>
      </c>
      <c r="F162" s="229">
        <v>12936000</v>
      </c>
      <c r="G162" s="367"/>
      <c r="H162" s="282"/>
      <c r="I162" s="229"/>
      <c r="J162" s="279">
        <v>12289200</v>
      </c>
      <c r="K162" s="312">
        <v>43515</v>
      </c>
      <c r="L162" s="289" t="s">
        <v>874</v>
      </c>
      <c r="M162" s="316" t="s">
        <v>873</v>
      </c>
      <c r="N162" t="s">
        <v>502</v>
      </c>
      <c r="O162" t="s">
        <v>502</v>
      </c>
      <c r="P162" s="82" t="s">
        <v>642</v>
      </c>
    </row>
    <row r="163" spans="1:16" ht="15" thickBot="1" x14ac:dyDescent="0.35">
      <c r="A163" s="238" t="s">
        <v>643</v>
      </c>
      <c r="B163" s="80">
        <v>29600294</v>
      </c>
      <c r="C163" s="80" t="s">
        <v>359</v>
      </c>
      <c r="D163" s="229">
        <v>8001990.0099999998</v>
      </c>
      <c r="E163" s="396">
        <v>8001990</v>
      </c>
      <c r="F163" s="229">
        <v>8001990.0099999998</v>
      </c>
      <c r="G163" s="319">
        <f>+'WFL Format-4 (2)'!AO33</f>
        <v>8001990</v>
      </c>
      <c r="H163" s="319"/>
      <c r="I163" s="229"/>
      <c r="J163" s="396">
        <v>8001990</v>
      </c>
      <c r="K163" s="312">
        <v>43482</v>
      </c>
      <c r="L163" s="289" t="s">
        <v>871</v>
      </c>
      <c r="M163" s="229"/>
      <c r="N163" t="s">
        <v>502</v>
      </c>
      <c r="O163" t="s">
        <v>502</v>
      </c>
      <c r="P163" s="82" t="s">
        <v>644</v>
      </c>
    </row>
    <row r="164" spans="1:16" x14ac:dyDescent="0.3">
      <c r="A164" s="238" t="s">
        <v>645</v>
      </c>
      <c r="B164" s="80">
        <v>11924692</v>
      </c>
      <c r="C164" s="80" t="s">
        <v>359</v>
      </c>
      <c r="D164" s="229">
        <v>9817600</v>
      </c>
      <c r="E164" s="320">
        <v>8320000</v>
      </c>
      <c r="F164" s="229">
        <v>9817600</v>
      </c>
      <c r="G164" s="368">
        <f>+'WFL Format-4 (2)'!AO34*0+E164+E165+E166+E167</f>
        <v>31686000</v>
      </c>
      <c r="H164" s="417"/>
      <c r="I164" s="229"/>
      <c r="J164" s="407">
        <v>3168600</v>
      </c>
      <c r="K164" s="312">
        <v>43711</v>
      </c>
      <c r="L164" s="289" t="s">
        <v>871</v>
      </c>
      <c r="M164" s="229"/>
      <c r="N164" t="s">
        <v>502</v>
      </c>
      <c r="O164" t="s">
        <v>502</v>
      </c>
      <c r="P164" s="82" t="s">
        <v>646</v>
      </c>
    </row>
    <row r="165" spans="1:16" x14ac:dyDescent="0.3">
      <c r="A165" t="s">
        <v>645</v>
      </c>
      <c r="B165" s="80">
        <v>11924695</v>
      </c>
      <c r="C165" s="80" t="s">
        <v>359</v>
      </c>
      <c r="D165" s="229">
        <v>9817600.0099999998</v>
      </c>
      <c r="E165" s="278">
        <v>8320000</v>
      </c>
      <c r="F165" s="229">
        <v>9817600.0099999998</v>
      </c>
      <c r="G165" s="278"/>
      <c r="H165" s="229"/>
      <c r="I165" s="229"/>
      <c r="J165" s="280">
        <v>6337200</v>
      </c>
      <c r="K165" s="312">
        <v>43785</v>
      </c>
      <c r="L165" s="289" t="s">
        <v>871</v>
      </c>
      <c r="M165" s="229"/>
      <c r="N165" t="s">
        <v>502</v>
      </c>
      <c r="O165" t="s">
        <v>502</v>
      </c>
      <c r="P165" s="82" t="s">
        <v>646</v>
      </c>
    </row>
    <row r="166" spans="1:16" x14ac:dyDescent="0.3">
      <c r="A166" t="s">
        <v>645</v>
      </c>
      <c r="B166" s="80">
        <v>11924739</v>
      </c>
      <c r="C166" s="80" t="s">
        <v>359</v>
      </c>
      <c r="D166" s="229">
        <v>7754490.3600000003</v>
      </c>
      <c r="E166" s="278">
        <f>2190534*3</f>
        <v>6571602</v>
      </c>
      <c r="F166" s="229">
        <v>7754490.3600000003</v>
      </c>
      <c r="G166" s="278"/>
      <c r="H166" s="229"/>
      <c r="I166" s="229"/>
      <c r="J166" s="278">
        <v>20000000</v>
      </c>
      <c r="K166" s="312">
        <v>43521</v>
      </c>
      <c r="L166" s="289" t="s">
        <v>871</v>
      </c>
      <c r="M166" s="229"/>
      <c r="N166" t="s">
        <v>502</v>
      </c>
      <c r="O166" t="s">
        <v>502</v>
      </c>
      <c r="P166" s="82" t="s">
        <v>647</v>
      </c>
    </row>
    <row r="167" spans="1:16" ht="15" thickBot="1" x14ac:dyDescent="0.35">
      <c r="A167" t="s">
        <v>645</v>
      </c>
      <c r="B167" s="80">
        <v>11924693</v>
      </c>
      <c r="C167" s="80" t="s">
        <v>359</v>
      </c>
      <c r="D167" s="229">
        <v>9999789.6400000006</v>
      </c>
      <c r="E167" s="279">
        <f>8320000+154398</f>
        <v>8474398</v>
      </c>
      <c r="F167" s="229">
        <v>9999789.6400000006</v>
      </c>
      <c r="G167" s="279"/>
      <c r="H167" s="229"/>
      <c r="I167" s="229"/>
      <c r="J167" s="279">
        <v>7883680</v>
      </c>
      <c r="K167" s="312">
        <v>43521</v>
      </c>
      <c r="L167" s="289" t="s">
        <v>871</v>
      </c>
      <c r="M167" s="229"/>
      <c r="N167" t="s">
        <v>502</v>
      </c>
      <c r="O167" t="s">
        <v>502</v>
      </c>
      <c r="P167" s="82" t="s">
        <v>648</v>
      </c>
    </row>
    <row r="168" spans="1:16" x14ac:dyDescent="0.3">
      <c r="D168" s="229"/>
      <c r="E168" s="229"/>
      <c r="F168" s="229"/>
      <c r="G168" s="229"/>
      <c r="H168" s="229"/>
      <c r="I168" s="229"/>
      <c r="J168" s="229"/>
      <c r="K168" s="229"/>
      <c r="L168" s="229"/>
      <c r="M168" s="229"/>
    </row>
    <row r="169" spans="1:16" ht="15" thickBot="1" x14ac:dyDescent="0.35">
      <c r="D169" s="229"/>
      <c r="E169" s="229"/>
      <c r="F169" s="229"/>
      <c r="G169" s="229"/>
      <c r="H169" s="229"/>
      <c r="I169" s="229"/>
      <c r="J169" s="229"/>
      <c r="K169" s="229"/>
      <c r="L169" s="229"/>
      <c r="M169" s="229"/>
    </row>
    <row r="170" spans="1:16" ht="15" thickBot="1" x14ac:dyDescent="0.35">
      <c r="C170" s="80" t="s">
        <v>388</v>
      </c>
      <c r="D170" s="229">
        <f>SUM(D5:D169)</f>
        <v>335841945.49999988</v>
      </c>
      <c r="E170" s="229">
        <f>SUM(E5:E169)</f>
        <v>287058218.12880003</v>
      </c>
      <c r="F170" s="229">
        <f>SUM(F5:F169)</f>
        <v>335841945.49999988</v>
      </c>
      <c r="G170" s="285">
        <f>SUM(G5:G169)</f>
        <v>253387800.36000001</v>
      </c>
      <c r="H170" s="418">
        <f>SUM(H5:H169)</f>
        <v>33612747.76879999</v>
      </c>
      <c r="I170" s="229"/>
      <c r="J170" s="229"/>
      <c r="K170" s="229"/>
      <c r="L170" s="229"/>
      <c r="M170" s="229"/>
    </row>
  </sheetData>
  <mergeCells count="14">
    <mergeCell ref="P115:P117"/>
    <mergeCell ref="P149:P156"/>
    <mergeCell ref="P44:P87"/>
    <mergeCell ref="P88:P90"/>
    <mergeCell ref="P91:P99"/>
    <mergeCell ref="P101:P104"/>
    <mergeCell ref="P105:P107"/>
    <mergeCell ref="P108:P109"/>
    <mergeCell ref="P40:P42"/>
    <mergeCell ref="P5:P7"/>
    <mergeCell ref="P8:P11"/>
    <mergeCell ref="P12:P15"/>
    <mergeCell ref="P21:P26"/>
    <mergeCell ref="P27:P38"/>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C88"/>
  <sheetViews>
    <sheetView workbookViewId="0">
      <pane ySplit="5" topLeftCell="A10" activePane="bottomLeft" state="frozen"/>
      <selection activeCell="D11" sqref="D11:D21"/>
      <selection pane="bottomLeft" activeCell="D11" sqref="D11:D21"/>
    </sheetView>
  </sheetViews>
  <sheetFormatPr defaultColWidth="9.109375" defaultRowHeight="13.2" x14ac:dyDescent="0.3"/>
  <cols>
    <col min="1" max="2" width="0.44140625" style="13" customWidth="1"/>
    <col min="3" max="3" width="15.88671875" style="13" customWidth="1"/>
    <col min="4" max="4" width="5.44140625" style="7" customWidth="1"/>
    <col min="5" max="5" width="33" style="8" customWidth="1"/>
    <col min="6" max="6" width="20.88671875" style="9" customWidth="1"/>
    <col min="7" max="7" width="7.44140625" style="10" bestFit="1" customWidth="1"/>
    <col min="8" max="9" width="15.33203125" style="11" hidden="1" customWidth="1"/>
    <col min="10" max="10" width="28.109375" style="14" hidden="1" customWidth="1"/>
    <col min="11" max="11" width="20.6640625" style="14" customWidth="1"/>
    <col min="12" max="12" width="13.109375" style="14" customWidth="1"/>
    <col min="13" max="13" width="16.44140625" style="14" bestFit="1" customWidth="1"/>
    <col min="14" max="14" width="16.44140625" style="14" customWidth="1"/>
    <col min="15" max="15" width="16.44140625" style="14" hidden="1" customWidth="1"/>
    <col min="16" max="16" width="18.109375" style="14" hidden="1" customWidth="1"/>
    <col min="17" max="20" width="13.109375" style="14" hidden="1" customWidth="1"/>
    <col min="21" max="21" width="7.44140625" style="14" customWidth="1"/>
    <col min="22" max="26" width="7.44140625" style="14" hidden="1" customWidth="1"/>
    <col min="27" max="27" width="16.5546875" style="12" customWidth="1"/>
    <col min="28" max="28" width="10.109375" style="12" customWidth="1"/>
    <col min="29" max="31" width="11.5546875" style="15" customWidth="1"/>
    <col min="32" max="32" width="13.88671875" style="15" bestFit="1" customWidth="1"/>
    <col min="33" max="38" width="10.5546875" style="13" customWidth="1"/>
    <col min="39" max="39" width="11.6640625" style="13" customWidth="1"/>
    <col min="40" max="40" width="10.5546875" style="13" customWidth="1"/>
    <col min="41" max="41" width="18.109375" style="13" bestFit="1" customWidth="1"/>
    <col min="42" max="42" width="22.109375" style="78" bestFit="1" customWidth="1"/>
    <col min="43" max="48" width="10.5546875" style="13" customWidth="1"/>
    <col min="49" max="49" width="16" style="12" bestFit="1" customWidth="1"/>
    <col min="50" max="50" width="13.33203125" style="13" bestFit="1" customWidth="1"/>
    <col min="51" max="51" width="11.109375" style="13" bestFit="1" customWidth="1"/>
    <col min="52" max="52" width="39.109375" style="13" customWidth="1"/>
    <col min="53" max="53" width="12.5546875" style="13" bestFit="1" customWidth="1"/>
    <col min="54" max="54" width="4.109375" style="13" bestFit="1" customWidth="1"/>
    <col min="55" max="55" width="36.44140625" style="163" customWidth="1"/>
    <col min="56" max="16384" width="9.109375" style="13"/>
  </cols>
  <sheetData>
    <row r="1" spans="3:55" x14ac:dyDescent="0.3">
      <c r="H1" s="11" t="s">
        <v>179</v>
      </c>
      <c r="AP1" s="13"/>
    </row>
    <row r="2" spans="3:55" ht="17.25" customHeight="1" x14ac:dyDescent="0.3">
      <c r="E2" s="18" t="s">
        <v>91</v>
      </c>
      <c r="G2" s="16"/>
      <c r="AN2" s="13">
        <f>100-67.17</f>
        <v>32.83</v>
      </c>
      <c r="AP2" s="13"/>
    </row>
    <row r="3" spans="3:55" ht="19.649999999999999" customHeight="1" thickBot="1" x14ac:dyDescent="0.35">
      <c r="E3" s="1211" t="s">
        <v>151</v>
      </c>
      <c r="F3" s="1211"/>
      <c r="G3" s="1211"/>
      <c r="H3" s="1211"/>
      <c r="I3" s="1211"/>
      <c r="J3" s="1211"/>
      <c r="K3" s="1211"/>
      <c r="L3" s="1211"/>
      <c r="M3" s="1211"/>
      <c r="N3" s="1211"/>
      <c r="O3" s="1211"/>
      <c r="P3" s="1211"/>
      <c r="Q3" s="1211"/>
      <c r="R3" s="1211"/>
      <c r="S3" s="1211"/>
      <c r="T3" s="1211"/>
      <c r="U3" s="1211"/>
      <c r="V3" s="1211"/>
      <c r="W3" s="1211"/>
      <c r="X3" s="1211"/>
      <c r="Y3" s="1211"/>
      <c r="Z3" s="1211"/>
      <c r="AA3" s="1211"/>
      <c r="AN3" s="13">
        <f>100-AN2</f>
        <v>67.17</v>
      </c>
      <c r="AP3" s="13"/>
    </row>
    <row r="4" spans="3:55" ht="72.75" customHeight="1" thickBot="1" x14ac:dyDescent="0.35">
      <c r="C4" s="19" t="s">
        <v>763</v>
      </c>
      <c r="D4" s="19"/>
      <c r="E4" s="1219" t="s">
        <v>121</v>
      </c>
      <c r="F4" s="1220"/>
      <c r="G4" s="1221" t="s">
        <v>313</v>
      </c>
      <c r="H4" s="1221" t="s">
        <v>117</v>
      </c>
      <c r="I4" s="1223" t="s">
        <v>315</v>
      </c>
      <c r="J4" s="1208" t="s">
        <v>148</v>
      </c>
      <c r="K4" s="1208" t="s">
        <v>120</v>
      </c>
      <c r="L4" s="1208" t="s">
        <v>149</v>
      </c>
      <c r="M4" s="1221" t="s">
        <v>819</v>
      </c>
      <c r="N4" s="1221" t="s">
        <v>150</v>
      </c>
      <c r="O4" s="1221" t="s">
        <v>821</v>
      </c>
      <c r="P4" s="1221" t="s">
        <v>820</v>
      </c>
      <c r="Q4" s="1208" t="s">
        <v>166</v>
      </c>
      <c r="R4" s="1208" t="s">
        <v>167</v>
      </c>
      <c r="S4" s="1208" t="s">
        <v>168</v>
      </c>
      <c r="T4" s="1208" t="s">
        <v>169</v>
      </c>
      <c r="U4" s="1208" t="s">
        <v>152</v>
      </c>
      <c r="V4" s="1208" t="s">
        <v>153</v>
      </c>
      <c r="W4" s="1208" t="s">
        <v>154</v>
      </c>
      <c r="X4" s="1208" t="s">
        <v>155</v>
      </c>
      <c r="Y4" s="213" t="s">
        <v>339</v>
      </c>
      <c r="Z4" s="1208" t="s">
        <v>156</v>
      </c>
      <c r="AA4" s="1214" t="s">
        <v>118</v>
      </c>
      <c r="AB4" s="1212" t="s">
        <v>119</v>
      </c>
      <c r="AC4" s="1212" t="s">
        <v>158</v>
      </c>
      <c r="AD4" s="1212" t="s">
        <v>173</v>
      </c>
      <c r="AE4" s="1214" t="s">
        <v>122</v>
      </c>
      <c r="AF4" s="1214" t="s">
        <v>172</v>
      </c>
      <c r="AG4" s="1208" t="s">
        <v>123</v>
      </c>
      <c r="AH4" s="1208" t="s">
        <v>125</v>
      </c>
      <c r="AI4" s="1208" t="s">
        <v>126</v>
      </c>
      <c r="AJ4" s="1208" t="s">
        <v>127</v>
      </c>
      <c r="AK4" s="1208" t="s">
        <v>128</v>
      </c>
      <c r="AL4" s="1208" t="s">
        <v>171</v>
      </c>
      <c r="AM4" s="1208" t="s">
        <v>162</v>
      </c>
      <c r="AN4" s="1208" t="s">
        <v>0</v>
      </c>
      <c r="AO4" s="1208" t="s">
        <v>157</v>
      </c>
      <c r="AP4" s="1208" t="s">
        <v>163</v>
      </c>
      <c r="AQ4" s="1208" t="s">
        <v>420</v>
      </c>
      <c r="AR4" s="1208" t="s">
        <v>164</v>
      </c>
      <c r="AS4" s="1208" t="s">
        <v>159</v>
      </c>
      <c r="AT4" s="1208" t="s">
        <v>160</v>
      </c>
      <c r="AU4" s="1208" t="s">
        <v>161</v>
      </c>
      <c r="AV4" s="1208" t="s">
        <v>165</v>
      </c>
      <c r="AW4" s="20"/>
    </row>
    <row r="5" spans="3:55" ht="19.649999999999999" customHeight="1" thickBot="1" x14ac:dyDescent="0.35">
      <c r="D5" s="19"/>
      <c r="E5" s="214" t="s">
        <v>1</v>
      </c>
      <c r="F5" s="60" t="s">
        <v>2</v>
      </c>
      <c r="G5" s="1222"/>
      <c r="H5" s="1222"/>
      <c r="I5" s="1224"/>
      <c r="J5" s="1209"/>
      <c r="K5" s="1209"/>
      <c r="L5" s="1209"/>
      <c r="M5" s="1222"/>
      <c r="N5" s="1222"/>
      <c r="O5" s="1222"/>
      <c r="P5" s="1222"/>
      <c r="Q5" s="1209"/>
      <c r="R5" s="1209"/>
      <c r="S5" s="1209"/>
      <c r="T5" s="1209"/>
      <c r="U5" s="1209"/>
      <c r="V5" s="1209"/>
      <c r="W5" s="1209"/>
      <c r="X5" s="1209"/>
      <c r="Y5" s="197"/>
      <c r="Z5" s="1209"/>
      <c r="AA5" s="1215"/>
      <c r="AB5" s="1213"/>
      <c r="AC5" s="1213"/>
      <c r="AD5" s="1213"/>
      <c r="AE5" s="1215"/>
      <c r="AF5" s="1215"/>
      <c r="AG5" s="1209"/>
      <c r="AH5" s="1209"/>
      <c r="AI5" s="1209"/>
      <c r="AJ5" s="1209"/>
      <c r="AK5" s="1209"/>
      <c r="AL5" s="1209"/>
      <c r="AM5" s="1209"/>
      <c r="AN5" s="1209"/>
      <c r="AO5" s="1209"/>
      <c r="AP5" s="1209"/>
      <c r="AQ5" s="1209"/>
      <c r="AR5" s="1209"/>
      <c r="AS5" s="1209"/>
      <c r="AT5" s="1209"/>
      <c r="AU5" s="1209"/>
      <c r="AV5" s="1209"/>
      <c r="AW5" s="20"/>
      <c r="BC5" s="186" t="s">
        <v>320</v>
      </c>
    </row>
    <row r="6" spans="3:55" s="17" customFormat="1" ht="13.8" thickBot="1" x14ac:dyDescent="0.35">
      <c r="D6" s="21">
        <v>1</v>
      </c>
      <c r="E6" s="22">
        <f>+D6+1</f>
        <v>2</v>
      </c>
      <c r="F6" s="23">
        <f>+E6+1</f>
        <v>3</v>
      </c>
      <c r="G6" s="22">
        <f>+F6+1</f>
        <v>4</v>
      </c>
      <c r="H6" s="22">
        <f>+G6+1</f>
        <v>5</v>
      </c>
      <c r="I6" s="22" t="s">
        <v>314</v>
      </c>
      <c r="J6" s="22">
        <f>+H6+1</f>
        <v>6</v>
      </c>
      <c r="K6" s="22">
        <f t="shared" ref="K6:AV6" si="0">+J6+1</f>
        <v>7</v>
      </c>
      <c r="L6" s="22">
        <f t="shared" si="0"/>
        <v>8</v>
      </c>
      <c r="M6" s="22">
        <f t="shared" si="0"/>
        <v>9</v>
      </c>
      <c r="N6" s="22"/>
      <c r="O6" s="22"/>
      <c r="P6" s="22"/>
      <c r="Q6" s="22">
        <f>+M6+1</f>
        <v>10</v>
      </c>
      <c r="R6" s="22">
        <f t="shared" si="0"/>
        <v>11</v>
      </c>
      <c r="S6" s="22">
        <f t="shared" si="0"/>
        <v>12</v>
      </c>
      <c r="T6" s="22">
        <f t="shared" si="0"/>
        <v>13</v>
      </c>
      <c r="U6" s="22">
        <f t="shared" si="0"/>
        <v>14</v>
      </c>
      <c r="V6" s="22">
        <f t="shared" si="0"/>
        <v>15</v>
      </c>
      <c r="W6" s="22">
        <f t="shared" si="0"/>
        <v>16</v>
      </c>
      <c r="X6" s="22">
        <f t="shared" si="0"/>
        <v>17</v>
      </c>
      <c r="Y6" s="22" t="s">
        <v>338</v>
      </c>
      <c r="Z6" s="22">
        <f>+X6+1</f>
        <v>18</v>
      </c>
      <c r="AA6" s="22">
        <f>+Z6+1</f>
        <v>19</v>
      </c>
      <c r="AB6" s="22">
        <f t="shared" si="0"/>
        <v>20</v>
      </c>
      <c r="AC6" s="22">
        <f t="shared" si="0"/>
        <v>21</v>
      </c>
      <c r="AD6" s="22">
        <f t="shared" si="0"/>
        <v>22</v>
      </c>
      <c r="AE6" s="22">
        <f t="shared" si="0"/>
        <v>23</v>
      </c>
      <c r="AF6" s="24">
        <f t="shared" si="0"/>
        <v>24</v>
      </c>
      <c r="AG6" s="24">
        <f t="shared" si="0"/>
        <v>25</v>
      </c>
      <c r="AH6" s="22">
        <f t="shared" si="0"/>
        <v>26</v>
      </c>
      <c r="AI6" s="22">
        <f t="shared" si="0"/>
        <v>27</v>
      </c>
      <c r="AJ6" s="22">
        <f t="shared" si="0"/>
        <v>28</v>
      </c>
      <c r="AK6" s="22">
        <f t="shared" si="0"/>
        <v>29</v>
      </c>
      <c r="AL6" s="22">
        <f t="shared" si="0"/>
        <v>30</v>
      </c>
      <c r="AM6" s="22">
        <f t="shared" si="0"/>
        <v>31</v>
      </c>
      <c r="AN6" s="22">
        <f t="shared" si="0"/>
        <v>32</v>
      </c>
      <c r="AO6" s="22">
        <f t="shared" si="0"/>
        <v>33</v>
      </c>
      <c r="AP6" s="22">
        <f t="shared" si="0"/>
        <v>34</v>
      </c>
      <c r="AQ6" s="22">
        <f t="shared" si="0"/>
        <v>35</v>
      </c>
      <c r="AR6" s="22">
        <f t="shared" si="0"/>
        <v>36</v>
      </c>
      <c r="AS6" s="22">
        <f t="shared" si="0"/>
        <v>37</v>
      </c>
      <c r="AT6" s="22">
        <f t="shared" si="0"/>
        <v>38</v>
      </c>
      <c r="AU6" s="22">
        <f t="shared" si="0"/>
        <v>39</v>
      </c>
      <c r="AV6" s="22">
        <f t="shared" si="0"/>
        <v>40</v>
      </c>
      <c r="AW6" s="25">
        <v>0.15</v>
      </c>
      <c r="AX6" s="25">
        <v>0.1</v>
      </c>
      <c r="BC6" s="187" t="s">
        <v>316</v>
      </c>
    </row>
    <row r="7" spans="3:55" x14ac:dyDescent="0.3">
      <c r="D7" s="26"/>
      <c r="E7" s="27"/>
      <c r="F7" s="28"/>
      <c r="G7" s="29"/>
      <c r="H7" s="30"/>
      <c r="I7" s="30"/>
      <c r="J7" s="33"/>
      <c r="K7" s="33"/>
      <c r="L7" s="33"/>
      <c r="M7" s="33"/>
      <c r="N7" s="33"/>
      <c r="O7" s="33"/>
      <c r="P7" s="33"/>
      <c r="Q7" s="33"/>
      <c r="R7" s="33"/>
      <c r="S7" s="33"/>
      <c r="T7" s="33"/>
      <c r="U7" s="33"/>
      <c r="V7" s="33"/>
      <c r="W7" s="33"/>
      <c r="X7" s="33"/>
      <c r="Y7" s="33"/>
      <c r="Z7" s="33"/>
      <c r="AA7" s="31"/>
      <c r="AB7" s="31"/>
      <c r="AC7" s="32"/>
      <c r="AD7" s="32"/>
      <c r="AE7" s="73"/>
      <c r="AF7" s="59"/>
      <c r="AG7" s="65"/>
      <c r="AH7" s="66"/>
      <c r="AI7" s="66"/>
      <c r="AJ7" s="66"/>
      <c r="AK7" s="66"/>
      <c r="AL7" s="66"/>
      <c r="AM7" s="66"/>
      <c r="AN7" s="66"/>
      <c r="AO7" s="66"/>
      <c r="AP7" s="66"/>
      <c r="AQ7" s="66"/>
      <c r="AR7" s="66"/>
      <c r="AS7" s="66"/>
      <c r="AT7" s="66"/>
      <c r="AU7" s="66"/>
      <c r="AV7" s="66"/>
      <c r="AW7" s="20"/>
    </row>
    <row r="8" spans="3:55" ht="132" x14ac:dyDescent="0.3">
      <c r="C8" s="13" t="s">
        <v>341</v>
      </c>
      <c r="D8" s="34">
        <v>1</v>
      </c>
      <c r="E8" s="35" t="s">
        <v>94</v>
      </c>
      <c r="F8" s="35"/>
      <c r="G8" s="36">
        <v>2</v>
      </c>
      <c r="H8" s="36">
        <f>+'WFL P&amp;M-RR2'!I24</f>
        <v>195000000</v>
      </c>
      <c r="I8" s="36">
        <f>+'WFL P&amp;M-RR2'!W24</f>
        <v>53000000</v>
      </c>
      <c r="J8" s="35" t="s">
        <v>94</v>
      </c>
      <c r="K8" s="35"/>
      <c r="L8" s="36">
        <v>1</v>
      </c>
      <c r="M8" s="243" t="s">
        <v>347</v>
      </c>
      <c r="N8" s="243">
        <v>1615000</v>
      </c>
      <c r="O8" s="243">
        <v>80</v>
      </c>
      <c r="P8" s="243">
        <f t="shared" ref="P8:P15" si="1">N8*O8</f>
        <v>129200000</v>
      </c>
      <c r="Q8" s="35" t="s">
        <v>502</v>
      </c>
      <c r="R8" s="36" t="s">
        <v>649</v>
      </c>
      <c r="S8" s="36" t="s">
        <v>649</v>
      </c>
      <c r="T8" s="36" t="s">
        <v>649</v>
      </c>
      <c r="U8" s="247">
        <v>2018</v>
      </c>
      <c r="V8" s="35" t="s">
        <v>657</v>
      </c>
      <c r="W8" s="35" t="s">
        <v>658</v>
      </c>
      <c r="X8" s="35" t="s">
        <v>659</v>
      </c>
      <c r="Y8" s="35" t="s">
        <v>659</v>
      </c>
      <c r="Z8" s="35"/>
      <c r="AA8" s="36" t="s">
        <v>651</v>
      </c>
      <c r="AB8" s="36" t="s">
        <v>652</v>
      </c>
      <c r="AC8" s="252" t="s">
        <v>181</v>
      </c>
      <c r="AD8" s="252" t="s">
        <v>181</v>
      </c>
      <c r="AE8" s="34" t="s">
        <v>653</v>
      </c>
      <c r="AF8" s="34" t="s">
        <v>653</v>
      </c>
      <c r="AG8" s="36" t="s">
        <v>660</v>
      </c>
      <c r="AH8" s="70"/>
      <c r="AI8" s="36" t="s">
        <v>661</v>
      </c>
      <c r="AJ8" s="250" t="s">
        <v>180</v>
      </c>
      <c r="AK8" s="70"/>
      <c r="AL8" s="70" t="s">
        <v>656</v>
      </c>
      <c r="AM8" s="70" t="str">
        <f t="shared" ref="AM8:AM14" si="2">M8</f>
        <v>Euro</v>
      </c>
      <c r="AN8" s="253">
        <v>85.078100000000006</v>
      </c>
      <c r="AO8" s="70">
        <f>13740113.15+113766473</f>
        <v>127506586.15000001</v>
      </c>
      <c r="AP8" s="79">
        <v>43382</v>
      </c>
      <c r="AQ8" s="79">
        <v>43577</v>
      </c>
      <c r="AR8" s="70" t="s">
        <v>654</v>
      </c>
      <c r="AS8" s="70" t="s">
        <v>655</v>
      </c>
      <c r="AT8" s="70"/>
      <c r="AU8" s="70"/>
      <c r="AV8" s="70"/>
      <c r="AW8" s="55">
        <f>+H8</f>
        <v>195000000</v>
      </c>
      <c r="AX8" s="17"/>
      <c r="AY8" s="13">
        <f>+AO8/AN8</f>
        <v>1498700.4428871823</v>
      </c>
      <c r="AZ8" s="2" t="s">
        <v>134</v>
      </c>
      <c r="BA8" s="13" t="s">
        <v>133</v>
      </c>
      <c r="BC8" s="163" t="s">
        <v>317</v>
      </c>
    </row>
    <row r="9" spans="3:55" ht="132" x14ac:dyDescent="0.3">
      <c r="C9" s="13" t="s">
        <v>340</v>
      </c>
      <c r="D9" s="34" t="s">
        <v>183</v>
      </c>
      <c r="E9" s="35" t="s">
        <v>94</v>
      </c>
      <c r="F9" s="35"/>
      <c r="G9" s="36"/>
      <c r="H9" s="36"/>
      <c r="I9" s="36"/>
      <c r="J9" s="35" t="s">
        <v>94</v>
      </c>
      <c r="K9" s="35"/>
      <c r="L9" s="36">
        <v>1</v>
      </c>
      <c r="M9" s="244" t="s">
        <v>818</v>
      </c>
      <c r="N9" s="244">
        <v>598500</v>
      </c>
      <c r="O9" s="243">
        <v>80</v>
      </c>
      <c r="P9" s="243">
        <f t="shared" si="1"/>
        <v>47880000</v>
      </c>
      <c r="Q9" s="35" t="s">
        <v>502</v>
      </c>
      <c r="R9" s="36" t="s">
        <v>649</v>
      </c>
      <c r="S9" s="36" t="s">
        <v>649</v>
      </c>
      <c r="T9" s="36" t="s">
        <v>649</v>
      </c>
      <c r="U9" s="247">
        <v>2019</v>
      </c>
      <c r="V9" s="35" t="s">
        <v>662</v>
      </c>
      <c r="W9" s="35"/>
      <c r="X9" s="35"/>
      <c r="Y9" s="35"/>
      <c r="Z9" s="35"/>
      <c r="AA9" s="36" t="s">
        <v>663</v>
      </c>
      <c r="AB9" s="36" t="s">
        <v>664</v>
      </c>
      <c r="AC9" s="252" t="s">
        <v>665</v>
      </c>
      <c r="AD9" s="252" t="s">
        <v>665</v>
      </c>
      <c r="AE9" s="34" t="s">
        <v>653</v>
      </c>
      <c r="AF9" s="34" t="s">
        <v>653</v>
      </c>
      <c r="AG9" s="36" t="s">
        <v>666</v>
      </c>
      <c r="AH9" s="70"/>
      <c r="AI9" s="36" t="s">
        <v>667</v>
      </c>
      <c r="AJ9" s="250" t="s">
        <v>182</v>
      </c>
      <c r="AK9" s="70"/>
      <c r="AL9" s="70"/>
      <c r="AM9" s="70" t="str">
        <f t="shared" si="2"/>
        <v>EURO</v>
      </c>
      <c r="AN9" s="70">
        <v>80.75</v>
      </c>
      <c r="AO9" s="70">
        <f>4731741+38103277+4221804</f>
        <v>47056822</v>
      </c>
      <c r="AP9" s="79">
        <v>43270</v>
      </c>
      <c r="AQ9" s="70"/>
      <c r="AR9" s="70" t="s">
        <v>654</v>
      </c>
      <c r="AS9" s="70" t="s">
        <v>655</v>
      </c>
      <c r="AT9" s="70"/>
      <c r="AU9" s="70"/>
      <c r="AV9" s="70"/>
      <c r="AW9" s="55"/>
      <c r="AX9" s="17"/>
      <c r="AY9" s="13">
        <f t="shared" ref="AY9:AY42" si="3">+AO9/AN9</f>
        <v>582747.0216718266</v>
      </c>
      <c r="AZ9" s="76"/>
    </row>
    <row r="10" spans="3:55" ht="132" x14ac:dyDescent="0.3">
      <c r="C10" s="13" t="s">
        <v>342</v>
      </c>
      <c r="D10" s="34" t="s">
        <v>764</v>
      </c>
      <c r="E10" s="35" t="s">
        <v>94</v>
      </c>
      <c r="F10" s="35"/>
      <c r="G10" s="36"/>
      <c r="H10" s="36"/>
      <c r="I10" s="36"/>
      <c r="J10" s="35" t="s">
        <v>94</v>
      </c>
      <c r="K10" s="35"/>
      <c r="L10" s="36"/>
      <c r="M10" s="244" t="s">
        <v>818</v>
      </c>
      <c r="N10" s="244">
        <v>201500</v>
      </c>
      <c r="O10" s="243">
        <v>80</v>
      </c>
      <c r="P10" s="243">
        <f t="shared" si="1"/>
        <v>16120000</v>
      </c>
      <c r="Q10" s="35" t="s">
        <v>502</v>
      </c>
      <c r="R10" s="36"/>
      <c r="S10" s="36"/>
      <c r="T10" s="36"/>
      <c r="U10" s="247"/>
      <c r="V10" s="35"/>
      <c r="W10" s="35"/>
      <c r="X10" s="35"/>
      <c r="Y10" s="35"/>
      <c r="Z10" s="35"/>
      <c r="AA10" s="36"/>
      <c r="AB10" s="36"/>
      <c r="AC10" s="252"/>
      <c r="AD10" s="252"/>
      <c r="AE10" s="34"/>
      <c r="AF10" s="61"/>
      <c r="AG10" s="36"/>
      <c r="AH10" s="70"/>
      <c r="AI10" s="36"/>
      <c r="AJ10" s="250"/>
      <c r="AK10" s="70"/>
      <c r="AL10" s="70"/>
      <c r="AM10" s="70"/>
      <c r="AN10" s="70"/>
      <c r="AO10" s="70">
        <f>246102.88+1195954.56+1686152+1334236.36+6483061.85+9140624.79+806313.99+3917884.14+5523919.06</f>
        <v>30334249.629999995</v>
      </c>
      <c r="AP10" s="79" t="s">
        <v>765</v>
      </c>
      <c r="AQ10" s="70"/>
      <c r="AR10" s="70"/>
      <c r="AS10" s="70"/>
      <c r="AT10" s="70"/>
      <c r="AU10" s="70"/>
      <c r="AV10" s="70"/>
      <c r="AW10" s="55"/>
      <c r="AX10" s="17"/>
      <c r="AY10" s="13" t="e">
        <f t="shared" si="3"/>
        <v>#DIV/0!</v>
      </c>
      <c r="AZ10" s="76"/>
    </row>
    <row r="11" spans="3:55" ht="118.8" x14ac:dyDescent="0.3">
      <c r="C11" s="13" t="s">
        <v>350</v>
      </c>
      <c r="D11" s="34">
        <f>+D8+1</f>
        <v>2</v>
      </c>
      <c r="E11" s="35" t="s">
        <v>72</v>
      </c>
      <c r="F11" s="35"/>
      <c r="G11" s="36">
        <v>6</v>
      </c>
      <c r="H11" s="36">
        <f>+'WFL P&amp;M-RR2'!I25</f>
        <v>634400000</v>
      </c>
      <c r="I11" s="36">
        <f>+'WFL P&amp;M-RR2'!W25</f>
        <v>344400000</v>
      </c>
      <c r="J11" s="35" t="s">
        <v>72</v>
      </c>
      <c r="K11" s="35"/>
      <c r="L11" s="35">
        <v>6</v>
      </c>
      <c r="M11" s="35" t="s">
        <v>352</v>
      </c>
      <c r="N11" s="35">
        <v>3202000</v>
      </c>
      <c r="O11" s="35">
        <v>70</v>
      </c>
      <c r="P11" s="35">
        <f t="shared" si="1"/>
        <v>224140000</v>
      </c>
      <c r="Q11" s="35" t="s">
        <v>502</v>
      </c>
      <c r="R11" s="35"/>
      <c r="S11" s="35"/>
      <c r="T11" s="35"/>
      <c r="U11" s="35"/>
      <c r="V11" s="35" t="s">
        <v>668</v>
      </c>
      <c r="W11" s="35" t="s">
        <v>669</v>
      </c>
      <c r="X11" s="35"/>
      <c r="Y11" s="35"/>
      <c r="Z11" s="35"/>
      <c r="AA11" s="36" t="s">
        <v>670</v>
      </c>
      <c r="AB11" s="36" t="s">
        <v>671</v>
      </c>
      <c r="AC11" s="37" t="s">
        <v>184</v>
      </c>
      <c r="AD11" s="37" t="s">
        <v>184</v>
      </c>
      <c r="AE11" s="34"/>
      <c r="AF11" s="61">
        <v>930013736</v>
      </c>
      <c r="AG11" s="34" t="s">
        <v>672</v>
      </c>
      <c r="AH11" s="70"/>
      <c r="AI11" s="36" t="s">
        <v>673</v>
      </c>
      <c r="AJ11" s="250" t="s">
        <v>185</v>
      </c>
      <c r="AK11" s="70"/>
      <c r="AL11" s="70"/>
      <c r="AM11" s="70" t="str">
        <f t="shared" si="2"/>
        <v>USD</v>
      </c>
      <c r="AN11" s="253">
        <v>64.112499999999997</v>
      </c>
      <c r="AO11" s="70">
        <v>19283612.600000001</v>
      </c>
      <c r="AP11" s="79">
        <v>42990</v>
      </c>
      <c r="AQ11" s="70"/>
      <c r="AR11" s="70" t="s">
        <v>654</v>
      </c>
      <c r="AS11" s="70" t="s">
        <v>655</v>
      </c>
      <c r="AT11" s="70"/>
      <c r="AU11" s="70"/>
      <c r="AV11" s="70"/>
      <c r="AW11" s="55">
        <f>+H11</f>
        <v>634400000</v>
      </c>
      <c r="AX11" s="17"/>
      <c r="AY11" s="13">
        <f t="shared" si="3"/>
        <v>300777.73601091834</v>
      </c>
      <c r="AZ11" s="13" t="s">
        <v>142</v>
      </c>
      <c r="BA11" s="13" t="s">
        <v>143</v>
      </c>
      <c r="BC11" s="163" t="s">
        <v>318</v>
      </c>
    </row>
    <row r="12" spans="3:55" ht="118.8" x14ac:dyDescent="0.3">
      <c r="C12" s="13" t="s">
        <v>350</v>
      </c>
      <c r="D12" s="34" t="s">
        <v>189</v>
      </c>
      <c r="E12" s="35" t="s">
        <v>72</v>
      </c>
      <c r="F12" s="35"/>
      <c r="G12" s="36"/>
      <c r="H12" s="36"/>
      <c r="I12" s="36"/>
      <c r="J12" s="35" t="s">
        <v>72</v>
      </c>
      <c r="K12" s="35"/>
      <c r="L12" s="35"/>
      <c r="M12" s="35" t="s">
        <v>352</v>
      </c>
      <c r="N12" s="35">
        <v>3408000</v>
      </c>
      <c r="O12" s="35">
        <v>70</v>
      </c>
      <c r="P12" s="35">
        <f t="shared" si="1"/>
        <v>238560000</v>
      </c>
      <c r="Q12" s="35" t="s">
        <v>502</v>
      </c>
      <c r="R12" s="35"/>
      <c r="S12" s="35"/>
      <c r="T12" s="35"/>
      <c r="U12" s="35"/>
      <c r="V12" s="35" t="s">
        <v>674</v>
      </c>
      <c r="W12" s="35" t="s">
        <v>675</v>
      </c>
      <c r="X12" s="35"/>
      <c r="Y12" s="35"/>
      <c r="Z12" s="35"/>
      <c r="AA12" s="36" t="s">
        <v>676</v>
      </c>
      <c r="AB12" s="36" t="s">
        <v>677</v>
      </c>
      <c r="AC12" s="37" t="s">
        <v>184</v>
      </c>
      <c r="AD12" s="37" t="s">
        <v>184</v>
      </c>
      <c r="AE12" s="34"/>
      <c r="AF12" s="61">
        <v>930013736</v>
      </c>
      <c r="AG12" s="34" t="s">
        <v>678</v>
      </c>
      <c r="AH12" s="70"/>
      <c r="AI12" s="36" t="s">
        <v>679</v>
      </c>
      <c r="AJ12" s="250" t="s">
        <v>186</v>
      </c>
      <c r="AK12" s="70"/>
      <c r="AL12" s="70"/>
      <c r="AM12" s="70" t="str">
        <f t="shared" si="2"/>
        <v>USD</v>
      </c>
      <c r="AN12" s="70">
        <v>65.69</v>
      </c>
      <c r="AO12" s="70">
        <f>177363000+115794000</f>
        <v>293157000</v>
      </c>
      <c r="AP12" s="79">
        <v>43202</v>
      </c>
      <c r="AQ12" s="70"/>
      <c r="AR12" s="70" t="s">
        <v>654</v>
      </c>
      <c r="AS12" s="70" t="s">
        <v>655</v>
      </c>
      <c r="AT12" s="70"/>
      <c r="AU12" s="70"/>
      <c r="AV12" s="70"/>
      <c r="AW12" s="55"/>
      <c r="AX12" s="17"/>
      <c r="AY12" s="13">
        <f t="shared" si="3"/>
        <v>4462734.0538894814</v>
      </c>
    </row>
    <row r="13" spans="3:55" ht="132" x14ac:dyDescent="0.3">
      <c r="C13" s="13" t="s">
        <v>350</v>
      </c>
      <c r="D13" s="34" t="s">
        <v>190</v>
      </c>
      <c r="E13" s="35" t="s">
        <v>72</v>
      </c>
      <c r="F13" s="35"/>
      <c r="G13" s="36"/>
      <c r="H13" s="36"/>
      <c r="I13" s="36"/>
      <c r="J13" s="35" t="s">
        <v>72</v>
      </c>
      <c r="K13" s="35"/>
      <c r="L13" s="35"/>
      <c r="M13" s="35" t="s">
        <v>352</v>
      </c>
      <c r="N13" s="35">
        <v>11390000</v>
      </c>
      <c r="O13" s="35">
        <v>70</v>
      </c>
      <c r="P13" s="35">
        <f t="shared" si="1"/>
        <v>797300000</v>
      </c>
      <c r="Q13" s="35" t="s">
        <v>502</v>
      </c>
      <c r="R13" s="35"/>
      <c r="S13" s="35"/>
      <c r="T13" s="35"/>
      <c r="U13" s="35"/>
      <c r="V13" s="35"/>
      <c r="W13" s="35"/>
      <c r="X13" s="35"/>
      <c r="Y13" s="35"/>
      <c r="Z13" s="35"/>
      <c r="AA13" s="82" t="s">
        <v>757</v>
      </c>
      <c r="AB13" s="36" t="s">
        <v>677</v>
      </c>
      <c r="AC13" s="37" t="s">
        <v>184</v>
      </c>
      <c r="AD13" s="37"/>
      <c r="AE13" s="34"/>
      <c r="AF13" s="61">
        <v>930013736</v>
      </c>
      <c r="AG13" s="69"/>
      <c r="AH13" s="70"/>
      <c r="AI13" s="70"/>
      <c r="AJ13" s="250" t="s">
        <v>187</v>
      </c>
      <c r="AK13" s="70"/>
      <c r="AL13" s="254"/>
      <c r="AM13" s="70" t="str">
        <f t="shared" si="2"/>
        <v>USD</v>
      </c>
      <c r="AN13" s="70">
        <v>71.790000000000006</v>
      </c>
      <c r="AO13" s="70">
        <f>244965000+274524900+245294+159029208+149416527</f>
        <v>828180929</v>
      </c>
      <c r="AP13" s="79">
        <v>43354</v>
      </c>
      <c r="AQ13" s="70"/>
      <c r="AR13" s="70" t="s">
        <v>654</v>
      </c>
      <c r="AS13" s="70" t="s">
        <v>655</v>
      </c>
      <c r="AT13" s="70"/>
      <c r="AU13" s="70"/>
      <c r="AV13" s="70"/>
      <c r="AW13" s="55"/>
      <c r="AX13" s="17"/>
      <c r="AY13" s="13">
        <f t="shared" si="3"/>
        <v>11536160.036216741</v>
      </c>
    </row>
    <row r="14" spans="3:55" ht="118.8" x14ac:dyDescent="0.3">
      <c r="C14" s="13" t="s">
        <v>767</v>
      </c>
      <c r="D14" s="34" t="s">
        <v>766</v>
      </c>
      <c r="E14" s="35" t="s">
        <v>72</v>
      </c>
      <c r="F14" s="35"/>
      <c r="G14" s="36"/>
      <c r="H14" s="36"/>
      <c r="I14" s="36"/>
      <c r="J14" s="35" t="s">
        <v>72</v>
      </c>
      <c r="K14" s="35"/>
      <c r="L14" s="35"/>
      <c r="M14" s="35" t="s">
        <v>352</v>
      </c>
      <c r="N14" s="35">
        <v>2300000</v>
      </c>
      <c r="O14" s="35">
        <v>70</v>
      </c>
      <c r="P14" s="35">
        <f t="shared" si="1"/>
        <v>161000000</v>
      </c>
      <c r="Q14" s="35" t="s">
        <v>502</v>
      </c>
      <c r="R14" s="35"/>
      <c r="S14" s="35"/>
      <c r="T14" s="35"/>
      <c r="U14" s="35"/>
      <c r="V14" s="35"/>
      <c r="W14" s="35"/>
      <c r="X14" s="35"/>
      <c r="Y14" s="35"/>
      <c r="Z14" s="261"/>
      <c r="AA14" s="82"/>
      <c r="AB14" s="36"/>
      <c r="AC14" s="37"/>
      <c r="AD14" s="37"/>
      <c r="AE14" s="34"/>
      <c r="AF14" s="61"/>
      <c r="AG14" s="69"/>
      <c r="AH14" s="70"/>
      <c r="AI14" s="70"/>
      <c r="AJ14" s="250"/>
      <c r="AK14" s="70"/>
      <c r="AL14" s="254"/>
      <c r="AM14" s="259" t="str">
        <f t="shared" si="2"/>
        <v>USD</v>
      </c>
      <c r="AN14" s="259">
        <v>69.12</v>
      </c>
      <c r="AO14" s="259">
        <f>24625237.5+69422765+2908923+2415297+36779422</f>
        <v>136151644.5</v>
      </c>
      <c r="AP14" s="79" t="s">
        <v>769</v>
      </c>
      <c r="AQ14" s="70"/>
      <c r="AR14" s="70"/>
      <c r="AS14" s="70"/>
      <c r="AT14" s="70"/>
      <c r="AU14" s="70"/>
      <c r="AV14" s="70"/>
      <c r="AW14" s="55"/>
      <c r="AX14" s="17"/>
      <c r="AY14" s="13">
        <f t="shared" si="3"/>
        <v>1969786.5234374998</v>
      </c>
    </row>
    <row r="15" spans="3:55" ht="132" x14ac:dyDescent="0.3">
      <c r="C15" s="13" t="s">
        <v>353</v>
      </c>
      <c r="D15" s="34">
        <f>+D11+1</f>
        <v>3</v>
      </c>
      <c r="E15" s="35" t="s">
        <v>97</v>
      </c>
      <c r="F15" s="35"/>
      <c r="G15" s="38"/>
      <c r="H15" s="38">
        <f>+'WFL P&amp;M-RR2'!I26</f>
        <v>67600000</v>
      </c>
      <c r="I15" s="38">
        <f>+'WFL P&amp;M-RR2'!W26</f>
        <v>67600000</v>
      </c>
      <c r="J15" s="35" t="s">
        <v>97</v>
      </c>
      <c r="K15" s="35"/>
      <c r="L15" s="35"/>
      <c r="M15" s="259" t="s">
        <v>352</v>
      </c>
      <c r="N15" s="259">
        <v>96840</v>
      </c>
      <c r="O15" s="35">
        <v>70</v>
      </c>
      <c r="P15" s="35">
        <f t="shared" si="1"/>
        <v>6778800</v>
      </c>
      <c r="Q15" s="35" t="s">
        <v>502</v>
      </c>
      <c r="R15" s="35"/>
      <c r="S15" s="35"/>
      <c r="T15" s="35"/>
      <c r="U15" s="35"/>
      <c r="V15" s="35"/>
      <c r="W15" s="35"/>
      <c r="X15" s="35"/>
      <c r="Y15" s="35"/>
      <c r="Z15" s="261"/>
      <c r="AA15" s="262" t="s">
        <v>746</v>
      </c>
      <c r="AB15" s="36"/>
      <c r="AC15" s="37"/>
      <c r="AD15" s="37"/>
      <c r="AE15" s="3"/>
      <c r="AF15" s="62"/>
      <c r="AG15" s="69"/>
      <c r="AH15" s="70"/>
      <c r="AI15" s="70"/>
      <c r="AJ15" s="70"/>
      <c r="AK15" s="70"/>
      <c r="AL15" s="70"/>
      <c r="AM15" s="259" t="s">
        <v>747</v>
      </c>
      <c r="AN15" s="260">
        <v>71.45</v>
      </c>
      <c r="AO15" s="149">
        <f>675459+6176963.61</f>
        <v>6852422.6100000003</v>
      </c>
      <c r="AP15" s="79" t="s">
        <v>745</v>
      </c>
      <c r="AQ15" s="70"/>
      <c r="AR15" s="70" t="s">
        <v>654</v>
      </c>
      <c r="AS15" s="70" t="s">
        <v>655</v>
      </c>
      <c r="AT15" s="70"/>
      <c r="AU15" s="70"/>
      <c r="AV15" s="70"/>
      <c r="AW15" s="55">
        <f>+H15</f>
        <v>67600000</v>
      </c>
      <c r="AX15" s="17"/>
      <c r="AY15" s="13">
        <f t="shared" si="3"/>
        <v>95905.144996501054</v>
      </c>
      <c r="AZ15" s="13" t="s">
        <v>144</v>
      </c>
      <c r="BA15" s="13" t="s">
        <v>143</v>
      </c>
      <c r="BC15" s="163" t="s">
        <v>319</v>
      </c>
    </row>
    <row r="16" spans="3:55" ht="105.6" x14ac:dyDescent="0.3">
      <c r="C16" s="13" t="s">
        <v>356</v>
      </c>
      <c r="D16" s="34">
        <f t="shared" ref="D16:D42" si="4">+D15+1</f>
        <v>4</v>
      </c>
      <c r="E16" s="35" t="s">
        <v>98</v>
      </c>
      <c r="F16" s="35"/>
      <c r="G16" s="38">
        <v>1</v>
      </c>
      <c r="H16" s="38">
        <f>+'WFL P&amp;M-RR2'!I27</f>
        <v>375000000</v>
      </c>
      <c r="I16" s="38">
        <f>+'WFL P&amp;M-RR2'!W27</f>
        <v>275000000</v>
      </c>
      <c r="J16" s="35" t="s">
        <v>98</v>
      </c>
      <c r="K16" s="35"/>
      <c r="L16" s="38">
        <v>1</v>
      </c>
      <c r="M16" s="35" t="s">
        <v>347</v>
      </c>
      <c r="N16" s="35">
        <v>817000</v>
      </c>
      <c r="O16" s="243">
        <v>80</v>
      </c>
      <c r="P16" s="243">
        <f t="shared" ref="P16:P22" si="5">N16*O16</f>
        <v>65360000</v>
      </c>
      <c r="Q16" s="35" t="s">
        <v>502</v>
      </c>
      <c r="R16" s="35"/>
      <c r="S16" s="35"/>
      <c r="T16" s="35"/>
      <c r="U16" s="248">
        <v>2019</v>
      </c>
      <c r="V16" s="35" t="s">
        <v>680</v>
      </c>
      <c r="W16" s="35"/>
      <c r="X16" s="35"/>
      <c r="Y16" s="35"/>
      <c r="Z16" s="35"/>
      <c r="AA16" s="36" t="s">
        <v>681</v>
      </c>
      <c r="AB16" s="36" t="s">
        <v>682</v>
      </c>
      <c r="AC16" s="37" t="s">
        <v>683</v>
      </c>
      <c r="AD16" s="37" t="s">
        <v>683</v>
      </c>
      <c r="AE16" s="3"/>
      <c r="AF16" s="61">
        <v>930013736</v>
      </c>
      <c r="AG16" s="36" t="s">
        <v>684</v>
      </c>
      <c r="AH16" s="70"/>
      <c r="AI16" s="36" t="s">
        <v>685</v>
      </c>
      <c r="AJ16" s="250" t="s">
        <v>185</v>
      </c>
      <c r="AK16" s="70"/>
      <c r="AL16" s="70"/>
      <c r="AM16" s="70" t="str">
        <f t="shared" ref="AM16:AM23" si="6">M16</f>
        <v>Euro</v>
      </c>
      <c r="AN16" s="70">
        <v>78.55</v>
      </c>
      <c r="AO16" s="70">
        <v>5356253</v>
      </c>
      <c r="AP16" s="249">
        <v>43664</v>
      </c>
      <c r="AQ16" s="70"/>
      <c r="AR16" s="70" t="s">
        <v>654</v>
      </c>
      <c r="AS16" s="70" t="s">
        <v>655</v>
      </c>
      <c r="AT16" s="70"/>
      <c r="AU16" s="70"/>
      <c r="AV16" s="70"/>
      <c r="AW16" s="55">
        <f>+H16</f>
        <v>375000000</v>
      </c>
      <c r="AX16" s="17"/>
      <c r="AY16" s="13">
        <f t="shared" si="3"/>
        <v>68189.089751750478</v>
      </c>
      <c r="AZ16" s="2" t="s">
        <v>18</v>
      </c>
      <c r="BA16" s="13" t="s">
        <v>143</v>
      </c>
      <c r="BC16" s="163" t="s">
        <v>321</v>
      </c>
    </row>
    <row r="17" spans="3:55" ht="105.6" x14ac:dyDescent="0.3">
      <c r="C17" s="13" t="s">
        <v>356</v>
      </c>
      <c r="D17" s="34"/>
      <c r="E17" s="35" t="s">
        <v>98</v>
      </c>
      <c r="F17" s="35"/>
      <c r="G17" s="38"/>
      <c r="H17" s="38"/>
      <c r="I17" s="38"/>
      <c r="J17" s="35" t="s">
        <v>98</v>
      </c>
      <c r="K17" s="35"/>
      <c r="L17" s="35"/>
      <c r="M17" s="35" t="s">
        <v>347</v>
      </c>
      <c r="N17" s="35">
        <v>668500</v>
      </c>
      <c r="O17" s="243">
        <v>80</v>
      </c>
      <c r="P17" s="243">
        <f t="shared" si="5"/>
        <v>53480000</v>
      </c>
      <c r="Q17" s="35" t="s">
        <v>502</v>
      </c>
      <c r="R17" s="35"/>
      <c r="S17" s="35"/>
      <c r="T17" s="35"/>
      <c r="U17" s="35"/>
      <c r="V17" s="35"/>
      <c r="W17" s="35"/>
      <c r="X17" s="35"/>
      <c r="Y17" s="35"/>
      <c r="Z17" s="35"/>
      <c r="AA17" s="36" t="s">
        <v>686</v>
      </c>
      <c r="AB17" s="36" t="s">
        <v>687</v>
      </c>
      <c r="AC17" s="37" t="s">
        <v>683</v>
      </c>
      <c r="AD17" s="37" t="s">
        <v>683</v>
      </c>
      <c r="AE17" s="3"/>
      <c r="AF17" s="61">
        <v>930013736</v>
      </c>
      <c r="AG17" s="36" t="s">
        <v>692</v>
      </c>
      <c r="AH17" s="70"/>
      <c r="AI17" s="36" t="s">
        <v>693</v>
      </c>
      <c r="AJ17" s="250" t="s">
        <v>186</v>
      </c>
      <c r="AK17" s="70"/>
      <c r="AL17" s="334"/>
      <c r="AM17" s="70" t="str">
        <f t="shared" si="6"/>
        <v>Euro</v>
      </c>
      <c r="AN17" s="70">
        <v>80</v>
      </c>
      <c r="AO17" s="70">
        <f>38354866</f>
        <v>38354866</v>
      </c>
      <c r="AP17" s="249">
        <v>43555</v>
      </c>
      <c r="AQ17" s="70"/>
      <c r="AR17" s="70" t="s">
        <v>654</v>
      </c>
      <c r="AS17" s="70" t="s">
        <v>655</v>
      </c>
      <c r="AT17" s="70"/>
      <c r="AU17" s="70"/>
      <c r="AV17" s="70"/>
      <c r="AW17" s="55"/>
      <c r="AX17" s="17"/>
      <c r="AY17" s="13">
        <f t="shared" si="3"/>
        <v>479435.82500000001</v>
      </c>
      <c r="AZ17" s="2"/>
    </row>
    <row r="18" spans="3:55" ht="132" x14ac:dyDescent="0.3">
      <c r="C18" s="13" t="s">
        <v>356</v>
      </c>
      <c r="D18" s="34"/>
      <c r="E18" s="35" t="s">
        <v>98</v>
      </c>
      <c r="F18" s="35"/>
      <c r="G18" s="38"/>
      <c r="H18" s="38"/>
      <c r="I18" s="38"/>
      <c r="J18" s="35" t="s">
        <v>98</v>
      </c>
      <c r="K18" s="35"/>
      <c r="L18" s="35"/>
      <c r="M18" s="35" t="s">
        <v>347</v>
      </c>
      <c r="N18" s="35">
        <v>585000</v>
      </c>
      <c r="O18" s="243">
        <v>80</v>
      </c>
      <c r="P18" s="243">
        <f t="shared" si="5"/>
        <v>46800000</v>
      </c>
      <c r="Q18" s="35" t="s">
        <v>502</v>
      </c>
      <c r="R18" s="35"/>
      <c r="S18" s="35"/>
      <c r="T18" s="35"/>
      <c r="U18" s="35"/>
      <c r="V18" s="35"/>
      <c r="W18" s="35"/>
      <c r="X18" s="35"/>
      <c r="Y18" s="35"/>
      <c r="Z18" s="35"/>
      <c r="AA18" s="36" t="s">
        <v>688</v>
      </c>
      <c r="AB18" s="36" t="s">
        <v>689</v>
      </c>
      <c r="AC18" s="37" t="s">
        <v>683</v>
      </c>
      <c r="AD18" s="37" t="s">
        <v>683</v>
      </c>
      <c r="AE18" s="3"/>
      <c r="AF18" s="61">
        <v>930013736</v>
      </c>
      <c r="AG18" s="36" t="s">
        <v>694</v>
      </c>
      <c r="AH18" s="70"/>
      <c r="AI18" s="36" t="s">
        <v>695</v>
      </c>
      <c r="AJ18" s="250" t="s">
        <v>187</v>
      </c>
      <c r="AK18" s="70"/>
      <c r="AL18" s="70"/>
      <c r="AM18" s="70" t="str">
        <f t="shared" si="6"/>
        <v>Euro</v>
      </c>
      <c r="AN18" s="70">
        <v>78.55</v>
      </c>
      <c r="AO18" s="70">
        <f>54938869</f>
        <v>54938869</v>
      </c>
      <c r="AP18" s="249">
        <v>43392</v>
      </c>
      <c r="AQ18" s="70"/>
      <c r="AR18" s="70" t="s">
        <v>654</v>
      </c>
      <c r="AS18" s="70" t="s">
        <v>655</v>
      </c>
      <c r="AT18" s="70"/>
      <c r="AU18" s="70"/>
      <c r="AV18" s="70"/>
      <c r="AW18" s="55"/>
      <c r="AX18" s="17"/>
      <c r="AY18" s="13">
        <f t="shared" si="3"/>
        <v>699412.71801400383</v>
      </c>
      <c r="AZ18" s="2"/>
    </row>
    <row r="19" spans="3:55" ht="132" x14ac:dyDescent="0.3">
      <c r="C19" s="13" t="s">
        <v>356</v>
      </c>
      <c r="D19" s="34"/>
      <c r="E19" s="35" t="s">
        <v>98</v>
      </c>
      <c r="F19" s="35"/>
      <c r="G19" s="38"/>
      <c r="H19" s="38"/>
      <c r="I19" s="38"/>
      <c r="J19" s="35" t="s">
        <v>98</v>
      </c>
      <c r="K19" s="35"/>
      <c r="L19" s="35"/>
      <c r="M19" s="35" t="s">
        <v>347</v>
      </c>
      <c r="N19" s="35">
        <v>649500</v>
      </c>
      <c r="O19" s="243">
        <v>80</v>
      </c>
      <c r="P19" s="243">
        <f t="shared" si="5"/>
        <v>51960000</v>
      </c>
      <c r="Q19" s="35" t="s">
        <v>502</v>
      </c>
      <c r="R19" s="35"/>
      <c r="S19" s="35"/>
      <c r="T19" s="35"/>
      <c r="U19" s="35"/>
      <c r="V19" s="35"/>
      <c r="W19" s="35"/>
      <c r="X19" s="35"/>
      <c r="Y19" s="35"/>
      <c r="Z19" s="35"/>
      <c r="AA19" s="36" t="s">
        <v>690</v>
      </c>
      <c r="AB19" s="36" t="s">
        <v>691</v>
      </c>
      <c r="AC19" s="37" t="s">
        <v>683</v>
      </c>
      <c r="AD19" s="37" t="s">
        <v>683</v>
      </c>
      <c r="AE19" s="3"/>
      <c r="AF19" s="61">
        <v>930013736</v>
      </c>
      <c r="AG19" s="36" t="s">
        <v>696</v>
      </c>
      <c r="AH19" s="70"/>
      <c r="AI19" s="36" t="s">
        <v>697</v>
      </c>
      <c r="AJ19" s="250" t="s">
        <v>188</v>
      </c>
      <c r="AK19" s="70"/>
      <c r="AL19" s="70"/>
      <c r="AM19" s="70" t="str">
        <f t="shared" si="6"/>
        <v>Euro</v>
      </c>
      <c r="AN19" s="70">
        <v>80.3</v>
      </c>
      <c r="AO19" s="70">
        <f>27588003.3+32529965.04+43995764+30726910+4596491+5231013+6319495</f>
        <v>150987641.34</v>
      </c>
      <c r="AP19" s="249">
        <v>43555</v>
      </c>
      <c r="AQ19" s="70"/>
      <c r="AR19" s="70" t="s">
        <v>654</v>
      </c>
      <c r="AS19" s="70" t="s">
        <v>655</v>
      </c>
      <c r="AT19" s="70"/>
      <c r="AU19" s="70"/>
      <c r="AV19" s="70"/>
      <c r="AW19" s="55"/>
      <c r="AX19" s="17"/>
      <c r="AY19" s="13">
        <f t="shared" si="3"/>
        <v>1880294.4127023662</v>
      </c>
      <c r="AZ19" s="2"/>
    </row>
    <row r="20" spans="3:55" x14ac:dyDescent="0.3">
      <c r="C20" s="13" t="s">
        <v>356</v>
      </c>
      <c r="D20" s="34"/>
      <c r="E20" s="35" t="s">
        <v>98</v>
      </c>
      <c r="F20" s="35"/>
      <c r="G20" s="38"/>
      <c r="H20" s="38"/>
      <c r="I20" s="38"/>
      <c r="J20" s="35" t="s">
        <v>98</v>
      </c>
      <c r="K20" s="35"/>
      <c r="L20" s="35"/>
      <c r="M20" s="35" t="s">
        <v>347</v>
      </c>
      <c r="N20" s="35">
        <v>692000</v>
      </c>
      <c r="O20" s="243">
        <v>80</v>
      </c>
      <c r="P20" s="243">
        <f t="shared" si="5"/>
        <v>55360000</v>
      </c>
      <c r="Q20" s="35" t="s">
        <v>502</v>
      </c>
      <c r="R20" s="35"/>
      <c r="S20" s="35"/>
      <c r="T20" s="35"/>
      <c r="U20" s="35"/>
      <c r="V20" s="35"/>
      <c r="W20" s="35"/>
      <c r="X20" s="35"/>
      <c r="Y20" s="35"/>
      <c r="Z20" s="35"/>
      <c r="AA20" s="36">
        <v>654</v>
      </c>
      <c r="AB20" s="36"/>
      <c r="AC20" s="37"/>
      <c r="AD20" s="37"/>
      <c r="AE20" s="3"/>
      <c r="AF20" s="61"/>
      <c r="AG20" s="36"/>
      <c r="AH20" s="70"/>
      <c r="AI20" s="36"/>
      <c r="AJ20" s="250"/>
      <c r="AK20" s="70"/>
      <c r="AL20" s="70"/>
      <c r="AM20" s="70" t="str">
        <f t="shared" si="6"/>
        <v>Euro</v>
      </c>
      <c r="AN20" s="70">
        <v>80.3</v>
      </c>
      <c r="AO20" s="70">
        <v>35000100</v>
      </c>
      <c r="AP20" s="249"/>
      <c r="AQ20" s="70"/>
      <c r="AR20" s="70"/>
      <c r="AS20" s="70"/>
      <c r="AT20" s="70"/>
      <c r="AU20" s="70"/>
      <c r="AV20" s="70"/>
      <c r="AW20" s="55"/>
      <c r="AX20" s="17"/>
      <c r="AY20" s="13">
        <f t="shared" si="3"/>
        <v>435866.74968866754</v>
      </c>
      <c r="AZ20" s="2"/>
    </row>
    <row r="21" spans="3:55" x14ac:dyDescent="0.3">
      <c r="C21" s="13" t="s">
        <v>356</v>
      </c>
      <c r="D21" s="34"/>
      <c r="E21" s="35" t="s">
        <v>98</v>
      </c>
      <c r="F21" s="35"/>
      <c r="G21" s="38"/>
      <c r="H21" s="38"/>
      <c r="I21" s="38"/>
      <c r="J21" s="35" t="s">
        <v>98</v>
      </c>
      <c r="K21" s="35"/>
      <c r="L21" s="35"/>
      <c r="M21" s="35" t="s">
        <v>347</v>
      </c>
      <c r="N21" s="35">
        <v>358000</v>
      </c>
      <c r="O21" s="243">
        <v>80</v>
      </c>
      <c r="P21" s="243">
        <f t="shared" si="5"/>
        <v>28640000</v>
      </c>
      <c r="Q21" s="35" t="s">
        <v>502</v>
      </c>
      <c r="R21" s="35"/>
      <c r="S21" s="35"/>
      <c r="T21" s="35"/>
      <c r="U21" s="35"/>
      <c r="V21" s="35"/>
      <c r="W21" s="35"/>
      <c r="X21" s="35"/>
      <c r="Y21" s="35"/>
      <c r="Z21" s="35"/>
      <c r="AA21" s="36">
        <v>657</v>
      </c>
      <c r="AB21" s="36"/>
      <c r="AC21" s="37"/>
      <c r="AD21" s="37"/>
      <c r="AE21" s="3"/>
      <c r="AF21" s="61"/>
      <c r="AG21" s="36"/>
      <c r="AH21" s="70"/>
      <c r="AI21" s="36"/>
      <c r="AJ21" s="250"/>
      <c r="AK21" s="70"/>
      <c r="AL21" s="70"/>
      <c r="AM21" s="70" t="str">
        <f t="shared" si="6"/>
        <v>Euro</v>
      </c>
      <c r="AN21" s="70">
        <v>80.3</v>
      </c>
      <c r="AO21" s="70">
        <f>5123906+7407386+2328885+2644252</f>
        <v>17504429</v>
      </c>
      <c r="AP21" s="249"/>
      <c r="AQ21" s="70"/>
      <c r="AR21" s="70"/>
      <c r="AS21" s="70"/>
      <c r="AT21" s="70"/>
      <c r="AU21" s="70"/>
      <c r="AV21" s="70"/>
      <c r="AW21" s="55"/>
      <c r="AX21" s="17"/>
      <c r="AY21" s="13">
        <f t="shared" si="3"/>
        <v>217987.90784557909</v>
      </c>
      <c r="AZ21" s="2"/>
    </row>
    <row r="22" spans="3:55" x14ac:dyDescent="0.3">
      <c r="C22" s="13" t="s">
        <v>356</v>
      </c>
      <c r="D22" s="34"/>
      <c r="E22" s="35" t="s">
        <v>98</v>
      </c>
      <c r="F22" s="35"/>
      <c r="G22" s="38"/>
      <c r="H22" s="38"/>
      <c r="I22" s="38"/>
      <c r="J22" s="35" t="s">
        <v>98</v>
      </c>
      <c r="K22" s="35"/>
      <c r="L22" s="35"/>
      <c r="M22" s="35" t="s">
        <v>347</v>
      </c>
      <c r="N22" s="35">
        <v>580000</v>
      </c>
      <c r="O22" s="243">
        <v>80</v>
      </c>
      <c r="P22" s="243">
        <f t="shared" si="5"/>
        <v>46400000</v>
      </c>
      <c r="Q22" s="35" t="s">
        <v>502</v>
      </c>
      <c r="R22" s="35"/>
      <c r="S22" s="35"/>
      <c r="T22" s="35"/>
      <c r="U22" s="35"/>
      <c r="V22" s="35"/>
      <c r="W22" s="35"/>
      <c r="X22" s="35"/>
      <c r="Y22" s="35"/>
      <c r="Z22" s="35"/>
      <c r="AA22" s="36">
        <v>658</v>
      </c>
      <c r="AB22" s="36"/>
      <c r="AC22" s="37"/>
      <c r="AD22" s="37"/>
      <c r="AE22" s="3"/>
      <c r="AF22" s="61"/>
      <c r="AG22" s="36"/>
      <c r="AH22" s="70"/>
      <c r="AI22" s="36"/>
      <c r="AJ22" s="250"/>
      <c r="AK22" s="70"/>
      <c r="AL22" s="70"/>
      <c r="AM22" s="70" t="str">
        <f t="shared" si="6"/>
        <v>Euro</v>
      </c>
      <c r="AN22" s="70">
        <v>80.3</v>
      </c>
      <c r="AO22" s="70">
        <f>30713230+3236546+2729940</f>
        <v>36679716</v>
      </c>
      <c r="AP22" s="249"/>
      <c r="AQ22" s="70"/>
      <c r="AR22" s="70"/>
      <c r="AS22" s="70"/>
      <c r="AT22" s="70"/>
      <c r="AU22" s="70"/>
      <c r="AV22" s="70"/>
      <c r="AW22" s="55"/>
      <c r="AX22" s="17"/>
      <c r="AY22" s="13">
        <f t="shared" si="3"/>
        <v>456783.51183063514</v>
      </c>
      <c r="AZ22" s="2"/>
    </row>
    <row r="23" spans="3:55" ht="119.4" thickBot="1" x14ac:dyDescent="0.35">
      <c r="C23" s="36" t="s">
        <v>357</v>
      </c>
      <c r="D23" s="34">
        <f>+D16+1</f>
        <v>5</v>
      </c>
      <c r="E23" s="35" t="s">
        <v>102</v>
      </c>
      <c r="F23" s="35"/>
      <c r="G23" s="40">
        <v>1</v>
      </c>
      <c r="H23" s="40">
        <f>+'WFL P&amp;M-RR2'!I28</f>
        <v>6500000</v>
      </c>
      <c r="I23" s="40">
        <f>+'WFL P&amp;M-RR2'!W28</f>
        <v>6500000</v>
      </c>
      <c r="J23" s="35" t="s">
        <v>102</v>
      </c>
      <c r="K23" s="35"/>
      <c r="L23" s="40">
        <v>1</v>
      </c>
      <c r="M23" s="35" t="s">
        <v>359</v>
      </c>
      <c r="N23" s="35">
        <v>5650000</v>
      </c>
      <c r="O23" s="35"/>
      <c r="P23" s="35">
        <f>N23</f>
        <v>5650000</v>
      </c>
      <c r="Q23" s="35" t="s">
        <v>502</v>
      </c>
      <c r="R23" s="35"/>
      <c r="S23" s="35"/>
      <c r="T23" s="35"/>
      <c r="U23" s="248">
        <v>2019</v>
      </c>
      <c r="V23" s="35" t="s">
        <v>698</v>
      </c>
      <c r="W23" s="248">
        <v>505</v>
      </c>
      <c r="X23" s="35"/>
      <c r="Y23" s="35"/>
      <c r="Z23" s="35"/>
      <c r="AA23" s="36" t="s">
        <v>749</v>
      </c>
      <c r="AB23" s="36"/>
      <c r="AC23" s="37"/>
      <c r="AD23" s="37"/>
      <c r="AE23" s="41"/>
      <c r="AF23" s="63"/>
      <c r="AG23" s="69"/>
      <c r="AH23" s="70"/>
      <c r="AI23" s="70"/>
      <c r="AJ23" s="70"/>
      <c r="AK23" s="70"/>
      <c r="AL23" s="70"/>
      <c r="AM23" s="70" t="str">
        <f t="shared" si="6"/>
        <v>INR</v>
      </c>
      <c r="AN23" s="70"/>
      <c r="AO23" s="70">
        <f xml:space="preserve"> 565000+5537000+115640+565000</f>
        <v>6782640</v>
      </c>
      <c r="AP23" s="79" t="s">
        <v>748</v>
      </c>
      <c r="AQ23" s="70"/>
      <c r="AR23" s="70" t="s">
        <v>654</v>
      </c>
      <c r="AS23" s="70" t="s">
        <v>655</v>
      </c>
      <c r="AT23" s="70"/>
      <c r="AU23" s="70"/>
      <c r="AV23" s="70"/>
      <c r="AW23" s="55">
        <f>+H23</f>
        <v>6500000</v>
      </c>
      <c r="AX23" s="17"/>
      <c r="AY23" s="13" t="e">
        <f t="shared" si="3"/>
        <v>#DIV/0!</v>
      </c>
      <c r="AZ23" s="2" t="s">
        <v>17</v>
      </c>
      <c r="BA23" s="13" t="s">
        <v>143</v>
      </c>
      <c r="BC23" s="163" t="s">
        <v>322</v>
      </c>
    </row>
    <row r="24" spans="3:55" ht="92.4" x14ac:dyDescent="0.3">
      <c r="C24" s="13" t="s">
        <v>350</v>
      </c>
      <c r="D24" s="34">
        <f t="shared" si="4"/>
        <v>6</v>
      </c>
      <c r="E24" s="35" t="s">
        <v>114</v>
      </c>
      <c r="F24" s="35"/>
      <c r="G24" s="36" t="s">
        <v>100</v>
      </c>
      <c r="H24" s="36">
        <f>+'WFL P&amp;M-RR2'!I29</f>
        <v>785850000</v>
      </c>
      <c r="I24" s="36">
        <f>+'WFL P&amp;M-RR2'!W29</f>
        <v>485850000</v>
      </c>
      <c r="J24" s="35"/>
      <c r="K24" s="35"/>
      <c r="L24" s="35">
        <v>1</v>
      </c>
      <c r="M24" s="35" t="s">
        <v>352</v>
      </c>
      <c r="N24" s="35">
        <v>12090000</v>
      </c>
      <c r="O24" s="35">
        <v>70</v>
      </c>
      <c r="P24" s="35">
        <f>N24*O24</f>
        <v>846300000</v>
      </c>
      <c r="Q24" s="35" t="s">
        <v>502</v>
      </c>
      <c r="R24" s="35"/>
      <c r="S24" s="35"/>
      <c r="T24" s="35"/>
      <c r="U24" s="35"/>
      <c r="V24" s="35" t="s">
        <v>699</v>
      </c>
      <c r="W24" s="35" t="s">
        <v>700</v>
      </c>
      <c r="X24" s="35"/>
      <c r="Y24" s="35"/>
      <c r="Z24" s="35"/>
      <c r="AA24" s="36" t="s">
        <v>701</v>
      </c>
      <c r="AB24" s="36" t="s">
        <v>702</v>
      </c>
      <c r="AC24" s="37" t="s">
        <v>184</v>
      </c>
      <c r="AD24" s="37" t="s">
        <v>184</v>
      </c>
      <c r="AE24" s="34"/>
      <c r="AF24" s="61"/>
      <c r="AG24" s="34" t="s">
        <v>703</v>
      </c>
      <c r="AH24" s="70"/>
      <c r="AI24" s="34" t="s">
        <v>704</v>
      </c>
      <c r="AJ24" s="250" t="s">
        <v>705</v>
      </c>
      <c r="AK24" s="70"/>
      <c r="AL24" s="70"/>
      <c r="AM24" s="70" t="s">
        <v>706</v>
      </c>
      <c r="AN24" s="70">
        <v>72.55</v>
      </c>
      <c r="AO24" s="70"/>
      <c r="AP24" s="249">
        <v>43340</v>
      </c>
      <c r="AQ24" s="70"/>
      <c r="AR24" s="70" t="s">
        <v>654</v>
      </c>
      <c r="AS24" s="70" t="s">
        <v>655</v>
      </c>
      <c r="AT24" s="70"/>
      <c r="AU24" s="70"/>
      <c r="AV24" s="70"/>
      <c r="AW24" s="55">
        <f>+H24</f>
        <v>785850000</v>
      </c>
      <c r="AX24" s="17"/>
      <c r="AY24" s="13">
        <f t="shared" si="3"/>
        <v>0</v>
      </c>
      <c r="AZ24" s="6" t="s">
        <v>19</v>
      </c>
      <c r="BA24" s="13" t="s">
        <v>143</v>
      </c>
      <c r="BC24" s="163" t="s">
        <v>323</v>
      </c>
    </row>
    <row r="25" spans="3:55" ht="132" x14ac:dyDescent="0.3">
      <c r="C25" s="233" t="s">
        <v>774</v>
      </c>
      <c r="D25" s="34">
        <f t="shared" si="4"/>
        <v>7</v>
      </c>
      <c r="E25" s="35" t="s">
        <v>113</v>
      </c>
      <c r="F25" s="35"/>
      <c r="G25" s="36">
        <v>1</v>
      </c>
      <c r="H25" s="38">
        <f>+'WFL P&amp;M-RR2'!I30</f>
        <v>91000000</v>
      </c>
      <c r="I25" s="38">
        <f>+'WFL P&amp;M-RR2'!W30</f>
        <v>91000000</v>
      </c>
      <c r="J25" s="35" t="s">
        <v>707</v>
      </c>
      <c r="K25" s="35"/>
      <c r="L25" s="35">
        <v>1</v>
      </c>
      <c r="M25" s="35" t="s">
        <v>818</v>
      </c>
      <c r="N25" s="35">
        <v>1055270</v>
      </c>
      <c r="O25" s="243">
        <v>80</v>
      </c>
      <c r="P25" s="243">
        <f>N25*O25</f>
        <v>84421600</v>
      </c>
      <c r="Q25" s="35" t="s">
        <v>502</v>
      </c>
      <c r="R25" s="35"/>
      <c r="S25" s="35"/>
      <c r="T25" s="35"/>
      <c r="U25" s="35"/>
      <c r="V25" s="35"/>
      <c r="W25" s="35"/>
      <c r="X25" s="35"/>
      <c r="Y25" s="35"/>
      <c r="Z25" s="35"/>
      <c r="AA25" s="36" t="s">
        <v>708</v>
      </c>
      <c r="AB25" s="36" t="s">
        <v>709</v>
      </c>
      <c r="AC25" s="37" t="s">
        <v>665</v>
      </c>
      <c r="AD25" s="37" t="s">
        <v>665</v>
      </c>
      <c r="AE25" s="34"/>
      <c r="AF25" s="61"/>
      <c r="AG25" s="34" t="s">
        <v>710</v>
      </c>
      <c r="AH25" s="70"/>
      <c r="AI25" s="34" t="s">
        <v>711</v>
      </c>
      <c r="AJ25" s="250" t="s">
        <v>712</v>
      </c>
      <c r="AK25" s="70"/>
      <c r="AL25" s="70"/>
      <c r="AM25" s="70" t="s">
        <v>750</v>
      </c>
      <c r="AN25" s="70">
        <v>80</v>
      </c>
      <c r="AO25" s="70">
        <f>12977167+16848694+41812869</f>
        <v>71638730</v>
      </c>
      <c r="AP25" s="249">
        <v>43278</v>
      </c>
      <c r="AQ25" s="70"/>
      <c r="AR25" s="70" t="s">
        <v>654</v>
      </c>
      <c r="AS25" s="70" t="s">
        <v>655</v>
      </c>
      <c r="AT25" s="70"/>
      <c r="AU25" s="70"/>
      <c r="AV25" s="70"/>
      <c r="AW25" s="55">
        <f>+H25</f>
        <v>91000000</v>
      </c>
      <c r="AX25" s="17"/>
      <c r="AY25" s="13">
        <f t="shared" si="3"/>
        <v>895484.125</v>
      </c>
      <c r="AZ25" s="4" t="s">
        <v>70</v>
      </c>
      <c r="BA25" s="13" t="s">
        <v>143</v>
      </c>
      <c r="BC25" s="163" t="s">
        <v>324</v>
      </c>
    </row>
    <row r="26" spans="3:55" ht="106.2" thickBot="1" x14ac:dyDescent="0.35">
      <c r="C26" s="233" t="s">
        <v>776</v>
      </c>
      <c r="D26" s="34">
        <f t="shared" si="4"/>
        <v>8</v>
      </c>
      <c r="E26" s="35" t="s">
        <v>107</v>
      </c>
      <c r="F26" s="35"/>
      <c r="G26" s="40">
        <v>1</v>
      </c>
      <c r="H26" s="40">
        <f>+'WFL P&amp;M-RR2'!I31</f>
        <v>104000000</v>
      </c>
      <c r="I26" s="40">
        <f>+'WFL P&amp;M-RR2'!W31</f>
        <v>104000000</v>
      </c>
      <c r="J26" s="35" t="s">
        <v>713</v>
      </c>
      <c r="K26" s="35"/>
      <c r="L26" s="35">
        <v>1</v>
      </c>
      <c r="M26" s="35" t="s">
        <v>818</v>
      </c>
      <c r="N26" s="35">
        <v>1470000</v>
      </c>
      <c r="O26" s="243">
        <v>80</v>
      </c>
      <c r="P26" s="243">
        <f>N26*O26</f>
        <v>117600000</v>
      </c>
      <c r="Q26" s="35" t="s">
        <v>502</v>
      </c>
      <c r="R26" s="35"/>
      <c r="S26" s="35"/>
      <c r="T26" s="35"/>
      <c r="U26" s="248">
        <v>2018</v>
      </c>
      <c r="V26" s="35" t="s">
        <v>714</v>
      </c>
      <c r="W26" s="35"/>
      <c r="X26" s="35"/>
      <c r="Y26" s="35"/>
      <c r="Z26" s="35"/>
      <c r="AA26" s="36" t="s">
        <v>715</v>
      </c>
      <c r="AB26" s="36" t="s">
        <v>716</v>
      </c>
      <c r="AC26" s="37" t="s">
        <v>665</v>
      </c>
      <c r="AD26" s="37" t="s">
        <v>665</v>
      </c>
      <c r="AE26" s="41"/>
      <c r="AF26" s="63"/>
      <c r="AG26" s="34" t="s">
        <v>717</v>
      </c>
      <c r="AH26" s="70"/>
      <c r="AI26" s="34" t="s">
        <v>718</v>
      </c>
      <c r="AJ26" s="250" t="s">
        <v>719</v>
      </c>
      <c r="AK26" s="70"/>
      <c r="AL26" s="70"/>
      <c r="AM26" s="70" t="s">
        <v>720</v>
      </c>
      <c r="AN26" s="70">
        <v>80.75</v>
      </c>
      <c r="AO26" s="70">
        <f>17576055+11604180+5806500+53985015+17163720+5743106</f>
        <v>111878576</v>
      </c>
      <c r="AP26" s="249">
        <v>43424</v>
      </c>
      <c r="AQ26" s="70"/>
      <c r="AR26" s="70" t="s">
        <v>654</v>
      </c>
      <c r="AS26" s="70" t="s">
        <v>655</v>
      </c>
      <c r="AT26" s="70"/>
      <c r="AU26" s="70"/>
      <c r="AV26" s="70"/>
      <c r="AW26" s="198">
        <f>+H26</f>
        <v>104000000</v>
      </c>
      <c r="AX26" s="17"/>
      <c r="AY26" s="13">
        <f t="shared" si="3"/>
        <v>1385493.2012383901</v>
      </c>
      <c r="AZ26" s="71" t="s">
        <v>71</v>
      </c>
      <c r="BA26" s="13" t="s">
        <v>143</v>
      </c>
      <c r="BC26" s="163" t="s">
        <v>325</v>
      </c>
    </row>
    <row r="27" spans="3:55" ht="66" x14ac:dyDescent="0.3">
      <c r="D27" s="34">
        <f t="shared" si="4"/>
        <v>9</v>
      </c>
      <c r="E27" s="35" t="s">
        <v>75</v>
      </c>
      <c r="F27" s="35"/>
      <c r="G27" s="36" t="s">
        <v>109</v>
      </c>
      <c r="H27" s="36">
        <f>+'WFL P&amp;M-RR2'!I32</f>
        <v>30519000</v>
      </c>
      <c r="I27" s="36">
        <f>+'WFL P&amp;M-RR2'!W32</f>
        <v>450000</v>
      </c>
      <c r="J27" s="35" t="s">
        <v>721</v>
      </c>
      <c r="K27" s="35"/>
      <c r="L27" s="35">
        <v>4</v>
      </c>
      <c r="M27" s="35"/>
      <c r="N27" s="35"/>
      <c r="O27" s="35"/>
      <c r="P27" s="35"/>
      <c r="Q27" s="35" t="s">
        <v>502</v>
      </c>
      <c r="R27" s="35"/>
      <c r="S27" s="35"/>
      <c r="T27" s="35"/>
      <c r="U27" s="35"/>
      <c r="V27" s="35"/>
      <c r="W27" s="35"/>
      <c r="X27" s="35"/>
      <c r="Y27" s="35"/>
      <c r="Z27" s="35"/>
      <c r="AA27" s="36"/>
      <c r="AB27" s="36"/>
      <c r="AC27" s="37"/>
      <c r="AD27" s="37"/>
      <c r="AE27" s="34"/>
      <c r="AF27" s="61"/>
      <c r="AG27" s="34"/>
      <c r="AH27" s="70"/>
      <c r="AI27" s="250"/>
      <c r="AJ27" s="250"/>
      <c r="AK27" s="70"/>
      <c r="AL27" s="70"/>
      <c r="AM27" s="70"/>
      <c r="AN27" s="70"/>
      <c r="AO27" s="70"/>
      <c r="AP27" s="79"/>
      <c r="AQ27" s="70"/>
      <c r="AR27" s="70"/>
      <c r="AS27" s="70"/>
      <c r="AT27" s="70"/>
      <c r="AU27" s="70"/>
      <c r="AV27" s="70"/>
      <c r="AW27" s="55"/>
      <c r="AX27" s="17">
        <f t="shared" ref="AX27:AX36" si="7">+H27</f>
        <v>30519000</v>
      </c>
      <c r="AY27" s="13" t="e">
        <f t="shared" si="3"/>
        <v>#DIV/0!</v>
      </c>
      <c r="AZ27" s="13" t="s">
        <v>146</v>
      </c>
      <c r="BA27" s="13" t="s">
        <v>145</v>
      </c>
    </row>
    <row r="28" spans="3:55" ht="105.6" x14ac:dyDescent="0.3">
      <c r="C28" s="14" t="s">
        <v>778</v>
      </c>
      <c r="D28" s="34">
        <f t="shared" si="4"/>
        <v>10</v>
      </c>
      <c r="E28" s="35" t="s">
        <v>82</v>
      </c>
      <c r="F28" s="35"/>
      <c r="G28" s="36">
        <v>8</v>
      </c>
      <c r="H28" s="36">
        <f>+'WFL P&amp;M-RR2'!I33</f>
        <v>135000000</v>
      </c>
      <c r="I28" s="36">
        <f>+'WFL P&amp;M-RR2'!W33</f>
        <v>35000000</v>
      </c>
      <c r="J28" s="35" t="s">
        <v>722</v>
      </c>
      <c r="K28" s="35"/>
      <c r="L28" s="35">
        <v>8</v>
      </c>
      <c r="M28" s="35" t="s">
        <v>818</v>
      </c>
      <c r="N28" s="35">
        <v>1800202</v>
      </c>
      <c r="O28" s="243">
        <v>80</v>
      </c>
      <c r="P28" s="243">
        <f>N28*O28</f>
        <v>144016160</v>
      </c>
      <c r="Q28" s="35" t="s">
        <v>502</v>
      </c>
      <c r="R28" s="35"/>
      <c r="S28" s="35"/>
      <c r="T28" s="35"/>
      <c r="U28" s="248">
        <v>2018</v>
      </c>
      <c r="V28" s="35" t="s">
        <v>723</v>
      </c>
      <c r="W28" s="35" t="s">
        <v>724</v>
      </c>
      <c r="X28" s="35"/>
      <c r="Y28" s="35"/>
      <c r="Z28" s="35"/>
      <c r="AA28" s="36" t="s">
        <v>725</v>
      </c>
      <c r="AB28" s="36" t="s">
        <v>726</v>
      </c>
      <c r="AC28" s="37" t="s">
        <v>665</v>
      </c>
      <c r="AD28" s="37" t="s">
        <v>665</v>
      </c>
      <c r="AE28" s="34"/>
      <c r="AF28" s="61"/>
      <c r="AG28" s="34" t="s">
        <v>727</v>
      </c>
      <c r="AH28" s="70"/>
      <c r="AI28" s="34" t="s">
        <v>728</v>
      </c>
      <c r="AJ28" s="250" t="s">
        <v>729</v>
      </c>
      <c r="AK28" s="70"/>
      <c r="AL28" s="70"/>
      <c r="AM28" s="70" t="s">
        <v>782</v>
      </c>
      <c r="AN28" s="70">
        <v>81.8</v>
      </c>
      <c r="AO28" s="70">
        <v>52434564.490000002</v>
      </c>
      <c r="AP28" s="249">
        <v>43431</v>
      </c>
      <c r="AQ28" s="70"/>
      <c r="AR28" s="70" t="s">
        <v>654</v>
      </c>
      <c r="AS28" s="70" t="s">
        <v>655</v>
      </c>
      <c r="AT28" s="70"/>
      <c r="AU28" s="70"/>
      <c r="AV28" s="70"/>
      <c r="AW28" s="55"/>
      <c r="AX28" s="17">
        <f t="shared" si="7"/>
        <v>135000000</v>
      </c>
      <c r="AY28" s="13">
        <f t="shared" si="3"/>
        <v>641009.34584352083</v>
      </c>
      <c r="AZ28" s="2" t="s">
        <v>14</v>
      </c>
      <c r="BA28" s="13" t="s">
        <v>133</v>
      </c>
      <c r="BC28" s="163" t="s">
        <v>326</v>
      </c>
    </row>
    <row r="29" spans="3:55" ht="66" x14ac:dyDescent="0.3">
      <c r="C29" s="14" t="s">
        <v>778</v>
      </c>
      <c r="D29" s="34" t="s">
        <v>780</v>
      </c>
      <c r="E29" s="35" t="s">
        <v>82</v>
      </c>
      <c r="F29" s="35"/>
      <c r="G29" s="36"/>
      <c r="H29" s="36"/>
      <c r="I29" s="36"/>
      <c r="J29" s="35" t="s">
        <v>722</v>
      </c>
      <c r="K29" s="35"/>
      <c r="L29" s="35"/>
      <c r="M29" s="35"/>
      <c r="N29" s="35"/>
      <c r="O29" s="35"/>
      <c r="P29" s="35"/>
      <c r="Q29" s="35"/>
      <c r="R29" s="35"/>
      <c r="S29" s="35"/>
      <c r="T29" s="35"/>
      <c r="U29" s="248"/>
      <c r="V29" s="35"/>
      <c r="W29" s="35"/>
      <c r="X29" s="35"/>
      <c r="Y29" s="35"/>
      <c r="Z29" s="35"/>
      <c r="AA29" s="36" t="s">
        <v>781</v>
      </c>
      <c r="AB29" s="36"/>
      <c r="AC29" s="37"/>
      <c r="AD29" s="37"/>
      <c r="AE29" s="34"/>
      <c r="AF29" s="61"/>
      <c r="AG29" s="34"/>
      <c r="AH29" s="70"/>
      <c r="AI29" s="36"/>
      <c r="AJ29" s="250"/>
      <c r="AK29" s="70"/>
      <c r="AL29" s="70"/>
      <c r="AM29" s="70" t="s">
        <v>783</v>
      </c>
      <c r="AN29" s="70"/>
      <c r="AO29" s="70">
        <v>93921277.280000001</v>
      </c>
      <c r="AP29" s="249" t="s">
        <v>784</v>
      </c>
      <c r="AQ29" s="70"/>
      <c r="AR29" s="70"/>
      <c r="AS29" s="70"/>
      <c r="AT29" s="70"/>
      <c r="AU29" s="70"/>
      <c r="AV29" s="70"/>
      <c r="AW29" s="55"/>
      <c r="AX29" s="17"/>
      <c r="AY29" s="13" t="e">
        <f t="shared" si="3"/>
        <v>#DIV/0!</v>
      </c>
      <c r="AZ29" s="2"/>
    </row>
    <row r="30" spans="3:55" ht="52.8" x14ac:dyDescent="0.3">
      <c r="C30" s="13" t="s">
        <v>785</v>
      </c>
      <c r="D30" s="34">
        <f>+D28+1</f>
        <v>11</v>
      </c>
      <c r="E30" s="35" t="s">
        <v>83</v>
      </c>
      <c r="F30" s="35"/>
      <c r="G30" s="40">
        <v>1</v>
      </c>
      <c r="H30" s="40">
        <f>+'WFL P&amp;M-RR2'!I34</f>
        <v>11250000</v>
      </c>
      <c r="I30" s="40">
        <f>+'WFL P&amp;M-RR2'!W34</f>
        <v>11250000</v>
      </c>
      <c r="J30" s="35" t="s">
        <v>83</v>
      </c>
      <c r="K30" s="35"/>
      <c r="L30" s="35">
        <v>1</v>
      </c>
      <c r="M30" s="35" t="s">
        <v>359</v>
      </c>
      <c r="N30" s="139">
        <v>3600000</v>
      </c>
      <c r="O30" s="35"/>
      <c r="P30" s="35">
        <f>N30</f>
        <v>3600000</v>
      </c>
      <c r="Q30" s="35" t="s">
        <v>502</v>
      </c>
      <c r="R30" s="35"/>
      <c r="S30" s="35"/>
      <c r="T30" s="35"/>
      <c r="U30" s="248">
        <v>2019</v>
      </c>
      <c r="V30" s="35" t="s">
        <v>730</v>
      </c>
      <c r="W30" s="248">
        <v>2820</v>
      </c>
      <c r="X30" s="35"/>
      <c r="Y30" s="35"/>
      <c r="Z30" s="35"/>
      <c r="AA30" s="36"/>
      <c r="AB30" s="36"/>
      <c r="AC30" s="37"/>
      <c r="AD30" s="37"/>
      <c r="AE30" s="41"/>
      <c r="AF30" s="63"/>
      <c r="AG30" s="69"/>
      <c r="AH30" s="70"/>
      <c r="AI30" s="70"/>
      <c r="AJ30" s="70"/>
      <c r="AK30" s="70"/>
      <c r="AL30" s="70"/>
      <c r="AM30" s="70"/>
      <c r="AN30" s="70"/>
      <c r="AO30" s="70">
        <f>360000+3168000+559520</f>
        <v>4087520</v>
      </c>
      <c r="AP30" s="79" t="s">
        <v>751</v>
      </c>
      <c r="AQ30" s="70"/>
      <c r="AR30" s="70" t="s">
        <v>654</v>
      </c>
      <c r="AS30" s="70" t="s">
        <v>655</v>
      </c>
      <c r="AT30" s="70"/>
      <c r="AU30" s="70"/>
      <c r="AV30" s="70"/>
      <c r="AW30" s="55"/>
      <c r="AX30" s="17">
        <f t="shared" si="7"/>
        <v>11250000</v>
      </c>
      <c r="AY30" s="13" t="e">
        <f t="shared" si="3"/>
        <v>#DIV/0!</v>
      </c>
      <c r="AZ30" s="2" t="s">
        <v>15</v>
      </c>
      <c r="BA30" s="13" t="s">
        <v>133</v>
      </c>
      <c r="BC30" s="163" t="s">
        <v>327</v>
      </c>
    </row>
    <row r="31" spans="3:55" ht="105.6" x14ac:dyDescent="0.3">
      <c r="C31" s="13" t="s">
        <v>342</v>
      </c>
      <c r="D31" s="34">
        <f t="shared" si="4"/>
        <v>12</v>
      </c>
      <c r="E31" s="35" t="s">
        <v>84</v>
      </c>
      <c r="F31" s="35"/>
      <c r="G31" s="40">
        <v>7</v>
      </c>
      <c r="H31" s="40">
        <f>+'WFL P&amp;M-RR2'!I35</f>
        <v>58125000</v>
      </c>
      <c r="I31" s="40">
        <f>+'WFL P&amp;M-RR2'!W35</f>
        <v>125000</v>
      </c>
      <c r="J31" s="35" t="s">
        <v>84</v>
      </c>
      <c r="K31" s="35"/>
      <c r="L31" s="35">
        <v>7</v>
      </c>
      <c r="M31" s="35" t="s">
        <v>347</v>
      </c>
      <c r="N31" s="35">
        <v>172328</v>
      </c>
      <c r="O31" s="243">
        <v>80</v>
      </c>
      <c r="P31" s="243">
        <f>N31*O31</f>
        <v>13786240</v>
      </c>
      <c r="Q31" s="35" t="s">
        <v>502</v>
      </c>
      <c r="R31" s="35"/>
      <c r="S31" s="35"/>
      <c r="T31" s="35"/>
      <c r="U31" s="251" t="s">
        <v>731</v>
      </c>
      <c r="V31" s="251">
        <v>26139</v>
      </c>
      <c r="W31" s="35" t="s">
        <v>732</v>
      </c>
      <c r="X31" s="35"/>
      <c r="Y31" s="35"/>
      <c r="Z31" s="35"/>
      <c r="AA31" s="36" t="s">
        <v>733</v>
      </c>
      <c r="AB31" s="36" t="s">
        <v>734</v>
      </c>
      <c r="AC31" s="37" t="s">
        <v>735</v>
      </c>
      <c r="AD31" s="37" t="s">
        <v>735</v>
      </c>
      <c r="AE31" s="34"/>
      <c r="AF31" s="61"/>
      <c r="AG31" s="34" t="s">
        <v>736</v>
      </c>
      <c r="AH31" s="70"/>
      <c r="AI31" s="34" t="s">
        <v>737</v>
      </c>
      <c r="AJ31" s="250" t="s">
        <v>738</v>
      </c>
      <c r="AK31" s="70"/>
      <c r="AL31" s="70"/>
      <c r="AM31" s="70"/>
      <c r="AN31" s="70"/>
      <c r="AO31" s="70"/>
      <c r="AP31" s="249"/>
      <c r="AQ31" s="70"/>
      <c r="AR31" s="70" t="s">
        <v>654</v>
      </c>
      <c r="AS31" s="70" t="s">
        <v>655</v>
      </c>
      <c r="AT31" s="70"/>
      <c r="AU31" s="70"/>
      <c r="AV31" s="70"/>
      <c r="AW31" s="55"/>
      <c r="AX31" s="17">
        <f t="shared" si="7"/>
        <v>58125000</v>
      </c>
      <c r="AY31" s="13" t="e">
        <f t="shared" si="3"/>
        <v>#DIV/0!</v>
      </c>
      <c r="AZ31" s="2" t="s">
        <v>135</v>
      </c>
      <c r="BA31" s="13" t="s">
        <v>133</v>
      </c>
      <c r="BC31" s="163" t="s">
        <v>328</v>
      </c>
    </row>
    <row r="32" spans="3:55" ht="39.6" x14ac:dyDescent="0.3">
      <c r="C32" s="14" t="s">
        <v>789</v>
      </c>
      <c r="D32" s="34">
        <f t="shared" si="4"/>
        <v>13</v>
      </c>
      <c r="E32" s="35" t="s">
        <v>85</v>
      </c>
      <c r="F32" s="35"/>
      <c r="G32" s="40">
        <v>1</v>
      </c>
      <c r="H32" s="40">
        <f>+'WFL P&amp;M-RR2'!I36</f>
        <v>125000000</v>
      </c>
      <c r="I32" s="40">
        <f>+'WFL P&amp;M-RR2'!W36</f>
        <v>115000000</v>
      </c>
      <c r="J32" s="35"/>
      <c r="K32" s="35"/>
      <c r="L32" s="35"/>
      <c r="M32" s="35" t="s">
        <v>359</v>
      </c>
      <c r="N32" s="139">
        <v>26384000</v>
      </c>
      <c r="O32" s="35"/>
      <c r="P32" s="35">
        <f>N32</f>
        <v>26384000</v>
      </c>
      <c r="Q32" s="35" t="s">
        <v>502</v>
      </c>
      <c r="R32" s="35"/>
      <c r="S32" s="35"/>
      <c r="T32" s="35"/>
      <c r="U32" s="35"/>
      <c r="V32" s="35"/>
      <c r="W32" s="35"/>
      <c r="X32" s="35"/>
      <c r="Y32" s="35"/>
      <c r="Z32" s="35"/>
      <c r="AA32" s="36"/>
      <c r="AB32" s="36"/>
      <c r="AC32" s="37"/>
      <c r="AD32" s="37"/>
      <c r="AE32" s="41"/>
      <c r="AF32" s="63"/>
      <c r="AG32" s="69"/>
      <c r="AH32" s="70"/>
      <c r="AI32" s="70"/>
      <c r="AJ32" s="70"/>
      <c r="AK32" s="70"/>
      <c r="AL32" s="70"/>
      <c r="AM32" s="70"/>
      <c r="AN32" s="70"/>
      <c r="AO32" s="70">
        <v>39127930</v>
      </c>
      <c r="AP32" s="79" t="s">
        <v>791</v>
      </c>
      <c r="AQ32" s="70"/>
      <c r="AR32" s="70" t="s">
        <v>654</v>
      </c>
      <c r="AS32" s="70" t="s">
        <v>655</v>
      </c>
      <c r="AT32" s="70"/>
      <c r="AU32" s="70"/>
      <c r="AV32" s="70"/>
      <c r="AW32" s="55"/>
      <c r="AX32" s="17">
        <f t="shared" si="7"/>
        <v>125000000</v>
      </c>
      <c r="AY32" s="13" t="e">
        <f t="shared" si="3"/>
        <v>#DIV/0!</v>
      </c>
      <c r="AZ32" s="2" t="s">
        <v>16</v>
      </c>
      <c r="BA32" s="13" t="s">
        <v>133</v>
      </c>
      <c r="BC32" s="163" t="s">
        <v>329</v>
      </c>
    </row>
    <row r="33" spans="3:55" ht="39.6" x14ac:dyDescent="0.3">
      <c r="C33" s="14" t="s">
        <v>792</v>
      </c>
      <c r="D33" s="34">
        <f t="shared" si="4"/>
        <v>14</v>
      </c>
      <c r="E33" s="35" t="s">
        <v>77</v>
      </c>
      <c r="F33" s="35"/>
      <c r="G33" s="36">
        <f>2+2+1</f>
        <v>5</v>
      </c>
      <c r="H33" s="36">
        <f>+'WFL P&amp;M-RR2'!I37</f>
        <v>60750000</v>
      </c>
      <c r="I33" s="36">
        <f>+'WFL P&amp;M-RR2'!W37</f>
        <v>60750000</v>
      </c>
      <c r="J33" s="35" t="s">
        <v>77</v>
      </c>
      <c r="K33" s="35"/>
      <c r="L33" s="35">
        <v>5</v>
      </c>
      <c r="M33" s="35" t="s">
        <v>359</v>
      </c>
      <c r="N33" s="139">
        <v>8001990</v>
      </c>
      <c r="O33" s="35"/>
      <c r="P33" s="35">
        <f>N33</f>
        <v>8001990</v>
      </c>
      <c r="Q33" s="35" t="s">
        <v>502</v>
      </c>
      <c r="R33" s="35"/>
      <c r="S33" s="35"/>
      <c r="T33" s="35"/>
      <c r="U33" s="35"/>
      <c r="V33" s="35"/>
      <c r="W33" s="35"/>
      <c r="X33" s="35"/>
      <c r="Y33" s="35"/>
      <c r="Z33" s="35"/>
      <c r="AA33" s="36"/>
      <c r="AB33" s="36"/>
      <c r="AC33" s="37"/>
      <c r="AD33" s="37"/>
      <c r="AE33" s="34"/>
      <c r="AF33" s="61"/>
      <c r="AG33" s="34"/>
      <c r="AH33" s="70"/>
      <c r="AI33" s="34"/>
      <c r="AJ33" s="250"/>
      <c r="AK33" s="70"/>
      <c r="AL33" s="70"/>
      <c r="AM33" s="70"/>
      <c r="AN33" s="70"/>
      <c r="AO33" s="70">
        <v>8001990</v>
      </c>
      <c r="AP33" s="249" t="s">
        <v>794</v>
      </c>
      <c r="AQ33" s="70"/>
      <c r="AR33" s="70" t="s">
        <v>654</v>
      </c>
      <c r="AS33" s="70" t="s">
        <v>655</v>
      </c>
      <c r="AT33" s="70"/>
      <c r="AU33" s="70"/>
      <c r="AV33" s="70"/>
      <c r="AW33" s="55"/>
      <c r="AX33" s="17">
        <f t="shared" si="7"/>
        <v>60750000</v>
      </c>
      <c r="AY33" s="13" t="e">
        <f t="shared" si="3"/>
        <v>#DIV/0!</v>
      </c>
      <c r="AZ33" s="2" t="s">
        <v>136</v>
      </c>
      <c r="BA33" s="13" t="s">
        <v>137</v>
      </c>
      <c r="BC33" s="163" t="s">
        <v>330</v>
      </c>
    </row>
    <row r="34" spans="3:55" ht="39.6" x14ac:dyDescent="0.3">
      <c r="C34" s="14" t="s">
        <v>796</v>
      </c>
      <c r="D34" s="34" t="s">
        <v>795</v>
      </c>
      <c r="E34" s="35" t="s">
        <v>77</v>
      </c>
      <c r="F34" s="35"/>
      <c r="G34" s="36"/>
      <c r="H34" s="36"/>
      <c r="I34" s="36"/>
      <c r="J34" s="35" t="s">
        <v>77</v>
      </c>
      <c r="K34" s="35"/>
      <c r="L34" s="35"/>
      <c r="M34" s="35" t="s">
        <v>359</v>
      </c>
      <c r="N34" s="35">
        <v>31686000</v>
      </c>
      <c r="O34" s="35"/>
      <c r="P34" s="35">
        <f>N34</f>
        <v>31686000</v>
      </c>
      <c r="Q34" s="35" t="s">
        <v>502</v>
      </c>
      <c r="R34" s="35"/>
      <c r="S34" s="35"/>
      <c r="T34" s="35"/>
      <c r="U34" s="35"/>
      <c r="V34" s="35"/>
      <c r="W34" s="35"/>
      <c r="X34" s="35"/>
      <c r="Y34" s="35"/>
      <c r="Z34" s="35"/>
      <c r="AA34" s="36"/>
      <c r="AB34" s="36"/>
      <c r="AC34" s="37"/>
      <c r="AD34" s="37"/>
      <c r="AE34" s="34"/>
      <c r="AF34" s="61"/>
      <c r="AG34" s="34"/>
      <c r="AH34" s="70"/>
      <c r="AI34" s="36"/>
      <c r="AJ34" s="250"/>
      <c r="AK34" s="70"/>
      <c r="AL34" s="70"/>
      <c r="AM34" s="70"/>
      <c r="AN34" s="70"/>
      <c r="AO34" s="70">
        <f>6337200+27883680+3168600</f>
        <v>37389480</v>
      </c>
      <c r="AP34" s="249" t="s">
        <v>798</v>
      </c>
      <c r="AQ34" s="70"/>
      <c r="AR34" s="70"/>
      <c r="AS34" s="70"/>
      <c r="AT34" s="70"/>
      <c r="AU34" s="70"/>
      <c r="AV34" s="70"/>
      <c r="AW34" s="55"/>
      <c r="AX34" s="17"/>
      <c r="AY34" s="13" t="e">
        <f t="shared" si="3"/>
        <v>#DIV/0!</v>
      </c>
      <c r="AZ34" s="2"/>
    </row>
    <row r="35" spans="3:55" ht="66" x14ac:dyDescent="0.3">
      <c r="C35" s="14" t="s">
        <v>799</v>
      </c>
      <c r="D35" s="34">
        <f>+D33+1</f>
        <v>15</v>
      </c>
      <c r="E35" s="35"/>
      <c r="F35" s="35" t="s">
        <v>86</v>
      </c>
      <c r="G35" s="40">
        <v>2</v>
      </c>
      <c r="H35" s="40">
        <f>+'WFL P&amp;M-RR2'!I38</f>
        <v>36000000</v>
      </c>
      <c r="I35" s="40">
        <f>+'WFL P&amp;M-RR2'!W38</f>
        <v>36000000</v>
      </c>
      <c r="J35" s="35" t="s">
        <v>86</v>
      </c>
      <c r="K35" s="35"/>
      <c r="L35" s="35">
        <v>2</v>
      </c>
      <c r="M35" s="35" t="s">
        <v>359</v>
      </c>
      <c r="N35" s="35">
        <v>34850150</v>
      </c>
      <c r="O35" s="35"/>
      <c r="P35" s="35">
        <f>N35</f>
        <v>34850150</v>
      </c>
      <c r="Q35" s="35" t="s">
        <v>502</v>
      </c>
      <c r="R35" s="35"/>
      <c r="S35" s="35"/>
      <c r="T35" s="35"/>
      <c r="U35" s="251" t="s">
        <v>739</v>
      </c>
      <c r="V35" s="35" t="s">
        <v>740</v>
      </c>
      <c r="W35" s="35" t="s">
        <v>741</v>
      </c>
      <c r="X35" s="35"/>
      <c r="Y35" s="35"/>
      <c r="Z35" s="35"/>
      <c r="AA35" s="35"/>
      <c r="AB35" s="36"/>
      <c r="AC35" s="37"/>
      <c r="AD35" s="37"/>
      <c r="AE35" s="34"/>
      <c r="AF35" s="61"/>
      <c r="AG35" s="69"/>
      <c r="AH35" s="70"/>
      <c r="AI35" s="70"/>
      <c r="AJ35" s="70"/>
      <c r="AK35" s="70"/>
      <c r="AL35" s="70"/>
      <c r="AM35" s="70"/>
      <c r="AN35" s="70"/>
      <c r="AO35" s="70">
        <f>1750793+1734221+436159+433792+4684953.6+18729591.4+18908569.8+4710522.2</f>
        <v>51388602</v>
      </c>
      <c r="AP35" s="79" t="s">
        <v>802</v>
      </c>
      <c r="AQ35" s="70"/>
      <c r="AR35" s="70" t="s">
        <v>654</v>
      </c>
      <c r="AS35" s="70" t="s">
        <v>655</v>
      </c>
      <c r="AT35" s="70"/>
      <c r="AU35" s="70"/>
      <c r="AV35" s="70"/>
      <c r="AW35" s="55"/>
      <c r="AX35" s="17">
        <f t="shared" si="7"/>
        <v>36000000</v>
      </c>
      <c r="AY35" s="13" t="e">
        <f t="shared" si="3"/>
        <v>#DIV/0!</v>
      </c>
      <c r="AZ35" s="4" t="s">
        <v>26</v>
      </c>
      <c r="BA35" s="13" t="s">
        <v>133</v>
      </c>
      <c r="BC35" s="163" t="s">
        <v>331</v>
      </c>
    </row>
    <row r="36" spans="3:55" ht="186.75" customHeight="1" x14ac:dyDescent="0.3">
      <c r="C36" s="14" t="s">
        <v>799</v>
      </c>
      <c r="D36" s="34">
        <f t="shared" si="4"/>
        <v>16</v>
      </c>
      <c r="E36" s="35"/>
      <c r="F36" s="35" t="s">
        <v>116</v>
      </c>
      <c r="G36" s="40">
        <v>2</v>
      </c>
      <c r="H36" s="40">
        <f>+'WFL P&amp;M-RR2'!I39</f>
        <v>7200000</v>
      </c>
      <c r="I36" s="40">
        <f>+'WFL P&amp;M-RR2'!W39</f>
        <v>7200000</v>
      </c>
      <c r="J36" s="35" t="s">
        <v>116</v>
      </c>
      <c r="K36" s="35"/>
      <c r="L36" s="35">
        <v>2</v>
      </c>
      <c r="M36" s="35" t="s">
        <v>359</v>
      </c>
      <c r="N36" s="35">
        <v>8699515</v>
      </c>
      <c r="O36" s="35"/>
      <c r="P36" s="35">
        <f>N36</f>
        <v>8699515</v>
      </c>
      <c r="Q36" s="35" t="s">
        <v>502</v>
      </c>
      <c r="R36" s="35"/>
      <c r="S36" s="35"/>
      <c r="T36" s="35"/>
      <c r="U36" s="35"/>
      <c r="V36" s="35"/>
      <c r="W36" s="35"/>
      <c r="X36" s="35"/>
      <c r="Y36" s="35"/>
      <c r="Z36" s="35"/>
      <c r="AA36" s="36"/>
      <c r="AB36" s="36"/>
      <c r="AC36" s="37"/>
      <c r="AD36" s="37"/>
      <c r="AE36" s="34"/>
      <c r="AF36" s="61"/>
      <c r="AG36" s="69"/>
      <c r="AH36" s="70"/>
      <c r="AI36" s="70"/>
      <c r="AJ36" s="70"/>
      <c r="AK36" s="70"/>
      <c r="AL36" s="70"/>
      <c r="AM36" s="70"/>
      <c r="AN36" s="70"/>
      <c r="AO36" s="70"/>
      <c r="AP36" s="79"/>
      <c r="AQ36" s="70"/>
      <c r="AR36" s="70" t="s">
        <v>654</v>
      </c>
      <c r="AS36" s="70" t="s">
        <v>655</v>
      </c>
      <c r="AT36" s="70"/>
      <c r="AU36" s="70"/>
      <c r="AV36" s="70"/>
      <c r="AW36" s="55"/>
      <c r="AX36" s="17">
        <f t="shared" si="7"/>
        <v>7200000</v>
      </c>
      <c r="AY36" s="13" t="e">
        <f t="shared" si="3"/>
        <v>#DIV/0!</v>
      </c>
      <c r="AZ36" s="4" t="s">
        <v>138</v>
      </c>
      <c r="BA36" s="13" t="s">
        <v>133</v>
      </c>
      <c r="BC36" s="163" t="s">
        <v>332</v>
      </c>
    </row>
    <row r="37" spans="3:55" ht="39.6" x14ac:dyDescent="0.3">
      <c r="C37" s="267" t="s">
        <v>803</v>
      </c>
      <c r="D37" s="34">
        <f t="shared" si="4"/>
        <v>17</v>
      </c>
      <c r="E37" s="35" t="s">
        <v>234</v>
      </c>
      <c r="F37" s="35"/>
      <c r="G37" s="36" t="s">
        <v>112</v>
      </c>
      <c r="H37" s="40">
        <f>+'WFL P&amp;M-RR2'!I40</f>
        <v>180000000</v>
      </c>
      <c r="I37" s="40">
        <f>+'WFL P&amp;M-RR2'!W40</f>
        <v>180000000</v>
      </c>
      <c r="J37" s="35"/>
      <c r="K37" s="35"/>
      <c r="L37" s="35"/>
      <c r="M37" s="35" t="s">
        <v>347</v>
      </c>
      <c r="N37" s="35">
        <v>2039500</v>
      </c>
      <c r="O37" s="243">
        <v>80</v>
      </c>
      <c r="P37" s="243">
        <f>N37*O37</f>
        <v>163160000</v>
      </c>
      <c r="Q37" s="35" t="s">
        <v>502</v>
      </c>
      <c r="R37" s="35"/>
      <c r="S37" s="35"/>
      <c r="T37" s="35"/>
      <c r="U37" s="35"/>
      <c r="V37" s="35"/>
      <c r="W37" s="35"/>
      <c r="X37" s="35"/>
      <c r="Y37" s="35"/>
      <c r="Z37" s="35"/>
      <c r="AA37" s="36"/>
      <c r="AB37" s="36"/>
      <c r="AC37" s="37"/>
      <c r="AD37" s="37"/>
      <c r="AE37" s="34"/>
      <c r="AF37" s="61"/>
      <c r="AG37" s="69"/>
      <c r="AH37" s="70"/>
      <c r="AI37" s="70"/>
      <c r="AJ37" s="70"/>
      <c r="AK37" s="70"/>
      <c r="AL37" s="70"/>
      <c r="AM37" s="70"/>
      <c r="AN37" s="70"/>
      <c r="AO37" s="268">
        <f>2039500*80</f>
        <v>163160000</v>
      </c>
      <c r="AP37" s="79" t="s">
        <v>742</v>
      </c>
      <c r="AQ37" s="70"/>
      <c r="AR37" s="70" t="s">
        <v>654</v>
      </c>
      <c r="AS37" s="70" t="s">
        <v>655</v>
      </c>
      <c r="AT37" s="70"/>
      <c r="AU37" s="70"/>
      <c r="AV37" s="70"/>
      <c r="AW37" s="55">
        <f>+H37</f>
        <v>180000000</v>
      </c>
      <c r="AX37" s="17"/>
      <c r="AY37" s="13" t="e">
        <f t="shared" si="3"/>
        <v>#DIV/0!</v>
      </c>
      <c r="AZ37" s="2" t="s">
        <v>27</v>
      </c>
      <c r="BA37" s="13" t="s">
        <v>133</v>
      </c>
      <c r="BC37" s="258" t="s">
        <v>743</v>
      </c>
    </row>
    <row r="38" spans="3:55" ht="52.8" x14ac:dyDescent="0.3">
      <c r="C38" s="14" t="s">
        <v>636</v>
      </c>
      <c r="D38" s="34">
        <f>+D37+1</f>
        <v>18</v>
      </c>
      <c r="E38" s="35"/>
      <c r="F38" s="35" t="s">
        <v>79</v>
      </c>
      <c r="G38" s="36" t="s">
        <v>804</v>
      </c>
      <c r="H38" s="40">
        <f>+'WFL P&amp;M-RR2'!I41</f>
        <v>7500000</v>
      </c>
      <c r="I38" s="40">
        <f>+'WFL P&amp;M-RR2'!W41</f>
        <v>7500000</v>
      </c>
      <c r="J38" s="35"/>
      <c r="K38" s="35"/>
      <c r="L38" s="35">
        <v>1</v>
      </c>
      <c r="M38" s="35" t="s">
        <v>359</v>
      </c>
      <c r="N38" s="139">
        <v>7650000</v>
      </c>
      <c r="O38" s="35"/>
      <c r="P38" s="35">
        <f>N38</f>
        <v>7650000</v>
      </c>
      <c r="Q38" s="35" t="s">
        <v>502</v>
      </c>
      <c r="R38" s="35"/>
      <c r="S38" s="35"/>
      <c r="T38" s="35"/>
      <c r="U38" s="35"/>
      <c r="V38" s="35"/>
      <c r="W38" s="35"/>
      <c r="X38" s="35"/>
      <c r="Y38" s="35"/>
      <c r="Z38" s="35"/>
      <c r="AA38" s="36"/>
      <c r="AB38" s="36"/>
      <c r="AC38" s="37"/>
      <c r="AD38" s="37"/>
      <c r="AE38" s="41"/>
      <c r="AF38" s="63"/>
      <c r="AG38" s="69"/>
      <c r="AH38" s="70"/>
      <c r="AI38" s="70"/>
      <c r="AJ38" s="70"/>
      <c r="AK38" s="70"/>
      <c r="AL38" s="70"/>
      <c r="AM38" s="70"/>
      <c r="AN38" s="70"/>
      <c r="AO38" s="70">
        <v>9027000</v>
      </c>
      <c r="AP38" s="79" t="s">
        <v>753</v>
      </c>
      <c r="AQ38" s="70"/>
      <c r="AR38" s="70" t="s">
        <v>654</v>
      </c>
      <c r="AS38" s="70" t="s">
        <v>655</v>
      </c>
      <c r="AT38" s="70"/>
      <c r="AU38" s="70"/>
      <c r="AV38" s="70"/>
      <c r="AW38" s="55"/>
      <c r="AX38" s="17">
        <f>+H38</f>
        <v>7500000</v>
      </c>
      <c r="AY38" s="13" t="e">
        <f t="shared" si="3"/>
        <v>#DIV/0!</v>
      </c>
      <c r="AZ38" s="5" t="s">
        <v>139</v>
      </c>
      <c r="BA38" s="13" t="s">
        <v>140</v>
      </c>
      <c r="BC38" s="163" t="s">
        <v>333</v>
      </c>
    </row>
    <row r="39" spans="3:55" ht="145.19999999999999" x14ac:dyDescent="0.3">
      <c r="C39" s="13" t="s">
        <v>806</v>
      </c>
      <c r="D39" s="34">
        <f t="shared" si="4"/>
        <v>19</v>
      </c>
      <c r="E39" s="35"/>
      <c r="F39" s="35" t="s">
        <v>81</v>
      </c>
      <c r="G39" s="36" t="s">
        <v>807</v>
      </c>
      <c r="H39" s="40">
        <f>+'WFL P&amp;M-RR2'!I42</f>
        <v>25000000</v>
      </c>
      <c r="I39" s="40">
        <f>+'WFL P&amp;M-RR2'!W42</f>
        <v>25000000</v>
      </c>
      <c r="J39" s="35"/>
      <c r="K39" s="35"/>
      <c r="L39" s="35">
        <v>1</v>
      </c>
      <c r="M39" s="35" t="s">
        <v>359</v>
      </c>
      <c r="N39" s="35">
        <v>15000000</v>
      </c>
      <c r="O39" s="35"/>
      <c r="P39" s="35">
        <f>N39</f>
        <v>15000000</v>
      </c>
      <c r="Q39" s="35" t="s">
        <v>502</v>
      </c>
      <c r="R39" s="35"/>
      <c r="S39" s="35"/>
      <c r="T39" s="35"/>
      <c r="U39" s="35"/>
      <c r="V39" s="35"/>
      <c r="W39" s="35"/>
      <c r="X39" s="35"/>
      <c r="Y39" s="35"/>
      <c r="Z39" s="35"/>
      <c r="AA39" s="36"/>
      <c r="AB39" s="36"/>
      <c r="AC39" s="37"/>
      <c r="AD39" s="37"/>
      <c r="AE39" s="41"/>
      <c r="AF39" s="63"/>
      <c r="AG39" s="69"/>
      <c r="AH39" s="70"/>
      <c r="AI39" s="70"/>
      <c r="AJ39" s="70"/>
      <c r="AK39" s="70"/>
      <c r="AL39" s="70"/>
      <c r="AM39" s="70"/>
      <c r="AN39" s="70"/>
      <c r="AO39" s="70">
        <f>1500000+1500000+3200000+10000000+1500000</f>
        <v>17700000</v>
      </c>
      <c r="AP39" s="79" t="s">
        <v>752</v>
      </c>
      <c r="AQ39" s="70"/>
      <c r="AR39" s="70" t="s">
        <v>654</v>
      </c>
      <c r="AS39" s="70" t="s">
        <v>655</v>
      </c>
      <c r="AT39" s="70"/>
      <c r="AU39" s="70"/>
      <c r="AV39" s="70"/>
      <c r="AW39" s="55"/>
      <c r="AX39" s="17">
        <f>+H39</f>
        <v>25000000</v>
      </c>
      <c r="AY39" s="13" t="e">
        <f t="shared" si="3"/>
        <v>#DIV/0!</v>
      </c>
      <c r="AZ39" s="5" t="s">
        <v>141</v>
      </c>
      <c r="BA39" s="13" t="s">
        <v>140</v>
      </c>
      <c r="BC39" s="163" t="s">
        <v>337</v>
      </c>
    </row>
    <row r="40" spans="3:55" ht="39.6" x14ac:dyDescent="0.3">
      <c r="C40" s="14" t="s">
        <v>809</v>
      </c>
      <c r="D40" s="34">
        <f t="shared" si="4"/>
        <v>20</v>
      </c>
      <c r="E40" s="35" t="s">
        <v>76</v>
      </c>
      <c r="F40" s="35"/>
      <c r="G40" s="40" t="s">
        <v>104</v>
      </c>
      <c r="H40" s="40">
        <f>+'WFL P&amp;M-RR2'!I43</f>
        <v>9375000</v>
      </c>
      <c r="I40" s="40">
        <f>+'WFL P&amp;M-RR2'!W43</f>
        <v>9375000</v>
      </c>
      <c r="J40" s="35"/>
      <c r="K40" s="35"/>
      <c r="L40" s="35"/>
      <c r="M40" s="35" t="s">
        <v>359</v>
      </c>
      <c r="N40" s="139">
        <v>19406188.760000002</v>
      </c>
      <c r="O40" s="35"/>
      <c r="P40" s="35">
        <f>N40</f>
        <v>19406188.760000002</v>
      </c>
      <c r="Q40" s="35" t="s">
        <v>502</v>
      </c>
      <c r="R40" s="35"/>
      <c r="S40" s="35"/>
      <c r="T40" s="35"/>
      <c r="U40" s="35"/>
      <c r="V40" s="35"/>
      <c r="W40" s="35"/>
      <c r="X40" s="35"/>
      <c r="Y40" s="35"/>
      <c r="Z40" s="35"/>
      <c r="AA40" s="36"/>
      <c r="AB40" s="36"/>
      <c r="AC40" s="37"/>
      <c r="AD40" s="37"/>
      <c r="AE40" s="41"/>
      <c r="AF40" s="63"/>
      <c r="AG40" s="69"/>
      <c r="AH40" s="70"/>
      <c r="AI40" s="70"/>
      <c r="AJ40" s="70"/>
      <c r="AK40" s="70"/>
      <c r="AL40" s="70"/>
      <c r="AM40" s="70"/>
      <c r="AN40" s="70"/>
      <c r="AO40" s="70">
        <f>1940618+5107891+13709824.36</f>
        <v>20758333.359999999</v>
      </c>
      <c r="AP40" s="79" t="s">
        <v>815</v>
      </c>
      <c r="AQ40" s="70"/>
      <c r="AR40" s="70" t="s">
        <v>654</v>
      </c>
      <c r="AS40" s="70" t="s">
        <v>655</v>
      </c>
      <c r="AT40" s="70"/>
      <c r="AU40" s="70"/>
      <c r="AV40" s="70"/>
      <c r="AW40" s="55"/>
      <c r="AX40" s="17">
        <f>+H40</f>
        <v>9375000</v>
      </c>
      <c r="AY40" s="13" t="e">
        <f t="shared" si="3"/>
        <v>#DIV/0!</v>
      </c>
      <c r="AZ40" s="2" t="s">
        <v>20</v>
      </c>
      <c r="BA40" s="13" t="s">
        <v>143</v>
      </c>
      <c r="BC40" s="163" t="s">
        <v>334</v>
      </c>
    </row>
    <row r="41" spans="3:55" ht="39.6" x14ac:dyDescent="0.3">
      <c r="C41" s="14" t="s">
        <v>811</v>
      </c>
      <c r="D41" s="34">
        <f t="shared" si="4"/>
        <v>21</v>
      </c>
      <c r="E41" s="35"/>
      <c r="F41" s="35" t="s">
        <v>78</v>
      </c>
      <c r="G41" s="36">
        <v>1</v>
      </c>
      <c r="H41" s="40">
        <f>+'WFL P&amp;M-RR2'!I44</f>
        <v>30000000</v>
      </c>
      <c r="I41" s="40">
        <f>+'WFL P&amp;M-RR2'!W44</f>
        <v>30000000</v>
      </c>
      <c r="J41" s="35" t="s">
        <v>78</v>
      </c>
      <c r="K41" s="35"/>
      <c r="L41" s="35">
        <v>1</v>
      </c>
      <c r="M41" s="35" t="s">
        <v>359</v>
      </c>
      <c r="N41" s="35">
        <v>62279140</v>
      </c>
      <c r="O41" s="35"/>
      <c r="P41" s="35">
        <f>N41</f>
        <v>62279140</v>
      </c>
      <c r="Q41" s="35" t="s">
        <v>502</v>
      </c>
      <c r="R41" s="35"/>
      <c r="S41" s="35"/>
      <c r="T41" s="35"/>
      <c r="U41" s="35"/>
      <c r="V41" s="35"/>
      <c r="W41" s="35"/>
      <c r="X41" s="35"/>
      <c r="Y41" s="35"/>
      <c r="Z41" s="35"/>
      <c r="AA41" s="36"/>
      <c r="AB41" s="36"/>
      <c r="AC41" s="37"/>
      <c r="AD41" s="37"/>
      <c r="AE41" s="41"/>
      <c r="AF41" s="63"/>
      <c r="AG41" s="69"/>
      <c r="AH41" s="70"/>
      <c r="AI41" s="70"/>
      <c r="AJ41" s="70"/>
      <c r="AK41" s="70"/>
      <c r="AL41" s="70"/>
      <c r="AM41" s="70"/>
      <c r="AN41" s="70"/>
      <c r="AO41" s="70">
        <f>11900000+11900000+8958770+1111656+16412656</f>
        <v>50283082</v>
      </c>
      <c r="AP41" s="79" t="s">
        <v>744</v>
      </c>
      <c r="AQ41" s="70"/>
      <c r="AR41" s="70" t="s">
        <v>654</v>
      </c>
      <c r="AS41" s="70" t="s">
        <v>655</v>
      </c>
      <c r="AT41" s="70"/>
      <c r="AU41" s="70"/>
      <c r="AV41" s="70"/>
      <c r="AW41" s="55"/>
      <c r="AX41" s="17">
        <f>+H41</f>
        <v>30000000</v>
      </c>
      <c r="AY41" s="13" t="e">
        <f t="shared" si="3"/>
        <v>#DIV/0!</v>
      </c>
      <c r="AZ41" s="1" t="s">
        <v>29</v>
      </c>
      <c r="BA41" s="13" t="s">
        <v>143</v>
      </c>
      <c r="BC41" s="163" t="s">
        <v>335</v>
      </c>
    </row>
    <row r="42" spans="3:55" ht="79.2" x14ac:dyDescent="0.3">
      <c r="C42" s="14" t="s">
        <v>813</v>
      </c>
      <c r="D42" s="34">
        <f t="shared" si="4"/>
        <v>22</v>
      </c>
      <c r="E42" s="35"/>
      <c r="F42" s="35" t="s">
        <v>80</v>
      </c>
      <c r="G42" s="36" t="s">
        <v>112</v>
      </c>
      <c r="H42" s="40">
        <f>+'WFL P&amp;M-RR2'!I45</f>
        <v>55000000</v>
      </c>
      <c r="I42" s="40">
        <f>+'WFL P&amp;M-RR2'!W45</f>
        <v>55000000</v>
      </c>
      <c r="J42" s="35"/>
      <c r="K42" s="35"/>
      <c r="L42" s="35">
        <v>1</v>
      </c>
      <c r="M42" s="35" t="s">
        <v>359</v>
      </c>
      <c r="N42" s="139">
        <v>11500000</v>
      </c>
      <c r="O42" s="35"/>
      <c r="P42" s="35">
        <f>N42</f>
        <v>11500000</v>
      </c>
      <c r="Q42" s="35" t="s">
        <v>502</v>
      </c>
      <c r="R42" s="35"/>
      <c r="S42" s="35"/>
      <c r="T42" s="35"/>
      <c r="U42" s="35"/>
      <c r="V42" s="35"/>
      <c r="W42" s="35"/>
      <c r="X42" s="35"/>
      <c r="Y42" s="35"/>
      <c r="Z42" s="35"/>
      <c r="AA42" s="36"/>
      <c r="AB42" s="36"/>
      <c r="AC42" s="37"/>
      <c r="AD42" s="37"/>
      <c r="AE42" s="41"/>
      <c r="AF42" s="63"/>
      <c r="AG42" s="69"/>
      <c r="AH42" s="70"/>
      <c r="AI42" s="70"/>
      <c r="AJ42" s="70"/>
      <c r="AK42" s="70"/>
      <c r="AL42" s="70"/>
      <c r="AM42" s="70"/>
      <c r="AN42" s="70"/>
      <c r="AO42" s="70">
        <f>863000+287000+5448080+2335960+2335960</f>
        <v>11270000</v>
      </c>
      <c r="AP42" s="79"/>
      <c r="AQ42" s="70"/>
      <c r="AR42" s="70" t="s">
        <v>654</v>
      </c>
      <c r="AS42" s="70" t="s">
        <v>655</v>
      </c>
      <c r="AT42" s="70"/>
      <c r="AU42" s="70"/>
      <c r="AV42" s="70"/>
      <c r="AW42" s="55"/>
      <c r="AX42" s="17">
        <f>+H42</f>
        <v>55000000</v>
      </c>
      <c r="AY42" s="13" t="e">
        <f t="shared" si="3"/>
        <v>#DIV/0!</v>
      </c>
      <c r="BA42" s="13" t="s">
        <v>143</v>
      </c>
      <c r="BB42" s="13" t="s">
        <v>147</v>
      </c>
      <c r="BC42" s="163" t="s">
        <v>336</v>
      </c>
    </row>
    <row r="43" spans="3:55" ht="13.8" thickBot="1" x14ac:dyDescent="0.35">
      <c r="D43" s="42"/>
      <c r="E43" s="43"/>
      <c r="F43" s="43"/>
      <c r="G43" s="44"/>
      <c r="H43" s="45"/>
      <c r="I43" s="45"/>
      <c r="J43" s="44"/>
      <c r="K43" s="44"/>
      <c r="L43" s="44"/>
      <c r="M43" s="44"/>
      <c r="N43" s="44"/>
      <c r="O43" s="44"/>
      <c r="P43" s="44"/>
      <c r="Q43" s="44"/>
      <c r="R43" s="44"/>
      <c r="S43" s="44"/>
      <c r="T43" s="44"/>
      <c r="U43" s="44"/>
      <c r="V43" s="44"/>
      <c r="W43" s="44"/>
      <c r="X43" s="44"/>
      <c r="Y43" s="44"/>
      <c r="Z43" s="44"/>
      <c r="AA43" s="44"/>
      <c r="AB43" s="44"/>
      <c r="AC43" s="83"/>
      <c r="AD43" s="83"/>
      <c r="AE43" s="74"/>
      <c r="AF43" s="72"/>
      <c r="AG43" s="255"/>
      <c r="AH43" s="256"/>
      <c r="AI43" s="256"/>
      <c r="AJ43" s="256"/>
      <c r="AK43" s="256"/>
      <c r="AL43" s="256"/>
      <c r="AM43" s="256"/>
      <c r="AN43" s="256"/>
      <c r="AO43" s="256"/>
      <c r="AP43" s="257"/>
      <c r="AQ43" s="256"/>
      <c r="AR43" s="256"/>
      <c r="AS43" s="256"/>
      <c r="AT43" s="256"/>
      <c r="AU43" s="256"/>
      <c r="AV43" s="256"/>
      <c r="AW43" s="55"/>
      <c r="AX43" s="17"/>
    </row>
    <row r="44" spans="3:55" ht="13.8" thickBot="1" x14ac:dyDescent="0.35">
      <c r="D44" s="46"/>
      <c r="E44" s="1217" t="s">
        <v>124</v>
      </c>
      <c r="F44" s="1218"/>
      <c r="G44" s="47"/>
      <c r="H44" s="48">
        <f>SUM(H7:H43)</f>
        <v>3030069000</v>
      </c>
      <c r="I44" s="48">
        <f>SUM(I7:I43)</f>
        <v>2000000000</v>
      </c>
      <c r="J44" s="52"/>
      <c r="K44" s="52"/>
      <c r="L44" s="52"/>
      <c r="M44" s="48">
        <f>SUM(M7:M43)</f>
        <v>0</v>
      </c>
      <c r="N44" s="264"/>
      <c r="O44" s="264"/>
      <c r="P44" s="265">
        <f>SUM(P8:P42)</f>
        <v>3572969783.7600002</v>
      </c>
      <c r="Q44" s="52"/>
      <c r="R44" s="52"/>
      <c r="S44" s="52"/>
      <c r="T44" s="52"/>
      <c r="U44" s="52"/>
      <c r="V44" s="52"/>
      <c r="W44" s="52"/>
      <c r="X44" s="52"/>
      <c r="Y44" s="52"/>
      <c r="Z44" s="52"/>
      <c r="AA44" s="49"/>
      <c r="AB44" s="50"/>
      <c r="AC44" s="53"/>
      <c r="AD44" s="53"/>
      <c r="AE44" s="51"/>
      <c r="AF44" s="75">
        <f>SUM(AF7:AF43)</f>
        <v>6510096152</v>
      </c>
      <c r="AG44" s="67"/>
      <c r="AH44" s="68"/>
      <c r="AI44" s="68"/>
      <c r="AJ44" s="68"/>
      <c r="AK44" s="68"/>
      <c r="AL44" s="68"/>
      <c r="AM44" s="68"/>
      <c r="AN44" s="68"/>
      <c r="AO44" s="263">
        <f>SUM(AO7:AO43)</f>
        <v>2576194865.96</v>
      </c>
      <c r="AP44" s="77"/>
      <c r="AQ44" s="68"/>
      <c r="AR44" s="68"/>
      <c r="AS44" s="68"/>
      <c r="AT44" s="68"/>
      <c r="AU44" s="68"/>
      <c r="AV44" s="68"/>
      <c r="AW44" s="64">
        <f>SUM(AW8:AW43)</f>
        <v>2439350000</v>
      </c>
      <c r="AX44" s="57">
        <f>SUM(AX8:AX43)</f>
        <v>590719000</v>
      </c>
    </row>
    <row r="45" spans="3:55" ht="13.8" thickBot="1" x14ac:dyDescent="0.35">
      <c r="E45" s="9"/>
      <c r="G45" s="54"/>
      <c r="J45" s="13"/>
      <c r="K45" s="13"/>
      <c r="L45" s="13"/>
      <c r="M45" s="13"/>
      <c r="N45" s="13"/>
      <c r="O45" s="13"/>
      <c r="P45" s="13"/>
      <c r="Q45" s="13"/>
      <c r="R45" s="13"/>
      <c r="S45" s="13"/>
      <c r="T45" s="13"/>
      <c r="U45" s="13"/>
      <c r="V45" s="13"/>
      <c r="W45" s="13"/>
      <c r="X45" s="13"/>
      <c r="Y45" s="13"/>
      <c r="Z45" s="13"/>
      <c r="AA45" s="13"/>
      <c r="AB45" s="13"/>
      <c r="AW45" s="58">
        <f>+AW44+AX44</f>
        <v>3030069000</v>
      </c>
      <c r="AX45" s="17">
        <f>+AW45/2</f>
        <v>1515034500</v>
      </c>
    </row>
    <row r="46" spans="3:55" ht="13.8" thickBot="1" x14ac:dyDescent="0.35">
      <c r="E46" s="9"/>
      <c r="G46" s="54"/>
      <c r="J46" s="13"/>
      <c r="K46" s="13"/>
      <c r="L46" s="13"/>
      <c r="M46" s="13"/>
      <c r="N46" s="13"/>
      <c r="O46" s="13"/>
      <c r="P46" s="13"/>
      <c r="Q46" s="13"/>
      <c r="R46" s="13"/>
      <c r="S46" s="13"/>
      <c r="T46" s="13"/>
      <c r="U46" s="13"/>
      <c r="V46" s="13"/>
      <c r="W46" s="13"/>
      <c r="X46" s="13"/>
      <c r="Y46" s="13"/>
      <c r="Z46" s="13"/>
      <c r="AA46" s="13"/>
      <c r="AB46" s="13"/>
      <c r="AO46" s="266">
        <f>+AO44-AO37</f>
        <v>2413034865.96</v>
      </c>
      <c r="AW46" s="7"/>
      <c r="AX46" s="17"/>
    </row>
    <row r="47" spans="3:55" x14ac:dyDescent="0.3">
      <c r="D47" s="7" t="s">
        <v>178</v>
      </c>
    </row>
    <row r="48" spans="3:55" x14ac:dyDescent="0.3">
      <c r="E48" s="1210" t="s">
        <v>132</v>
      </c>
      <c r="F48" s="1210"/>
      <c r="G48" s="1210"/>
      <c r="H48" s="1210"/>
      <c r="I48" s="1210"/>
      <c r="J48" s="1210"/>
      <c r="K48" s="1210"/>
      <c r="L48" s="1210"/>
    </row>
    <row r="49" spans="4:55" x14ac:dyDescent="0.3">
      <c r="E49" s="1210" t="s">
        <v>130</v>
      </c>
      <c r="F49" s="1210"/>
      <c r="G49" s="1210"/>
      <c r="H49" s="1210"/>
      <c r="I49" s="1210"/>
      <c r="J49" s="1210"/>
      <c r="K49" s="1210"/>
      <c r="L49" s="1210"/>
    </row>
    <row r="50" spans="4:55" x14ac:dyDescent="0.3">
      <c r="E50" s="1210" t="s">
        <v>129</v>
      </c>
      <c r="F50" s="1210"/>
      <c r="G50" s="1210"/>
      <c r="H50" s="1210"/>
      <c r="I50" s="1210"/>
      <c r="J50" s="1210"/>
      <c r="K50" s="1210"/>
      <c r="L50" s="1210"/>
    </row>
    <row r="51" spans="4:55" x14ac:dyDescent="0.3">
      <c r="E51" s="1210" t="s">
        <v>131</v>
      </c>
      <c r="F51" s="1210"/>
      <c r="G51" s="1210"/>
      <c r="H51" s="1210"/>
      <c r="I51" s="1210"/>
      <c r="J51" s="1210"/>
      <c r="K51" s="1210"/>
      <c r="L51" s="1210"/>
    </row>
    <row r="52" spans="4:55" x14ac:dyDescent="0.3">
      <c r="E52" s="1210" t="s">
        <v>170</v>
      </c>
      <c r="F52" s="1210"/>
      <c r="G52" s="1210"/>
      <c r="H52" s="1210"/>
      <c r="I52" s="1210"/>
      <c r="J52" s="1210"/>
      <c r="K52" s="1210"/>
      <c r="L52" s="1210"/>
    </row>
    <row r="53" spans="4:55" ht="28.5" customHeight="1" x14ac:dyDescent="0.3">
      <c r="E53" s="1216" t="s">
        <v>174</v>
      </c>
      <c r="F53" s="1216"/>
      <c r="G53" s="1216"/>
      <c r="H53" s="1216"/>
      <c r="I53" s="1216"/>
      <c r="J53" s="1216"/>
      <c r="K53" s="1216"/>
      <c r="L53" s="1216"/>
    </row>
    <row r="54" spans="4:55" x14ac:dyDescent="0.3">
      <c r="E54" s="1210" t="s">
        <v>176</v>
      </c>
      <c r="F54" s="1210"/>
      <c r="G54" s="1210"/>
      <c r="H54" s="1210"/>
      <c r="I54" s="1210"/>
      <c r="J54" s="1210"/>
      <c r="K54" s="1210"/>
      <c r="L54" s="1210"/>
    </row>
    <row r="55" spans="4:55" ht="12.75" customHeight="1" x14ac:dyDescent="0.3">
      <c r="D55" s="13"/>
      <c r="E55" s="1210" t="s">
        <v>175</v>
      </c>
      <c r="F55" s="1210"/>
      <c r="G55" s="1210"/>
      <c r="H55" s="1210"/>
      <c r="I55" s="1210"/>
      <c r="J55" s="1210"/>
      <c r="K55" s="1210"/>
      <c r="L55" s="1210"/>
      <c r="M55" s="13"/>
      <c r="N55" s="13"/>
      <c r="O55" s="13"/>
      <c r="P55" s="13"/>
      <c r="Q55" s="13"/>
      <c r="R55" s="13"/>
      <c r="S55" s="13"/>
      <c r="T55" s="13"/>
      <c r="U55" s="13"/>
      <c r="V55" s="13"/>
      <c r="W55" s="13"/>
      <c r="X55" s="13"/>
      <c r="Y55" s="13"/>
      <c r="Z55" s="13"/>
      <c r="AA55" s="13"/>
      <c r="AB55" s="13"/>
      <c r="AC55" s="13"/>
      <c r="AD55" s="13"/>
      <c r="AE55" s="13"/>
      <c r="AF55" s="13"/>
      <c r="AP55" s="13"/>
      <c r="AW55" s="13"/>
      <c r="BC55" s="13"/>
    </row>
    <row r="56" spans="4:55" ht="12.75" customHeight="1" x14ac:dyDescent="0.3">
      <c r="D56" s="13"/>
      <c r="E56" s="1210" t="s">
        <v>177</v>
      </c>
      <c r="F56" s="1210"/>
      <c r="G56" s="1210"/>
      <c r="H56" s="1210"/>
      <c r="I56" s="1210"/>
      <c r="J56" s="1210"/>
      <c r="K56" s="1210"/>
      <c r="L56" s="1210"/>
      <c r="M56" s="13"/>
      <c r="N56" s="13"/>
      <c r="O56" s="13"/>
      <c r="P56" s="13"/>
      <c r="Q56" s="13"/>
      <c r="R56" s="13"/>
      <c r="S56" s="13"/>
      <c r="T56" s="13"/>
      <c r="U56" s="13"/>
      <c r="V56" s="13"/>
      <c r="W56" s="13"/>
      <c r="X56" s="13"/>
      <c r="Y56" s="13"/>
      <c r="Z56" s="13"/>
      <c r="AA56" s="13"/>
      <c r="AB56" s="13"/>
      <c r="AC56" s="13"/>
      <c r="AD56" s="13"/>
      <c r="AE56" s="13"/>
      <c r="AF56" s="13"/>
      <c r="AP56" s="13"/>
      <c r="AW56" s="13"/>
      <c r="BC56" s="13"/>
    </row>
    <row r="57" spans="4:55" x14ac:dyDescent="0.3">
      <c r="D57" s="13"/>
      <c r="E57" s="1210"/>
      <c r="F57" s="1210"/>
      <c r="G57" s="1210"/>
      <c r="H57" s="1210"/>
      <c r="I57" s="1210"/>
      <c r="J57" s="1210"/>
      <c r="K57" s="1210"/>
      <c r="L57" s="1210"/>
      <c r="M57" s="13"/>
      <c r="N57" s="13"/>
      <c r="O57" s="13"/>
      <c r="P57" s="13"/>
      <c r="Q57" s="13"/>
      <c r="R57" s="13"/>
      <c r="S57" s="13"/>
      <c r="T57" s="13"/>
      <c r="U57" s="13"/>
      <c r="V57" s="13"/>
      <c r="W57" s="13"/>
      <c r="X57" s="13"/>
      <c r="Y57" s="13"/>
      <c r="Z57" s="13"/>
      <c r="AA57" s="13"/>
      <c r="AB57" s="13"/>
      <c r="AC57" s="13"/>
      <c r="AD57" s="13"/>
      <c r="AE57" s="13"/>
      <c r="AF57" s="13"/>
      <c r="AP57" s="13"/>
      <c r="AW57" s="13"/>
      <c r="BC57" s="13"/>
    </row>
    <row r="58" spans="4:55" x14ac:dyDescent="0.3">
      <c r="D58" s="13"/>
      <c r="E58" s="1210"/>
      <c r="F58" s="1210"/>
      <c r="G58" s="1210"/>
      <c r="H58" s="1210"/>
      <c r="I58" s="1210"/>
      <c r="J58" s="1210"/>
      <c r="K58" s="1210"/>
      <c r="L58" s="1210"/>
      <c r="M58" s="13"/>
      <c r="N58" s="13"/>
      <c r="O58" s="13"/>
      <c r="P58" s="13"/>
      <c r="Q58" s="13"/>
      <c r="R58" s="13"/>
      <c r="S58" s="13"/>
      <c r="T58" s="13"/>
      <c r="U58" s="13"/>
      <c r="V58" s="13"/>
      <c r="W58" s="13"/>
      <c r="X58" s="13"/>
      <c r="Y58" s="13"/>
      <c r="Z58" s="13"/>
      <c r="AA58" s="13"/>
      <c r="AB58" s="13"/>
      <c r="AC58" s="13"/>
      <c r="AD58" s="13"/>
      <c r="AE58" s="13"/>
      <c r="AF58" s="13"/>
      <c r="AP58" s="13"/>
      <c r="AW58" s="13"/>
      <c r="BC58" s="13"/>
    </row>
    <row r="59" spans="4:55" x14ac:dyDescent="0.3">
      <c r="D59" s="13"/>
      <c r="E59" s="1210"/>
      <c r="F59" s="1210"/>
      <c r="G59" s="1210"/>
      <c r="H59" s="1210"/>
      <c r="I59" s="1210"/>
      <c r="J59" s="1210"/>
      <c r="K59" s="1210"/>
      <c r="L59" s="1210"/>
      <c r="M59" s="13"/>
      <c r="N59" s="13"/>
      <c r="O59" s="13"/>
      <c r="P59" s="13"/>
      <c r="Q59" s="13"/>
      <c r="R59" s="13"/>
      <c r="S59" s="13"/>
      <c r="T59" s="13"/>
      <c r="U59" s="13"/>
      <c r="V59" s="13"/>
      <c r="W59" s="13"/>
      <c r="X59" s="13"/>
      <c r="Y59" s="13"/>
      <c r="Z59" s="13"/>
      <c r="AA59" s="13"/>
      <c r="AB59" s="13"/>
      <c r="AC59" s="13"/>
      <c r="AD59" s="13"/>
      <c r="AE59" s="13"/>
      <c r="AF59" s="13"/>
      <c r="AP59" s="13"/>
      <c r="AW59" s="13"/>
      <c r="BC59" s="13"/>
    </row>
    <row r="85" spans="6:42" s="13" customFormat="1" x14ac:dyDescent="0.3">
      <c r="F85" s="9"/>
      <c r="G85" s="54"/>
      <c r="H85" s="17"/>
      <c r="I85" s="17"/>
      <c r="AE85" s="14"/>
      <c r="AF85" s="14"/>
      <c r="AP85" s="78"/>
    </row>
    <row r="86" spans="6:42" s="13" customFormat="1" x14ac:dyDescent="0.3">
      <c r="F86" s="9"/>
      <c r="G86" s="54"/>
      <c r="H86" s="17"/>
      <c r="I86" s="17"/>
      <c r="AE86" s="14"/>
      <c r="AF86" s="14"/>
      <c r="AP86" s="78"/>
    </row>
    <row r="87" spans="6:42" s="13" customFormat="1" x14ac:dyDescent="0.3">
      <c r="F87" s="9"/>
      <c r="G87" s="54"/>
      <c r="H87" s="17"/>
      <c r="I87" s="17"/>
      <c r="AE87" s="14"/>
      <c r="AF87" s="14"/>
      <c r="AP87" s="78"/>
    </row>
    <row r="88" spans="6:42" s="13" customFormat="1" x14ac:dyDescent="0.3">
      <c r="F88" s="9"/>
      <c r="G88" s="54"/>
      <c r="H88" s="17"/>
      <c r="I88" s="17"/>
      <c r="AE88" s="14"/>
      <c r="AF88" s="14"/>
      <c r="AP88" s="78"/>
    </row>
  </sheetData>
  <autoFilter ref="C4:AV42">
    <filterColumn colId="2" showButton="0"/>
  </autoFilter>
  <mergeCells count="56">
    <mergeCell ref="W4:W5"/>
    <mergeCell ref="E3:AA3"/>
    <mergeCell ref="E4:F4"/>
    <mergeCell ref="G4:G5"/>
    <mergeCell ref="H4:H5"/>
    <mergeCell ref="I4:I5"/>
    <mergeCell ref="J4:J5"/>
    <mergeCell ref="K4:K5"/>
    <mergeCell ref="L4:L5"/>
    <mergeCell ref="M4:M5"/>
    <mergeCell ref="Q4:Q5"/>
    <mergeCell ref="R4:R5"/>
    <mergeCell ref="S4:S5"/>
    <mergeCell ref="T4:T5"/>
    <mergeCell ref="U4:U5"/>
    <mergeCell ref="V4:V5"/>
    <mergeCell ref="AJ4:AJ5"/>
    <mergeCell ref="X4:X5"/>
    <mergeCell ref="Z4:Z5"/>
    <mergeCell ref="AA4:AA5"/>
    <mergeCell ref="AB4:AB5"/>
    <mergeCell ref="AC4:AC5"/>
    <mergeCell ref="AD4:AD5"/>
    <mergeCell ref="AE4:AE5"/>
    <mergeCell ref="AF4:AF5"/>
    <mergeCell ref="AG4:AG5"/>
    <mergeCell ref="AH4:AH5"/>
    <mergeCell ref="AI4:AI5"/>
    <mergeCell ref="AV4:AV5"/>
    <mergeCell ref="AK4:AK5"/>
    <mergeCell ref="AL4:AL5"/>
    <mergeCell ref="AM4:AM5"/>
    <mergeCell ref="AN4:AN5"/>
    <mergeCell ref="AO4:AO5"/>
    <mergeCell ref="AP4:AP5"/>
    <mergeCell ref="AQ4:AQ5"/>
    <mergeCell ref="AR4:AR5"/>
    <mergeCell ref="AS4:AS5"/>
    <mergeCell ref="AT4:AT5"/>
    <mergeCell ref="AU4:AU5"/>
    <mergeCell ref="E59:L59"/>
    <mergeCell ref="N4:N5"/>
    <mergeCell ref="O4:O5"/>
    <mergeCell ref="P4:P5"/>
    <mergeCell ref="E53:L53"/>
    <mergeCell ref="E54:L54"/>
    <mergeCell ref="E55:L55"/>
    <mergeCell ref="E56:L56"/>
    <mergeCell ref="E57:L57"/>
    <mergeCell ref="E58:L58"/>
    <mergeCell ref="E44:F44"/>
    <mergeCell ref="E48:L48"/>
    <mergeCell ref="E49:L49"/>
    <mergeCell ref="E50:L50"/>
    <mergeCell ref="E51:L51"/>
    <mergeCell ref="E52:L5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workbookViewId="0">
      <selection activeCell="D1" sqref="D1"/>
    </sheetView>
  </sheetViews>
  <sheetFormatPr defaultRowHeight="14.4" x14ac:dyDescent="0.3"/>
  <cols>
    <col min="1" max="1" width="3.5546875" customWidth="1"/>
    <col min="2" max="2" width="9.44140625" style="80" customWidth="1"/>
    <col min="3" max="3" width="57.88671875" customWidth="1"/>
    <col min="4" max="4" width="34.6640625" bestFit="1" customWidth="1"/>
    <col min="5" max="5" width="20.109375" bestFit="1" customWidth="1"/>
    <col min="6" max="6" width="26" bestFit="1" customWidth="1"/>
  </cols>
  <sheetData>
    <row r="2" spans="2:6" x14ac:dyDescent="0.3">
      <c r="B2" s="1475" t="s">
        <v>837</v>
      </c>
      <c r="C2" s="1476"/>
      <c r="D2" s="1476"/>
      <c r="E2" s="1476"/>
      <c r="F2" s="1476"/>
    </row>
    <row r="3" spans="2:6" x14ac:dyDescent="0.3">
      <c r="B3" s="81"/>
      <c r="C3" s="82"/>
      <c r="D3" s="82"/>
      <c r="E3" s="82"/>
    </row>
    <row r="4" spans="2:6" x14ac:dyDescent="0.3">
      <c r="B4" s="297"/>
      <c r="C4" s="298" t="s">
        <v>838</v>
      </c>
      <c r="D4" s="298" t="s">
        <v>839</v>
      </c>
      <c r="E4" s="298" t="s">
        <v>840</v>
      </c>
      <c r="F4" s="298" t="s">
        <v>841</v>
      </c>
    </row>
    <row r="5" spans="2:6" x14ac:dyDescent="0.3">
      <c r="B5" s="297">
        <v>1</v>
      </c>
      <c r="C5" s="299" t="s">
        <v>842</v>
      </c>
      <c r="D5" s="299" t="s">
        <v>843</v>
      </c>
      <c r="E5" s="299" t="s">
        <v>844</v>
      </c>
      <c r="F5" s="300">
        <v>43795</v>
      </c>
    </row>
    <row r="6" spans="2:6" x14ac:dyDescent="0.3">
      <c r="B6" s="297"/>
      <c r="C6" s="299"/>
      <c r="D6" s="299"/>
      <c r="E6" s="299"/>
      <c r="F6" s="299"/>
    </row>
    <row r="7" spans="2:6" ht="43.2" x14ac:dyDescent="0.3">
      <c r="B7" s="297">
        <v>2</v>
      </c>
      <c r="C7" s="299" t="s">
        <v>845</v>
      </c>
      <c r="D7" s="301" t="s">
        <v>846</v>
      </c>
      <c r="E7" s="299" t="s">
        <v>844</v>
      </c>
      <c r="F7" s="300">
        <v>43796</v>
      </c>
    </row>
    <row r="8" spans="2:6" x14ac:dyDescent="0.3">
      <c r="B8" s="297"/>
      <c r="C8" s="299"/>
      <c r="D8" s="299"/>
      <c r="E8" s="299"/>
      <c r="F8" s="299"/>
    </row>
    <row r="9" spans="2:6" x14ac:dyDescent="0.3">
      <c r="B9" s="297">
        <v>3</v>
      </c>
      <c r="C9" s="299" t="s">
        <v>847</v>
      </c>
      <c r="D9" s="299"/>
      <c r="E9" s="299"/>
      <c r="F9" s="299"/>
    </row>
    <row r="10" spans="2:6" x14ac:dyDescent="0.3">
      <c r="B10" s="297"/>
      <c r="C10" s="299" t="s">
        <v>848</v>
      </c>
      <c r="D10" s="299" t="s">
        <v>849</v>
      </c>
      <c r="E10" s="299" t="s">
        <v>850</v>
      </c>
      <c r="F10" s="299" t="s">
        <v>851</v>
      </c>
    </row>
    <row r="11" spans="2:6" ht="28.8" x14ac:dyDescent="0.3">
      <c r="B11" s="297"/>
      <c r="C11" s="299" t="s">
        <v>852</v>
      </c>
      <c r="D11" s="301" t="s">
        <v>853</v>
      </c>
      <c r="E11" s="299" t="s">
        <v>854</v>
      </c>
      <c r="F11" s="299" t="s">
        <v>851</v>
      </c>
    </row>
    <row r="12" spans="2:6" x14ac:dyDescent="0.3">
      <c r="B12" s="297"/>
      <c r="C12" s="299"/>
      <c r="D12" s="299"/>
      <c r="E12" s="299"/>
      <c r="F12" s="299"/>
    </row>
    <row r="13" spans="2:6" ht="43.2" x14ac:dyDescent="0.3">
      <c r="B13" s="297">
        <v>4</v>
      </c>
      <c r="C13" s="301" t="s">
        <v>855</v>
      </c>
      <c r="D13" s="301" t="s">
        <v>856</v>
      </c>
      <c r="E13" s="301" t="s">
        <v>857</v>
      </c>
      <c r="F13" s="301" t="s">
        <v>857</v>
      </c>
    </row>
    <row r="14" spans="2:6" x14ac:dyDescent="0.3">
      <c r="B14" s="297"/>
      <c r="C14" s="301"/>
      <c r="D14" s="301"/>
      <c r="E14" s="301"/>
      <c r="F14" s="301"/>
    </row>
    <row r="15" spans="2:6" ht="28.8" x14ac:dyDescent="0.3">
      <c r="B15" s="297">
        <v>5</v>
      </c>
      <c r="C15" s="301" t="s">
        <v>858</v>
      </c>
      <c r="D15" s="301" t="s">
        <v>859</v>
      </c>
      <c r="E15" s="301" t="s">
        <v>860</v>
      </c>
      <c r="F15" s="302">
        <v>43801</v>
      </c>
    </row>
    <row r="16" spans="2:6" x14ac:dyDescent="0.3">
      <c r="B16" s="297"/>
      <c r="C16" s="299"/>
      <c r="D16" s="299"/>
      <c r="E16" s="299"/>
      <c r="F16" s="299"/>
    </row>
    <row r="17" spans="2:6" ht="43.2" x14ac:dyDescent="0.3">
      <c r="B17" s="297">
        <v>6</v>
      </c>
      <c r="C17" s="301" t="s">
        <v>861</v>
      </c>
      <c r="D17" s="299" t="s">
        <v>862</v>
      </c>
      <c r="E17" s="301" t="s">
        <v>863</v>
      </c>
      <c r="F17" s="302">
        <v>43796</v>
      </c>
    </row>
    <row r="18" spans="2:6" x14ac:dyDescent="0.3">
      <c r="B18" s="297"/>
      <c r="C18" s="301"/>
      <c r="D18" s="299"/>
      <c r="E18" s="301"/>
      <c r="F18" s="302"/>
    </row>
    <row r="19" spans="2:6" ht="28.8" x14ac:dyDescent="0.3">
      <c r="B19" s="297">
        <v>7</v>
      </c>
      <c r="C19" s="301" t="s">
        <v>864</v>
      </c>
      <c r="D19" s="299"/>
      <c r="E19" s="301" t="s">
        <v>865</v>
      </c>
      <c r="F19" s="302">
        <v>43801</v>
      </c>
    </row>
    <row r="20" spans="2:6" x14ac:dyDescent="0.3">
      <c r="B20" s="297"/>
      <c r="C20" s="299"/>
      <c r="D20" s="299"/>
      <c r="E20" s="299"/>
      <c r="F20" s="299"/>
    </row>
    <row r="21" spans="2:6" x14ac:dyDescent="0.3">
      <c r="B21" s="239"/>
      <c r="C21" s="303"/>
      <c r="D21" s="303"/>
      <c r="E21" s="303"/>
      <c r="F21" s="303"/>
    </row>
  </sheetData>
  <mergeCells count="1">
    <mergeCell ref="B2:F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01"/>
  <sheetViews>
    <sheetView topLeftCell="A10" workbookViewId="0">
      <pane ySplit="13" topLeftCell="A23" activePane="bottomLeft" state="frozen"/>
      <selection activeCell="B10" sqref="B10"/>
      <selection pane="bottomLeft" activeCell="B45" sqref="B45"/>
    </sheetView>
  </sheetViews>
  <sheetFormatPr defaultColWidth="9.109375" defaultRowHeight="13.2" x14ac:dyDescent="0.3"/>
  <cols>
    <col min="1" max="1" width="5.44140625" style="7" customWidth="1"/>
    <col min="2" max="2" width="39.33203125" style="7" customWidth="1"/>
    <col min="3" max="3" width="9.33203125" style="7" customWidth="1"/>
    <col min="4" max="4" width="10" style="7" customWidth="1"/>
    <col min="5" max="5" width="24" style="7" customWidth="1"/>
    <col min="6" max="6" width="35.33203125" style="8" customWidth="1"/>
    <col min="7" max="7" width="20.88671875" style="9" customWidth="1"/>
    <col min="8" max="8" width="7.5546875" style="10" customWidth="1"/>
    <col min="9" max="9" width="14" style="11" customWidth="1"/>
    <col min="10" max="10" width="14.44140625" style="11" customWidth="1"/>
    <col min="11" max="11" width="9.33203125" style="13" customWidth="1"/>
    <col min="12" max="12" width="8.109375" style="14" customWidth="1"/>
    <col min="13" max="13" width="11.5546875" style="15" hidden="1" customWidth="1"/>
    <col min="14" max="14" width="1.5546875" style="13" hidden="1" customWidth="1"/>
    <col min="15" max="15" width="16" style="12" hidden="1" customWidth="1"/>
    <col min="16" max="16" width="13.33203125" style="13" hidden="1" customWidth="1"/>
    <col min="17" max="17" width="0.88671875" style="13" hidden="1" customWidth="1"/>
    <col min="18" max="18" width="13.33203125" style="13" hidden="1" customWidth="1"/>
    <col min="19" max="19" width="0" style="13" hidden="1" customWidth="1"/>
    <col min="20" max="16384" width="9.109375" style="13"/>
  </cols>
  <sheetData>
    <row r="2" spans="1:18" x14ac:dyDescent="0.3">
      <c r="H2" s="16"/>
      <c r="I2" s="84"/>
    </row>
    <row r="3" spans="1:18" x14ac:dyDescent="0.3">
      <c r="G3" s="85"/>
      <c r="H3" s="16"/>
      <c r="I3" s="84"/>
    </row>
    <row r="4" spans="1:18" x14ac:dyDescent="0.3">
      <c r="G4" s="87"/>
      <c r="H4" s="88"/>
    </row>
    <row r="5" spans="1:18" x14ac:dyDescent="0.3">
      <c r="G5" s="87"/>
      <c r="H5" s="88"/>
    </row>
    <row r="6" spans="1:18" x14ac:dyDescent="0.3">
      <c r="F6" s="18"/>
      <c r="G6" s="18"/>
      <c r="I6" s="90"/>
    </row>
    <row r="7" spans="1:18" ht="26.4" x14ac:dyDescent="0.3">
      <c r="F7" s="18" t="s">
        <v>389</v>
      </c>
      <c r="G7" s="18"/>
      <c r="I7" s="90"/>
    </row>
    <row r="8" spans="1:18" ht="13.8" thickBot="1" x14ac:dyDescent="0.35">
      <c r="G8" s="87"/>
      <c r="H8" s="88"/>
    </row>
    <row r="9" spans="1:18" ht="13.8" thickBot="1" x14ac:dyDescent="0.35">
      <c r="A9" s="191" t="s">
        <v>198</v>
      </c>
      <c r="B9" s="192"/>
      <c r="C9" s="192"/>
      <c r="D9" s="192"/>
      <c r="E9" s="192"/>
      <c r="F9" s="1219" t="s">
        <v>199</v>
      </c>
      <c r="G9" s="1489"/>
      <c r="H9" s="1489"/>
    </row>
    <row r="10" spans="1:18" ht="13.8" thickBot="1" x14ac:dyDescent="0.35">
      <c r="I10" s="93" t="s">
        <v>200</v>
      </c>
    </row>
    <row r="11" spans="1:18" ht="26.25" customHeight="1" thickBot="1" x14ac:dyDescent="0.35">
      <c r="A11" s="19" t="s">
        <v>201</v>
      </c>
      <c r="B11" s="193"/>
      <c r="C11" s="193"/>
      <c r="D11" s="193"/>
      <c r="E11" s="193"/>
      <c r="F11" s="1322" t="s">
        <v>202</v>
      </c>
      <c r="G11" s="1323"/>
      <c r="H11" s="1324" t="s">
        <v>203</v>
      </c>
      <c r="I11" s="1341" t="s">
        <v>205</v>
      </c>
      <c r="J11" s="1221" t="s">
        <v>206</v>
      </c>
      <c r="K11" s="1350" t="s">
        <v>208</v>
      </c>
      <c r="L11" s="1351"/>
      <c r="M11" s="1214" t="s">
        <v>213</v>
      </c>
      <c r="N11" s="95"/>
      <c r="O11" s="96"/>
      <c r="R11" s="1480" t="s">
        <v>214</v>
      </c>
    </row>
    <row r="12" spans="1:18" x14ac:dyDescent="0.3">
      <c r="A12" s="1333"/>
      <c r="B12" s="1483" t="s">
        <v>343</v>
      </c>
      <c r="C12" s="1483" t="s">
        <v>344</v>
      </c>
      <c r="D12" s="1486" t="s">
        <v>345</v>
      </c>
      <c r="E12" s="1486" t="s">
        <v>346</v>
      </c>
      <c r="F12" s="1208"/>
      <c r="G12" s="1336"/>
      <c r="H12" s="1325"/>
      <c r="I12" s="1342"/>
      <c r="J12" s="1368"/>
      <c r="K12" s="1352"/>
      <c r="L12" s="1353"/>
      <c r="M12" s="1332"/>
      <c r="N12" s="98"/>
      <c r="O12" s="20"/>
      <c r="R12" s="1481"/>
    </row>
    <row r="13" spans="1:18" x14ac:dyDescent="0.3">
      <c r="A13" s="1334"/>
      <c r="B13" s="1484"/>
      <c r="C13" s="1484"/>
      <c r="D13" s="1487"/>
      <c r="E13" s="1487"/>
      <c r="F13" s="1335"/>
      <c r="G13" s="1337"/>
      <c r="H13" s="1325"/>
      <c r="I13" s="1342"/>
      <c r="J13" s="1368"/>
      <c r="K13" s="1352"/>
      <c r="L13" s="1353"/>
      <c r="M13" s="1332"/>
      <c r="N13" s="98"/>
      <c r="O13" s="20"/>
      <c r="R13" s="1481"/>
    </row>
    <row r="14" spans="1:18" ht="13.5" customHeight="1" thickBot="1" x14ac:dyDescent="0.35">
      <c r="A14" s="1334"/>
      <c r="B14" s="1484"/>
      <c r="C14" s="1484"/>
      <c r="D14" s="1487"/>
      <c r="E14" s="1487"/>
      <c r="F14" s="1335"/>
      <c r="G14" s="1337"/>
      <c r="H14" s="1325"/>
      <c r="I14" s="1342"/>
      <c r="J14" s="1368"/>
      <c r="K14" s="1354"/>
      <c r="L14" s="1355"/>
      <c r="M14" s="1332"/>
      <c r="N14" s="98"/>
      <c r="O14" s="20"/>
      <c r="R14" s="1481"/>
    </row>
    <row r="15" spans="1:18" ht="13.5" customHeight="1" x14ac:dyDescent="0.3">
      <c r="A15" s="1334"/>
      <c r="B15" s="1484"/>
      <c r="C15" s="1484"/>
      <c r="D15" s="1487"/>
      <c r="E15" s="1487"/>
      <c r="F15" s="1335"/>
      <c r="G15" s="1337"/>
      <c r="H15" s="1325"/>
      <c r="I15" s="1342"/>
      <c r="J15" s="1368" t="s">
        <v>218</v>
      </c>
      <c r="K15" s="1336"/>
      <c r="L15" s="1208"/>
      <c r="M15" s="1332"/>
      <c r="N15" s="98"/>
      <c r="O15" s="20"/>
      <c r="R15" s="1481"/>
    </row>
    <row r="16" spans="1:18" ht="12.75" customHeight="1" x14ac:dyDescent="0.3">
      <c r="A16" s="1334"/>
      <c r="B16" s="1484"/>
      <c r="C16" s="1484"/>
      <c r="D16" s="1487"/>
      <c r="E16" s="1487"/>
      <c r="F16" s="1335"/>
      <c r="G16" s="1337"/>
      <c r="H16" s="1325"/>
      <c r="I16" s="1342"/>
      <c r="J16" s="1368"/>
      <c r="K16" s="1337"/>
      <c r="L16" s="1335"/>
      <c r="M16" s="1332"/>
      <c r="N16" s="98"/>
      <c r="O16" s="20"/>
      <c r="R16" s="1481"/>
    </row>
    <row r="17" spans="1:19" x14ac:dyDescent="0.3">
      <c r="A17" s="1334"/>
      <c r="B17" s="1484"/>
      <c r="C17" s="1484"/>
      <c r="D17" s="1487"/>
      <c r="E17" s="1487"/>
      <c r="F17" s="1335"/>
      <c r="G17" s="1337"/>
      <c r="H17" s="1325"/>
      <c r="I17" s="1342"/>
      <c r="J17" s="1368"/>
      <c r="K17" s="1337"/>
      <c r="L17" s="1335"/>
      <c r="M17" s="1332"/>
      <c r="N17" s="98"/>
      <c r="O17" s="20"/>
      <c r="R17" s="1481"/>
    </row>
    <row r="18" spans="1:19" x14ac:dyDescent="0.3">
      <c r="A18" s="1334"/>
      <c r="B18" s="1484"/>
      <c r="C18" s="1484"/>
      <c r="D18" s="1487"/>
      <c r="E18" s="1487"/>
      <c r="F18" s="1335"/>
      <c r="G18" s="1337"/>
      <c r="H18" s="1325"/>
      <c r="I18" s="1342"/>
      <c r="J18" s="1368"/>
      <c r="K18" s="1337"/>
      <c r="L18" s="1335"/>
      <c r="M18" s="1332"/>
      <c r="N18" s="98"/>
      <c r="O18" s="20"/>
      <c r="R18" s="1481"/>
    </row>
    <row r="19" spans="1:19" ht="13.8" thickBot="1" x14ac:dyDescent="0.35">
      <c r="A19" s="1334"/>
      <c r="B19" s="1484"/>
      <c r="C19" s="1484"/>
      <c r="D19" s="1487"/>
      <c r="E19" s="1487"/>
      <c r="F19" s="1209"/>
      <c r="G19" s="1338"/>
      <c r="H19" s="1325"/>
      <c r="I19" s="1342"/>
      <c r="J19" s="1368"/>
      <c r="K19" s="1338"/>
      <c r="L19" s="1209"/>
      <c r="M19" s="1332"/>
      <c r="N19" s="98"/>
      <c r="O19" s="20"/>
      <c r="R19" s="1481"/>
    </row>
    <row r="20" spans="1:19" ht="12.75" customHeight="1" x14ac:dyDescent="0.3">
      <c r="A20" s="1334"/>
      <c r="B20" s="1484"/>
      <c r="C20" s="1484"/>
      <c r="D20" s="1487"/>
      <c r="E20" s="1487"/>
      <c r="F20" s="1208" t="s">
        <v>1</v>
      </c>
      <c r="G20" s="1336" t="s">
        <v>2</v>
      </c>
      <c r="H20" s="1325"/>
      <c r="I20" s="1342"/>
      <c r="J20" s="1368"/>
      <c r="K20" s="1214" t="s">
        <v>92</v>
      </c>
      <c r="L20" s="1208" t="s">
        <v>93</v>
      </c>
      <c r="M20" s="1332"/>
      <c r="N20" s="98"/>
      <c r="O20" s="20"/>
      <c r="R20" s="1481"/>
    </row>
    <row r="21" spans="1:19" ht="13.8" thickBot="1" x14ac:dyDescent="0.35">
      <c r="A21" s="1334"/>
      <c r="B21" s="1484"/>
      <c r="C21" s="1484"/>
      <c r="D21" s="1487"/>
      <c r="E21" s="1487"/>
      <c r="F21" s="1335"/>
      <c r="G21" s="1337"/>
      <c r="H21" s="1325"/>
      <c r="I21" s="1342"/>
      <c r="J21" s="1368"/>
      <c r="K21" s="1332"/>
      <c r="L21" s="1335"/>
      <c r="M21" s="1332"/>
      <c r="N21" s="98"/>
      <c r="O21" s="20"/>
      <c r="R21" s="1482"/>
    </row>
    <row r="22" spans="1:19" x14ac:dyDescent="0.3">
      <c r="A22" s="26"/>
      <c r="B22" s="1485"/>
      <c r="C22" s="1485"/>
      <c r="D22" s="1488"/>
      <c r="E22" s="1488"/>
      <c r="F22" s="27"/>
      <c r="G22" s="28"/>
      <c r="H22" s="29"/>
      <c r="I22" s="30"/>
      <c r="J22" s="30"/>
      <c r="K22" s="31"/>
      <c r="L22" s="32"/>
      <c r="M22" s="32"/>
      <c r="N22" s="103"/>
      <c r="O22" s="20"/>
    </row>
    <row r="23" spans="1:19" ht="102" customHeight="1" x14ac:dyDescent="0.3">
      <c r="A23" s="1228">
        <v>1</v>
      </c>
      <c r="B23" s="36" t="s">
        <v>340</v>
      </c>
      <c r="C23" s="36" t="s">
        <v>349</v>
      </c>
      <c r="D23" s="36" t="s">
        <v>347</v>
      </c>
      <c r="E23" s="36">
        <v>598500</v>
      </c>
      <c r="F23" s="1292" t="s">
        <v>94</v>
      </c>
      <c r="G23" s="35"/>
      <c r="H23" s="1228">
        <f>2</f>
        <v>2</v>
      </c>
      <c r="I23" s="1228">
        <f>156825000+83025000</f>
        <v>239850000</v>
      </c>
      <c r="J23" s="1228">
        <f>127500000+67500000</f>
        <v>195000000</v>
      </c>
      <c r="K23" s="36" t="s">
        <v>95</v>
      </c>
      <c r="L23" s="36" t="s">
        <v>226</v>
      </c>
      <c r="M23" s="36" t="s">
        <v>95</v>
      </c>
      <c r="N23" s="103"/>
      <c r="O23" s="55">
        <f t="shared" ref="O23:O32" si="0">+J23</f>
        <v>195000000</v>
      </c>
      <c r="P23" s="17"/>
      <c r="R23" s="36">
        <v>53000000</v>
      </c>
      <c r="S23" s="17">
        <f>+I23/100000</f>
        <v>2398.5</v>
      </c>
    </row>
    <row r="24" spans="1:19" ht="26.4" x14ac:dyDescent="0.3">
      <c r="A24" s="1244"/>
      <c r="B24" s="36" t="s">
        <v>341</v>
      </c>
      <c r="C24" s="36" t="s">
        <v>348</v>
      </c>
      <c r="D24" s="36" t="s">
        <v>347</v>
      </c>
      <c r="E24" s="36">
        <v>1615000</v>
      </c>
      <c r="F24" s="1479"/>
      <c r="G24" s="35"/>
      <c r="H24" s="1244"/>
      <c r="I24" s="1244"/>
      <c r="J24" s="1244"/>
      <c r="K24" s="36"/>
      <c r="L24" s="36"/>
      <c r="M24" s="36"/>
      <c r="N24" s="103"/>
      <c r="O24" s="55"/>
      <c r="P24" s="17"/>
      <c r="R24" s="36"/>
      <c r="S24" s="17"/>
    </row>
    <row r="25" spans="1:19" x14ac:dyDescent="0.3">
      <c r="A25" s="1229"/>
      <c r="B25" s="36" t="s">
        <v>342</v>
      </c>
      <c r="C25" s="190"/>
      <c r="D25" s="36" t="s">
        <v>347</v>
      </c>
      <c r="E25" s="36">
        <v>201500</v>
      </c>
      <c r="F25" s="1293"/>
      <c r="G25" s="35"/>
      <c r="H25" s="1229"/>
      <c r="I25" s="1229"/>
      <c r="J25" s="1229"/>
      <c r="K25" s="36"/>
      <c r="L25" s="36"/>
      <c r="M25" s="36"/>
      <c r="N25" s="103"/>
      <c r="O25" s="55"/>
      <c r="P25" s="17"/>
      <c r="R25" s="36"/>
      <c r="S25" s="17"/>
    </row>
    <row r="26" spans="1:19" ht="89.25" customHeight="1" x14ac:dyDescent="0.3">
      <c r="A26" s="1228">
        <f>+A23+1</f>
        <v>2</v>
      </c>
      <c r="B26" s="36" t="s">
        <v>350</v>
      </c>
      <c r="C26" s="36">
        <v>4</v>
      </c>
      <c r="D26" s="36" t="s">
        <v>352</v>
      </c>
      <c r="E26" s="36">
        <v>5910000</v>
      </c>
      <c r="F26" s="1292" t="s">
        <v>72</v>
      </c>
      <c r="G26" s="35"/>
      <c r="H26" s="1228">
        <v>6</v>
      </c>
      <c r="I26" s="1228">
        <f>123923000+142791000+219863000+57244000+52607000+183885000</f>
        <v>780313000</v>
      </c>
      <c r="J26" s="1228">
        <f>100750000+116090000+178750000+46540000+42770000+149500000</f>
        <v>634400000</v>
      </c>
      <c r="K26" s="36" t="s">
        <v>95</v>
      </c>
      <c r="L26" s="36" t="s">
        <v>96</v>
      </c>
      <c r="M26" s="36" t="s">
        <v>95</v>
      </c>
      <c r="N26" s="103"/>
      <c r="O26" s="55">
        <f t="shared" si="0"/>
        <v>634400000</v>
      </c>
      <c r="P26" s="17"/>
      <c r="R26" s="36">
        <v>344400000</v>
      </c>
      <c r="S26" s="17">
        <f t="shared" ref="S26:S50" si="1">+I26/100000</f>
        <v>7803.13</v>
      </c>
    </row>
    <row r="27" spans="1:19" x14ac:dyDescent="0.3">
      <c r="A27" s="1229"/>
      <c r="B27" s="36" t="s">
        <v>351</v>
      </c>
      <c r="C27" s="36">
        <v>2</v>
      </c>
      <c r="D27" s="36" t="s">
        <v>352</v>
      </c>
      <c r="E27" s="36">
        <v>2300000</v>
      </c>
      <c r="F27" s="1293"/>
      <c r="G27" s="35"/>
      <c r="H27" s="1229"/>
      <c r="I27" s="1229"/>
      <c r="J27" s="1229"/>
      <c r="K27" s="36"/>
      <c r="L27" s="36"/>
      <c r="M27" s="36"/>
      <c r="N27" s="103"/>
      <c r="O27" s="55"/>
      <c r="P27" s="17"/>
      <c r="R27" s="36"/>
      <c r="S27" s="17"/>
    </row>
    <row r="28" spans="1:19" ht="105.6" x14ac:dyDescent="0.3">
      <c r="A28" s="34">
        <f>+A26+1</f>
        <v>3</v>
      </c>
      <c r="B28" s="36" t="s">
        <v>353</v>
      </c>
      <c r="C28" s="36" t="s">
        <v>354</v>
      </c>
      <c r="D28" s="36" t="s">
        <v>352</v>
      </c>
      <c r="E28" s="36" t="s">
        <v>355</v>
      </c>
      <c r="F28" s="35" t="s">
        <v>229</v>
      </c>
      <c r="G28" s="35"/>
      <c r="H28" s="38"/>
      <c r="I28" s="38">
        <f>59963000+23186000</f>
        <v>83149000</v>
      </c>
      <c r="J28" s="38">
        <f>48750000+18850000</f>
        <v>67600000</v>
      </c>
      <c r="K28" s="38" t="s">
        <v>95</v>
      </c>
      <c r="L28" s="38" t="s">
        <v>96</v>
      </c>
      <c r="M28" s="38" t="s">
        <v>95</v>
      </c>
      <c r="N28" s="103"/>
      <c r="O28" s="55">
        <f t="shared" si="0"/>
        <v>67600000</v>
      </c>
      <c r="P28" s="17"/>
      <c r="R28" s="38">
        <v>67600000</v>
      </c>
      <c r="S28" s="17">
        <f t="shared" si="1"/>
        <v>831.49</v>
      </c>
    </row>
    <row r="29" spans="1:19" x14ac:dyDescent="0.3">
      <c r="A29" s="34">
        <f t="shared" ref="A29:A50" si="2">+A28+1</f>
        <v>4</v>
      </c>
      <c r="B29" s="36" t="s">
        <v>356</v>
      </c>
      <c r="C29" s="36">
        <v>1</v>
      </c>
      <c r="D29" s="36" t="s">
        <v>347</v>
      </c>
      <c r="E29" s="36">
        <v>4350000</v>
      </c>
      <c r="F29" s="35" t="s">
        <v>98</v>
      </c>
      <c r="G29" s="35"/>
      <c r="H29" s="38">
        <v>1</v>
      </c>
      <c r="I29" s="38">
        <v>461250000</v>
      </c>
      <c r="J29" s="38">
        <v>375000000</v>
      </c>
      <c r="K29" s="38" t="s">
        <v>95</v>
      </c>
      <c r="L29" s="39" t="s">
        <v>99</v>
      </c>
      <c r="M29" s="38" t="s">
        <v>95</v>
      </c>
      <c r="N29" s="103"/>
      <c r="O29" s="55">
        <f t="shared" si="0"/>
        <v>375000000</v>
      </c>
      <c r="P29" s="17"/>
      <c r="R29" s="38">
        <v>275000000</v>
      </c>
      <c r="S29" s="17">
        <f t="shared" si="1"/>
        <v>4612.5</v>
      </c>
    </row>
    <row r="30" spans="1:19" ht="118.8" x14ac:dyDescent="0.3">
      <c r="A30" s="34">
        <f t="shared" si="2"/>
        <v>5</v>
      </c>
      <c r="B30" s="36" t="s">
        <v>357</v>
      </c>
      <c r="C30" s="204" t="s">
        <v>358</v>
      </c>
      <c r="D30" s="36" t="s">
        <v>359</v>
      </c>
      <c r="E30" s="36">
        <v>5650000</v>
      </c>
      <c r="F30" s="35" t="s">
        <v>102</v>
      </c>
      <c r="G30" s="35"/>
      <c r="H30" s="40">
        <v>1</v>
      </c>
      <c r="I30" s="40">
        <f>7995000</f>
        <v>7995000</v>
      </c>
      <c r="J30" s="40">
        <f>6500000</f>
        <v>6500000</v>
      </c>
      <c r="K30" s="40" t="s">
        <v>95</v>
      </c>
      <c r="L30" s="40" t="s">
        <v>103</v>
      </c>
      <c r="M30" s="40" t="s">
        <v>95</v>
      </c>
      <c r="N30" s="70"/>
      <c r="O30" s="55">
        <f t="shared" si="0"/>
        <v>6500000</v>
      </c>
      <c r="P30" s="17"/>
      <c r="R30" s="40">
        <v>6500000</v>
      </c>
      <c r="S30" s="17">
        <f t="shared" si="1"/>
        <v>79.95</v>
      </c>
    </row>
    <row r="31" spans="1:19" ht="26.4" x14ac:dyDescent="0.3">
      <c r="A31" s="34">
        <f t="shared" si="2"/>
        <v>6</v>
      </c>
      <c r="B31" s="36" t="s">
        <v>350</v>
      </c>
      <c r="C31" s="36">
        <v>1</v>
      </c>
      <c r="D31" s="36" t="s">
        <v>352</v>
      </c>
      <c r="E31" s="36">
        <v>12090000</v>
      </c>
      <c r="F31" s="35" t="s">
        <v>114</v>
      </c>
      <c r="G31" s="35"/>
      <c r="H31" s="36" t="s">
        <v>100</v>
      </c>
      <c r="I31" s="36">
        <f>909032000</f>
        <v>909032000</v>
      </c>
      <c r="J31" s="36">
        <f>785850000</f>
        <v>785850000</v>
      </c>
      <c r="K31" s="36" t="s">
        <v>95</v>
      </c>
      <c r="L31" s="36" t="s">
        <v>115</v>
      </c>
      <c r="M31" s="36" t="s">
        <v>95</v>
      </c>
      <c r="N31" s="103"/>
      <c r="O31" s="55">
        <f t="shared" si="0"/>
        <v>785850000</v>
      </c>
      <c r="P31" s="17"/>
      <c r="R31" s="36">
        <v>485850000</v>
      </c>
      <c r="S31" s="17">
        <f t="shared" si="1"/>
        <v>9090.32</v>
      </c>
    </row>
    <row r="32" spans="1:19" ht="105.6" x14ac:dyDescent="0.3">
      <c r="A32" s="34">
        <f t="shared" si="2"/>
        <v>7</v>
      </c>
      <c r="B32" s="36" t="s">
        <v>360</v>
      </c>
      <c r="C32" s="36">
        <v>1</v>
      </c>
      <c r="D32" s="36" t="s">
        <v>347</v>
      </c>
      <c r="E32" s="36">
        <v>1055270</v>
      </c>
      <c r="F32" s="35" t="s">
        <v>230</v>
      </c>
      <c r="G32" s="35"/>
      <c r="H32" s="36"/>
      <c r="I32" s="38">
        <f>111930000</f>
        <v>111930000</v>
      </c>
      <c r="J32" s="38">
        <v>91000000</v>
      </c>
      <c r="K32" s="38" t="s">
        <v>95</v>
      </c>
      <c r="L32" s="36" t="s">
        <v>231</v>
      </c>
      <c r="M32" s="36" t="s">
        <v>95</v>
      </c>
      <c r="N32" s="103"/>
      <c r="O32" s="55">
        <f t="shared" si="0"/>
        <v>91000000</v>
      </c>
      <c r="P32" s="17"/>
      <c r="R32" s="38">
        <v>91000000</v>
      </c>
      <c r="S32" s="17">
        <f t="shared" si="1"/>
        <v>1119.3</v>
      </c>
    </row>
    <row r="33" spans="1:19" x14ac:dyDescent="0.3">
      <c r="A33" s="34">
        <f t="shared" si="2"/>
        <v>8</v>
      </c>
      <c r="B33" s="36" t="s">
        <v>361</v>
      </c>
      <c r="C33" s="36">
        <v>1</v>
      </c>
      <c r="D33" s="36" t="s">
        <v>347</v>
      </c>
      <c r="E33" s="36">
        <v>1470000</v>
      </c>
      <c r="F33" s="35" t="s">
        <v>107</v>
      </c>
      <c r="G33" s="35"/>
      <c r="H33" s="40">
        <v>1</v>
      </c>
      <c r="I33" s="40">
        <f>127920000</f>
        <v>127920000</v>
      </c>
      <c r="J33" s="40">
        <f>104000000</f>
        <v>104000000</v>
      </c>
      <c r="K33" s="40" t="s">
        <v>95</v>
      </c>
      <c r="L33" s="40" t="s">
        <v>108</v>
      </c>
      <c r="M33" s="40" t="s">
        <v>95</v>
      </c>
      <c r="N33" s="70"/>
      <c r="O33" s="198">
        <f>+J33</f>
        <v>104000000</v>
      </c>
      <c r="P33" s="17"/>
      <c r="R33" s="40">
        <v>104000000</v>
      </c>
      <c r="S33" s="17">
        <f t="shared" si="1"/>
        <v>1279.2</v>
      </c>
    </row>
    <row r="34" spans="1:19" ht="66" x14ac:dyDescent="0.3">
      <c r="A34" s="34">
        <f t="shared" si="2"/>
        <v>9</v>
      </c>
      <c r="B34" s="190"/>
      <c r="C34" s="190"/>
      <c r="D34" s="190"/>
      <c r="E34" s="190"/>
      <c r="F34" s="35" t="s">
        <v>75</v>
      </c>
      <c r="G34" s="35">
        <f>50000000*I34/J34</f>
        <v>61499393.820243128</v>
      </c>
      <c r="H34" s="36" t="s">
        <v>109</v>
      </c>
      <c r="I34" s="36">
        <f>43457000+1218000+40018000+14345000-61500000</f>
        <v>37538000</v>
      </c>
      <c r="J34" s="36">
        <f>35331000+990000+32535000+11663000-50000000</f>
        <v>30519000</v>
      </c>
      <c r="K34" s="36" t="s">
        <v>101</v>
      </c>
      <c r="L34" s="36">
        <v>82</v>
      </c>
      <c r="M34" s="36" t="s">
        <v>101</v>
      </c>
      <c r="N34" s="103"/>
      <c r="O34" s="55"/>
      <c r="P34" s="17">
        <f>+J34</f>
        <v>30519000</v>
      </c>
      <c r="R34" s="17">
        <v>450000</v>
      </c>
      <c r="S34" s="17">
        <f t="shared" si="1"/>
        <v>375.38</v>
      </c>
    </row>
    <row r="35" spans="1:19" ht="66" x14ac:dyDescent="0.3">
      <c r="A35" s="34">
        <f t="shared" si="2"/>
        <v>10</v>
      </c>
      <c r="B35" s="36" t="s">
        <v>362</v>
      </c>
      <c r="C35" s="36">
        <v>8</v>
      </c>
      <c r="D35" s="36" t="s">
        <v>347</v>
      </c>
      <c r="E35" s="36">
        <v>1800202</v>
      </c>
      <c r="F35" s="35" t="s">
        <v>82</v>
      </c>
      <c r="G35" s="35"/>
      <c r="H35" s="36">
        <v>8</v>
      </c>
      <c r="I35" s="36">
        <v>166050000</v>
      </c>
      <c r="J35" s="36">
        <v>135000000</v>
      </c>
      <c r="K35" s="36" t="s">
        <v>105</v>
      </c>
      <c r="L35" s="38" t="s">
        <v>110</v>
      </c>
      <c r="M35" s="36" t="s">
        <v>105</v>
      </c>
      <c r="N35" s="103"/>
      <c r="O35" s="55"/>
      <c r="P35" s="17">
        <f>+J35</f>
        <v>135000000</v>
      </c>
      <c r="R35" s="36">
        <v>35000000</v>
      </c>
      <c r="S35" s="17">
        <f t="shared" si="1"/>
        <v>1660.5</v>
      </c>
    </row>
    <row r="36" spans="1:19" ht="26.4" x14ac:dyDescent="0.3">
      <c r="A36" s="34">
        <f t="shared" si="2"/>
        <v>11</v>
      </c>
      <c r="B36" s="36" t="s">
        <v>363</v>
      </c>
      <c r="C36" s="190"/>
      <c r="D36" s="36" t="s">
        <v>359</v>
      </c>
      <c r="E36" s="36">
        <v>3600000</v>
      </c>
      <c r="F36" s="35" t="s">
        <v>83</v>
      </c>
      <c r="G36" s="35"/>
      <c r="H36" s="40">
        <v>1</v>
      </c>
      <c r="I36" s="40">
        <v>13838000</v>
      </c>
      <c r="J36" s="40">
        <v>11250000</v>
      </c>
      <c r="K36" s="40" t="s">
        <v>101</v>
      </c>
      <c r="L36" s="40">
        <v>1</v>
      </c>
      <c r="M36" s="40" t="s">
        <v>101</v>
      </c>
      <c r="N36" s="103"/>
      <c r="O36" s="55"/>
      <c r="P36" s="17">
        <f>+J36</f>
        <v>11250000</v>
      </c>
      <c r="R36" s="40">
        <v>11250000</v>
      </c>
      <c r="S36" s="17">
        <f t="shared" si="1"/>
        <v>138.38</v>
      </c>
    </row>
    <row r="37" spans="1:19" ht="89.25" customHeight="1" x14ac:dyDescent="0.3">
      <c r="A37" s="1228">
        <f t="shared" si="2"/>
        <v>12</v>
      </c>
      <c r="B37" s="36" t="s">
        <v>342</v>
      </c>
      <c r="C37" s="36">
        <v>2</v>
      </c>
      <c r="D37" s="36" t="s">
        <v>347</v>
      </c>
      <c r="E37" s="36">
        <v>172328</v>
      </c>
      <c r="F37" s="1292" t="s">
        <v>84</v>
      </c>
      <c r="G37" s="1292" t="s">
        <v>84</v>
      </c>
      <c r="H37" s="1477">
        <f>1+1+1+4</f>
        <v>7</v>
      </c>
      <c r="I37" s="1477">
        <f>21218000+16605000+4151000+29520000</f>
        <v>71494000</v>
      </c>
      <c r="J37" s="1477">
        <f>17250000+13500000+3375000+24000000</f>
        <v>58125000</v>
      </c>
      <c r="K37" s="36" t="s">
        <v>105</v>
      </c>
      <c r="L37" s="38" t="s">
        <v>111</v>
      </c>
      <c r="M37" s="36" t="s">
        <v>105</v>
      </c>
      <c r="N37" s="103"/>
      <c r="O37" s="55"/>
      <c r="P37" s="17">
        <f t="shared" ref="P37:P50" si="3">+J37</f>
        <v>58125000</v>
      </c>
      <c r="R37" s="40">
        <v>125000</v>
      </c>
      <c r="S37" s="17">
        <f t="shared" si="1"/>
        <v>714.94</v>
      </c>
    </row>
    <row r="38" spans="1:19" x14ac:dyDescent="0.3">
      <c r="A38" s="1229"/>
      <c r="B38" s="36" t="s">
        <v>364</v>
      </c>
      <c r="C38" s="36">
        <v>4</v>
      </c>
      <c r="D38" s="36" t="s">
        <v>359</v>
      </c>
      <c r="E38" s="36">
        <v>30516400</v>
      </c>
      <c r="F38" s="1293"/>
      <c r="G38" s="1293"/>
      <c r="H38" s="1478"/>
      <c r="I38" s="1478"/>
      <c r="J38" s="1478"/>
      <c r="K38" s="36"/>
      <c r="L38" s="38"/>
      <c r="M38" s="36"/>
      <c r="N38" s="103"/>
      <c r="O38" s="55"/>
      <c r="P38" s="17"/>
      <c r="R38" s="203"/>
      <c r="S38" s="17"/>
    </row>
    <row r="39" spans="1:19" ht="25.5" customHeight="1" x14ac:dyDescent="0.3">
      <c r="A39" s="1228">
        <f>+A37+1</f>
        <v>13</v>
      </c>
      <c r="B39" s="190" t="s">
        <v>365</v>
      </c>
      <c r="C39" s="36" t="s">
        <v>367</v>
      </c>
      <c r="D39" s="36" t="s">
        <v>347</v>
      </c>
      <c r="E39" s="36">
        <v>2000000</v>
      </c>
      <c r="F39" s="1292" t="s">
        <v>85</v>
      </c>
      <c r="G39" s="35"/>
      <c r="H39" s="1477" t="s">
        <v>232</v>
      </c>
      <c r="I39" s="1477">
        <f>92250000+61500000</f>
        <v>153750000</v>
      </c>
      <c r="J39" s="1477">
        <f>75000000+50000000</f>
        <v>125000000</v>
      </c>
      <c r="K39" s="40" t="s">
        <v>101</v>
      </c>
      <c r="L39" s="40">
        <v>83</v>
      </c>
      <c r="M39" s="40" t="s">
        <v>101</v>
      </c>
      <c r="N39" s="103"/>
      <c r="O39" s="55"/>
      <c r="P39" s="17">
        <f t="shared" si="3"/>
        <v>125000000</v>
      </c>
      <c r="R39" s="17">
        <v>115000000</v>
      </c>
      <c r="S39" s="17">
        <f t="shared" si="1"/>
        <v>1537.5</v>
      </c>
    </row>
    <row r="40" spans="1:19" x14ac:dyDescent="0.3">
      <c r="A40" s="1229"/>
      <c r="B40" s="36" t="s">
        <v>366</v>
      </c>
      <c r="C40" s="204" t="s">
        <v>368</v>
      </c>
      <c r="D40" s="36" t="s">
        <v>369</v>
      </c>
      <c r="E40" s="36">
        <v>26384000</v>
      </c>
      <c r="F40" s="1293"/>
      <c r="G40" s="35"/>
      <c r="H40" s="1478"/>
      <c r="I40" s="1478"/>
      <c r="J40" s="1478"/>
      <c r="K40" s="40"/>
      <c r="L40" s="40"/>
      <c r="M40" s="40"/>
      <c r="N40" s="103"/>
      <c r="O40" s="55"/>
      <c r="P40" s="17"/>
      <c r="R40" s="17"/>
      <c r="S40" s="17"/>
    </row>
    <row r="41" spans="1:19" ht="38.25" customHeight="1" x14ac:dyDescent="0.3">
      <c r="A41" s="1228">
        <f>+A39+1</f>
        <v>14</v>
      </c>
      <c r="B41" s="36" t="s">
        <v>370</v>
      </c>
      <c r="C41" s="204" t="s">
        <v>372</v>
      </c>
      <c r="D41" s="36" t="s">
        <v>359</v>
      </c>
      <c r="E41" s="36">
        <v>8000000</v>
      </c>
      <c r="F41" s="1292" t="s">
        <v>77</v>
      </c>
      <c r="G41" s="1292"/>
      <c r="H41" s="1228">
        <f>2+2+1</f>
        <v>5</v>
      </c>
      <c r="I41" s="1228">
        <f>27675000+33210000+13838000</f>
        <v>74723000</v>
      </c>
      <c r="J41" s="1228">
        <f>22500000+27000000+11250000</f>
        <v>60750000</v>
      </c>
      <c r="K41" s="36" t="s">
        <v>101</v>
      </c>
      <c r="L41" s="36">
        <v>81</v>
      </c>
      <c r="M41" s="36" t="s">
        <v>101</v>
      </c>
      <c r="N41" s="103"/>
      <c r="O41" s="55"/>
      <c r="P41" s="17">
        <f t="shared" si="3"/>
        <v>60750000</v>
      </c>
      <c r="R41" s="36">
        <v>60750000</v>
      </c>
      <c r="S41" s="17">
        <f t="shared" si="1"/>
        <v>747.23</v>
      </c>
    </row>
    <row r="42" spans="1:19" x14ac:dyDescent="0.3">
      <c r="A42" s="1229"/>
      <c r="B42" s="36" t="s">
        <v>371</v>
      </c>
      <c r="C42" s="36">
        <v>6</v>
      </c>
      <c r="D42" s="36" t="s">
        <v>359</v>
      </c>
      <c r="E42" s="36">
        <v>31500000</v>
      </c>
      <c r="F42" s="1293"/>
      <c r="G42" s="1293"/>
      <c r="H42" s="1229"/>
      <c r="I42" s="1229"/>
      <c r="J42" s="1229"/>
      <c r="K42" s="36"/>
      <c r="L42" s="36"/>
      <c r="M42" s="36"/>
      <c r="N42" s="103"/>
      <c r="O42" s="55"/>
      <c r="P42" s="17"/>
      <c r="R42" s="36"/>
      <c r="S42" s="17"/>
    </row>
    <row r="43" spans="1:19" ht="66" x14ac:dyDescent="0.3">
      <c r="A43" s="34">
        <f>+A41+1</f>
        <v>15</v>
      </c>
      <c r="B43" s="36" t="s">
        <v>364</v>
      </c>
      <c r="C43" s="36">
        <v>2</v>
      </c>
      <c r="D43" s="36" t="s">
        <v>359</v>
      </c>
      <c r="E43" s="36">
        <v>34850150</v>
      </c>
      <c r="F43" s="35"/>
      <c r="G43" s="35" t="s">
        <v>86</v>
      </c>
      <c r="H43" s="40">
        <v>2</v>
      </c>
      <c r="I43" s="40">
        <f>44280000</f>
        <v>44280000</v>
      </c>
      <c r="J43" s="40">
        <f>36000000</f>
        <v>36000000</v>
      </c>
      <c r="K43" s="36" t="s">
        <v>105</v>
      </c>
      <c r="L43" s="38" t="s">
        <v>191</v>
      </c>
      <c r="M43" s="36" t="s">
        <v>105</v>
      </c>
      <c r="N43" s="103"/>
      <c r="O43" s="55"/>
      <c r="P43" s="17">
        <f t="shared" si="3"/>
        <v>36000000</v>
      </c>
      <c r="R43" s="40">
        <v>36000000</v>
      </c>
      <c r="S43" s="17">
        <f t="shared" si="1"/>
        <v>442.8</v>
      </c>
    </row>
    <row r="44" spans="1:19" ht="198" x14ac:dyDescent="0.3">
      <c r="A44" s="34">
        <f t="shared" si="2"/>
        <v>16</v>
      </c>
      <c r="B44" s="36" t="s">
        <v>364</v>
      </c>
      <c r="C44" s="36" t="s">
        <v>373</v>
      </c>
      <c r="D44" s="36" t="s">
        <v>359</v>
      </c>
      <c r="E44" s="36">
        <v>8699515</v>
      </c>
      <c r="F44" s="35"/>
      <c r="G44" s="35" t="s">
        <v>233</v>
      </c>
      <c r="H44" s="40">
        <v>2</v>
      </c>
      <c r="I44" s="40">
        <f>12300000</f>
        <v>12300000</v>
      </c>
      <c r="J44" s="40">
        <f>+J43*20%</f>
        <v>7200000</v>
      </c>
      <c r="K44" s="36" t="s">
        <v>105</v>
      </c>
      <c r="L44" s="38" t="s">
        <v>191</v>
      </c>
      <c r="M44" s="36" t="s">
        <v>105</v>
      </c>
      <c r="N44" s="103"/>
      <c r="O44" s="55"/>
      <c r="P44" s="17">
        <f t="shared" si="3"/>
        <v>7200000</v>
      </c>
      <c r="R44" s="40">
        <v>7200000</v>
      </c>
      <c r="S44" s="17">
        <f t="shared" si="1"/>
        <v>123</v>
      </c>
    </row>
    <row r="45" spans="1:19" ht="26.4" x14ac:dyDescent="0.3">
      <c r="A45" s="34">
        <f t="shared" si="2"/>
        <v>17</v>
      </c>
      <c r="B45" s="118" t="s">
        <v>374</v>
      </c>
      <c r="C45" s="118"/>
      <c r="D45" s="118"/>
      <c r="E45" s="118"/>
      <c r="F45" s="119" t="s">
        <v>234</v>
      </c>
      <c r="G45" s="35"/>
      <c r="H45" s="188" t="s">
        <v>112</v>
      </c>
      <c r="I45" s="188">
        <f>159900000+61500000</f>
        <v>221400000</v>
      </c>
      <c r="J45" s="188">
        <f>130000000+50000000</f>
        <v>180000000</v>
      </c>
      <c r="K45" s="40" t="s">
        <v>95</v>
      </c>
      <c r="L45" s="188" t="s">
        <v>235</v>
      </c>
      <c r="M45" s="40" t="s">
        <v>95</v>
      </c>
      <c r="N45" s="103"/>
      <c r="O45" s="55">
        <f>+J45</f>
        <v>180000000</v>
      </c>
      <c r="P45" s="17"/>
      <c r="R45" s="17">
        <v>180000000</v>
      </c>
      <c r="S45" s="17">
        <f t="shared" si="1"/>
        <v>2214</v>
      </c>
    </row>
    <row r="46" spans="1:19" x14ac:dyDescent="0.3">
      <c r="A46" s="34">
        <f>+A45+1</f>
        <v>18</v>
      </c>
      <c r="B46" s="36" t="s">
        <v>375</v>
      </c>
      <c r="C46" s="204" t="s">
        <v>376</v>
      </c>
      <c r="D46" s="36"/>
      <c r="E46" s="36">
        <v>7650000</v>
      </c>
      <c r="F46" s="35"/>
      <c r="G46" s="35" t="s">
        <v>79</v>
      </c>
      <c r="H46" s="36" t="s">
        <v>804</v>
      </c>
      <c r="I46" s="36">
        <f>3075000+3690000+1230000+1230000</f>
        <v>9225000</v>
      </c>
      <c r="J46" s="36">
        <f>(2500000+3000000)+1000000+1000000</f>
        <v>7500000</v>
      </c>
      <c r="K46" s="40" t="s">
        <v>101</v>
      </c>
      <c r="L46" s="36">
        <v>36</v>
      </c>
      <c r="M46" s="40" t="s">
        <v>101</v>
      </c>
      <c r="N46" s="103"/>
      <c r="O46" s="55"/>
      <c r="P46" s="17">
        <f t="shared" si="3"/>
        <v>7500000</v>
      </c>
      <c r="R46" s="36">
        <v>7500000</v>
      </c>
      <c r="S46" s="17">
        <f t="shared" si="1"/>
        <v>92.25</v>
      </c>
    </row>
    <row r="47" spans="1:19" ht="145.19999999999999" x14ac:dyDescent="0.3">
      <c r="A47" s="34">
        <f t="shared" si="2"/>
        <v>19</v>
      </c>
      <c r="B47" s="36" t="s">
        <v>377</v>
      </c>
      <c r="C47" s="36">
        <v>1</v>
      </c>
      <c r="D47" s="36" t="s">
        <v>359</v>
      </c>
      <c r="E47" s="36">
        <v>15000000</v>
      </c>
      <c r="F47" s="35"/>
      <c r="G47" s="35" t="s">
        <v>81</v>
      </c>
      <c r="H47" s="36">
        <f>1+1+1</f>
        <v>3</v>
      </c>
      <c r="I47" s="36">
        <f>12300000+6150000+12300000</f>
        <v>30750000</v>
      </c>
      <c r="J47" s="36">
        <f>10000000+5000000+10000000</f>
        <v>25000000</v>
      </c>
      <c r="K47" s="40" t="s">
        <v>101</v>
      </c>
      <c r="L47" s="36">
        <v>73</v>
      </c>
      <c r="M47" s="40" t="s">
        <v>101</v>
      </c>
      <c r="N47" s="103"/>
      <c r="O47" s="55"/>
      <c r="P47" s="17">
        <f t="shared" si="3"/>
        <v>25000000</v>
      </c>
      <c r="R47" s="17">
        <v>25000000</v>
      </c>
      <c r="S47" s="17">
        <f t="shared" si="1"/>
        <v>307.5</v>
      </c>
    </row>
    <row r="48" spans="1:19" x14ac:dyDescent="0.3">
      <c r="A48" s="34">
        <f t="shared" si="2"/>
        <v>20</v>
      </c>
      <c r="B48" s="36" t="s">
        <v>378</v>
      </c>
      <c r="C48" s="204" t="s">
        <v>379</v>
      </c>
      <c r="D48" s="36" t="s">
        <v>359</v>
      </c>
      <c r="E48" s="36">
        <v>19400000</v>
      </c>
      <c r="F48" s="35" t="s">
        <v>76</v>
      </c>
      <c r="G48" s="35"/>
      <c r="H48" s="40" t="s">
        <v>104</v>
      </c>
      <c r="I48" s="40">
        <v>11531000</v>
      </c>
      <c r="J48" s="40">
        <v>9375000</v>
      </c>
      <c r="K48" s="40" t="s">
        <v>105</v>
      </c>
      <c r="L48" s="40" t="s">
        <v>106</v>
      </c>
      <c r="M48" s="40" t="s">
        <v>105</v>
      </c>
      <c r="N48" s="103"/>
      <c r="O48" s="55"/>
      <c r="P48" s="17">
        <f t="shared" si="3"/>
        <v>9375000</v>
      </c>
      <c r="R48" s="40">
        <v>9375000</v>
      </c>
      <c r="S48" s="17">
        <f t="shared" si="1"/>
        <v>115.31</v>
      </c>
    </row>
    <row r="49" spans="1:19" ht="39.6" x14ac:dyDescent="0.3">
      <c r="A49" s="34">
        <f t="shared" si="2"/>
        <v>21</v>
      </c>
      <c r="B49" s="36" t="s">
        <v>380</v>
      </c>
      <c r="C49" s="36"/>
      <c r="D49" s="36" t="s">
        <v>359</v>
      </c>
      <c r="E49" s="36">
        <v>59500000</v>
      </c>
      <c r="F49" s="35"/>
      <c r="G49" s="35" t="s">
        <v>78</v>
      </c>
      <c r="H49" s="36">
        <v>1</v>
      </c>
      <c r="I49" s="36">
        <v>36900000</v>
      </c>
      <c r="J49" s="36">
        <v>30000000</v>
      </c>
      <c r="K49" s="40" t="s">
        <v>101</v>
      </c>
      <c r="L49" s="36">
        <v>80</v>
      </c>
      <c r="M49" s="40" t="s">
        <v>101</v>
      </c>
      <c r="N49" s="103"/>
      <c r="O49" s="55"/>
      <c r="P49" s="17">
        <f t="shared" si="3"/>
        <v>30000000</v>
      </c>
      <c r="R49" s="36">
        <v>30000000</v>
      </c>
      <c r="S49" s="17">
        <f t="shared" si="1"/>
        <v>369</v>
      </c>
    </row>
    <row r="50" spans="1:19" ht="79.2" x14ac:dyDescent="0.3">
      <c r="A50" s="34">
        <f t="shared" si="2"/>
        <v>22</v>
      </c>
      <c r="B50" s="36" t="s">
        <v>381</v>
      </c>
      <c r="C50" s="204" t="s">
        <v>382</v>
      </c>
      <c r="D50" s="36" t="s">
        <v>359</v>
      </c>
      <c r="E50" s="36">
        <v>11500000</v>
      </c>
      <c r="F50" s="35"/>
      <c r="G50" s="35" t="s">
        <v>80</v>
      </c>
      <c r="H50" s="36" t="s">
        <v>112</v>
      </c>
      <c r="I50" s="36">
        <v>67650000</v>
      </c>
      <c r="J50" s="36">
        <v>55000000</v>
      </c>
      <c r="K50" s="40" t="s">
        <v>101</v>
      </c>
      <c r="L50" s="36">
        <v>9</v>
      </c>
      <c r="M50" s="40" t="s">
        <v>101</v>
      </c>
      <c r="N50" s="103"/>
      <c r="O50" s="55"/>
      <c r="P50" s="17">
        <f t="shared" si="3"/>
        <v>55000000</v>
      </c>
      <c r="R50" s="36">
        <v>55000000</v>
      </c>
      <c r="S50" s="17">
        <f t="shared" si="1"/>
        <v>676.5</v>
      </c>
    </row>
    <row r="51" spans="1:19" x14ac:dyDescent="0.3">
      <c r="A51" s="34"/>
      <c r="B51" s="188"/>
      <c r="C51" s="188"/>
      <c r="D51" s="188"/>
      <c r="E51" s="188"/>
      <c r="F51" s="119"/>
      <c r="G51" s="119"/>
      <c r="H51" s="188"/>
      <c r="I51" s="188"/>
      <c r="J51" s="188"/>
      <c r="K51" s="40"/>
      <c r="L51" s="188"/>
      <c r="M51" s="40"/>
      <c r="N51" s="103"/>
      <c r="O51" s="55"/>
      <c r="P51" s="17"/>
      <c r="R51" s="17"/>
      <c r="S51" s="17"/>
    </row>
    <row r="52" spans="1:19" ht="13.8" thickBot="1" x14ac:dyDescent="0.35">
      <c r="A52" s="42"/>
      <c r="B52" s="194"/>
      <c r="C52" s="194"/>
      <c r="D52" s="194"/>
      <c r="E52" s="194"/>
      <c r="F52" s="43"/>
      <c r="G52" s="43"/>
      <c r="H52" s="44"/>
      <c r="I52" s="45"/>
      <c r="J52" s="45"/>
      <c r="K52" s="44"/>
      <c r="L52" s="44"/>
      <c r="M52" s="124"/>
      <c r="N52" s="125"/>
      <c r="O52" s="55"/>
      <c r="P52" s="17"/>
    </row>
    <row r="53" spans="1:19" ht="13.8" thickBot="1" x14ac:dyDescent="0.35">
      <c r="A53" s="195"/>
      <c r="B53" s="196"/>
      <c r="C53" s="196"/>
      <c r="D53" s="196"/>
      <c r="E53" s="196"/>
      <c r="F53" s="1219" t="s">
        <v>388</v>
      </c>
      <c r="G53" s="1220"/>
      <c r="H53" s="199"/>
      <c r="I53" s="189">
        <f>SUM(I22:I52)</f>
        <v>3672868000</v>
      </c>
      <c r="J53" s="189">
        <f>SUM(J22:J52)</f>
        <v>3030069000</v>
      </c>
      <c r="K53" s="200"/>
      <c r="L53" s="197"/>
      <c r="M53" s="197"/>
      <c r="N53" s="201"/>
      <c r="O53" s="191">
        <f>SUM(O23:O52)</f>
        <v>2439350000</v>
      </c>
      <c r="P53" s="191">
        <f>SUM(P23:P52)</f>
        <v>590719000</v>
      </c>
      <c r="R53" s="189">
        <f>SUM(R22:R51)</f>
        <v>2000000000</v>
      </c>
    </row>
    <row r="54" spans="1:19" ht="13.8" thickBot="1" x14ac:dyDescent="0.35">
      <c r="F54" s="9"/>
      <c r="H54" s="54"/>
      <c r="L54" s="13"/>
      <c r="O54" s="202">
        <f>+O53+P53</f>
        <v>3030069000</v>
      </c>
      <c r="P54" s="17">
        <f>+O54/2</f>
        <v>1515034500</v>
      </c>
    </row>
    <row r="55" spans="1:19" x14ac:dyDescent="0.3">
      <c r="F55" s="9"/>
      <c r="H55" s="54"/>
      <c r="L55" s="13"/>
      <c r="O55" s="7"/>
      <c r="P55" s="17"/>
    </row>
    <row r="56" spans="1:19" x14ac:dyDescent="0.3">
      <c r="F56" s="9"/>
      <c r="J56" s="93"/>
      <c r="L56" s="13"/>
      <c r="O56" s="7"/>
      <c r="P56" s="17"/>
    </row>
    <row r="57" spans="1:19" x14ac:dyDescent="0.3">
      <c r="I57" s="93"/>
      <c r="L57" s="13"/>
      <c r="O57" s="7"/>
      <c r="P57" s="17"/>
    </row>
    <row r="58" spans="1:19" ht="13.8" thickBot="1" x14ac:dyDescent="0.35">
      <c r="B58" s="16" t="s">
        <v>383</v>
      </c>
    </row>
    <row r="59" spans="1:19" ht="13.8" thickBot="1" x14ac:dyDescent="0.35">
      <c r="D59" s="209" t="s">
        <v>386</v>
      </c>
    </row>
    <row r="60" spans="1:19" x14ac:dyDescent="0.3">
      <c r="A60" s="211">
        <v>1</v>
      </c>
      <c r="B60" s="205" t="s">
        <v>394</v>
      </c>
      <c r="D60" s="212">
        <v>114</v>
      </c>
      <c r="E60" s="7">
        <f>+(E26+E31)*70/10000000*0.95</f>
        <v>119.69999999999999</v>
      </c>
      <c r="F60" s="8" t="s">
        <v>390</v>
      </c>
    </row>
    <row r="61" spans="1:19" x14ac:dyDescent="0.3">
      <c r="A61" s="211">
        <f>+A60+1</f>
        <v>2</v>
      </c>
      <c r="B61" s="205" t="s">
        <v>395</v>
      </c>
      <c r="D61" s="212">
        <v>30</v>
      </c>
      <c r="E61" s="7">
        <f>+E29*75/10000000</f>
        <v>32.625</v>
      </c>
      <c r="F61" s="8" t="s">
        <v>391</v>
      </c>
    </row>
    <row r="62" spans="1:19" x14ac:dyDescent="0.3">
      <c r="A62" s="211">
        <f t="shared" ref="A62:A70" si="4">+A61+1</f>
        <v>3</v>
      </c>
      <c r="B62" s="13" t="s">
        <v>396</v>
      </c>
      <c r="C62" s="13"/>
      <c r="D62" s="212">
        <v>15</v>
      </c>
      <c r="E62" s="12">
        <f>+E27*70/10000000</f>
        <v>16.100000000000001</v>
      </c>
      <c r="F62" s="13"/>
      <c r="G62" s="13"/>
      <c r="H62" s="205"/>
      <c r="J62" s="13"/>
      <c r="L62" s="13"/>
      <c r="M62" s="13"/>
      <c r="O62" s="13"/>
    </row>
    <row r="63" spans="1:19" x14ac:dyDescent="0.3">
      <c r="A63" s="211">
        <f t="shared" si="4"/>
        <v>4</v>
      </c>
      <c r="B63" s="13" t="s">
        <v>397</v>
      </c>
      <c r="C63" s="13"/>
      <c r="D63" s="212">
        <v>10</v>
      </c>
      <c r="E63" s="12">
        <f>+E24*75/10000000</f>
        <v>12.112500000000001</v>
      </c>
      <c r="F63" s="13"/>
      <c r="G63" s="13"/>
      <c r="H63" s="205"/>
      <c r="J63" s="13"/>
      <c r="L63" s="13"/>
      <c r="M63" s="13"/>
      <c r="O63" s="13"/>
    </row>
    <row r="64" spans="1:19" x14ac:dyDescent="0.3">
      <c r="A64" s="211">
        <f t="shared" si="4"/>
        <v>5</v>
      </c>
      <c r="B64" s="13" t="s">
        <v>398</v>
      </c>
      <c r="C64" s="13"/>
      <c r="D64" s="212">
        <v>5</v>
      </c>
      <c r="E64" s="12">
        <f>+E23*75/10000000</f>
        <v>4.4887499999999996</v>
      </c>
      <c r="F64" s="13"/>
      <c r="G64" s="13"/>
      <c r="H64" s="205"/>
      <c r="J64" s="13"/>
      <c r="L64" s="13"/>
      <c r="M64" s="13"/>
      <c r="O64" s="13"/>
    </row>
    <row r="65" spans="1:15" x14ac:dyDescent="0.3">
      <c r="A65" s="211">
        <f t="shared" si="4"/>
        <v>6</v>
      </c>
      <c r="B65" s="216" t="s">
        <v>399</v>
      </c>
      <c r="C65" s="13"/>
      <c r="D65" s="212">
        <v>15</v>
      </c>
      <c r="E65" s="12">
        <v>15</v>
      </c>
      <c r="F65" s="13"/>
      <c r="G65" s="13"/>
      <c r="H65" s="205"/>
      <c r="J65" s="13"/>
      <c r="L65" s="13"/>
      <c r="M65" s="13"/>
      <c r="O65" s="13"/>
    </row>
    <row r="66" spans="1:15" x14ac:dyDescent="0.3">
      <c r="A66" s="211">
        <f t="shared" si="4"/>
        <v>7</v>
      </c>
      <c r="B66" s="13" t="s">
        <v>400</v>
      </c>
      <c r="C66" s="13"/>
      <c r="D66" s="212">
        <v>3</v>
      </c>
      <c r="E66" s="12">
        <f>+(E25+E37)*75/10000000</f>
        <v>2.8037100000000001</v>
      </c>
      <c r="F66" s="13"/>
      <c r="G66" s="13"/>
      <c r="H66" s="205"/>
      <c r="J66" s="13"/>
      <c r="L66" s="13"/>
      <c r="M66" s="13"/>
      <c r="O66" s="13"/>
    </row>
    <row r="67" spans="1:15" x14ac:dyDescent="0.3">
      <c r="A67" s="211">
        <f t="shared" si="4"/>
        <v>8</v>
      </c>
      <c r="B67" s="13" t="s">
        <v>401</v>
      </c>
      <c r="C67" s="13"/>
      <c r="D67" s="212">
        <v>8</v>
      </c>
      <c r="E67" s="12">
        <f>+E32*75/10000000</f>
        <v>7.9145250000000003</v>
      </c>
      <c r="F67" s="13"/>
      <c r="G67" s="13"/>
      <c r="H67" s="205"/>
      <c r="J67" s="13"/>
      <c r="L67" s="13"/>
      <c r="M67" s="13"/>
      <c r="O67" s="13"/>
    </row>
    <row r="68" spans="1:15" x14ac:dyDescent="0.3">
      <c r="A68" s="211">
        <f t="shared" si="4"/>
        <v>9</v>
      </c>
      <c r="B68" s="13" t="s">
        <v>402</v>
      </c>
      <c r="C68" s="13"/>
      <c r="D68" s="212">
        <v>10</v>
      </c>
      <c r="E68" s="12">
        <f>+E33*75/10000000</f>
        <v>11.025</v>
      </c>
      <c r="F68" s="13"/>
      <c r="G68" s="13"/>
      <c r="H68" s="90"/>
      <c r="I68" s="93"/>
      <c r="J68" s="13"/>
      <c r="L68" s="13"/>
      <c r="M68" s="13"/>
      <c r="O68" s="13"/>
    </row>
    <row r="69" spans="1:15" x14ac:dyDescent="0.3">
      <c r="A69" s="7">
        <f t="shared" si="4"/>
        <v>10</v>
      </c>
      <c r="B69" s="205" t="s">
        <v>403</v>
      </c>
      <c r="D69" s="206">
        <v>0.6</v>
      </c>
      <c r="E69" s="12">
        <f>96840*70/10000000</f>
        <v>0.67788000000000004</v>
      </c>
    </row>
    <row r="70" spans="1:15" ht="13.8" thickBot="1" x14ac:dyDescent="0.35">
      <c r="A70" s="7">
        <f t="shared" si="4"/>
        <v>11</v>
      </c>
      <c r="B70" s="205" t="s">
        <v>404</v>
      </c>
      <c r="C70" s="7" t="s">
        <v>385</v>
      </c>
      <c r="D70" s="206">
        <v>0.56499999999999995</v>
      </c>
      <c r="E70" s="12">
        <f>+E30/10000000</f>
        <v>0.56499999999999995</v>
      </c>
      <c r="F70" s="8" t="s">
        <v>390</v>
      </c>
    </row>
    <row r="71" spans="1:15" ht="13.8" thickBot="1" x14ac:dyDescent="0.35">
      <c r="D71" s="207">
        <f>SUM(D60:D70)</f>
        <v>211.16499999999999</v>
      </c>
      <c r="E71" s="207">
        <f>SUM(E60:E70)</f>
        <v>223.01236499999999</v>
      </c>
    </row>
    <row r="72" spans="1:15" x14ac:dyDescent="0.3">
      <c r="E72" s="12"/>
    </row>
    <row r="73" spans="1:15" x14ac:dyDescent="0.3">
      <c r="B73" s="16" t="s">
        <v>384</v>
      </c>
      <c r="E73" s="12"/>
    </row>
    <row r="74" spans="1:15" x14ac:dyDescent="0.3">
      <c r="E74" s="12"/>
    </row>
    <row r="75" spans="1:15" x14ac:dyDescent="0.3">
      <c r="A75" s="211">
        <v>1</v>
      </c>
      <c r="B75" s="205" t="s">
        <v>405</v>
      </c>
      <c r="D75" s="212">
        <v>13</v>
      </c>
      <c r="E75" s="12">
        <f>+E35*75/10000000</f>
        <v>13.501514999999999</v>
      </c>
    </row>
    <row r="76" spans="1:15" x14ac:dyDescent="0.3">
      <c r="A76" s="211">
        <f>+A75+1</f>
        <v>2</v>
      </c>
      <c r="B76" s="205" t="s">
        <v>406</v>
      </c>
      <c r="D76" s="212">
        <v>15</v>
      </c>
      <c r="E76" s="12">
        <f>+E39*75/10000000</f>
        <v>15</v>
      </c>
    </row>
    <row r="77" spans="1:15" ht="26.4" x14ac:dyDescent="0.3">
      <c r="A77" s="211">
        <f>+A76+1</f>
        <v>3</v>
      </c>
      <c r="B77" s="215" t="s">
        <v>407</v>
      </c>
      <c r="C77" s="7" t="s">
        <v>385</v>
      </c>
      <c r="D77" s="212">
        <v>7</v>
      </c>
      <c r="E77" s="12">
        <f>+(E38+E43+E44)/10000000</f>
        <v>7.4066064999999996</v>
      </c>
      <c r="F77" s="8" t="s">
        <v>392</v>
      </c>
    </row>
    <row r="78" spans="1:15" x14ac:dyDescent="0.3">
      <c r="A78" s="211">
        <f>+A77+1</f>
        <v>4</v>
      </c>
      <c r="B78" s="205" t="s">
        <v>408</v>
      </c>
      <c r="C78" s="7" t="s">
        <v>385</v>
      </c>
      <c r="D78" s="206">
        <v>3.15</v>
      </c>
      <c r="E78" s="12">
        <f>+E42/10000000</f>
        <v>3.15</v>
      </c>
    </row>
    <row r="79" spans="1:15" x14ac:dyDescent="0.3">
      <c r="A79" s="211">
        <f>+A78+1</f>
        <v>5</v>
      </c>
      <c r="B79" s="205" t="s">
        <v>409</v>
      </c>
      <c r="C79" s="7" t="s">
        <v>385</v>
      </c>
      <c r="D79" s="206">
        <v>5.95</v>
      </c>
      <c r="E79" s="12">
        <f>+E49/10000000</f>
        <v>5.95</v>
      </c>
    </row>
    <row r="80" spans="1:15" ht="13.8" thickBot="1" x14ac:dyDescent="0.35">
      <c r="A80" s="211">
        <f>+A79+1</f>
        <v>6</v>
      </c>
      <c r="B80" s="205" t="s">
        <v>410</v>
      </c>
      <c r="C80" s="7" t="s">
        <v>385</v>
      </c>
      <c r="D80" s="206">
        <v>1.5</v>
      </c>
      <c r="E80" s="12">
        <f>+E47/10000000</f>
        <v>1.5</v>
      </c>
    </row>
    <row r="81" spans="1:6" ht="13.8" thickBot="1" x14ac:dyDescent="0.35">
      <c r="B81" s="205"/>
      <c r="D81" s="208">
        <f>SUM(D75:D80)</f>
        <v>45.6</v>
      </c>
      <c r="E81" s="207">
        <f>SUM(E75:E80)</f>
        <v>46.508121500000001</v>
      </c>
    </row>
    <row r="82" spans="1:6" x14ac:dyDescent="0.3">
      <c r="B82" s="205"/>
    </row>
    <row r="83" spans="1:6" x14ac:dyDescent="0.3">
      <c r="A83" s="7">
        <v>1</v>
      </c>
      <c r="B83" s="205" t="s">
        <v>411</v>
      </c>
      <c r="C83" s="7" t="s">
        <v>385</v>
      </c>
      <c r="D83" s="206">
        <v>0.36</v>
      </c>
      <c r="E83" s="12">
        <f>+E36/10000000</f>
        <v>0.36</v>
      </c>
      <c r="F83" s="8" t="s">
        <v>390</v>
      </c>
    </row>
    <row r="84" spans="1:6" x14ac:dyDescent="0.3">
      <c r="A84" s="7">
        <f>+A83+1</f>
        <v>2</v>
      </c>
      <c r="B84" s="205" t="s">
        <v>412</v>
      </c>
      <c r="C84" s="7" t="s">
        <v>385</v>
      </c>
      <c r="D84" s="206">
        <v>0.8</v>
      </c>
      <c r="E84" s="12">
        <f>+E41/10000000</f>
        <v>0.8</v>
      </c>
    </row>
    <row r="85" spans="1:6" x14ac:dyDescent="0.3">
      <c r="A85" s="7">
        <f>+A84+1</f>
        <v>3</v>
      </c>
      <c r="B85" s="205" t="s">
        <v>413</v>
      </c>
      <c r="C85" s="7" t="s">
        <v>385</v>
      </c>
      <c r="D85" s="206">
        <v>0.75</v>
      </c>
      <c r="E85" s="12">
        <f>+E46/10000000</f>
        <v>0.76500000000000001</v>
      </c>
    </row>
    <row r="86" spans="1:6" x14ac:dyDescent="0.3">
      <c r="A86" s="7">
        <f>+A85+1</f>
        <v>4</v>
      </c>
      <c r="B86" s="205" t="s">
        <v>414</v>
      </c>
      <c r="C86" s="7" t="s">
        <v>385</v>
      </c>
      <c r="D86" s="206">
        <v>1.94</v>
      </c>
      <c r="E86" s="12">
        <f>+E48/10000000</f>
        <v>1.94</v>
      </c>
    </row>
    <row r="87" spans="1:6" x14ac:dyDescent="0.3">
      <c r="A87" s="7">
        <f>+A86+1</f>
        <v>5</v>
      </c>
      <c r="B87" s="205" t="s">
        <v>415</v>
      </c>
      <c r="C87" s="7" t="s">
        <v>385</v>
      </c>
      <c r="D87" s="206">
        <v>1.1499999999999999</v>
      </c>
      <c r="E87" s="12">
        <f>+E50/10000000</f>
        <v>1.1499999999999999</v>
      </c>
      <c r="F87" s="8" t="s">
        <v>390</v>
      </c>
    </row>
    <row r="88" spans="1:6" ht="13.8" thickBot="1" x14ac:dyDescent="0.35">
      <c r="A88" s="7">
        <f>+A87+1</f>
        <v>6</v>
      </c>
      <c r="B88" s="205" t="s">
        <v>416</v>
      </c>
      <c r="C88" s="7" t="s">
        <v>385</v>
      </c>
      <c r="D88" s="206">
        <v>2.64</v>
      </c>
      <c r="E88" s="12">
        <f>+E40/10000000</f>
        <v>2.6383999999999999</v>
      </c>
    </row>
    <row r="89" spans="1:6" ht="13.8" thickBot="1" x14ac:dyDescent="0.35">
      <c r="D89" s="208">
        <f>SUM(D83:D88)</f>
        <v>7.6400000000000006</v>
      </c>
      <c r="E89" s="207">
        <f>SUM(E83:E88)</f>
        <v>7.6534000000000004</v>
      </c>
    </row>
    <row r="90" spans="1:6" ht="13.8" thickBot="1" x14ac:dyDescent="0.35"/>
    <row r="91" spans="1:6" ht="13.8" thickBot="1" x14ac:dyDescent="0.35">
      <c r="C91" s="7" t="s">
        <v>387</v>
      </c>
      <c r="D91" s="210">
        <f>+D89+D81+D71</f>
        <v>264.40499999999997</v>
      </c>
      <c r="E91" s="210">
        <f>+E89+E81+E71</f>
        <v>277.17388649999998</v>
      </c>
    </row>
    <row r="94" spans="1:6" ht="26.4" x14ac:dyDescent="0.3">
      <c r="A94" s="7">
        <v>1</v>
      </c>
      <c r="B94" s="205" t="s">
        <v>417</v>
      </c>
      <c r="F94" s="8" t="s">
        <v>418</v>
      </c>
    </row>
    <row r="95" spans="1:6" x14ac:dyDescent="0.3">
      <c r="A95" s="7">
        <v>2</v>
      </c>
      <c r="B95" s="205" t="s">
        <v>419</v>
      </c>
      <c r="F95" s="8" t="s">
        <v>393</v>
      </c>
    </row>
    <row r="98" spans="7:13" s="13" customFormat="1" x14ac:dyDescent="0.3">
      <c r="G98" s="9"/>
      <c r="H98" s="54"/>
      <c r="I98" s="17"/>
      <c r="J98" s="17"/>
      <c r="M98" s="14"/>
    </row>
    <row r="99" spans="7:13" s="13" customFormat="1" x14ac:dyDescent="0.3">
      <c r="G99" s="9"/>
      <c r="H99" s="54"/>
      <c r="I99" s="17"/>
      <c r="J99" s="17"/>
      <c r="M99" s="14"/>
    </row>
    <row r="100" spans="7:13" s="13" customFormat="1" x14ac:dyDescent="0.3">
      <c r="G100" s="9"/>
      <c r="H100" s="54"/>
      <c r="I100" s="17"/>
      <c r="J100" s="17"/>
      <c r="M100" s="14"/>
    </row>
    <row r="101" spans="7:13" s="13" customFormat="1" x14ac:dyDescent="0.3">
      <c r="G101" s="9"/>
      <c r="H101" s="54"/>
      <c r="I101" s="17"/>
      <c r="J101" s="17"/>
      <c r="M101" s="14"/>
    </row>
  </sheetData>
  <mergeCells count="50">
    <mergeCell ref="F9:H9"/>
    <mergeCell ref="F11:G11"/>
    <mergeCell ref="H11:H21"/>
    <mergeCell ref="K20:K21"/>
    <mergeCell ref="L20:L21"/>
    <mergeCell ref="M11:M21"/>
    <mergeCell ref="R11:R21"/>
    <mergeCell ref="A12:A21"/>
    <mergeCell ref="F12:F19"/>
    <mergeCell ref="G12:G19"/>
    <mergeCell ref="I11:I21"/>
    <mergeCell ref="J11:J14"/>
    <mergeCell ref="K11:L14"/>
    <mergeCell ref="J15:J21"/>
    <mergeCell ref="K15:K19"/>
    <mergeCell ref="L15:L19"/>
    <mergeCell ref="C12:C22"/>
    <mergeCell ref="D12:D22"/>
    <mergeCell ref="B12:B22"/>
    <mergeCell ref="E12:E22"/>
    <mergeCell ref="F53:G53"/>
    <mergeCell ref="F20:F21"/>
    <mergeCell ref="G20:G21"/>
    <mergeCell ref="A23:A25"/>
    <mergeCell ref="F23:F25"/>
    <mergeCell ref="A41:A42"/>
    <mergeCell ref="F41:F42"/>
    <mergeCell ref="A37:A38"/>
    <mergeCell ref="F37:F38"/>
    <mergeCell ref="G37:G38"/>
    <mergeCell ref="G41:G42"/>
    <mergeCell ref="A39:A40"/>
    <mergeCell ref="F39:F40"/>
    <mergeCell ref="A26:A27"/>
    <mergeCell ref="F26:F27"/>
    <mergeCell ref="J37:J38"/>
    <mergeCell ref="J39:J40"/>
    <mergeCell ref="J23:J25"/>
    <mergeCell ref="H41:H42"/>
    <mergeCell ref="I41:I42"/>
    <mergeCell ref="J41:J42"/>
    <mergeCell ref="H37:H38"/>
    <mergeCell ref="I37:I38"/>
    <mergeCell ref="H39:H40"/>
    <mergeCell ref="I39:I40"/>
    <mergeCell ref="H26:H27"/>
    <mergeCell ref="I26:I27"/>
    <mergeCell ref="J26:J27"/>
    <mergeCell ref="H23:H25"/>
    <mergeCell ref="I23:I25"/>
  </mergeCells>
  <printOptions horizontalCentered="1" verticalCentered="1" gridLines="1"/>
  <pageMargins left="0" right="0" top="0" bottom="0" header="0" footer="0"/>
  <pageSetup paperSize="9" scale="2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0"/>
  <sheetViews>
    <sheetView topLeftCell="A24" workbookViewId="0">
      <selection activeCell="D11" sqref="D11:D21"/>
    </sheetView>
  </sheetViews>
  <sheetFormatPr defaultColWidth="9.109375" defaultRowHeight="13.2" x14ac:dyDescent="0.3"/>
  <cols>
    <col min="1" max="1" width="5.44140625" style="7" customWidth="1"/>
    <col min="2" max="2" width="33" style="8" customWidth="1"/>
    <col min="3" max="3" width="20.88671875" style="9" customWidth="1"/>
    <col min="4" max="4" width="7.5546875" style="10" customWidth="1"/>
    <col min="5" max="7" width="10.6640625" style="7" hidden="1" customWidth="1"/>
    <col min="8" max="8" width="14" style="11" customWidth="1"/>
    <col min="9" max="9" width="14.44140625" style="11" customWidth="1"/>
    <col min="10" max="10" width="15.5546875" style="12" hidden="1" customWidth="1"/>
    <col min="11" max="11" width="9.33203125" style="13" customWidth="1"/>
    <col min="12" max="12" width="8.109375" style="14" customWidth="1"/>
    <col min="13" max="13" width="31.88671875" style="14" hidden="1" customWidth="1"/>
    <col min="14" max="14" width="71" style="14" customWidth="1"/>
    <col min="15" max="15" width="16.5546875" style="12" hidden="1" customWidth="1"/>
    <col min="16" max="16" width="10.109375" style="12" hidden="1" customWidth="1"/>
    <col min="17" max="17" width="11.5546875" style="15" hidden="1" customWidth="1"/>
    <col min="18" max="18" width="11.5546875" style="15" customWidth="1"/>
    <col min="19" max="19" width="1.5546875" style="13" customWidth="1"/>
    <col min="20" max="20" width="16" style="12" bestFit="1" customWidth="1"/>
    <col min="21" max="21" width="13.33203125" style="13" bestFit="1" customWidth="1"/>
    <col min="22" max="22" width="0.88671875" style="13" customWidth="1"/>
    <col min="23" max="23" width="13.33203125" style="13" customWidth="1"/>
    <col min="24" max="16384" width="9.109375" style="13"/>
  </cols>
  <sheetData>
    <row r="1" spans="1:23" x14ac:dyDescent="0.3">
      <c r="E1" s="10"/>
      <c r="F1" s="10"/>
      <c r="G1" s="10"/>
    </row>
    <row r="2" spans="1:23" x14ac:dyDescent="0.3">
      <c r="D2" s="16"/>
      <c r="E2" s="10"/>
      <c r="F2" s="10"/>
      <c r="G2" s="10"/>
      <c r="H2" s="84"/>
    </row>
    <row r="3" spans="1:23" x14ac:dyDescent="0.3">
      <c r="C3" s="85"/>
      <c r="D3" s="16"/>
      <c r="E3" s="1315" t="s">
        <v>192</v>
      </c>
      <c r="F3" s="1316"/>
      <c r="G3" s="86"/>
      <c r="H3" s="84"/>
    </row>
    <row r="4" spans="1:23" x14ac:dyDescent="0.3">
      <c r="C4" s="87"/>
      <c r="D4" s="88"/>
      <c r="E4" s="1317" t="s">
        <v>193</v>
      </c>
      <c r="F4" s="1318"/>
      <c r="G4" s="89"/>
    </row>
    <row r="5" spans="1:23" x14ac:dyDescent="0.3">
      <c r="C5" s="87"/>
      <c r="D5" s="88"/>
      <c r="E5" s="17"/>
    </row>
    <row r="6" spans="1:23" x14ac:dyDescent="0.3">
      <c r="B6" s="18"/>
      <c r="C6" s="18" t="s">
        <v>194</v>
      </c>
      <c r="D6" s="10" t="s">
        <v>195</v>
      </c>
      <c r="E6" s="88" t="s">
        <v>91</v>
      </c>
      <c r="H6" s="90"/>
    </row>
    <row r="7" spans="1:23" x14ac:dyDescent="0.3">
      <c r="B7" s="18"/>
      <c r="C7" s="18" t="s">
        <v>196</v>
      </c>
      <c r="D7" s="10" t="s">
        <v>195</v>
      </c>
      <c r="E7" s="88" t="s">
        <v>197</v>
      </c>
      <c r="H7" s="90"/>
    </row>
    <row r="8" spans="1:23" ht="13.8" thickBot="1" x14ac:dyDescent="0.35">
      <c r="C8" s="87"/>
      <c r="D8" s="88"/>
      <c r="E8" s="17"/>
    </row>
    <row r="9" spans="1:23" ht="13.8" thickBot="1" x14ac:dyDescent="0.35">
      <c r="A9" s="91" t="s">
        <v>198</v>
      </c>
      <c r="B9" s="1319" t="s">
        <v>199</v>
      </c>
      <c r="C9" s="1320"/>
      <c r="D9" s="1320"/>
      <c r="E9" s="1320"/>
      <c r="F9" s="1321"/>
      <c r="G9" s="92"/>
    </row>
    <row r="10" spans="1:23" ht="13.8" thickBot="1" x14ac:dyDescent="0.35">
      <c r="H10" s="93" t="s">
        <v>200</v>
      </c>
    </row>
    <row r="11" spans="1:23" ht="27" thickBot="1" x14ac:dyDescent="0.35">
      <c r="A11" s="19" t="s">
        <v>201</v>
      </c>
      <c r="B11" s="1322" t="s">
        <v>202</v>
      </c>
      <c r="C11" s="1323"/>
      <c r="D11" s="1324" t="s">
        <v>203</v>
      </c>
      <c r="E11" s="1326" t="s">
        <v>204</v>
      </c>
      <c r="F11" s="1327"/>
      <c r="G11" s="94"/>
      <c r="H11" s="1341" t="s">
        <v>205</v>
      </c>
      <c r="I11" s="1221" t="s">
        <v>206</v>
      </c>
      <c r="J11" s="1347" t="s">
        <v>207</v>
      </c>
      <c r="K11" s="1350" t="s">
        <v>208</v>
      </c>
      <c r="L11" s="1351"/>
      <c r="M11" s="1208" t="s">
        <v>209</v>
      </c>
      <c r="N11" s="1356" t="s">
        <v>210</v>
      </c>
      <c r="O11" s="1351" t="s">
        <v>211</v>
      </c>
      <c r="P11" s="1358" t="s">
        <v>212</v>
      </c>
      <c r="Q11" s="1359"/>
      <c r="R11" s="1214" t="s">
        <v>213</v>
      </c>
      <c r="S11" s="95"/>
      <c r="T11" s="96"/>
      <c r="W11" s="1490" t="s">
        <v>214</v>
      </c>
    </row>
    <row r="12" spans="1:23" x14ac:dyDescent="0.3">
      <c r="A12" s="1333"/>
      <c r="B12" s="1208"/>
      <c r="C12" s="1336"/>
      <c r="D12" s="1325"/>
      <c r="E12" s="1328"/>
      <c r="F12" s="1329"/>
      <c r="G12" s="97"/>
      <c r="H12" s="1342"/>
      <c r="I12" s="1368"/>
      <c r="J12" s="1348"/>
      <c r="K12" s="1352"/>
      <c r="L12" s="1353"/>
      <c r="M12" s="1335"/>
      <c r="N12" s="1357"/>
      <c r="O12" s="1353"/>
      <c r="P12" s="1360"/>
      <c r="Q12" s="1361"/>
      <c r="R12" s="1332"/>
      <c r="S12" s="98"/>
      <c r="T12" s="20"/>
      <c r="W12" s="1491"/>
    </row>
    <row r="13" spans="1:23" ht="13.8" thickBot="1" x14ac:dyDescent="0.35">
      <c r="A13" s="1334"/>
      <c r="B13" s="1335"/>
      <c r="C13" s="1337"/>
      <c r="D13" s="1325"/>
      <c r="E13" s="1330"/>
      <c r="F13" s="1331"/>
      <c r="G13" s="97"/>
      <c r="H13" s="1342"/>
      <c r="I13" s="1368"/>
      <c r="J13" s="1348"/>
      <c r="K13" s="1352"/>
      <c r="L13" s="1353"/>
      <c r="M13" s="1335"/>
      <c r="N13" s="1357"/>
      <c r="O13" s="1353"/>
      <c r="P13" s="1360"/>
      <c r="Q13" s="1361"/>
      <c r="R13" s="1332"/>
      <c r="S13" s="98"/>
      <c r="T13" s="20"/>
      <c r="W13" s="1491"/>
    </row>
    <row r="14" spans="1:23" ht="13.8" thickBot="1" x14ac:dyDescent="0.35">
      <c r="A14" s="1334"/>
      <c r="B14" s="1335"/>
      <c r="C14" s="1337"/>
      <c r="D14" s="1325"/>
      <c r="E14" s="1339" t="s">
        <v>215</v>
      </c>
      <c r="F14" s="1340"/>
      <c r="G14" s="97"/>
      <c r="H14" s="1342"/>
      <c r="I14" s="1368"/>
      <c r="J14" s="1348"/>
      <c r="K14" s="1354"/>
      <c r="L14" s="1355"/>
      <c r="M14" s="1335"/>
      <c r="N14" s="1357"/>
      <c r="O14" s="1353"/>
      <c r="P14" s="1360"/>
      <c r="Q14" s="1361"/>
      <c r="R14" s="1332"/>
      <c r="S14" s="98"/>
      <c r="T14" s="20"/>
      <c r="W14" s="1491"/>
    </row>
    <row r="15" spans="1:23" ht="13.8" thickBot="1" x14ac:dyDescent="0.35">
      <c r="A15" s="1334"/>
      <c r="B15" s="1335"/>
      <c r="C15" s="1337"/>
      <c r="D15" s="1325"/>
      <c r="E15" s="1341" t="s">
        <v>216</v>
      </c>
      <c r="F15" s="1341" t="s">
        <v>217</v>
      </c>
      <c r="G15" s="99"/>
      <c r="H15" s="1342"/>
      <c r="I15" s="1368" t="s">
        <v>218</v>
      </c>
      <c r="J15" s="1348"/>
      <c r="K15" s="1336"/>
      <c r="L15" s="1208"/>
      <c r="M15" s="1335"/>
      <c r="N15" s="1357"/>
      <c r="O15" s="1353"/>
      <c r="P15" s="1362"/>
      <c r="Q15" s="1363"/>
      <c r="R15" s="1332"/>
      <c r="S15" s="98"/>
      <c r="T15" s="20"/>
      <c r="W15" s="1491"/>
    </row>
    <row r="16" spans="1:23" x14ac:dyDescent="0.3">
      <c r="A16" s="1334"/>
      <c r="B16" s="1335"/>
      <c r="C16" s="1337"/>
      <c r="D16" s="1325"/>
      <c r="E16" s="1342"/>
      <c r="F16" s="1342"/>
      <c r="G16" s="99"/>
      <c r="H16" s="1342"/>
      <c r="I16" s="1368"/>
      <c r="J16" s="1348"/>
      <c r="K16" s="1337"/>
      <c r="L16" s="1335"/>
      <c r="M16" s="1335"/>
      <c r="N16" s="1357"/>
      <c r="O16" s="1353"/>
      <c r="P16" s="1214" t="s">
        <v>219</v>
      </c>
      <c r="Q16" s="1356" t="s">
        <v>220</v>
      </c>
      <c r="R16" s="1332"/>
      <c r="S16" s="98"/>
      <c r="T16" s="20"/>
      <c r="W16" s="1491"/>
    </row>
    <row r="17" spans="1:24" x14ac:dyDescent="0.3">
      <c r="A17" s="1334"/>
      <c r="B17" s="1335"/>
      <c r="C17" s="1337"/>
      <c r="D17" s="1325"/>
      <c r="E17" s="1342"/>
      <c r="F17" s="1342"/>
      <c r="G17" s="99"/>
      <c r="H17" s="1342"/>
      <c r="I17" s="1368"/>
      <c r="J17" s="1348"/>
      <c r="K17" s="1337"/>
      <c r="L17" s="1335"/>
      <c r="M17" s="1335"/>
      <c r="N17" s="1357"/>
      <c r="O17" s="1353"/>
      <c r="P17" s="1332"/>
      <c r="Q17" s="1357"/>
      <c r="R17" s="1332"/>
      <c r="S17" s="98"/>
      <c r="T17" s="20"/>
      <c r="W17" s="1491"/>
    </row>
    <row r="18" spans="1:24" ht="13.8" thickBot="1" x14ac:dyDescent="0.35">
      <c r="A18" s="1334"/>
      <c r="B18" s="1335"/>
      <c r="C18" s="1337"/>
      <c r="D18" s="1325"/>
      <c r="E18" s="1342"/>
      <c r="F18" s="1342"/>
      <c r="G18" s="99"/>
      <c r="H18" s="1342"/>
      <c r="I18" s="1368"/>
      <c r="J18" s="1349"/>
      <c r="K18" s="1337"/>
      <c r="L18" s="1335"/>
      <c r="M18" s="1335"/>
      <c r="N18" s="1357"/>
      <c r="O18" s="1353"/>
      <c r="P18" s="1332"/>
      <c r="Q18" s="1357"/>
      <c r="R18" s="1332"/>
      <c r="S18" s="98"/>
      <c r="T18" s="20"/>
      <c r="W18" s="1491"/>
    </row>
    <row r="19" spans="1:24" ht="27" thickBot="1" x14ac:dyDescent="0.35">
      <c r="A19" s="1334"/>
      <c r="B19" s="1209"/>
      <c r="C19" s="1338"/>
      <c r="D19" s="1325"/>
      <c r="E19" s="1342"/>
      <c r="F19" s="1342"/>
      <c r="G19" s="99"/>
      <c r="H19" s="1342"/>
      <c r="I19" s="1368"/>
      <c r="J19" s="100" t="s">
        <v>221</v>
      </c>
      <c r="K19" s="1338"/>
      <c r="L19" s="1209"/>
      <c r="M19" s="1335"/>
      <c r="N19" s="1357"/>
      <c r="O19" s="1353"/>
      <c r="P19" s="1332"/>
      <c r="Q19" s="1357"/>
      <c r="R19" s="1332"/>
      <c r="S19" s="98"/>
      <c r="T19" s="20"/>
      <c r="W19" s="1491"/>
    </row>
    <row r="20" spans="1:24" x14ac:dyDescent="0.3">
      <c r="A20" s="1334"/>
      <c r="B20" s="1208" t="s">
        <v>1</v>
      </c>
      <c r="C20" s="1336" t="s">
        <v>2</v>
      </c>
      <c r="D20" s="1325"/>
      <c r="E20" s="1342"/>
      <c r="F20" s="1342"/>
      <c r="G20" s="99"/>
      <c r="H20" s="1342"/>
      <c r="I20" s="1368"/>
      <c r="J20" s="1208" t="s">
        <v>222</v>
      </c>
      <c r="K20" s="1214" t="s">
        <v>92</v>
      </c>
      <c r="L20" s="1208" t="s">
        <v>93</v>
      </c>
      <c r="M20" s="1335"/>
      <c r="N20" s="1357"/>
      <c r="O20" s="1353"/>
      <c r="P20" s="1332"/>
      <c r="Q20" s="1357"/>
      <c r="R20" s="1332"/>
      <c r="S20" s="98"/>
      <c r="T20" s="20"/>
      <c r="W20" s="1491"/>
    </row>
    <row r="21" spans="1:24" ht="13.8" thickBot="1" x14ac:dyDescent="0.35">
      <c r="A21" s="1334"/>
      <c r="B21" s="1335"/>
      <c r="C21" s="1337"/>
      <c r="D21" s="1325"/>
      <c r="E21" s="1342"/>
      <c r="F21" s="1342"/>
      <c r="G21" s="99"/>
      <c r="H21" s="1342"/>
      <c r="I21" s="1368"/>
      <c r="J21" s="1335"/>
      <c r="K21" s="1332"/>
      <c r="L21" s="1335"/>
      <c r="M21" s="1335"/>
      <c r="N21" s="1357"/>
      <c r="O21" s="1353"/>
      <c r="P21" s="1332"/>
      <c r="Q21" s="1357"/>
      <c r="R21" s="1332"/>
      <c r="S21" s="98"/>
      <c r="T21" s="20"/>
      <c r="W21" s="1492"/>
    </row>
    <row r="22" spans="1:24" s="17" customFormat="1" ht="13.8" thickBot="1" x14ac:dyDescent="0.35">
      <c r="A22" s="21">
        <v>1</v>
      </c>
      <c r="B22" s="22">
        <f>+A22+1</f>
        <v>2</v>
      </c>
      <c r="C22" s="23">
        <f t="shared" ref="C22:R22" si="0">+B22+1</f>
        <v>3</v>
      </c>
      <c r="D22" s="22">
        <f t="shared" si="0"/>
        <v>4</v>
      </c>
      <c r="E22" s="24">
        <f t="shared" si="0"/>
        <v>5</v>
      </c>
      <c r="F22" s="22">
        <f t="shared" si="0"/>
        <v>6</v>
      </c>
      <c r="G22" s="22"/>
      <c r="H22" s="22">
        <f>+F22+1</f>
        <v>7</v>
      </c>
      <c r="I22" s="22">
        <f t="shared" si="0"/>
        <v>8</v>
      </c>
      <c r="J22" s="22">
        <f t="shared" si="0"/>
        <v>9</v>
      </c>
      <c r="K22" s="22">
        <f t="shared" si="0"/>
        <v>10</v>
      </c>
      <c r="L22" s="22">
        <f t="shared" si="0"/>
        <v>11</v>
      </c>
      <c r="M22" s="22">
        <f t="shared" si="0"/>
        <v>12</v>
      </c>
      <c r="N22" s="22">
        <f t="shared" si="0"/>
        <v>13</v>
      </c>
      <c r="O22" s="22">
        <f t="shared" si="0"/>
        <v>14</v>
      </c>
      <c r="P22" s="22">
        <f t="shared" si="0"/>
        <v>15</v>
      </c>
      <c r="Q22" s="22">
        <f t="shared" si="0"/>
        <v>16</v>
      </c>
      <c r="R22" s="22">
        <f t="shared" si="0"/>
        <v>17</v>
      </c>
      <c r="S22" s="101"/>
      <c r="T22" s="25">
        <v>0.15</v>
      </c>
      <c r="U22" s="25">
        <v>0.1</v>
      </c>
      <c r="W22" s="102" t="s">
        <v>223</v>
      </c>
    </row>
    <row r="23" spans="1:24" x14ac:dyDescent="0.3">
      <c r="A23" s="26"/>
      <c r="B23" s="27"/>
      <c r="C23" s="28"/>
      <c r="D23" s="29"/>
      <c r="E23" s="26"/>
      <c r="F23" s="29"/>
      <c r="G23" s="29"/>
      <c r="H23" s="30"/>
      <c r="I23" s="30"/>
      <c r="J23" s="31"/>
      <c r="K23" s="31"/>
      <c r="L23" s="32"/>
      <c r="M23" s="33"/>
      <c r="N23" s="33"/>
      <c r="O23" s="31"/>
      <c r="P23" s="31"/>
      <c r="Q23" s="32"/>
      <c r="R23" s="32"/>
      <c r="S23" s="103"/>
      <c r="T23" s="20"/>
    </row>
    <row r="24" spans="1:24" ht="105.6" x14ac:dyDescent="0.3">
      <c r="A24" s="104">
        <v>1</v>
      </c>
      <c r="B24" s="35" t="s">
        <v>94</v>
      </c>
      <c r="C24" s="35"/>
      <c r="D24" s="36">
        <f>2</f>
        <v>2</v>
      </c>
      <c r="E24" s="105"/>
      <c r="F24" s="36" t="s">
        <v>224</v>
      </c>
      <c r="G24" s="36"/>
      <c r="H24" s="106">
        <f>156825000+83025000</f>
        <v>239850000</v>
      </c>
      <c r="I24" s="106">
        <f>127500000+67500000</f>
        <v>195000000</v>
      </c>
      <c r="J24" s="36" t="s">
        <v>225</v>
      </c>
      <c r="K24" s="36" t="s">
        <v>95</v>
      </c>
      <c r="L24" s="36" t="s">
        <v>226</v>
      </c>
      <c r="M24" s="35" t="s">
        <v>94</v>
      </c>
      <c r="N24" s="35" t="s">
        <v>94</v>
      </c>
      <c r="O24" s="36" t="s">
        <v>227</v>
      </c>
      <c r="P24" s="36" t="s">
        <v>228</v>
      </c>
      <c r="Q24" s="37"/>
      <c r="R24" s="36" t="s">
        <v>95</v>
      </c>
      <c r="S24" s="103"/>
      <c r="T24" s="55">
        <f t="shared" ref="T24:T30" si="1">+I24</f>
        <v>195000000</v>
      </c>
      <c r="U24" s="17"/>
      <c r="W24" s="36">
        <v>53000000</v>
      </c>
      <c r="X24" s="17">
        <f>+H24/100000</f>
        <v>2398.5</v>
      </c>
    </row>
    <row r="25" spans="1:24" ht="92.4" x14ac:dyDescent="0.3">
      <c r="A25" s="104">
        <f>+A24+1</f>
        <v>2</v>
      </c>
      <c r="B25" s="35" t="s">
        <v>72</v>
      </c>
      <c r="C25" s="35"/>
      <c r="D25" s="36">
        <v>6</v>
      </c>
      <c r="E25" s="105"/>
      <c r="F25" s="36" t="s">
        <v>224</v>
      </c>
      <c r="G25" s="36"/>
      <c r="H25" s="106">
        <f>123923000+142791000+219863000+57244000+52607000+183885000</f>
        <v>780313000</v>
      </c>
      <c r="I25" s="106">
        <f>100750000+116090000+178750000+46540000+42770000+149500000</f>
        <v>634400000</v>
      </c>
      <c r="J25" s="36" t="s">
        <v>225</v>
      </c>
      <c r="K25" s="36" t="s">
        <v>95</v>
      </c>
      <c r="L25" s="36" t="s">
        <v>96</v>
      </c>
      <c r="M25" s="35" t="s">
        <v>72</v>
      </c>
      <c r="N25" s="35" t="s">
        <v>72</v>
      </c>
      <c r="O25" s="36" t="s">
        <v>227</v>
      </c>
      <c r="P25" s="36" t="s">
        <v>228</v>
      </c>
      <c r="Q25" s="37"/>
      <c r="R25" s="36" t="s">
        <v>95</v>
      </c>
      <c r="S25" s="103"/>
      <c r="T25" s="55">
        <f t="shared" si="1"/>
        <v>634400000</v>
      </c>
      <c r="U25" s="17"/>
      <c r="W25" s="36">
        <v>344400000</v>
      </c>
      <c r="X25" s="17">
        <f t="shared" ref="X25:X45" si="2">+H25/100000</f>
        <v>7803.13</v>
      </c>
    </row>
    <row r="26" spans="1:24" ht="118.8" x14ac:dyDescent="0.3">
      <c r="A26" s="104">
        <f>+A25+1</f>
        <v>3</v>
      </c>
      <c r="B26" s="107" t="s">
        <v>229</v>
      </c>
      <c r="C26" s="35"/>
      <c r="D26" s="38"/>
      <c r="E26" s="105"/>
      <c r="F26" s="38" t="s">
        <v>224</v>
      </c>
      <c r="G26" s="38"/>
      <c r="H26" s="108">
        <f>59963000+23186000</f>
        <v>83149000</v>
      </c>
      <c r="I26" s="108">
        <f>48750000+18850000</f>
        <v>67600000</v>
      </c>
      <c r="J26" s="38" t="s">
        <v>225</v>
      </c>
      <c r="K26" s="38" t="s">
        <v>95</v>
      </c>
      <c r="L26" s="38" t="s">
        <v>96</v>
      </c>
      <c r="M26" s="35" t="s">
        <v>97</v>
      </c>
      <c r="N26" s="35" t="s">
        <v>97</v>
      </c>
      <c r="O26" s="36"/>
      <c r="P26" s="36"/>
      <c r="Q26" s="37"/>
      <c r="R26" s="38" t="s">
        <v>95</v>
      </c>
      <c r="S26" s="103"/>
      <c r="T26" s="55">
        <f t="shared" si="1"/>
        <v>67600000</v>
      </c>
      <c r="U26" s="17"/>
      <c r="W26" s="38">
        <v>67600000</v>
      </c>
      <c r="X26" s="17">
        <f t="shared" si="2"/>
        <v>831.49</v>
      </c>
    </row>
    <row r="27" spans="1:24" x14ac:dyDescent="0.3">
      <c r="A27" s="104">
        <f t="shared" ref="A27:A45" si="3">+A26+1</f>
        <v>4</v>
      </c>
      <c r="B27" s="35" t="s">
        <v>98</v>
      </c>
      <c r="C27" s="35"/>
      <c r="D27" s="38">
        <v>1</v>
      </c>
      <c r="E27" s="3"/>
      <c r="F27" s="38" t="s">
        <v>224</v>
      </c>
      <c r="G27" s="38"/>
      <c r="H27" s="108">
        <v>461250000</v>
      </c>
      <c r="I27" s="108">
        <v>375000000</v>
      </c>
      <c r="J27" s="38" t="s">
        <v>225</v>
      </c>
      <c r="K27" s="38" t="s">
        <v>95</v>
      </c>
      <c r="L27" s="39" t="s">
        <v>99</v>
      </c>
      <c r="M27" s="35" t="s">
        <v>73</v>
      </c>
      <c r="N27" s="35" t="s">
        <v>98</v>
      </c>
      <c r="O27" s="36" t="s">
        <v>227</v>
      </c>
      <c r="P27" s="36" t="s">
        <v>228</v>
      </c>
      <c r="Q27" s="37"/>
      <c r="R27" s="38" t="s">
        <v>95</v>
      </c>
      <c r="S27" s="103"/>
      <c r="T27" s="55">
        <f t="shared" si="1"/>
        <v>375000000</v>
      </c>
      <c r="U27" s="17"/>
      <c r="W27" s="38">
        <v>275000000</v>
      </c>
      <c r="X27" s="17">
        <f t="shared" si="2"/>
        <v>4612.5</v>
      </c>
    </row>
    <row r="28" spans="1:24" ht="105.6" x14ac:dyDescent="0.3">
      <c r="A28" s="104">
        <f t="shared" si="3"/>
        <v>5</v>
      </c>
      <c r="B28" s="35" t="s">
        <v>102</v>
      </c>
      <c r="C28" s="35"/>
      <c r="D28" s="40">
        <v>1</v>
      </c>
      <c r="E28" s="105"/>
      <c r="F28" s="40" t="s">
        <v>224</v>
      </c>
      <c r="G28" s="40"/>
      <c r="H28" s="109">
        <f>7995000</f>
        <v>7995000</v>
      </c>
      <c r="I28" s="109">
        <f>6500000</f>
        <v>6500000</v>
      </c>
      <c r="J28" s="40" t="s">
        <v>225</v>
      </c>
      <c r="K28" s="40" t="s">
        <v>95</v>
      </c>
      <c r="L28" s="40" t="s">
        <v>103</v>
      </c>
      <c r="M28" s="35" t="s">
        <v>102</v>
      </c>
      <c r="N28" s="35" t="s">
        <v>102</v>
      </c>
      <c r="O28" s="36" t="s">
        <v>227</v>
      </c>
      <c r="P28" s="36" t="s">
        <v>228</v>
      </c>
      <c r="Q28" s="37"/>
      <c r="R28" s="40" t="s">
        <v>95</v>
      </c>
      <c r="S28" s="110"/>
      <c r="T28" s="55">
        <f t="shared" si="1"/>
        <v>6500000</v>
      </c>
      <c r="U28" s="17"/>
      <c r="W28" s="40">
        <v>6500000</v>
      </c>
      <c r="X28" s="17">
        <f t="shared" si="2"/>
        <v>79.95</v>
      </c>
    </row>
    <row r="29" spans="1:24" ht="52.8" x14ac:dyDescent="0.3">
      <c r="A29" s="111">
        <f t="shared" si="3"/>
        <v>6</v>
      </c>
      <c r="B29" s="35" t="s">
        <v>114</v>
      </c>
      <c r="C29" s="35"/>
      <c r="D29" s="36" t="s">
        <v>100</v>
      </c>
      <c r="E29" s="105"/>
      <c r="F29" s="36" t="s">
        <v>224</v>
      </c>
      <c r="G29" s="36"/>
      <c r="H29" s="106">
        <f>909032000</f>
        <v>909032000</v>
      </c>
      <c r="I29" s="106">
        <f>785850000</f>
        <v>785850000</v>
      </c>
      <c r="J29" s="36" t="s">
        <v>225</v>
      </c>
      <c r="K29" s="36" t="s">
        <v>95</v>
      </c>
      <c r="L29" s="36" t="s">
        <v>115</v>
      </c>
      <c r="M29" s="35" t="s">
        <v>74</v>
      </c>
      <c r="N29" s="35" t="s">
        <v>114</v>
      </c>
      <c r="O29" s="36" t="s">
        <v>227</v>
      </c>
      <c r="P29" s="36" t="s">
        <v>228</v>
      </c>
      <c r="Q29" s="37"/>
      <c r="R29" s="36" t="s">
        <v>95</v>
      </c>
      <c r="S29" s="103"/>
      <c r="T29" s="55">
        <f t="shared" si="1"/>
        <v>785850000</v>
      </c>
      <c r="U29" s="17"/>
      <c r="W29" s="36">
        <v>485850000</v>
      </c>
      <c r="X29" s="17">
        <f t="shared" si="2"/>
        <v>9090.32</v>
      </c>
    </row>
    <row r="30" spans="1:24" ht="118.8" x14ac:dyDescent="0.3">
      <c r="A30" s="111">
        <f t="shared" si="3"/>
        <v>7</v>
      </c>
      <c r="B30" s="107" t="s">
        <v>230</v>
      </c>
      <c r="C30" s="35"/>
      <c r="D30" s="36"/>
      <c r="E30" s="105"/>
      <c r="F30" s="38" t="s">
        <v>224</v>
      </c>
      <c r="G30" s="38"/>
      <c r="H30" s="108">
        <f>111930000</f>
        <v>111930000</v>
      </c>
      <c r="I30" s="108">
        <v>91000000</v>
      </c>
      <c r="J30" s="38" t="s">
        <v>225</v>
      </c>
      <c r="K30" s="38" t="s">
        <v>95</v>
      </c>
      <c r="L30" s="36" t="s">
        <v>231</v>
      </c>
      <c r="M30" s="35" t="s">
        <v>113</v>
      </c>
      <c r="N30" s="35" t="s">
        <v>113</v>
      </c>
      <c r="O30" s="36"/>
      <c r="P30" s="36"/>
      <c r="Q30" s="37"/>
      <c r="R30" s="36" t="s">
        <v>95</v>
      </c>
      <c r="S30" s="103"/>
      <c r="T30" s="55">
        <f t="shared" si="1"/>
        <v>91000000</v>
      </c>
      <c r="U30" s="17"/>
      <c r="W30" s="38">
        <v>91000000</v>
      </c>
      <c r="X30" s="17">
        <f t="shared" si="2"/>
        <v>1119.3</v>
      </c>
    </row>
    <row r="31" spans="1:24" x14ac:dyDescent="0.3">
      <c r="A31" s="111">
        <f t="shared" si="3"/>
        <v>8</v>
      </c>
      <c r="B31" s="35" t="s">
        <v>107</v>
      </c>
      <c r="C31" s="35"/>
      <c r="D31" s="40">
        <v>1</v>
      </c>
      <c r="E31" s="41"/>
      <c r="F31" s="40" t="s">
        <v>224</v>
      </c>
      <c r="G31" s="40">
        <f>+H31/100000</f>
        <v>1279.2</v>
      </c>
      <c r="H31" s="109">
        <f>127920000</f>
        <v>127920000</v>
      </c>
      <c r="I31" s="109">
        <f>104000000</f>
        <v>104000000</v>
      </c>
      <c r="J31" s="40" t="s">
        <v>225</v>
      </c>
      <c r="K31" s="40" t="s">
        <v>95</v>
      </c>
      <c r="L31" s="40" t="s">
        <v>108</v>
      </c>
      <c r="M31" s="35" t="s">
        <v>107</v>
      </c>
      <c r="N31" s="35" t="s">
        <v>107</v>
      </c>
      <c r="O31" s="36" t="s">
        <v>227</v>
      </c>
      <c r="P31" s="36" t="s">
        <v>228</v>
      </c>
      <c r="Q31" s="37"/>
      <c r="R31" s="40" t="s">
        <v>95</v>
      </c>
      <c r="S31" s="110"/>
      <c r="T31" s="56">
        <f>+I31</f>
        <v>104000000</v>
      </c>
      <c r="U31" s="17"/>
      <c r="W31" s="40">
        <v>104000000</v>
      </c>
      <c r="X31" s="17">
        <f t="shared" si="2"/>
        <v>1279.2</v>
      </c>
    </row>
    <row r="32" spans="1:24" ht="66" x14ac:dyDescent="0.3">
      <c r="A32" s="111">
        <f t="shared" si="3"/>
        <v>9</v>
      </c>
      <c r="B32" s="107" t="s">
        <v>75</v>
      </c>
      <c r="C32" s="35">
        <f>50000000*H32/I32</f>
        <v>61499393.820243128</v>
      </c>
      <c r="D32" s="36" t="s">
        <v>109</v>
      </c>
      <c r="E32" s="34"/>
      <c r="F32" s="36" t="s">
        <v>224</v>
      </c>
      <c r="G32" s="40">
        <f t="shared" ref="G32:G45" si="4">+H32/100000</f>
        <v>375.38</v>
      </c>
      <c r="H32" s="106">
        <f>43457000+1218000+40018000+14345000-61500000</f>
        <v>37538000</v>
      </c>
      <c r="I32" s="106">
        <f>35331000+990000+32535000+11663000-50000000</f>
        <v>30519000</v>
      </c>
      <c r="J32" s="36" t="s">
        <v>225</v>
      </c>
      <c r="K32" s="36" t="s">
        <v>101</v>
      </c>
      <c r="L32" s="36">
        <v>82</v>
      </c>
      <c r="M32" s="35" t="s">
        <v>75</v>
      </c>
      <c r="N32" s="35" t="s">
        <v>75</v>
      </c>
      <c r="O32" s="36" t="s">
        <v>227</v>
      </c>
      <c r="P32" s="36" t="s">
        <v>228</v>
      </c>
      <c r="Q32" s="37"/>
      <c r="R32" s="36" t="s">
        <v>101</v>
      </c>
      <c r="S32" s="103"/>
      <c r="T32" s="55"/>
      <c r="U32" s="17">
        <f>+I32</f>
        <v>30519000</v>
      </c>
      <c r="W32" s="17">
        <v>450000</v>
      </c>
      <c r="X32" s="17">
        <f t="shared" si="2"/>
        <v>375.38</v>
      </c>
    </row>
    <row r="33" spans="1:24" ht="66" x14ac:dyDescent="0.3">
      <c r="A33" s="104">
        <f t="shared" si="3"/>
        <v>10</v>
      </c>
      <c r="B33" s="35" t="s">
        <v>82</v>
      </c>
      <c r="C33" s="35"/>
      <c r="D33" s="36">
        <v>8</v>
      </c>
      <c r="E33" s="34"/>
      <c r="F33" s="36" t="s">
        <v>224</v>
      </c>
      <c r="G33" s="40">
        <f t="shared" si="4"/>
        <v>1660.5</v>
      </c>
      <c r="H33" s="106">
        <v>166050000</v>
      </c>
      <c r="I33" s="106">
        <v>135000000</v>
      </c>
      <c r="J33" s="36" t="s">
        <v>225</v>
      </c>
      <c r="K33" s="36" t="s">
        <v>105</v>
      </c>
      <c r="L33" s="38" t="s">
        <v>110</v>
      </c>
      <c r="M33" s="35" t="s">
        <v>82</v>
      </c>
      <c r="N33" s="35" t="s">
        <v>82</v>
      </c>
      <c r="O33" s="36" t="s">
        <v>227</v>
      </c>
      <c r="P33" s="36" t="s">
        <v>228</v>
      </c>
      <c r="Q33" s="37"/>
      <c r="R33" s="36" t="s">
        <v>105</v>
      </c>
      <c r="S33" s="103"/>
      <c r="T33" s="55"/>
      <c r="U33" s="17">
        <f>+I33</f>
        <v>135000000</v>
      </c>
      <c r="W33" s="36">
        <v>35000000</v>
      </c>
      <c r="X33" s="17">
        <f t="shared" si="2"/>
        <v>1660.5</v>
      </c>
    </row>
    <row r="34" spans="1:24" ht="26.4" x14ac:dyDescent="0.3">
      <c r="A34" s="104">
        <f t="shared" si="3"/>
        <v>11</v>
      </c>
      <c r="B34" s="35" t="s">
        <v>83</v>
      </c>
      <c r="C34" s="35"/>
      <c r="D34" s="40">
        <v>1</v>
      </c>
      <c r="E34" s="105"/>
      <c r="F34" s="40" t="s">
        <v>224</v>
      </c>
      <c r="G34" s="40">
        <f t="shared" si="4"/>
        <v>138.38</v>
      </c>
      <c r="H34" s="109">
        <v>13838000</v>
      </c>
      <c r="I34" s="109">
        <v>11250000</v>
      </c>
      <c r="J34" s="40" t="s">
        <v>225</v>
      </c>
      <c r="K34" s="40" t="s">
        <v>101</v>
      </c>
      <c r="L34" s="40">
        <v>1</v>
      </c>
      <c r="M34" s="35" t="s">
        <v>83</v>
      </c>
      <c r="N34" s="35" t="s">
        <v>83</v>
      </c>
      <c r="O34" s="36" t="s">
        <v>227</v>
      </c>
      <c r="P34" s="36" t="s">
        <v>228</v>
      </c>
      <c r="Q34" s="37"/>
      <c r="R34" s="40" t="s">
        <v>101</v>
      </c>
      <c r="S34" s="103"/>
      <c r="T34" s="55"/>
      <c r="U34" s="17">
        <f>+I34</f>
        <v>11250000</v>
      </c>
      <c r="W34" s="40">
        <v>11250000</v>
      </c>
      <c r="X34" s="17">
        <f t="shared" si="2"/>
        <v>138.38</v>
      </c>
    </row>
    <row r="35" spans="1:24" ht="92.4" x14ac:dyDescent="0.3">
      <c r="A35" s="104">
        <f t="shared" si="3"/>
        <v>12</v>
      </c>
      <c r="B35" s="107" t="s">
        <v>84</v>
      </c>
      <c r="C35" s="107" t="s">
        <v>84</v>
      </c>
      <c r="D35" s="40">
        <f>1+1+1+4</f>
        <v>7</v>
      </c>
      <c r="E35" s="105"/>
      <c r="F35" s="40" t="s">
        <v>224</v>
      </c>
      <c r="G35" s="40">
        <f t="shared" si="4"/>
        <v>714.94</v>
      </c>
      <c r="H35" s="109">
        <f>21218000+16605000+4151000+29520000</f>
        <v>71494000</v>
      </c>
      <c r="I35" s="109">
        <f>17250000+13500000+3375000+24000000</f>
        <v>58125000</v>
      </c>
      <c r="J35" s="40" t="s">
        <v>225</v>
      </c>
      <c r="K35" s="36" t="s">
        <v>105</v>
      </c>
      <c r="L35" s="38" t="s">
        <v>111</v>
      </c>
      <c r="M35" s="35" t="s">
        <v>84</v>
      </c>
      <c r="N35" s="35" t="s">
        <v>84</v>
      </c>
      <c r="O35" s="36" t="s">
        <v>227</v>
      </c>
      <c r="P35" s="36" t="s">
        <v>228</v>
      </c>
      <c r="Q35" s="37"/>
      <c r="R35" s="36" t="s">
        <v>105</v>
      </c>
      <c r="S35" s="103"/>
      <c r="T35" s="55"/>
      <c r="U35" s="17">
        <f t="shared" ref="U35:U45" si="5">+I35</f>
        <v>58125000</v>
      </c>
      <c r="W35" s="40">
        <v>125000</v>
      </c>
      <c r="X35" s="17">
        <f t="shared" si="2"/>
        <v>714.94</v>
      </c>
    </row>
    <row r="36" spans="1:24" ht="26.4" x14ac:dyDescent="0.3">
      <c r="A36" s="111">
        <f t="shared" si="3"/>
        <v>13</v>
      </c>
      <c r="B36" s="112" t="s">
        <v>85</v>
      </c>
      <c r="C36" s="35"/>
      <c r="D36" s="113" t="s">
        <v>232</v>
      </c>
      <c r="E36" s="105"/>
      <c r="F36" s="40" t="s">
        <v>224</v>
      </c>
      <c r="G36" s="40">
        <f t="shared" si="4"/>
        <v>1537.5</v>
      </c>
      <c r="H36" s="109">
        <f>92250000+61500000</f>
        <v>153750000</v>
      </c>
      <c r="I36" s="109">
        <f>75000000+50000000</f>
        <v>125000000</v>
      </c>
      <c r="J36" s="40" t="s">
        <v>225</v>
      </c>
      <c r="K36" s="40" t="s">
        <v>101</v>
      </c>
      <c r="L36" s="40">
        <v>83</v>
      </c>
      <c r="M36" s="35" t="s">
        <v>85</v>
      </c>
      <c r="N36" s="35" t="s">
        <v>85</v>
      </c>
      <c r="O36" s="36" t="s">
        <v>227</v>
      </c>
      <c r="P36" s="36" t="s">
        <v>228</v>
      </c>
      <c r="Q36" s="37"/>
      <c r="R36" s="40" t="s">
        <v>101</v>
      </c>
      <c r="S36" s="103"/>
      <c r="T36" s="55"/>
      <c r="U36" s="17">
        <f t="shared" si="5"/>
        <v>125000000</v>
      </c>
      <c r="W36" s="17">
        <v>115000000</v>
      </c>
      <c r="X36" s="17">
        <f t="shared" si="2"/>
        <v>1537.5</v>
      </c>
    </row>
    <row r="37" spans="1:24" ht="39.6" x14ac:dyDescent="0.3">
      <c r="A37" s="104">
        <f t="shared" si="3"/>
        <v>14</v>
      </c>
      <c r="B37" s="35" t="s">
        <v>77</v>
      </c>
      <c r="C37" s="35"/>
      <c r="D37" s="36">
        <f>2+2+1</f>
        <v>5</v>
      </c>
      <c r="E37" s="34"/>
      <c r="F37" s="36" t="s">
        <v>224</v>
      </c>
      <c r="G37" s="40">
        <f t="shared" si="4"/>
        <v>747.23</v>
      </c>
      <c r="H37" s="106">
        <f>27675000+33210000+13838000</f>
        <v>74723000</v>
      </c>
      <c r="I37" s="106">
        <f>22500000+27000000+11250000</f>
        <v>60750000</v>
      </c>
      <c r="J37" s="36" t="s">
        <v>225</v>
      </c>
      <c r="K37" s="36" t="s">
        <v>101</v>
      </c>
      <c r="L37" s="36">
        <v>81</v>
      </c>
      <c r="M37" s="35" t="s">
        <v>77</v>
      </c>
      <c r="N37" s="35" t="s">
        <v>77</v>
      </c>
      <c r="O37" s="36" t="s">
        <v>227</v>
      </c>
      <c r="P37" s="36" t="s">
        <v>228</v>
      </c>
      <c r="Q37" s="37"/>
      <c r="R37" s="36" t="s">
        <v>101</v>
      </c>
      <c r="S37" s="103"/>
      <c r="T37" s="55"/>
      <c r="U37" s="17">
        <f t="shared" si="5"/>
        <v>60750000</v>
      </c>
      <c r="W37" s="36">
        <v>60750000</v>
      </c>
      <c r="X37" s="17">
        <f t="shared" si="2"/>
        <v>747.23</v>
      </c>
    </row>
    <row r="38" spans="1:24" ht="66" x14ac:dyDescent="0.3">
      <c r="A38" s="111">
        <f t="shared" si="3"/>
        <v>15</v>
      </c>
      <c r="B38" s="35"/>
      <c r="C38" s="35" t="s">
        <v>86</v>
      </c>
      <c r="D38" s="40">
        <v>2</v>
      </c>
      <c r="E38" s="105"/>
      <c r="F38" s="40" t="s">
        <v>224</v>
      </c>
      <c r="G38" s="40">
        <f t="shared" si="4"/>
        <v>442.8</v>
      </c>
      <c r="H38" s="109">
        <f>44280000</f>
        <v>44280000</v>
      </c>
      <c r="I38" s="109">
        <f>36000000</f>
        <v>36000000</v>
      </c>
      <c r="J38" s="40" t="s">
        <v>225</v>
      </c>
      <c r="K38" s="36" t="s">
        <v>105</v>
      </c>
      <c r="L38" s="38" t="s">
        <v>191</v>
      </c>
      <c r="M38" s="35" t="s">
        <v>86</v>
      </c>
      <c r="N38" s="35" t="s">
        <v>86</v>
      </c>
      <c r="O38" s="36" t="s">
        <v>227</v>
      </c>
      <c r="P38" s="36" t="s">
        <v>228</v>
      </c>
      <c r="Q38" s="37"/>
      <c r="R38" s="36" t="s">
        <v>105</v>
      </c>
      <c r="S38" s="103"/>
      <c r="T38" s="55"/>
      <c r="U38" s="17">
        <f t="shared" si="5"/>
        <v>36000000</v>
      </c>
      <c r="W38" s="40">
        <v>36000000</v>
      </c>
      <c r="X38" s="17">
        <f t="shared" si="2"/>
        <v>442.8</v>
      </c>
    </row>
    <row r="39" spans="1:24" ht="198" x14ac:dyDescent="0.3">
      <c r="A39" s="111">
        <f t="shared" si="3"/>
        <v>16</v>
      </c>
      <c r="B39" s="35"/>
      <c r="C39" s="107" t="s">
        <v>233</v>
      </c>
      <c r="D39" s="40">
        <v>2</v>
      </c>
      <c r="E39" s="105"/>
      <c r="F39" s="40" t="s">
        <v>224</v>
      </c>
      <c r="G39" s="40">
        <f t="shared" si="4"/>
        <v>123</v>
      </c>
      <c r="H39" s="109">
        <f>12300000</f>
        <v>12300000</v>
      </c>
      <c r="I39" s="109">
        <f>+I38*20%</f>
        <v>7200000</v>
      </c>
      <c r="J39" s="40" t="s">
        <v>225</v>
      </c>
      <c r="K39" s="36" t="s">
        <v>105</v>
      </c>
      <c r="L39" s="38" t="s">
        <v>191</v>
      </c>
      <c r="M39" s="35" t="s">
        <v>116</v>
      </c>
      <c r="N39" s="35" t="s">
        <v>116</v>
      </c>
      <c r="O39" s="36"/>
      <c r="P39" s="36"/>
      <c r="Q39" s="37"/>
      <c r="R39" s="36" t="s">
        <v>105</v>
      </c>
      <c r="S39" s="103"/>
      <c r="T39" s="55"/>
      <c r="U39" s="17">
        <f t="shared" si="5"/>
        <v>7200000</v>
      </c>
      <c r="W39" s="40">
        <v>7200000</v>
      </c>
      <c r="X39" s="17">
        <f t="shared" si="2"/>
        <v>123</v>
      </c>
    </row>
    <row r="40" spans="1:24" ht="26.4" x14ac:dyDescent="0.3">
      <c r="A40" s="104">
        <f t="shared" si="3"/>
        <v>17</v>
      </c>
      <c r="B40" s="114" t="s">
        <v>234</v>
      </c>
      <c r="C40" s="107"/>
      <c r="D40" s="115" t="s">
        <v>112</v>
      </c>
      <c r="E40" s="116"/>
      <c r="F40" s="40" t="s">
        <v>224</v>
      </c>
      <c r="G40" s="40">
        <f t="shared" si="4"/>
        <v>2214</v>
      </c>
      <c r="H40" s="117">
        <f>159900000+61500000</f>
        <v>221400000</v>
      </c>
      <c r="I40" s="117">
        <f>130000000+50000000</f>
        <v>180000000</v>
      </c>
      <c r="J40" s="40" t="s">
        <v>225</v>
      </c>
      <c r="K40" s="40" t="s">
        <v>95</v>
      </c>
      <c r="L40" s="118" t="s">
        <v>235</v>
      </c>
      <c r="M40" s="119" t="s">
        <v>234</v>
      </c>
      <c r="N40" s="119" t="s">
        <v>234</v>
      </c>
      <c r="O40" s="36" t="s">
        <v>227</v>
      </c>
      <c r="P40" s="36" t="s">
        <v>228</v>
      </c>
      <c r="Q40" s="120"/>
      <c r="R40" s="40" t="s">
        <v>95</v>
      </c>
      <c r="S40" s="103"/>
      <c r="T40" s="55">
        <f>+I40</f>
        <v>180000000</v>
      </c>
      <c r="U40" s="17"/>
      <c r="W40" s="17">
        <v>180000000</v>
      </c>
      <c r="X40" s="17">
        <f t="shared" si="2"/>
        <v>2214</v>
      </c>
    </row>
    <row r="41" spans="1:24" x14ac:dyDescent="0.3">
      <c r="A41" s="111">
        <f>+A40+1</f>
        <v>18</v>
      </c>
      <c r="B41" s="35"/>
      <c r="C41" s="35" t="s">
        <v>79</v>
      </c>
      <c r="D41" s="36" t="s">
        <v>109</v>
      </c>
      <c r="E41" s="34"/>
      <c r="F41" s="40" t="s">
        <v>224</v>
      </c>
      <c r="G41" s="40">
        <f t="shared" si="4"/>
        <v>92.25</v>
      </c>
      <c r="H41" s="106">
        <f>3075000+3690000+1230000+1230000</f>
        <v>9225000</v>
      </c>
      <c r="I41" s="106">
        <f>(2500000+3000000)+1000000+1000000</f>
        <v>7500000</v>
      </c>
      <c r="J41" s="40" t="s">
        <v>225</v>
      </c>
      <c r="K41" s="40" t="s">
        <v>101</v>
      </c>
      <c r="L41" s="36">
        <v>36</v>
      </c>
      <c r="M41" s="35" t="s">
        <v>79</v>
      </c>
      <c r="N41" s="35" t="s">
        <v>79</v>
      </c>
      <c r="O41" s="36" t="s">
        <v>227</v>
      </c>
      <c r="P41" s="36" t="s">
        <v>228</v>
      </c>
      <c r="Q41" s="37"/>
      <c r="R41" s="40" t="s">
        <v>101</v>
      </c>
      <c r="S41" s="103"/>
      <c r="T41" s="55"/>
      <c r="U41" s="17">
        <f t="shared" si="5"/>
        <v>7500000</v>
      </c>
      <c r="W41" s="36">
        <v>7500000</v>
      </c>
      <c r="X41" s="17">
        <f t="shared" si="2"/>
        <v>92.25</v>
      </c>
    </row>
    <row r="42" spans="1:24" ht="145.19999999999999" x14ac:dyDescent="0.3">
      <c r="A42" s="111">
        <f t="shared" si="3"/>
        <v>19</v>
      </c>
      <c r="B42" s="35"/>
      <c r="C42" s="112" t="s">
        <v>81</v>
      </c>
      <c r="D42" s="121">
        <f>1+1+1</f>
        <v>3</v>
      </c>
      <c r="E42" s="34"/>
      <c r="F42" s="40" t="s">
        <v>224</v>
      </c>
      <c r="G42" s="40">
        <f t="shared" si="4"/>
        <v>307.5</v>
      </c>
      <c r="H42" s="106">
        <f>12300000+6150000+12300000</f>
        <v>30750000</v>
      </c>
      <c r="I42" s="106">
        <f>10000000+5000000+10000000</f>
        <v>25000000</v>
      </c>
      <c r="J42" s="40" t="s">
        <v>225</v>
      </c>
      <c r="K42" s="40" t="s">
        <v>101</v>
      </c>
      <c r="L42" s="36">
        <v>73</v>
      </c>
      <c r="M42" s="35" t="s">
        <v>81</v>
      </c>
      <c r="N42" s="35" t="s">
        <v>81</v>
      </c>
      <c r="O42" s="36" t="s">
        <v>227</v>
      </c>
      <c r="P42" s="36" t="s">
        <v>228</v>
      </c>
      <c r="Q42" s="37"/>
      <c r="R42" s="40" t="s">
        <v>101</v>
      </c>
      <c r="S42" s="103"/>
      <c r="T42" s="55"/>
      <c r="U42" s="17">
        <f t="shared" si="5"/>
        <v>25000000</v>
      </c>
      <c r="W42" s="17">
        <v>25000000</v>
      </c>
      <c r="X42" s="17">
        <f t="shared" si="2"/>
        <v>307.5</v>
      </c>
    </row>
    <row r="43" spans="1:24" x14ac:dyDescent="0.3">
      <c r="A43" s="111">
        <f t="shared" si="3"/>
        <v>20</v>
      </c>
      <c r="B43" s="35" t="s">
        <v>76</v>
      </c>
      <c r="C43" s="35"/>
      <c r="D43" s="40" t="s">
        <v>104</v>
      </c>
      <c r="E43" s="41"/>
      <c r="F43" s="40" t="s">
        <v>224</v>
      </c>
      <c r="G43" s="40">
        <f t="shared" si="4"/>
        <v>115.31</v>
      </c>
      <c r="H43" s="109">
        <v>11531000</v>
      </c>
      <c r="I43" s="109">
        <v>9375000</v>
      </c>
      <c r="J43" s="40" t="s">
        <v>225</v>
      </c>
      <c r="K43" s="40" t="s">
        <v>105</v>
      </c>
      <c r="L43" s="40" t="s">
        <v>106</v>
      </c>
      <c r="M43" s="35" t="s">
        <v>76</v>
      </c>
      <c r="N43" s="35" t="s">
        <v>76</v>
      </c>
      <c r="O43" s="36" t="s">
        <v>227</v>
      </c>
      <c r="P43" s="36" t="s">
        <v>228</v>
      </c>
      <c r="Q43" s="37"/>
      <c r="R43" s="40" t="s">
        <v>105</v>
      </c>
      <c r="S43" s="103"/>
      <c r="T43" s="55"/>
      <c r="U43" s="17">
        <f t="shared" si="5"/>
        <v>9375000</v>
      </c>
      <c r="W43" s="40">
        <v>9375000</v>
      </c>
      <c r="X43" s="17">
        <f t="shared" si="2"/>
        <v>115.31</v>
      </c>
    </row>
    <row r="44" spans="1:24" ht="39.6" x14ac:dyDescent="0.3">
      <c r="A44" s="111">
        <f t="shared" si="3"/>
        <v>21</v>
      </c>
      <c r="B44" s="35"/>
      <c r="C44" s="35" t="s">
        <v>78</v>
      </c>
      <c r="D44" s="36">
        <v>1</v>
      </c>
      <c r="E44" s="34"/>
      <c r="F44" s="40" t="s">
        <v>224</v>
      </c>
      <c r="G44" s="40">
        <f t="shared" si="4"/>
        <v>369</v>
      </c>
      <c r="H44" s="106">
        <v>36900000</v>
      </c>
      <c r="I44" s="106">
        <v>30000000</v>
      </c>
      <c r="J44" s="40" t="s">
        <v>225</v>
      </c>
      <c r="K44" s="40" t="s">
        <v>101</v>
      </c>
      <c r="L44" s="36">
        <v>80</v>
      </c>
      <c r="M44" s="35" t="s">
        <v>78</v>
      </c>
      <c r="N44" s="35" t="s">
        <v>78</v>
      </c>
      <c r="O44" s="36" t="s">
        <v>227</v>
      </c>
      <c r="P44" s="36" t="s">
        <v>228</v>
      </c>
      <c r="Q44" s="37"/>
      <c r="R44" s="40" t="s">
        <v>101</v>
      </c>
      <c r="S44" s="103"/>
      <c r="T44" s="55"/>
      <c r="U44" s="17">
        <f t="shared" si="5"/>
        <v>30000000</v>
      </c>
      <c r="W44" s="36">
        <v>30000000</v>
      </c>
      <c r="X44" s="17">
        <f t="shared" si="2"/>
        <v>369</v>
      </c>
    </row>
    <row r="45" spans="1:24" ht="79.2" x14ac:dyDescent="0.3">
      <c r="A45" s="111">
        <f t="shared" si="3"/>
        <v>22</v>
      </c>
      <c r="B45" s="35"/>
      <c r="C45" s="35" t="s">
        <v>80</v>
      </c>
      <c r="D45" s="36" t="s">
        <v>112</v>
      </c>
      <c r="E45" s="34"/>
      <c r="F45" s="40" t="s">
        <v>224</v>
      </c>
      <c r="G45" s="40">
        <f t="shared" si="4"/>
        <v>676.5</v>
      </c>
      <c r="H45" s="106">
        <v>67650000</v>
      </c>
      <c r="I45" s="106">
        <v>55000000</v>
      </c>
      <c r="J45" s="40" t="s">
        <v>225</v>
      </c>
      <c r="K45" s="40" t="s">
        <v>101</v>
      </c>
      <c r="L45" s="36">
        <v>9</v>
      </c>
      <c r="M45" s="35" t="s">
        <v>80</v>
      </c>
      <c r="N45" s="35" t="s">
        <v>80</v>
      </c>
      <c r="O45" s="36" t="s">
        <v>227</v>
      </c>
      <c r="P45" s="36" t="s">
        <v>228</v>
      </c>
      <c r="Q45" s="37"/>
      <c r="R45" s="40" t="s">
        <v>101</v>
      </c>
      <c r="S45" s="103"/>
      <c r="T45" s="55"/>
      <c r="U45" s="17">
        <f t="shared" si="5"/>
        <v>55000000</v>
      </c>
      <c r="W45" s="36">
        <v>55000000</v>
      </c>
      <c r="X45" s="17">
        <f t="shared" si="2"/>
        <v>676.5</v>
      </c>
    </row>
    <row r="46" spans="1:24" x14ac:dyDescent="0.3">
      <c r="A46" s="111"/>
      <c r="B46" s="114"/>
      <c r="C46" s="119"/>
      <c r="D46" s="115"/>
      <c r="E46" s="116"/>
      <c r="F46" s="40"/>
      <c r="G46" s="40"/>
      <c r="H46" s="117"/>
      <c r="I46" s="117"/>
      <c r="J46" s="40"/>
      <c r="K46" s="40"/>
      <c r="L46" s="118"/>
      <c r="M46" s="119"/>
      <c r="N46" s="119"/>
      <c r="O46" s="36"/>
      <c r="P46" s="36"/>
      <c r="Q46" s="120"/>
      <c r="R46" s="40"/>
      <c r="S46" s="103"/>
      <c r="T46" s="55"/>
      <c r="U46" s="17"/>
      <c r="W46" s="17"/>
      <c r="X46" s="17"/>
    </row>
    <row r="47" spans="1:24" ht="13.8" thickBot="1" x14ac:dyDescent="0.35">
      <c r="A47" s="42"/>
      <c r="B47" s="43"/>
      <c r="C47" s="43"/>
      <c r="D47" s="44"/>
      <c r="E47" s="122"/>
      <c r="F47" s="123"/>
      <c r="G47" s="123"/>
      <c r="H47" s="45"/>
      <c r="I47" s="45"/>
      <c r="J47" s="44"/>
      <c r="K47" s="44"/>
      <c r="L47" s="44"/>
      <c r="M47" s="44"/>
      <c r="N47" s="44"/>
      <c r="O47" s="44"/>
      <c r="P47" s="44"/>
      <c r="Q47" s="83"/>
      <c r="R47" s="124"/>
      <c r="S47" s="125"/>
      <c r="T47" s="55"/>
      <c r="U47" s="17"/>
    </row>
    <row r="48" spans="1:24" ht="13.8" thickBot="1" x14ac:dyDescent="0.35">
      <c r="A48" s="46"/>
      <c r="B48" s="1217" t="s">
        <v>236</v>
      </c>
      <c r="C48" s="1218"/>
      <c r="D48" s="47"/>
      <c r="E48" s="126"/>
      <c r="F48" s="127"/>
      <c r="G48" s="127"/>
      <c r="H48" s="48">
        <f>SUM(H23:H47)</f>
        <v>3672868000</v>
      </c>
      <c r="I48" s="48">
        <f>SUM(I23:I47)</f>
        <v>3030069000</v>
      </c>
      <c r="J48" s="49"/>
      <c r="K48" s="50"/>
      <c r="L48" s="51"/>
      <c r="M48" s="52"/>
      <c r="N48" s="52"/>
      <c r="O48" s="49"/>
      <c r="P48" s="50"/>
      <c r="Q48" s="53"/>
      <c r="R48" s="51"/>
      <c r="S48" s="128"/>
      <c r="T48" s="57">
        <f>SUM(T24:T47)</f>
        <v>2439350000</v>
      </c>
      <c r="U48" s="57">
        <f>SUM(U24:U47)</f>
        <v>590719000</v>
      </c>
      <c r="W48" s="48">
        <f>SUM(W23:W46)</f>
        <v>2000000000</v>
      </c>
    </row>
    <row r="49" spans="1:21" ht="13.8" thickBot="1" x14ac:dyDescent="0.35">
      <c r="B49" s="9"/>
      <c r="D49" s="54"/>
      <c r="E49" s="13"/>
      <c r="F49" s="12"/>
      <c r="G49" s="12"/>
      <c r="H49" s="11">
        <v>3439168000</v>
      </c>
      <c r="I49" s="11">
        <v>2840069000</v>
      </c>
      <c r="J49" s="13"/>
      <c r="L49" s="13"/>
      <c r="M49" s="13"/>
      <c r="N49" s="13"/>
      <c r="O49" s="13"/>
      <c r="P49" s="13"/>
      <c r="T49" s="58">
        <f>+T48+U48</f>
        <v>3030069000</v>
      </c>
      <c r="U49" s="17">
        <f>+T49/2</f>
        <v>1515034500</v>
      </c>
    </row>
    <row r="50" spans="1:21" ht="13.8" thickBot="1" x14ac:dyDescent="0.35">
      <c r="B50" s="9"/>
      <c r="D50" s="54"/>
      <c r="E50" s="13"/>
      <c r="F50" s="12"/>
      <c r="G50" s="12"/>
      <c r="H50" s="11">
        <f>+H48-H49</f>
        <v>233700000</v>
      </c>
      <c r="I50" s="11">
        <f>+I48-I49</f>
        <v>190000000</v>
      </c>
      <c r="J50" s="13"/>
      <c r="L50" s="13"/>
      <c r="M50" s="13"/>
      <c r="N50" s="13"/>
      <c r="O50" s="13"/>
      <c r="P50" s="13"/>
      <c r="T50" s="7"/>
      <c r="U50" s="17"/>
    </row>
    <row r="51" spans="1:21" ht="13.8" thickBot="1" x14ac:dyDescent="0.35">
      <c r="A51" s="91" t="s">
        <v>237</v>
      </c>
      <c r="B51" s="1366" t="s">
        <v>238</v>
      </c>
      <c r="C51" s="1367"/>
      <c r="I51" s="93">
        <f>+I48*15%</f>
        <v>454510350</v>
      </c>
      <c r="L51" s="13"/>
      <c r="M51" s="13"/>
      <c r="N51" s="13"/>
      <c r="O51" s="13"/>
      <c r="P51" s="13"/>
      <c r="T51" s="7"/>
      <c r="U51" s="17"/>
    </row>
    <row r="52" spans="1:21" ht="13.8" thickBot="1" x14ac:dyDescent="0.35">
      <c r="H52" s="93" t="s">
        <v>200</v>
      </c>
      <c r="L52" s="13"/>
      <c r="M52" s="13"/>
      <c r="N52" s="13"/>
      <c r="O52" s="13"/>
      <c r="P52" s="13"/>
      <c r="T52" s="7"/>
      <c r="U52" s="17"/>
    </row>
    <row r="53" spans="1:21" ht="27" thickBot="1" x14ac:dyDescent="0.35">
      <c r="A53" s="19" t="s">
        <v>201</v>
      </c>
      <c r="B53" s="1219" t="s">
        <v>239</v>
      </c>
      <c r="C53" s="1220"/>
      <c r="D53" s="1221" t="s">
        <v>240</v>
      </c>
      <c r="E53" s="1369" t="s">
        <v>241</v>
      </c>
      <c r="F53" s="1327"/>
      <c r="G53" s="94"/>
      <c r="H53" s="1341" t="s">
        <v>242</v>
      </c>
      <c r="I53" s="1221" t="s">
        <v>243</v>
      </c>
      <c r="J53" s="1208" t="s">
        <v>244</v>
      </c>
      <c r="L53" s="13"/>
      <c r="M53" s="13"/>
      <c r="N53" s="13"/>
      <c r="O53" s="13"/>
      <c r="P53" s="13"/>
      <c r="T53" s="7"/>
      <c r="U53" s="17"/>
    </row>
    <row r="54" spans="1:21" x14ac:dyDescent="0.3">
      <c r="A54" s="1333"/>
      <c r="B54" s="1208"/>
      <c r="C54" s="1336"/>
      <c r="D54" s="1368"/>
      <c r="E54" s="1370"/>
      <c r="F54" s="1329"/>
      <c r="G54" s="97"/>
      <c r="H54" s="1342"/>
      <c r="I54" s="1368"/>
      <c r="J54" s="1335"/>
      <c r="L54" s="13"/>
      <c r="M54" s="13"/>
      <c r="N54" s="13"/>
      <c r="O54" s="13"/>
      <c r="P54" s="13"/>
      <c r="T54" s="7"/>
      <c r="U54" s="17"/>
    </row>
    <row r="55" spans="1:21" x14ac:dyDescent="0.3">
      <c r="A55" s="1334"/>
      <c r="B55" s="1335"/>
      <c r="C55" s="1337"/>
      <c r="D55" s="1368"/>
      <c r="E55" s="1370"/>
      <c r="F55" s="1329"/>
      <c r="G55" s="97"/>
      <c r="H55" s="1342"/>
      <c r="I55" s="1368"/>
      <c r="J55" s="1335"/>
      <c r="L55" s="13"/>
      <c r="M55" s="13"/>
      <c r="N55" s="13"/>
      <c r="O55" s="13"/>
      <c r="P55" s="13"/>
      <c r="T55" s="7"/>
      <c r="U55" s="17"/>
    </row>
    <row r="56" spans="1:21" x14ac:dyDescent="0.3">
      <c r="A56" s="1334"/>
      <c r="B56" s="1335"/>
      <c r="C56" s="1337"/>
      <c r="D56" s="1368"/>
      <c r="E56" s="1372" t="s">
        <v>215</v>
      </c>
      <c r="F56" s="1373"/>
      <c r="G56" s="97"/>
      <c r="H56" s="1342"/>
      <c r="I56" s="1368"/>
      <c r="J56" s="1335"/>
      <c r="L56" s="13"/>
      <c r="M56" s="13"/>
      <c r="N56" s="13"/>
      <c r="O56" s="13"/>
      <c r="P56" s="13"/>
      <c r="T56" s="7"/>
      <c r="U56" s="17"/>
    </row>
    <row r="57" spans="1:21" x14ac:dyDescent="0.3">
      <c r="A57" s="1334"/>
      <c r="B57" s="1335"/>
      <c r="C57" s="1337"/>
      <c r="D57" s="1368"/>
      <c r="E57" s="1374" t="s">
        <v>245</v>
      </c>
      <c r="F57" s="1377" t="s">
        <v>246</v>
      </c>
      <c r="G57" s="97"/>
      <c r="H57" s="1342"/>
      <c r="I57" s="1368" t="s">
        <v>247</v>
      </c>
      <c r="J57" s="1335"/>
      <c r="L57" s="13"/>
      <c r="M57" s="13"/>
      <c r="N57" s="13"/>
      <c r="O57" s="13"/>
      <c r="P57" s="13"/>
      <c r="Q57" s="13"/>
      <c r="R57" s="14"/>
      <c r="T57" s="17"/>
      <c r="U57" s="17"/>
    </row>
    <row r="58" spans="1:21" x14ac:dyDescent="0.3">
      <c r="A58" s="1334"/>
      <c r="B58" s="1335"/>
      <c r="C58" s="1337"/>
      <c r="D58" s="1368"/>
      <c r="E58" s="1375"/>
      <c r="F58" s="1378"/>
      <c r="G58" s="97"/>
      <c r="H58" s="1342"/>
      <c r="I58" s="1368"/>
      <c r="J58" s="1335"/>
      <c r="L58" s="13"/>
      <c r="M58" s="13"/>
      <c r="N58" s="13"/>
      <c r="O58" s="13"/>
      <c r="P58" s="13"/>
      <c r="Q58" s="13"/>
      <c r="R58" s="14"/>
      <c r="T58" s="17"/>
      <c r="U58" s="17"/>
    </row>
    <row r="59" spans="1:21" x14ac:dyDescent="0.3">
      <c r="A59" s="1334"/>
      <c r="B59" s="1335"/>
      <c r="C59" s="1337"/>
      <c r="D59" s="1368"/>
      <c r="E59" s="1375"/>
      <c r="F59" s="1378"/>
      <c r="G59" s="97"/>
      <c r="H59" s="1342"/>
      <c r="I59" s="1368"/>
      <c r="J59" s="1335"/>
      <c r="L59" s="13"/>
      <c r="M59" s="13"/>
      <c r="N59" s="13"/>
      <c r="O59" s="13"/>
      <c r="P59" s="13"/>
      <c r="Q59" s="13"/>
      <c r="R59" s="14"/>
      <c r="T59" s="17"/>
      <c r="U59" s="17"/>
    </row>
    <row r="60" spans="1:21" x14ac:dyDescent="0.3">
      <c r="A60" s="1334"/>
      <c r="B60" s="1335"/>
      <c r="C60" s="1337"/>
      <c r="D60" s="1368"/>
      <c r="E60" s="1375"/>
      <c r="F60" s="1378"/>
      <c r="G60" s="97"/>
      <c r="H60" s="1342"/>
      <c r="I60" s="1368"/>
      <c r="J60" s="1335"/>
      <c r="L60" s="13"/>
      <c r="M60" s="13"/>
      <c r="N60" s="13"/>
      <c r="O60" s="13"/>
      <c r="P60" s="13"/>
      <c r="Q60" s="13"/>
      <c r="R60" s="14"/>
      <c r="T60" s="17"/>
      <c r="U60" s="17"/>
    </row>
    <row r="61" spans="1:21" ht="13.8" thickBot="1" x14ac:dyDescent="0.35">
      <c r="A61" s="1334"/>
      <c r="B61" s="1209"/>
      <c r="C61" s="1338"/>
      <c r="D61" s="1368"/>
      <c r="E61" s="1375"/>
      <c r="F61" s="1378"/>
      <c r="G61" s="97"/>
      <c r="H61" s="1342"/>
      <c r="I61" s="1368"/>
      <c r="J61" s="1335"/>
      <c r="L61" s="13"/>
      <c r="M61" s="13"/>
      <c r="N61" s="13"/>
      <c r="O61" s="13"/>
      <c r="P61" s="13"/>
      <c r="Q61" s="13"/>
      <c r="R61" s="14"/>
      <c r="T61" s="17"/>
      <c r="U61" s="17"/>
    </row>
    <row r="62" spans="1:21" x14ac:dyDescent="0.3">
      <c r="A62" s="1334"/>
      <c r="B62" s="1208" t="s">
        <v>1</v>
      </c>
      <c r="C62" s="1336" t="s">
        <v>2</v>
      </c>
      <c r="D62" s="1368"/>
      <c r="E62" s="1375"/>
      <c r="F62" s="1378"/>
      <c r="G62" s="97"/>
      <c r="H62" s="1342"/>
      <c r="I62" s="1368"/>
      <c r="J62" s="1335"/>
      <c r="L62" s="13"/>
      <c r="M62" s="13"/>
      <c r="N62" s="13"/>
      <c r="O62" s="13"/>
      <c r="P62" s="13"/>
      <c r="Q62" s="13"/>
      <c r="R62" s="14"/>
      <c r="T62" s="17"/>
      <c r="U62" s="17"/>
    </row>
    <row r="63" spans="1:21" ht="13.8" thickBot="1" x14ac:dyDescent="0.35">
      <c r="A63" s="1371"/>
      <c r="B63" s="1209"/>
      <c r="C63" s="1338"/>
      <c r="D63" s="1222"/>
      <c r="E63" s="1376"/>
      <c r="F63" s="1379"/>
      <c r="G63" s="129"/>
      <c r="H63" s="1494"/>
      <c r="I63" s="1222"/>
      <c r="J63" s="1209"/>
      <c r="L63" s="13"/>
      <c r="M63" s="13"/>
      <c r="N63" s="13"/>
      <c r="O63" s="13"/>
      <c r="P63" s="13"/>
      <c r="Q63" s="13"/>
      <c r="R63" s="14"/>
      <c r="T63" s="17"/>
      <c r="U63" s="17"/>
    </row>
    <row r="64" spans="1:21" ht="13.8" thickBot="1" x14ac:dyDescent="0.35">
      <c r="A64" s="130">
        <v>1</v>
      </c>
      <c r="B64" s="131">
        <f>+A64+1</f>
        <v>2</v>
      </c>
      <c r="C64" s="132">
        <f t="shared" ref="C64:J64" si="6">+B64+1</f>
        <v>3</v>
      </c>
      <c r="D64" s="131">
        <f t="shared" si="6"/>
        <v>4</v>
      </c>
      <c r="E64" s="131">
        <f t="shared" si="6"/>
        <v>5</v>
      </c>
      <c r="F64" s="131">
        <f t="shared" si="6"/>
        <v>6</v>
      </c>
      <c r="G64" s="131"/>
      <c r="H64" s="131">
        <f>+F64+1</f>
        <v>7</v>
      </c>
      <c r="I64" s="131">
        <f t="shared" si="6"/>
        <v>8</v>
      </c>
      <c r="J64" s="131">
        <f t="shared" si="6"/>
        <v>9</v>
      </c>
      <c r="L64" s="13"/>
      <c r="M64" s="13"/>
      <c r="N64" s="13"/>
      <c r="O64" s="13"/>
      <c r="P64" s="13"/>
      <c r="Q64" s="13"/>
      <c r="R64" s="14"/>
      <c r="T64" s="17"/>
      <c r="U64" s="17"/>
    </row>
    <row r="65" spans="1:21" x14ac:dyDescent="0.3">
      <c r="A65" s="133"/>
      <c r="B65" s="134"/>
      <c r="C65" s="135"/>
      <c r="D65" s="136"/>
      <c r="E65" s="136"/>
      <c r="F65" s="136"/>
      <c r="G65" s="136"/>
      <c r="H65" s="137"/>
      <c r="I65" s="137"/>
      <c r="J65" s="138"/>
      <c r="L65" s="13"/>
      <c r="M65" s="13"/>
      <c r="N65" s="13"/>
      <c r="O65" s="13"/>
      <c r="P65" s="13"/>
      <c r="Q65" s="13"/>
      <c r="R65" s="14"/>
      <c r="T65" s="17"/>
      <c r="U65" s="17"/>
    </row>
    <row r="66" spans="1:21" ht="26.4" x14ac:dyDescent="0.3">
      <c r="A66" s="34">
        <v>1</v>
      </c>
      <c r="B66" s="35"/>
      <c r="C66" s="139" t="s">
        <v>57</v>
      </c>
      <c r="D66" s="29">
        <v>2</v>
      </c>
      <c r="E66" s="29"/>
      <c r="F66" s="140" t="s">
        <v>224</v>
      </c>
      <c r="G66" s="140">
        <f>+H66/100000</f>
        <v>34.6</v>
      </c>
      <c r="H66" s="141">
        <v>3460000</v>
      </c>
      <c r="I66" s="141">
        <v>2813000</v>
      </c>
      <c r="J66" s="142" t="s">
        <v>225</v>
      </c>
      <c r="L66" s="13">
        <f>+H66/10000000</f>
        <v>0.34599999999999997</v>
      </c>
      <c r="M66" s="13"/>
      <c r="N66" s="143" t="s">
        <v>57</v>
      </c>
      <c r="O66" s="144">
        <v>34.6</v>
      </c>
      <c r="P66" s="13"/>
      <c r="Q66" s="13"/>
      <c r="R66" s="14"/>
      <c r="T66" s="17"/>
      <c r="U66" s="17"/>
    </row>
    <row r="67" spans="1:21" ht="26.4" x14ac:dyDescent="0.3">
      <c r="A67" s="34">
        <f>+A66+1</f>
        <v>2</v>
      </c>
      <c r="B67" s="35"/>
      <c r="C67" s="139" t="s">
        <v>58</v>
      </c>
      <c r="D67" s="29">
        <v>2</v>
      </c>
      <c r="E67" s="29"/>
      <c r="F67" s="140" t="s">
        <v>224</v>
      </c>
      <c r="G67" s="140">
        <f t="shared" ref="G67:G130" si="7">+H67/100000</f>
        <v>69.2</v>
      </c>
      <c r="H67" s="141">
        <v>6920000</v>
      </c>
      <c r="I67" s="141">
        <v>5626000</v>
      </c>
      <c r="J67" s="142" t="s">
        <v>225</v>
      </c>
      <c r="L67" s="13">
        <f t="shared" ref="L67:L130" si="8">+H67/10000000</f>
        <v>0.69199999999999995</v>
      </c>
      <c r="M67" s="13"/>
      <c r="N67" s="143" t="s">
        <v>58</v>
      </c>
      <c r="O67" s="144">
        <v>69.2</v>
      </c>
      <c r="P67" s="13"/>
      <c r="Q67" s="13"/>
      <c r="R67" s="14"/>
      <c r="T67" s="17"/>
      <c r="U67" s="17"/>
    </row>
    <row r="68" spans="1:21" ht="26.4" x14ac:dyDescent="0.3">
      <c r="A68" s="34">
        <f>+A67+1</f>
        <v>3</v>
      </c>
      <c r="B68" s="35"/>
      <c r="C68" s="139" t="s">
        <v>59</v>
      </c>
      <c r="D68" s="29">
        <v>1</v>
      </c>
      <c r="E68" s="29"/>
      <c r="F68" s="140" t="s">
        <v>224</v>
      </c>
      <c r="G68" s="140">
        <f t="shared" si="7"/>
        <v>66.900000000000006</v>
      </c>
      <c r="H68" s="141">
        <v>6690000</v>
      </c>
      <c r="I68" s="141">
        <v>5439000</v>
      </c>
      <c r="J68" s="142" t="s">
        <v>225</v>
      </c>
      <c r="L68" s="13">
        <f t="shared" si="8"/>
        <v>0.66900000000000004</v>
      </c>
      <c r="M68" s="13"/>
      <c r="N68" s="143" t="s">
        <v>59</v>
      </c>
      <c r="O68" s="144">
        <v>66.900000000000006</v>
      </c>
      <c r="P68" s="13"/>
      <c r="Q68" s="13"/>
      <c r="R68" s="14"/>
      <c r="T68" s="17"/>
      <c r="U68" s="17"/>
    </row>
    <row r="69" spans="1:21" ht="52.8" x14ac:dyDescent="0.3">
      <c r="A69" s="34">
        <f>+A68+1</f>
        <v>4</v>
      </c>
      <c r="B69" s="35"/>
      <c r="C69" s="139" t="s">
        <v>60</v>
      </c>
      <c r="D69" s="29">
        <v>1</v>
      </c>
      <c r="E69" s="29"/>
      <c r="F69" s="140" t="s">
        <v>224</v>
      </c>
      <c r="G69" s="140">
        <f t="shared" si="7"/>
        <v>5.5750000000000002</v>
      </c>
      <c r="H69" s="141">
        <v>557500</v>
      </c>
      <c r="I69" s="141">
        <v>453250</v>
      </c>
      <c r="J69" s="142" t="s">
        <v>225</v>
      </c>
      <c r="L69" s="13">
        <f t="shared" si="8"/>
        <v>5.5750000000000001E-2</v>
      </c>
      <c r="M69" s="13"/>
      <c r="N69" s="143" t="s">
        <v>60</v>
      </c>
      <c r="O69" s="144">
        <v>5.5750000000000002</v>
      </c>
      <c r="P69" s="13"/>
      <c r="Q69" s="13"/>
      <c r="R69" s="14"/>
      <c r="T69" s="17"/>
      <c r="U69" s="17"/>
    </row>
    <row r="70" spans="1:21" x14ac:dyDescent="0.3">
      <c r="A70" s="145">
        <f>+A69+1</f>
        <v>5</v>
      </c>
      <c r="B70" s="146"/>
      <c r="C70" s="139" t="s">
        <v>61</v>
      </c>
      <c r="D70" s="29">
        <v>1</v>
      </c>
      <c r="E70" s="29"/>
      <c r="F70" s="140" t="s">
        <v>224</v>
      </c>
      <c r="G70" s="140">
        <f t="shared" si="7"/>
        <v>33.450000000000003</v>
      </c>
      <c r="H70" s="147">
        <v>3345000</v>
      </c>
      <c r="I70" s="141">
        <v>2720000</v>
      </c>
      <c r="J70" s="142" t="s">
        <v>225</v>
      </c>
      <c r="L70" s="13">
        <f t="shared" si="8"/>
        <v>0.33450000000000002</v>
      </c>
      <c r="M70" s="13"/>
      <c r="N70" s="143" t="s">
        <v>61</v>
      </c>
      <c r="O70" s="144">
        <v>33.450000000000003</v>
      </c>
      <c r="P70" s="13"/>
      <c r="Q70" s="13"/>
      <c r="R70" s="14"/>
      <c r="T70" s="17"/>
      <c r="U70" s="17"/>
    </row>
    <row r="71" spans="1:21" x14ac:dyDescent="0.3">
      <c r="A71" s="34">
        <f>+A70+1</f>
        <v>6</v>
      </c>
      <c r="B71" s="35"/>
      <c r="C71" s="139" t="s">
        <v>248</v>
      </c>
      <c r="D71" s="29">
        <v>2</v>
      </c>
      <c r="E71" s="29"/>
      <c r="F71" s="140" t="s">
        <v>224</v>
      </c>
      <c r="G71" s="140">
        <f t="shared" si="7"/>
        <v>51.9</v>
      </c>
      <c r="H71" s="141">
        <v>5190000</v>
      </c>
      <c r="I71" s="141">
        <v>4220000</v>
      </c>
      <c r="J71" s="142" t="s">
        <v>225</v>
      </c>
      <c r="L71" s="13">
        <f t="shared" si="8"/>
        <v>0.51900000000000002</v>
      </c>
      <c r="M71" s="13"/>
      <c r="N71" s="143" t="s">
        <v>248</v>
      </c>
      <c r="O71" s="144">
        <v>51.9</v>
      </c>
      <c r="P71" s="13"/>
      <c r="Q71" s="13"/>
      <c r="R71" s="14"/>
      <c r="T71" s="17"/>
      <c r="U71" s="17"/>
    </row>
    <row r="72" spans="1:21" x14ac:dyDescent="0.3">
      <c r="A72" s="34"/>
      <c r="B72" s="148" t="s">
        <v>3</v>
      </c>
      <c r="C72" s="35"/>
      <c r="D72" s="29"/>
      <c r="E72" s="29"/>
      <c r="F72" s="140"/>
      <c r="G72" s="140">
        <f t="shared" si="7"/>
        <v>0</v>
      </c>
      <c r="H72" s="141"/>
      <c r="I72" s="141"/>
      <c r="J72" s="142"/>
      <c r="L72" s="13">
        <f t="shared" si="8"/>
        <v>0</v>
      </c>
      <c r="M72" s="13"/>
      <c r="N72" s="149"/>
      <c r="O72" s="150">
        <v>0</v>
      </c>
      <c r="P72" s="13"/>
      <c r="Q72" s="13"/>
      <c r="R72" s="14"/>
      <c r="T72" s="17"/>
      <c r="U72" s="17"/>
    </row>
    <row r="73" spans="1:21" x14ac:dyDescent="0.3">
      <c r="A73" s="34">
        <f>+A71+1</f>
        <v>7</v>
      </c>
      <c r="B73" s="139" t="s">
        <v>249</v>
      </c>
      <c r="C73" s="35"/>
      <c r="D73" s="29">
        <v>3</v>
      </c>
      <c r="E73" s="29"/>
      <c r="F73" s="140" t="s">
        <v>224</v>
      </c>
      <c r="G73" s="140">
        <f t="shared" si="7"/>
        <v>4351.125</v>
      </c>
      <c r="H73" s="151">
        <f>484312500-49200000</f>
        <v>435112500</v>
      </c>
      <c r="I73" s="152">
        <f>393750000-40000000</f>
        <v>353750000</v>
      </c>
      <c r="J73" s="142" t="s">
        <v>225</v>
      </c>
      <c r="L73" s="13">
        <f t="shared" si="8"/>
        <v>43.511249999999997</v>
      </c>
      <c r="M73" s="13"/>
      <c r="N73" s="143" t="s">
        <v>249</v>
      </c>
      <c r="O73" s="150">
        <v>4351.125</v>
      </c>
      <c r="P73" s="13"/>
      <c r="Q73" s="13"/>
      <c r="R73" s="14"/>
      <c r="T73" s="17"/>
      <c r="U73" s="17"/>
    </row>
    <row r="74" spans="1:21" ht="26.4" x14ac:dyDescent="0.3">
      <c r="A74" s="34">
        <f>+A73+1</f>
        <v>8</v>
      </c>
      <c r="B74" s="139" t="s">
        <v>4</v>
      </c>
      <c r="C74" s="35"/>
      <c r="D74" s="29">
        <f>1</f>
        <v>1</v>
      </c>
      <c r="E74" s="29"/>
      <c r="F74" s="140" t="s">
        <v>224</v>
      </c>
      <c r="G74" s="140">
        <f t="shared" si="7"/>
        <v>953.25</v>
      </c>
      <c r="H74" s="151">
        <f>119925000-24600000</f>
        <v>95325000</v>
      </c>
      <c r="I74" s="152">
        <f>97500000-20000000</f>
        <v>77500000</v>
      </c>
      <c r="J74" s="142" t="s">
        <v>225</v>
      </c>
      <c r="L74" s="13">
        <f t="shared" si="8"/>
        <v>9.5325000000000006</v>
      </c>
      <c r="M74" s="13"/>
      <c r="N74" s="143" t="s">
        <v>4</v>
      </c>
      <c r="O74" s="150">
        <v>953.25</v>
      </c>
      <c r="P74" s="13"/>
      <c r="Q74" s="13"/>
      <c r="R74" s="14"/>
      <c r="T74" s="17"/>
      <c r="U74" s="17"/>
    </row>
    <row r="75" spans="1:21" ht="26.4" x14ac:dyDescent="0.3">
      <c r="A75" s="34">
        <f>+A74+1</f>
        <v>9</v>
      </c>
      <c r="B75" s="139" t="s">
        <v>55</v>
      </c>
      <c r="C75" s="35"/>
      <c r="D75" s="29">
        <f>1</f>
        <v>1</v>
      </c>
      <c r="E75" s="29"/>
      <c r="F75" s="140" t="s">
        <v>224</v>
      </c>
      <c r="G75" s="140">
        <f t="shared" si="7"/>
        <v>2398.5</v>
      </c>
      <c r="H75" s="151">
        <f>276750000-36900000</f>
        <v>239850000</v>
      </c>
      <c r="I75" s="152">
        <f>225000000-30000000</f>
        <v>195000000</v>
      </c>
      <c r="J75" s="142" t="s">
        <v>225</v>
      </c>
      <c r="L75" s="13">
        <f t="shared" si="8"/>
        <v>23.984999999999999</v>
      </c>
      <c r="M75" s="13"/>
      <c r="N75" s="143" t="s">
        <v>55</v>
      </c>
      <c r="O75" s="150">
        <v>2398.5</v>
      </c>
      <c r="P75" s="13"/>
      <c r="Q75" s="13"/>
      <c r="R75" s="14"/>
      <c r="T75" s="17"/>
      <c r="U75" s="17"/>
    </row>
    <row r="76" spans="1:21" x14ac:dyDescent="0.3">
      <c r="A76" s="34"/>
      <c r="B76" s="35" t="s">
        <v>5</v>
      </c>
      <c r="C76" s="35"/>
      <c r="D76" s="29"/>
      <c r="E76" s="29"/>
      <c r="F76" s="140"/>
      <c r="G76" s="140"/>
      <c r="H76" s="141"/>
      <c r="I76" s="141"/>
      <c r="J76" s="142"/>
      <c r="L76" s="13">
        <f t="shared" si="8"/>
        <v>0</v>
      </c>
      <c r="M76" s="13"/>
      <c r="N76" s="143" t="s">
        <v>5</v>
      </c>
      <c r="O76" s="150">
        <v>0</v>
      </c>
      <c r="P76" s="13"/>
      <c r="Q76" s="13"/>
      <c r="R76" s="14"/>
      <c r="T76" s="17"/>
      <c r="U76" s="17"/>
    </row>
    <row r="77" spans="1:21" x14ac:dyDescent="0.3">
      <c r="A77" s="34">
        <f>+A75+1</f>
        <v>10</v>
      </c>
      <c r="B77" s="139" t="s">
        <v>6</v>
      </c>
      <c r="C77" s="35"/>
      <c r="D77" s="29">
        <v>1</v>
      </c>
      <c r="E77" s="29"/>
      <c r="F77" s="140" t="s">
        <v>224</v>
      </c>
      <c r="G77" s="140">
        <f t="shared" si="7"/>
        <v>115.31</v>
      </c>
      <c r="H77" s="141">
        <f>11531250-250</f>
        <v>11531000</v>
      </c>
      <c r="I77" s="141">
        <v>9375000</v>
      </c>
      <c r="J77" s="142" t="s">
        <v>225</v>
      </c>
      <c r="L77" s="13">
        <f t="shared" si="8"/>
        <v>1.1531</v>
      </c>
      <c r="M77" s="13"/>
      <c r="N77" s="143" t="s">
        <v>6</v>
      </c>
      <c r="O77" s="150">
        <v>115.31</v>
      </c>
      <c r="P77" s="13"/>
      <c r="Q77" s="13"/>
      <c r="R77" s="14"/>
      <c r="T77" s="17"/>
      <c r="U77" s="17"/>
    </row>
    <row r="78" spans="1:21" x14ac:dyDescent="0.3">
      <c r="A78" s="34">
        <f>+A77+1</f>
        <v>11</v>
      </c>
      <c r="B78" s="139" t="s">
        <v>7</v>
      </c>
      <c r="C78" s="35"/>
      <c r="D78" s="29">
        <v>2</v>
      </c>
      <c r="E78" s="29"/>
      <c r="F78" s="140" t="s">
        <v>224</v>
      </c>
      <c r="G78" s="140">
        <f t="shared" si="7"/>
        <v>221.4</v>
      </c>
      <c r="H78" s="141">
        <v>22140000</v>
      </c>
      <c r="I78" s="141">
        <v>18000000</v>
      </c>
      <c r="J78" s="142" t="s">
        <v>225</v>
      </c>
      <c r="L78" s="13">
        <f t="shared" si="8"/>
        <v>2.214</v>
      </c>
      <c r="M78" s="13"/>
      <c r="N78" s="143" t="s">
        <v>7</v>
      </c>
      <c r="O78" s="150">
        <v>221.4</v>
      </c>
      <c r="P78" s="13"/>
      <c r="Q78" s="13"/>
      <c r="R78" s="14"/>
      <c r="T78" s="17"/>
      <c r="U78" s="17"/>
    </row>
    <row r="79" spans="1:21" ht="26.4" x14ac:dyDescent="0.3">
      <c r="A79" s="34">
        <f t="shared" ref="A79:A110" si="9">+A78+1</f>
        <v>12</v>
      </c>
      <c r="B79" s="139" t="s">
        <v>8</v>
      </c>
      <c r="C79" s="35"/>
      <c r="D79" s="29">
        <f>1</f>
        <v>1</v>
      </c>
      <c r="E79" s="29"/>
      <c r="F79" s="140" t="s">
        <v>224</v>
      </c>
      <c r="G79" s="140">
        <f t="shared" si="7"/>
        <v>230.625</v>
      </c>
      <c r="H79" s="141">
        <v>23062500</v>
      </c>
      <c r="I79" s="141">
        <v>18750000</v>
      </c>
      <c r="J79" s="142" t="s">
        <v>225</v>
      </c>
      <c r="L79" s="13">
        <f t="shared" si="8"/>
        <v>2.3062499999999999</v>
      </c>
      <c r="M79" s="13"/>
      <c r="N79" s="143" t="s">
        <v>8</v>
      </c>
      <c r="O79" s="150">
        <v>230.625</v>
      </c>
      <c r="P79" s="13"/>
      <c r="Q79" s="13"/>
      <c r="R79" s="14"/>
      <c r="T79" s="17"/>
      <c r="U79" s="17"/>
    </row>
    <row r="80" spans="1:21" ht="26.4" x14ac:dyDescent="0.3">
      <c r="A80" s="34">
        <f t="shared" si="9"/>
        <v>13</v>
      </c>
      <c r="B80" s="139" t="s">
        <v>9</v>
      </c>
      <c r="C80" s="35"/>
      <c r="D80" s="29">
        <v>1</v>
      </c>
      <c r="E80" s="29"/>
      <c r="F80" s="140" t="s">
        <v>224</v>
      </c>
      <c r="G80" s="140">
        <f t="shared" si="7"/>
        <v>253.685</v>
      </c>
      <c r="H80" s="141">
        <f>25368750-250</f>
        <v>25368500</v>
      </c>
      <c r="I80" s="141">
        <v>20625000</v>
      </c>
      <c r="J80" s="142" t="s">
        <v>225</v>
      </c>
      <c r="L80" s="13">
        <f t="shared" si="8"/>
        <v>2.5368499999999998</v>
      </c>
      <c r="M80" s="13"/>
      <c r="N80" s="143" t="s">
        <v>9</v>
      </c>
      <c r="O80" s="150">
        <v>253.685</v>
      </c>
      <c r="P80" s="13"/>
      <c r="Q80" s="13"/>
      <c r="R80" s="14"/>
      <c r="T80" s="17"/>
      <c r="U80" s="17"/>
    </row>
    <row r="81" spans="1:21" x14ac:dyDescent="0.3">
      <c r="A81" s="34">
        <f t="shared" si="9"/>
        <v>14</v>
      </c>
      <c r="B81" s="139" t="s">
        <v>10</v>
      </c>
      <c r="C81" s="35"/>
      <c r="D81" s="29">
        <f>1</f>
        <v>1</v>
      </c>
      <c r="E81" s="29"/>
      <c r="F81" s="140" t="s">
        <v>224</v>
      </c>
      <c r="G81" s="140">
        <f t="shared" si="7"/>
        <v>33.21</v>
      </c>
      <c r="H81" s="141">
        <v>3321000</v>
      </c>
      <c r="I81" s="141">
        <v>2700000</v>
      </c>
      <c r="J81" s="142" t="s">
        <v>225</v>
      </c>
      <c r="L81" s="13">
        <f t="shared" si="8"/>
        <v>0.33210000000000001</v>
      </c>
      <c r="M81" s="13"/>
      <c r="N81" s="143" t="s">
        <v>10</v>
      </c>
      <c r="O81" s="150">
        <v>33.21</v>
      </c>
      <c r="P81" s="13"/>
      <c r="Q81" s="13"/>
      <c r="R81" s="14"/>
      <c r="T81" s="17"/>
      <c r="U81" s="17"/>
    </row>
    <row r="82" spans="1:21" x14ac:dyDescent="0.3">
      <c r="A82" s="34">
        <f t="shared" si="9"/>
        <v>15</v>
      </c>
      <c r="B82" s="139" t="s">
        <v>11</v>
      </c>
      <c r="C82" s="35"/>
      <c r="D82" s="29" t="s">
        <v>104</v>
      </c>
      <c r="E82" s="29"/>
      <c r="F82" s="140" t="s">
        <v>224</v>
      </c>
      <c r="G82" s="140">
        <f t="shared" si="7"/>
        <v>54.884999999999998</v>
      </c>
      <c r="H82" s="141">
        <f>5488875-375</f>
        <v>5488500</v>
      </c>
      <c r="I82" s="141">
        <v>4462500</v>
      </c>
      <c r="J82" s="142" t="s">
        <v>225</v>
      </c>
      <c r="L82" s="13">
        <f t="shared" si="8"/>
        <v>0.54884999999999995</v>
      </c>
      <c r="M82" s="13"/>
      <c r="N82" s="143" t="s">
        <v>11</v>
      </c>
      <c r="O82" s="150">
        <v>54.884999999999998</v>
      </c>
      <c r="P82" s="13"/>
      <c r="Q82" s="13"/>
      <c r="R82" s="14"/>
      <c r="T82" s="17"/>
      <c r="U82" s="17"/>
    </row>
    <row r="83" spans="1:21" x14ac:dyDescent="0.3">
      <c r="A83" s="34">
        <f t="shared" si="9"/>
        <v>16</v>
      </c>
      <c r="B83" s="139" t="s">
        <v>12</v>
      </c>
      <c r="C83" s="35"/>
      <c r="D83" s="29" t="s">
        <v>104</v>
      </c>
      <c r="E83" s="29"/>
      <c r="F83" s="140" t="s">
        <v>224</v>
      </c>
      <c r="G83" s="140">
        <f t="shared" si="7"/>
        <v>11.664999999999999</v>
      </c>
      <c r="H83" s="141">
        <f>1166963-463</f>
        <v>1166500</v>
      </c>
      <c r="I83" s="141">
        <v>948750</v>
      </c>
      <c r="J83" s="142" t="s">
        <v>225</v>
      </c>
      <c r="L83" s="13">
        <f t="shared" si="8"/>
        <v>0.11665</v>
      </c>
      <c r="M83" s="13"/>
      <c r="N83" s="143" t="s">
        <v>12</v>
      </c>
      <c r="O83" s="150">
        <v>11.664999999999999</v>
      </c>
      <c r="P83" s="13"/>
      <c r="Q83" s="13"/>
      <c r="R83" s="14"/>
      <c r="T83" s="17"/>
      <c r="U83" s="17"/>
    </row>
    <row r="84" spans="1:21" x14ac:dyDescent="0.3">
      <c r="A84" s="34">
        <f t="shared" si="9"/>
        <v>17</v>
      </c>
      <c r="B84" s="139" t="s">
        <v>13</v>
      </c>
      <c r="C84" s="35"/>
      <c r="D84" s="29" t="s">
        <v>104</v>
      </c>
      <c r="E84" s="29"/>
      <c r="F84" s="140" t="s">
        <v>224</v>
      </c>
      <c r="G84" s="140">
        <f t="shared" si="7"/>
        <v>59.13</v>
      </c>
      <c r="H84" s="141">
        <f>5913225-225</f>
        <v>5913000</v>
      </c>
      <c r="I84" s="141">
        <v>4807500</v>
      </c>
      <c r="J84" s="142" t="s">
        <v>225</v>
      </c>
      <c r="L84" s="13">
        <f t="shared" si="8"/>
        <v>0.59130000000000005</v>
      </c>
      <c r="M84" s="13"/>
      <c r="N84" s="143" t="s">
        <v>13</v>
      </c>
      <c r="O84" s="150">
        <v>59.13</v>
      </c>
      <c r="P84" s="13"/>
      <c r="Q84" s="13"/>
      <c r="R84" s="14"/>
      <c r="T84" s="17"/>
      <c r="U84" s="17"/>
    </row>
    <row r="85" spans="1:21" x14ac:dyDescent="0.3">
      <c r="A85" s="34">
        <f t="shared" si="9"/>
        <v>18</v>
      </c>
      <c r="B85" s="139" t="s">
        <v>250</v>
      </c>
      <c r="C85" s="35"/>
      <c r="D85" s="29">
        <v>1</v>
      </c>
      <c r="E85" s="29"/>
      <c r="F85" s="140" t="s">
        <v>224</v>
      </c>
      <c r="G85" s="140">
        <f t="shared" si="7"/>
        <v>110.7</v>
      </c>
      <c r="H85" s="141">
        <v>11070000</v>
      </c>
      <c r="I85" s="141">
        <v>9000000</v>
      </c>
      <c r="J85" s="142" t="s">
        <v>225</v>
      </c>
      <c r="L85" s="13">
        <f t="shared" si="8"/>
        <v>1.107</v>
      </c>
      <c r="M85" s="13"/>
      <c r="N85" s="143" t="s">
        <v>250</v>
      </c>
      <c r="O85" s="150">
        <v>110.7</v>
      </c>
      <c r="P85" s="13"/>
      <c r="Q85" s="13"/>
      <c r="R85" s="14"/>
      <c r="T85" s="17"/>
      <c r="U85" s="17"/>
    </row>
    <row r="86" spans="1:21" x14ac:dyDescent="0.3">
      <c r="A86" s="34">
        <f t="shared" si="9"/>
        <v>19</v>
      </c>
      <c r="B86" s="139" t="s">
        <v>65</v>
      </c>
      <c r="C86" s="35"/>
      <c r="D86" s="29">
        <v>2</v>
      </c>
      <c r="E86" s="29"/>
      <c r="F86" s="140" t="s">
        <v>224</v>
      </c>
      <c r="G86" s="140">
        <f t="shared" si="7"/>
        <v>207.87</v>
      </c>
      <c r="H86" s="141">
        <v>20787000</v>
      </c>
      <c r="I86" s="141">
        <v>16900000</v>
      </c>
      <c r="J86" s="142" t="s">
        <v>225</v>
      </c>
      <c r="L86" s="13">
        <f t="shared" si="8"/>
        <v>2.0787</v>
      </c>
      <c r="M86" s="13"/>
      <c r="N86" s="143" t="s">
        <v>65</v>
      </c>
      <c r="O86" s="150">
        <v>207.87</v>
      </c>
      <c r="P86" s="13"/>
      <c r="Q86" s="13"/>
      <c r="R86" s="14"/>
      <c r="T86" s="17"/>
      <c r="U86" s="17"/>
    </row>
    <row r="87" spans="1:21" x14ac:dyDescent="0.3">
      <c r="A87" s="34">
        <f t="shared" si="9"/>
        <v>20</v>
      </c>
      <c r="B87" s="139" t="s">
        <v>68</v>
      </c>
      <c r="C87" s="35"/>
      <c r="D87" s="29">
        <v>1</v>
      </c>
      <c r="E87" s="29"/>
      <c r="F87" s="140" t="s">
        <v>224</v>
      </c>
      <c r="G87" s="140">
        <f t="shared" si="7"/>
        <v>212.17500000000001</v>
      </c>
      <c r="H87" s="153">
        <v>21217500</v>
      </c>
      <c r="I87" s="141">
        <v>17250000</v>
      </c>
      <c r="J87" s="142" t="s">
        <v>225</v>
      </c>
      <c r="L87" s="13">
        <f t="shared" si="8"/>
        <v>2.12175</v>
      </c>
      <c r="M87" s="13"/>
      <c r="N87" s="143" t="s">
        <v>68</v>
      </c>
      <c r="O87" s="150">
        <v>212.17500000000001</v>
      </c>
      <c r="P87" s="13"/>
      <c r="Q87" s="13"/>
      <c r="R87" s="14"/>
      <c r="T87" s="17"/>
      <c r="U87" s="17"/>
    </row>
    <row r="88" spans="1:21" ht="26.4" x14ac:dyDescent="0.3">
      <c r="A88" s="34">
        <f t="shared" si="9"/>
        <v>21</v>
      </c>
      <c r="B88" s="35"/>
      <c r="C88" s="139" t="s">
        <v>67</v>
      </c>
      <c r="D88" s="29">
        <v>1</v>
      </c>
      <c r="E88" s="29"/>
      <c r="F88" s="140" t="s">
        <v>224</v>
      </c>
      <c r="G88" s="140">
        <f t="shared" si="7"/>
        <v>61.5</v>
      </c>
      <c r="H88" s="141">
        <v>6150000</v>
      </c>
      <c r="I88" s="141">
        <v>5000000</v>
      </c>
      <c r="J88" s="142" t="s">
        <v>225</v>
      </c>
      <c r="L88" s="13">
        <f t="shared" si="8"/>
        <v>0.61499999999999999</v>
      </c>
      <c r="M88" s="13"/>
      <c r="N88" s="143" t="s">
        <v>67</v>
      </c>
      <c r="O88" s="150">
        <v>61.5</v>
      </c>
      <c r="P88" s="13"/>
      <c r="Q88" s="13"/>
      <c r="R88" s="14"/>
      <c r="T88" s="17"/>
      <c r="U88" s="17"/>
    </row>
    <row r="89" spans="1:21" x14ac:dyDescent="0.3">
      <c r="A89" s="34">
        <f t="shared" si="9"/>
        <v>22</v>
      </c>
      <c r="B89" s="35"/>
      <c r="C89" s="139" t="s">
        <v>25</v>
      </c>
      <c r="D89" s="29">
        <v>5</v>
      </c>
      <c r="E89" s="29"/>
      <c r="F89" s="140" t="s">
        <v>224</v>
      </c>
      <c r="G89" s="140">
        <f t="shared" si="7"/>
        <v>30.75</v>
      </c>
      <c r="H89" s="141">
        <v>3075000</v>
      </c>
      <c r="I89" s="141">
        <v>2500000</v>
      </c>
      <c r="J89" s="142" t="s">
        <v>225</v>
      </c>
      <c r="L89" s="13">
        <f t="shared" si="8"/>
        <v>0.3075</v>
      </c>
      <c r="M89" s="13"/>
      <c r="N89" s="143" t="s">
        <v>25</v>
      </c>
      <c r="O89" s="150">
        <v>30.75</v>
      </c>
      <c r="P89" s="13"/>
      <c r="Q89" s="13"/>
      <c r="R89" s="14"/>
      <c r="T89" s="17"/>
      <c r="U89" s="17"/>
    </row>
    <row r="90" spans="1:21" ht="26.4" x14ac:dyDescent="0.3">
      <c r="A90" s="34">
        <f t="shared" si="9"/>
        <v>23</v>
      </c>
      <c r="B90" s="139" t="s">
        <v>251</v>
      </c>
      <c r="C90" s="35"/>
      <c r="D90" s="29" t="s">
        <v>104</v>
      </c>
      <c r="E90" s="29"/>
      <c r="F90" s="140" t="s">
        <v>224</v>
      </c>
      <c r="G90" s="140">
        <f t="shared" si="7"/>
        <v>23.06</v>
      </c>
      <c r="H90" s="141">
        <f>2306250-250</f>
        <v>2306000</v>
      </c>
      <c r="I90" s="141">
        <v>1875000</v>
      </c>
      <c r="J90" s="142" t="s">
        <v>225</v>
      </c>
      <c r="L90" s="13">
        <f t="shared" si="8"/>
        <v>0.2306</v>
      </c>
      <c r="M90" s="13"/>
      <c r="N90" s="143" t="s">
        <v>251</v>
      </c>
      <c r="O90" s="150">
        <v>23.06</v>
      </c>
      <c r="P90" s="13"/>
      <c r="Q90" s="13"/>
      <c r="R90" s="14"/>
      <c r="T90" s="17"/>
      <c r="U90" s="17"/>
    </row>
    <row r="91" spans="1:21" ht="39.6" x14ac:dyDescent="0.3">
      <c r="A91" s="34">
        <f t="shared" si="9"/>
        <v>24</v>
      </c>
      <c r="B91" s="139" t="s">
        <v>252</v>
      </c>
      <c r="C91" s="35"/>
      <c r="D91" s="29" t="s">
        <v>104</v>
      </c>
      <c r="E91" s="29"/>
      <c r="F91" s="140" t="s">
        <v>224</v>
      </c>
      <c r="G91" s="140">
        <f t="shared" si="7"/>
        <v>50.737000000000002</v>
      </c>
      <c r="H91" s="141">
        <f>5073750-50</f>
        <v>5073700</v>
      </c>
      <c r="I91" s="141">
        <v>4125000</v>
      </c>
      <c r="J91" s="142" t="s">
        <v>225</v>
      </c>
      <c r="L91" s="13">
        <f t="shared" si="8"/>
        <v>0.50736999999999999</v>
      </c>
      <c r="M91" s="13"/>
      <c r="N91" s="143" t="s">
        <v>252</v>
      </c>
      <c r="O91" s="150">
        <v>50.737000000000002</v>
      </c>
      <c r="P91" s="13"/>
      <c r="Q91" s="13"/>
      <c r="R91" s="14"/>
      <c r="T91" s="17"/>
      <c r="U91" s="17"/>
    </row>
    <row r="92" spans="1:21" ht="26.4" x14ac:dyDescent="0.3">
      <c r="A92" s="34">
        <f t="shared" si="9"/>
        <v>25</v>
      </c>
      <c r="B92" s="139" t="s">
        <v>253</v>
      </c>
      <c r="C92" s="35"/>
      <c r="D92" s="29" t="s">
        <v>104</v>
      </c>
      <c r="E92" s="29"/>
      <c r="F92" s="140" t="s">
        <v>224</v>
      </c>
      <c r="G92" s="140">
        <f t="shared" si="7"/>
        <v>64.575000000000003</v>
      </c>
      <c r="H92" s="141">
        <v>6457500</v>
      </c>
      <c r="I92" s="141">
        <v>5250000</v>
      </c>
      <c r="J92" s="142" t="s">
        <v>225</v>
      </c>
      <c r="L92" s="13">
        <f t="shared" si="8"/>
        <v>0.64575000000000005</v>
      </c>
      <c r="M92" s="13"/>
      <c r="N92" s="143" t="s">
        <v>253</v>
      </c>
      <c r="O92" s="150">
        <v>64.575000000000003</v>
      </c>
      <c r="P92" s="13"/>
      <c r="Q92" s="13"/>
      <c r="R92" s="14"/>
      <c r="T92" s="17"/>
      <c r="U92" s="17"/>
    </row>
    <row r="93" spans="1:21" ht="26.4" x14ac:dyDescent="0.3">
      <c r="A93" s="34">
        <f t="shared" si="9"/>
        <v>26</v>
      </c>
      <c r="B93" s="139" t="s">
        <v>254</v>
      </c>
      <c r="C93" s="35"/>
      <c r="D93" s="29" t="s">
        <v>104</v>
      </c>
      <c r="E93" s="29"/>
      <c r="F93" s="140" t="s">
        <v>224</v>
      </c>
      <c r="G93" s="140">
        <f t="shared" si="7"/>
        <v>83.025000000000006</v>
      </c>
      <c r="H93" s="141">
        <v>8302500</v>
      </c>
      <c r="I93" s="141">
        <v>6750000</v>
      </c>
      <c r="J93" s="142" t="s">
        <v>225</v>
      </c>
      <c r="L93" s="13">
        <f t="shared" si="8"/>
        <v>0.83025000000000004</v>
      </c>
      <c r="M93" s="13"/>
      <c r="N93" s="143" t="s">
        <v>254</v>
      </c>
      <c r="O93" s="150">
        <v>83.025000000000006</v>
      </c>
      <c r="P93" s="13"/>
      <c r="Q93" s="13"/>
      <c r="R93" s="14"/>
      <c r="T93" s="17"/>
      <c r="U93" s="17"/>
    </row>
    <row r="94" spans="1:21" x14ac:dyDescent="0.3">
      <c r="A94" s="34">
        <f t="shared" si="9"/>
        <v>27</v>
      </c>
      <c r="B94" s="139" t="s">
        <v>21</v>
      </c>
      <c r="C94" s="35"/>
      <c r="D94" s="29" t="s">
        <v>104</v>
      </c>
      <c r="E94" s="29"/>
      <c r="F94" s="140" t="s">
        <v>224</v>
      </c>
      <c r="G94" s="140">
        <f t="shared" si="7"/>
        <v>41.51</v>
      </c>
      <c r="H94" s="141">
        <f>4151250-250</f>
        <v>4151000</v>
      </c>
      <c r="I94" s="141">
        <v>3375000</v>
      </c>
      <c r="J94" s="142" t="s">
        <v>225</v>
      </c>
      <c r="L94" s="13">
        <f t="shared" si="8"/>
        <v>0.41510000000000002</v>
      </c>
      <c r="M94" s="13"/>
      <c r="N94" s="143" t="s">
        <v>21</v>
      </c>
      <c r="O94" s="150">
        <v>41.51</v>
      </c>
      <c r="P94" s="13"/>
      <c r="Q94" s="13"/>
      <c r="R94" s="14"/>
      <c r="T94" s="17"/>
      <c r="U94" s="17"/>
    </row>
    <row r="95" spans="1:21" x14ac:dyDescent="0.3">
      <c r="A95" s="34">
        <f t="shared" si="9"/>
        <v>28</v>
      </c>
      <c r="B95" s="139" t="s">
        <v>255</v>
      </c>
      <c r="C95" s="35"/>
      <c r="D95" s="29">
        <v>2</v>
      </c>
      <c r="E95" s="29"/>
      <c r="F95" s="140" t="s">
        <v>224</v>
      </c>
      <c r="G95" s="140">
        <f t="shared" si="7"/>
        <v>159.9</v>
      </c>
      <c r="H95" s="141">
        <v>15990000</v>
      </c>
      <c r="I95" s="141">
        <v>13000000</v>
      </c>
      <c r="J95" s="142" t="s">
        <v>225</v>
      </c>
      <c r="L95" s="13">
        <f t="shared" si="8"/>
        <v>1.599</v>
      </c>
      <c r="M95" s="13"/>
      <c r="N95" s="143" t="s">
        <v>255</v>
      </c>
      <c r="O95" s="150">
        <v>159.9</v>
      </c>
      <c r="P95" s="13"/>
      <c r="Q95" s="13"/>
      <c r="R95" s="14"/>
      <c r="T95" s="17"/>
      <c r="U95" s="17"/>
    </row>
    <row r="96" spans="1:21" x14ac:dyDescent="0.3">
      <c r="A96" s="34">
        <f t="shared" si="9"/>
        <v>29</v>
      </c>
      <c r="B96" s="139" t="s">
        <v>68</v>
      </c>
      <c r="C96" s="35"/>
      <c r="D96" s="29">
        <v>1</v>
      </c>
      <c r="E96" s="29"/>
      <c r="F96" s="140" t="s">
        <v>224</v>
      </c>
      <c r="G96" s="140">
        <f t="shared" si="7"/>
        <v>212.17500000000001</v>
      </c>
      <c r="H96" s="153">
        <v>21217500</v>
      </c>
      <c r="I96" s="141">
        <v>17250000</v>
      </c>
      <c r="J96" s="142" t="s">
        <v>225</v>
      </c>
      <c r="L96" s="13">
        <f t="shared" si="8"/>
        <v>2.12175</v>
      </c>
      <c r="M96" s="13"/>
      <c r="N96" s="143" t="s">
        <v>68</v>
      </c>
      <c r="O96" s="150">
        <v>212.17500000000001</v>
      </c>
      <c r="P96" s="13"/>
      <c r="Q96" s="13"/>
      <c r="R96" s="14"/>
      <c r="T96" s="17"/>
      <c r="U96" s="17"/>
    </row>
    <row r="97" spans="1:21" ht="26.4" x14ac:dyDescent="0.3">
      <c r="A97" s="34">
        <f t="shared" si="9"/>
        <v>30</v>
      </c>
      <c r="B97" s="35"/>
      <c r="C97" s="139" t="s">
        <v>256</v>
      </c>
      <c r="D97" s="29">
        <v>1</v>
      </c>
      <c r="E97" s="29"/>
      <c r="F97" s="140" t="s">
        <v>224</v>
      </c>
      <c r="G97" s="140">
        <f t="shared" si="7"/>
        <v>123</v>
      </c>
      <c r="H97" s="141">
        <v>12300000</v>
      </c>
      <c r="I97" s="141">
        <v>10000000</v>
      </c>
      <c r="J97" s="142" t="s">
        <v>225</v>
      </c>
      <c r="L97" s="13">
        <f t="shared" si="8"/>
        <v>1.23</v>
      </c>
      <c r="M97" s="13"/>
      <c r="N97" s="143" t="s">
        <v>256</v>
      </c>
      <c r="O97" s="150">
        <v>123</v>
      </c>
      <c r="P97" s="13"/>
      <c r="Q97" s="13"/>
      <c r="R97" s="14"/>
      <c r="T97" s="17"/>
      <c r="U97" s="17"/>
    </row>
    <row r="98" spans="1:21" x14ac:dyDescent="0.3">
      <c r="A98" s="34">
        <f t="shared" si="9"/>
        <v>31</v>
      </c>
      <c r="B98" s="35"/>
      <c r="C98" s="139" t="s">
        <v>28</v>
      </c>
      <c r="D98" s="29">
        <v>2</v>
      </c>
      <c r="E98" s="29"/>
      <c r="F98" s="140" t="s">
        <v>224</v>
      </c>
      <c r="G98" s="140">
        <f t="shared" si="7"/>
        <v>49.2</v>
      </c>
      <c r="H98" s="141">
        <v>4920000</v>
      </c>
      <c r="I98" s="141">
        <v>4000000</v>
      </c>
      <c r="J98" s="142" t="s">
        <v>225</v>
      </c>
      <c r="L98" s="13">
        <f t="shared" si="8"/>
        <v>0.49199999999999999</v>
      </c>
      <c r="M98" s="13"/>
      <c r="N98" s="143" t="s">
        <v>28</v>
      </c>
      <c r="O98" s="150">
        <v>49.2</v>
      </c>
      <c r="P98" s="13"/>
      <c r="Q98" s="13"/>
      <c r="R98" s="14"/>
      <c r="T98" s="17"/>
      <c r="U98" s="17"/>
    </row>
    <row r="99" spans="1:21" x14ac:dyDescent="0.3">
      <c r="A99" s="34"/>
      <c r="B99" s="148" t="s">
        <v>257</v>
      </c>
      <c r="C99" s="35"/>
      <c r="D99" s="29"/>
      <c r="E99" s="29"/>
      <c r="F99" s="140"/>
      <c r="G99" s="140"/>
      <c r="H99" s="141"/>
      <c r="I99" s="141"/>
      <c r="J99" s="142"/>
      <c r="L99" s="13">
        <f t="shared" si="8"/>
        <v>0</v>
      </c>
      <c r="M99" s="13"/>
      <c r="N99" s="149"/>
      <c r="O99" s="150">
        <v>0</v>
      </c>
      <c r="P99" s="13"/>
      <c r="Q99" s="13"/>
      <c r="R99" s="14"/>
      <c r="T99" s="17"/>
      <c r="U99" s="17"/>
    </row>
    <row r="100" spans="1:21" x14ac:dyDescent="0.3">
      <c r="A100" s="34">
        <f>+A98+1</f>
        <v>32</v>
      </c>
      <c r="B100" s="139" t="s">
        <v>22</v>
      </c>
      <c r="C100" s="35"/>
      <c r="D100" s="29">
        <f>6+6</f>
        <v>12</v>
      </c>
      <c r="E100" s="29"/>
      <c r="F100" s="140" t="s">
        <v>224</v>
      </c>
      <c r="G100" s="140">
        <f t="shared" si="7"/>
        <v>2632.2</v>
      </c>
      <c r="H100" s="151">
        <f>155902500+131917500-24600000</f>
        <v>263220000</v>
      </c>
      <c r="I100" s="152">
        <f>126750000+107250000-20000000</f>
        <v>214000000</v>
      </c>
      <c r="J100" s="142" t="s">
        <v>225</v>
      </c>
      <c r="L100" s="13">
        <f t="shared" si="8"/>
        <v>26.321999999999999</v>
      </c>
      <c r="M100" s="13"/>
      <c r="N100" s="143" t="s">
        <v>22</v>
      </c>
      <c r="O100" s="150">
        <v>2632.2</v>
      </c>
      <c r="P100" s="13"/>
      <c r="Q100" s="13"/>
      <c r="R100" s="14"/>
      <c r="T100" s="17"/>
      <c r="U100" s="17"/>
    </row>
    <row r="101" spans="1:21" x14ac:dyDescent="0.3">
      <c r="A101" s="34">
        <f>+A100+1</f>
        <v>33</v>
      </c>
      <c r="B101" s="139" t="s">
        <v>48</v>
      </c>
      <c r="C101" s="35"/>
      <c r="D101" s="29">
        <v>1</v>
      </c>
      <c r="E101" s="29"/>
      <c r="F101" s="140" t="s">
        <v>224</v>
      </c>
      <c r="G101" s="140">
        <f t="shared" si="7"/>
        <v>67.954999999999998</v>
      </c>
      <c r="H101" s="141">
        <f>6795750-250</f>
        <v>6795500</v>
      </c>
      <c r="I101" s="141">
        <v>5525000</v>
      </c>
      <c r="J101" s="142" t="s">
        <v>225</v>
      </c>
      <c r="L101" s="13">
        <f t="shared" si="8"/>
        <v>0.67954999999999999</v>
      </c>
      <c r="M101" s="13"/>
      <c r="N101" s="143" t="s">
        <v>48</v>
      </c>
      <c r="O101" s="150">
        <v>67.954999999999998</v>
      </c>
      <c r="P101" s="13"/>
      <c r="Q101" s="13"/>
      <c r="R101" s="14"/>
      <c r="T101" s="17"/>
      <c r="U101" s="17"/>
    </row>
    <row r="102" spans="1:21" x14ac:dyDescent="0.3">
      <c r="A102" s="34">
        <f t="shared" si="9"/>
        <v>34</v>
      </c>
      <c r="B102" s="139" t="s">
        <v>23</v>
      </c>
      <c r="C102" s="35"/>
      <c r="D102" s="29">
        <f>1+1</f>
        <v>2</v>
      </c>
      <c r="E102" s="29"/>
      <c r="F102" s="140" t="s">
        <v>224</v>
      </c>
      <c r="G102" s="140">
        <f t="shared" si="7"/>
        <v>3505.5</v>
      </c>
      <c r="H102" s="151">
        <f>138375000+249075000-36900000</f>
        <v>350550000</v>
      </c>
      <c r="I102" s="152">
        <f>112500000+202500000-30000000</f>
        <v>285000000</v>
      </c>
      <c r="J102" s="142" t="s">
        <v>225</v>
      </c>
      <c r="L102" s="13">
        <f t="shared" si="8"/>
        <v>35.055</v>
      </c>
      <c r="M102" s="13"/>
      <c r="N102" s="143" t="s">
        <v>23</v>
      </c>
      <c r="O102" s="150">
        <v>3505.5</v>
      </c>
      <c r="P102" s="13"/>
      <c r="Q102" s="13"/>
      <c r="R102" s="14"/>
      <c r="T102" s="17"/>
      <c r="U102" s="17"/>
    </row>
    <row r="103" spans="1:21" x14ac:dyDescent="0.3">
      <c r="A103" s="34">
        <f t="shared" si="9"/>
        <v>35</v>
      </c>
      <c r="B103" s="139" t="s">
        <v>24</v>
      </c>
      <c r="C103" s="35"/>
      <c r="D103" s="29">
        <f>1+1</f>
        <v>2</v>
      </c>
      <c r="E103" s="29"/>
      <c r="F103" s="140" t="s">
        <v>224</v>
      </c>
      <c r="G103" s="140">
        <f t="shared" si="7"/>
        <v>922.5</v>
      </c>
      <c r="H103" s="151">
        <f>30750000+61500000</f>
        <v>92250000</v>
      </c>
      <c r="I103" s="141">
        <f>25000000+50000000</f>
        <v>75000000</v>
      </c>
      <c r="J103" s="142" t="s">
        <v>225</v>
      </c>
      <c r="L103" s="13">
        <f t="shared" si="8"/>
        <v>9.2249999999999996</v>
      </c>
      <c r="M103" s="13"/>
      <c r="N103" s="143" t="s">
        <v>24</v>
      </c>
      <c r="O103" s="150">
        <v>922.5</v>
      </c>
      <c r="P103" s="13"/>
      <c r="Q103" s="13"/>
      <c r="R103" s="14"/>
      <c r="T103" s="17"/>
      <c r="U103" s="17"/>
    </row>
    <row r="104" spans="1:21" x14ac:dyDescent="0.3">
      <c r="A104" s="34">
        <f t="shared" si="9"/>
        <v>36</v>
      </c>
      <c r="B104" s="139" t="s">
        <v>49</v>
      </c>
      <c r="C104" s="35"/>
      <c r="D104" s="29">
        <v>1</v>
      </c>
      <c r="E104" s="29"/>
      <c r="F104" s="140" t="s">
        <v>224</v>
      </c>
      <c r="G104" s="140">
        <f t="shared" si="7"/>
        <v>279.82499999999999</v>
      </c>
      <c r="H104" s="141">
        <v>27982500</v>
      </c>
      <c r="I104" s="141">
        <v>22750000</v>
      </c>
      <c r="J104" s="142" t="s">
        <v>225</v>
      </c>
      <c r="L104" s="13">
        <f t="shared" si="8"/>
        <v>2.7982499999999999</v>
      </c>
      <c r="M104" s="13"/>
      <c r="N104" s="143" t="s">
        <v>49</v>
      </c>
      <c r="O104" s="150">
        <v>279.82499999999999</v>
      </c>
      <c r="P104" s="13"/>
      <c r="Q104" s="13"/>
      <c r="R104" s="14"/>
      <c r="T104" s="17"/>
      <c r="U104" s="17"/>
    </row>
    <row r="105" spans="1:21" ht="26.4" x14ac:dyDescent="0.3">
      <c r="A105" s="34">
        <f t="shared" si="9"/>
        <v>37</v>
      </c>
      <c r="B105" s="139" t="s">
        <v>50</v>
      </c>
      <c r="C105" s="35"/>
      <c r="D105" s="29">
        <f>1+1</f>
        <v>2</v>
      </c>
      <c r="E105" s="29"/>
      <c r="F105" s="140" t="s">
        <v>224</v>
      </c>
      <c r="G105" s="140">
        <f t="shared" si="7"/>
        <v>127.92</v>
      </c>
      <c r="H105" s="141">
        <f>6396000+6396000</f>
        <v>12792000</v>
      </c>
      <c r="I105" s="141">
        <f>5200000+5200000</f>
        <v>10400000</v>
      </c>
      <c r="J105" s="142" t="s">
        <v>225</v>
      </c>
      <c r="L105" s="13">
        <f t="shared" si="8"/>
        <v>1.2791999999999999</v>
      </c>
      <c r="M105" s="13"/>
      <c r="N105" s="143" t="s">
        <v>50</v>
      </c>
      <c r="O105" s="150">
        <v>127.92</v>
      </c>
      <c r="P105" s="13"/>
      <c r="Q105" s="13"/>
      <c r="R105" s="14"/>
      <c r="T105" s="17"/>
      <c r="U105" s="17"/>
    </row>
    <row r="106" spans="1:21" x14ac:dyDescent="0.3">
      <c r="A106" s="34">
        <f t="shared" si="9"/>
        <v>38</v>
      </c>
      <c r="B106" s="139" t="s">
        <v>64</v>
      </c>
      <c r="C106" s="35"/>
      <c r="D106" s="29">
        <v>1</v>
      </c>
      <c r="E106" s="29"/>
      <c r="F106" s="140" t="s">
        <v>224</v>
      </c>
      <c r="G106" s="140">
        <f t="shared" si="7"/>
        <v>4120.5</v>
      </c>
      <c r="H106" s="151">
        <f>461250000-49200000</f>
        <v>412050000</v>
      </c>
      <c r="I106" s="152">
        <f>375000000-40000000</f>
        <v>335000000</v>
      </c>
      <c r="J106" s="142" t="s">
        <v>225</v>
      </c>
      <c r="L106" s="13">
        <f t="shared" si="8"/>
        <v>41.204999999999998</v>
      </c>
      <c r="M106" s="13"/>
      <c r="N106" s="143" t="s">
        <v>64</v>
      </c>
      <c r="O106" s="150">
        <v>4120.5</v>
      </c>
      <c r="P106" s="13"/>
      <c r="Q106" s="13"/>
      <c r="R106" s="14"/>
      <c r="T106" s="17"/>
      <c r="U106" s="17"/>
    </row>
    <row r="107" spans="1:21" ht="26.4" x14ac:dyDescent="0.3">
      <c r="A107" s="34">
        <f t="shared" si="9"/>
        <v>39</v>
      </c>
      <c r="B107" s="35"/>
      <c r="C107" s="139" t="s">
        <v>56</v>
      </c>
      <c r="D107" s="29">
        <v>1</v>
      </c>
      <c r="E107" s="29"/>
      <c r="F107" s="140" t="s">
        <v>224</v>
      </c>
      <c r="G107" s="140">
        <f t="shared" si="7"/>
        <v>123</v>
      </c>
      <c r="H107" s="141">
        <v>12300000</v>
      </c>
      <c r="I107" s="141">
        <v>10000000</v>
      </c>
      <c r="J107" s="142" t="s">
        <v>225</v>
      </c>
      <c r="L107" s="13">
        <f t="shared" si="8"/>
        <v>1.23</v>
      </c>
      <c r="M107" s="13"/>
      <c r="N107" s="143" t="s">
        <v>56</v>
      </c>
      <c r="O107" s="150">
        <v>123</v>
      </c>
      <c r="P107" s="13"/>
      <c r="Q107" s="13"/>
      <c r="R107" s="14"/>
      <c r="T107" s="17"/>
      <c r="U107" s="17"/>
    </row>
    <row r="108" spans="1:21" x14ac:dyDescent="0.3">
      <c r="A108" s="34">
        <f t="shared" si="9"/>
        <v>40</v>
      </c>
      <c r="B108" s="35"/>
      <c r="C108" s="139" t="s">
        <v>25</v>
      </c>
      <c r="D108" s="29">
        <v>5</v>
      </c>
      <c r="E108" s="29"/>
      <c r="F108" s="140" t="s">
        <v>224</v>
      </c>
      <c r="G108" s="140">
        <f t="shared" si="7"/>
        <v>30.75</v>
      </c>
      <c r="H108" s="141">
        <v>3075000</v>
      </c>
      <c r="I108" s="141">
        <v>2500000</v>
      </c>
      <c r="J108" s="142" t="s">
        <v>225</v>
      </c>
      <c r="L108" s="13">
        <f t="shared" si="8"/>
        <v>0.3075</v>
      </c>
      <c r="M108" s="13"/>
      <c r="N108" s="143" t="s">
        <v>25</v>
      </c>
      <c r="O108" s="150">
        <v>30.75</v>
      </c>
      <c r="P108" s="13"/>
      <c r="Q108" s="13"/>
      <c r="R108" s="14"/>
      <c r="T108" s="17"/>
      <c r="U108" s="17"/>
    </row>
    <row r="109" spans="1:21" x14ac:dyDescent="0.3">
      <c r="A109" s="34">
        <f t="shared" si="9"/>
        <v>41</v>
      </c>
      <c r="B109" s="35"/>
      <c r="C109" s="139" t="s">
        <v>51</v>
      </c>
      <c r="D109" s="29">
        <v>1</v>
      </c>
      <c r="E109" s="29"/>
      <c r="F109" s="140" t="s">
        <v>224</v>
      </c>
      <c r="G109" s="140">
        <f t="shared" si="7"/>
        <v>393.6</v>
      </c>
      <c r="H109" s="141">
        <v>39360000</v>
      </c>
      <c r="I109" s="141">
        <v>32000000</v>
      </c>
      <c r="J109" s="142" t="s">
        <v>225</v>
      </c>
      <c r="L109" s="13">
        <f t="shared" si="8"/>
        <v>3.9359999999999999</v>
      </c>
      <c r="M109" s="13"/>
      <c r="N109" s="143" t="s">
        <v>51</v>
      </c>
      <c r="O109" s="150">
        <v>393.6</v>
      </c>
      <c r="P109" s="13"/>
      <c r="Q109" s="13"/>
      <c r="R109" s="14"/>
      <c r="T109" s="17"/>
      <c r="U109" s="17"/>
    </row>
    <row r="110" spans="1:21" ht="26.4" x14ac:dyDescent="0.3">
      <c r="A110" s="34">
        <f t="shared" si="9"/>
        <v>42</v>
      </c>
      <c r="B110" s="35"/>
      <c r="C110" s="139" t="s">
        <v>52</v>
      </c>
      <c r="D110" s="29">
        <v>2</v>
      </c>
      <c r="E110" s="29"/>
      <c r="F110" s="140" t="s">
        <v>224</v>
      </c>
      <c r="G110" s="140">
        <f t="shared" si="7"/>
        <v>49.2</v>
      </c>
      <c r="H110" s="141">
        <v>4920000</v>
      </c>
      <c r="I110" s="141">
        <v>4000000</v>
      </c>
      <c r="J110" s="142" t="s">
        <v>225</v>
      </c>
      <c r="L110" s="13">
        <f t="shared" si="8"/>
        <v>0.49199999999999999</v>
      </c>
      <c r="M110" s="13"/>
      <c r="N110" s="143" t="s">
        <v>52</v>
      </c>
      <c r="O110" s="150">
        <v>49.2</v>
      </c>
      <c r="P110" s="13"/>
      <c r="Q110" s="13"/>
      <c r="R110" s="14"/>
      <c r="T110" s="17"/>
      <c r="U110" s="17"/>
    </row>
    <row r="111" spans="1:21" x14ac:dyDescent="0.3">
      <c r="A111" s="34"/>
      <c r="B111" s="35"/>
      <c r="C111" s="148" t="s">
        <v>258</v>
      </c>
      <c r="D111" s="29"/>
      <c r="E111" s="29"/>
      <c r="F111" s="140"/>
      <c r="G111" s="140"/>
      <c r="H111" s="154"/>
      <c r="I111" s="155"/>
      <c r="J111" s="142"/>
      <c r="L111" s="13">
        <f t="shared" si="8"/>
        <v>0</v>
      </c>
      <c r="M111" s="13"/>
      <c r="N111" s="156" t="s">
        <v>258</v>
      </c>
      <c r="O111" s="150">
        <v>0</v>
      </c>
      <c r="P111" s="13"/>
      <c r="Q111" s="13"/>
      <c r="R111" s="14"/>
      <c r="T111" s="17"/>
      <c r="U111" s="17"/>
    </row>
    <row r="112" spans="1:21" x14ac:dyDescent="0.3">
      <c r="A112" s="34"/>
      <c r="B112" s="35"/>
      <c r="C112" s="148" t="s">
        <v>259</v>
      </c>
      <c r="D112" s="29"/>
      <c r="E112" s="29"/>
      <c r="F112" s="140"/>
      <c r="G112" s="140"/>
      <c r="H112" s="154"/>
      <c r="I112" s="155"/>
      <c r="J112" s="142"/>
      <c r="L112" s="13">
        <f t="shared" si="8"/>
        <v>0</v>
      </c>
      <c r="M112" s="13"/>
      <c r="N112" s="156" t="s">
        <v>259</v>
      </c>
      <c r="O112" s="150">
        <v>0</v>
      </c>
      <c r="P112" s="13"/>
      <c r="Q112" s="13"/>
      <c r="R112" s="14"/>
      <c r="T112" s="17"/>
      <c r="U112" s="17"/>
    </row>
    <row r="113" spans="1:21" x14ac:dyDescent="0.3">
      <c r="A113" s="34">
        <f>+A110+1</f>
        <v>43</v>
      </c>
      <c r="B113" s="35"/>
      <c r="C113" s="139" t="s">
        <v>87</v>
      </c>
      <c r="D113" s="29" t="s">
        <v>260</v>
      </c>
      <c r="E113" s="29"/>
      <c r="F113" s="140" t="s">
        <v>224</v>
      </c>
      <c r="G113" s="140">
        <f t="shared" si="7"/>
        <v>36.9</v>
      </c>
      <c r="H113" s="141">
        <v>3690000</v>
      </c>
      <c r="I113" s="141">
        <v>3000000</v>
      </c>
      <c r="J113" s="142" t="s">
        <v>225</v>
      </c>
      <c r="L113" s="13">
        <f t="shared" si="8"/>
        <v>0.36899999999999999</v>
      </c>
      <c r="M113" s="13"/>
      <c r="N113" s="143" t="s">
        <v>87</v>
      </c>
      <c r="O113" s="150">
        <v>36.9</v>
      </c>
      <c r="P113" s="13"/>
      <c r="Q113" s="13"/>
      <c r="R113" s="14"/>
      <c r="T113" s="17"/>
      <c r="U113" s="17"/>
    </row>
    <row r="114" spans="1:21" x14ac:dyDescent="0.3">
      <c r="A114" s="34">
        <f>+A113+1</f>
        <v>44</v>
      </c>
      <c r="B114" s="35"/>
      <c r="C114" s="139" t="s">
        <v>261</v>
      </c>
      <c r="D114" s="29" t="s">
        <v>104</v>
      </c>
      <c r="E114" s="29"/>
      <c r="F114" s="140" t="s">
        <v>224</v>
      </c>
      <c r="G114" s="140">
        <f t="shared" si="7"/>
        <v>575.64</v>
      </c>
      <c r="H114" s="151">
        <v>57564000</v>
      </c>
      <c r="I114" s="141">
        <v>46800000</v>
      </c>
      <c r="J114" s="142" t="s">
        <v>225</v>
      </c>
      <c r="L114" s="13">
        <f t="shared" si="8"/>
        <v>5.7564000000000002</v>
      </c>
      <c r="M114" s="13"/>
      <c r="N114" s="143" t="s">
        <v>261</v>
      </c>
      <c r="O114" s="150">
        <v>575.64</v>
      </c>
      <c r="P114" s="13"/>
      <c r="Q114" s="13"/>
      <c r="R114" s="14"/>
      <c r="T114" s="17"/>
      <c r="U114" s="17"/>
    </row>
    <row r="115" spans="1:21" x14ac:dyDescent="0.3">
      <c r="A115" s="34">
        <f t="shared" ref="A115:A133" si="10">+A114+1</f>
        <v>45</v>
      </c>
      <c r="B115" s="35"/>
      <c r="C115" s="139" t="s">
        <v>262</v>
      </c>
      <c r="D115" s="29" t="s">
        <v>104</v>
      </c>
      <c r="E115" s="29"/>
      <c r="F115" s="140" t="s">
        <v>224</v>
      </c>
      <c r="G115" s="140">
        <f t="shared" si="7"/>
        <v>55.35</v>
      </c>
      <c r="H115" s="141">
        <v>5535000</v>
      </c>
      <c r="I115" s="141">
        <v>4500000</v>
      </c>
      <c r="J115" s="142" t="s">
        <v>225</v>
      </c>
      <c r="L115" s="13">
        <f t="shared" si="8"/>
        <v>0.55349999999999999</v>
      </c>
      <c r="M115" s="13"/>
      <c r="N115" s="143" t="s">
        <v>262</v>
      </c>
      <c r="O115" s="150">
        <v>55.35</v>
      </c>
      <c r="P115" s="13"/>
      <c r="Q115" s="13"/>
      <c r="R115" s="14"/>
      <c r="T115" s="17"/>
      <c r="U115" s="17"/>
    </row>
    <row r="116" spans="1:21" x14ac:dyDescent="0.3">
      <c r="A116" s="34">
        <f t="shared" si="10"/>
        <v>46</v>
      </c>
      <c r="B116" s="35"/>
      <c r="C116" s="139" t="s">
        <v>62</v>
      </c>
      <c r="D116" s="29" t="s">
        <v>260</v>
      </c>
      <c r="E116" s="29"/>
      <c r="F116" s="140" t="s">
        <v>224</v>
      </c>
      <c r="G116" s="140">
        <f t="shared" si="7"/>
        <v>125.46</v>
      </c>
      <c r="H116" s="141">
        <v>12546000</v>
      </c>
      <c r="I116" s="141">
        <v>10200000</v>
      </c>
      <c r="J116" s="142" t="s">
        <v>225</v>
      </c>
      <c r="L116" s="13">
        <f t="shared" si="8"/>
        <v>1.2545999999999999</v>
      </c>
      <c r="M116" s="13"/>
      <c r="N116" s="143" t="s">
        <v>62</v>
      </c>
      <c r="O116" s="150">
        <v>125.46</v>
      </c>
      <c r="P116" s="13"/>
      <c r="Q116" s="13"/>
      <c r="R116" s="14"/>
      <c r="T116" s="17"/>
      <c r="U116" s="17"/>
    </row>
    <row r="117" spans="1:21" ht="26.4" x14ac:dyDescent="0.3">
      <c r="A117" s="34">
        <f t="shared" si="10"/>
        <v>47</v>
      </c>
      <c r="B117" s="35"/>
      <c r="C117" s="139" t="s">
        <v>63</v>
      </c>
      <c r="D117" s="29" t="s">
        <v>104</v>
      </c>
      <c r="E117" s="29"/>
      <c r="F117" s="140" t="s">
        <v>224</v>
      </c>
      <c r="G117" s="140">
        <f t="shared" si="7"/>
        <v>6.915</v>
      </c>
      <c r="H117" s="141">
        <f>691875-375</f>
        <v>691500</v>
      </c>
      <c r="I117" s="141">
        <v>562500</v>
      </c>
      <c r="J117" s="142" t="s">
        <v>225</v>
      </c>
      <c r="L117" s="13">
        <f t="shared" si="8"/>
        <v>6.9150000000000003E-2</v>
      </c>
      <c r="M117" s="13"/>
      <c r="N117" s="143" t="s">
        <v>63</v>
      </c>
      <c r="O117" s="150">
        <v>6.915</v>
      </c>
      <c r="P117" s="13"/>
      <c r="Q117" s="13"/>
      <c r="R117" s="14"/>
      <c r="T117" s="17"/>
      <c r="U117" s="17"/>
    </row>
    <row r="118" spans="1:21" ht="39.6" x14ac:dyDescent="0.3">
      <c r="A118" s="34">
        <f t="shared" si="10"/>
        <v>48</v>
      </c>
      <c r="B118" s="35"/>
      <c r="C118" s="139" t="s">
        <v>32</v>
      </c>
      <c r="D118" s="29" t="s">
        <v>104</v>
      </c>
      <c r="E118" s="29"/>
      <c r="F118" s="140" t="s">
        <v>224</v>
      </c>
      <c r="G118" s="140">
        <f t="shared" si="7"/>
        <v>116.85</v>
      </c>
      <c r="H118" s="141">
        <v>11685000</v>
      </c>
      <c r="I118" s="141">
        <v>9500000</v>
      </c>
      <c r="J118" s="142" t="s">
        <v>225</v>
      </c>
      <c r="L118" s="13">
        <f t="shared" si="8"/>
        <v>1.1685000000000001</v>
      </c>
      <c r="M118" s="13"/>
      <c r="N118" s="143" t="s">
        <v>32</v>
      </c>
      <c r="O118" s="150">
        <v>116.85</v>
      </c>
      <c r="P118" s="13"/>
      <c r="Q118" s="13"/>
      <c r="R118" s="14"/>
      <c r="T118" s="17"/>
      <c r="U118" s="17"/>
    </row>
    <row r="119" spans="1:21" ht="26.4" x14ac:dyDescent="0.3">
      <c r="A119" s="34">
        <f t="shared" si="10"/>
        <v>49</v>
      </c>
      <c r="B119" s="35"/>
      <c r="C119" s="139" t="s">
        <v>33</v>
      </c>
      <c r="D119" s="29" t="s">
        <v>104</v>
      </c>
      <c r="E119" s="29"/>
      <c r="F119" s="140" t="s">
        <v>224</v>
      </c>
      <c r="G119" s="140">
        <f t="shared" si="7"/>
        <v>52.274999999999999</v>
      </c>
      <c r="H119" s="141">
        <v>5227500</v>
      </c>
      <c r="I119" s="141">
        <v>4250000</v>
      </c>
      <c r="J119" s="142" t="s">
        <v>225</v>
      </c>
      <c r="L119" s="13">
        <f t="shared" si="8"/>
        <v>0.52275000000000005</v>
      </c>
      <c r="M119" s="13"/>
      <c r="N119" s="143" t="s">
        <v>33</v>
      </c>
      <c r="O119" s="150">
        <v>52.274999999999999</v>
      </c>
      <c r="P119" s="13"/>
      <c r="Q119" s="13"/>
      <c r="R119" s="14"/>
      <c r="T119" s="17"/>
      <c r="U119" s="17"/>
    </row>
    <row r="120" spans="1:21" ht="26.4" x14ac:dyDescent="0.3">
      <c r="A120" s="34">
        <f t="shared" si="10"/>
        <v>50</v>
      </c>
      <c r="B120" s="35"/>
      <c r="C120" s="139" t="s">
        <v>34</v>
      </c>
      <c r="D120" s="29" t="s">
        <v>104</v>
      </c>
      <c r="E120" s="29"/>
      <c r="F120" s="140" t="s">
        <v>224</v>
      </c>
      <c r="G120" s="140">
        <f t="shared" si="7"/>
        <v>178.35</v>
      </c>
      <c r="H120" s="141">
        <v>17835000</v>
      </c>
      <c r="I120" s="141">
        <v>14500000</v>
      </c>
      <c r="J120" s="142" t="s">
        <v>225</v>
      </c>
      <c r="L120" s="13">
        <f t="shared" si="8"/>
        <v>1.7835000000000001</v>
      </c>
      <c r="M120" s="13"/>
      <c r="N120" s="143" t="s">
        <v>34</v>
      </c>
      <c r="O120" s="150">
        <v>178.35</v>
      </c>
      <c r="P120" s="13"/>
      <c r="Q120" s="13"/>
      <c r="R120" s="14"/>
      <c r="T120" s="17"/>
      <c r="U120" s="17"/>
    </row>
    <row r="121" spans="1:21" ht="26.4" x14ac:dyDescent="0.3">
      <c r="A121" s="34">
        <f t="shared" si="10"/>
        <v>51</v>
      </c>
      <c r="B121" s="35"/>
      <c r="C121" s="139" t="s">
        <v>35</v>
      </c>
      <c r="D121" s="29" t="s">
        <v>104</v>
      </c>
      <c r="E121" s="29"/>
      <c r="F121" s="140" t="s">
        <v>224</v>
      </c>
      <c r="G121" s="140">
        <f t="shared" si="7"/>
        <v>301.35000000000002</v>
      </c>
      <c r="H121" s="141">
        <v>30135000</v>
      </c>
      <c r="I121" s="141">
        <v>24500000</v>
      </c>
      <c r="J121" s="142" t="s">
        <v>225</v>
      </c>
      <c r="L121" s="13">
        <f t="shared" si="8"/>
        <v>3.0135000000000001</v>
      </c>
      <c r="M121" s="13"/>
      <c r="N121" s="143" t="s">
        <v>35</v>
      </c>
      <c r="O121" s="150">
        <v>301.35000000000002</v>
      </c>
      <c r="P121" s="13"/>
      <c r="Q121" s="13"/>
      <c r="R121" s="14"/>
      <c r="T121" s="17"/>
      <c r="U121" s="17"/>
    </row>
    <row r="122" spans="1:21" x14ac:dyDescent="0.3">
      <c r="A122" s="34">
        <f t="shared" si="10"/>
        <v>52</v>
      </c>
      <c r="B122" s="35"/>
      <c r="C122" s="139" t="s">
        <v>69</v>
      </c>
      <c r="D122" s="29" t="s">
        <v>104</v>
      </c>
      <c r="E122" s="29"/>
      <c r="F122" s="140" t="s">
        <v>224</v>
      </c>
      <c r="G122" s="140">
        <f t="shared" si="7"/>
        <v>184.5</v>
      </c>
      <c r="H122" s="141">
        <v>18450000</v>
      </c>
      <c r="I122" s="141">
        <v>15000000</v>
      </c>
      <c r="J122" s="142" t="s">
        <v>225</v>
      </c>
      <c r="L122" s="13">
        <f t="shared" si="8"/>
        <v>1.845</v>
      </c>
      <c r="M122" s="13"/>
      <c r="N122" s="143" t="s">
        <v>69</v>
      </c>
      <c r="O122" s="150">
        <v>184.5</v>
      </c>
      <c r="P122" s="13"/>
      <c r="Q122" s="13"/>
      <c r="R122" s="14"/>
      <c r="T122" s="17"/>
      <c r="U122" s="17"/>
    </row>
    <row r="123" spans="1:21" ht="52.8" x14ac:dyDescent="0.3">
      <c r="A123" s="34">
        <f t="shared" si="10"/>
        <v>53</v>
      </c>
      <c r="B123" s="35"/>
      <c r="C123" s="139" t="s">
        <v>30</v>
      </c>
      <c r="D123" s="29" t="s">
        <v>104</v>
      </c>
      <c r="E123" s="29"/>
      <c r="F123" s="140" t="s">
        <v>224</v>
      </c>
      <c r="G123" s="140">
        <f t="shared" si="7"/>
        <v>24.6</v>
      </c>
      <c r="H123" s="141">
        <v>2460000</v>
      </c>
      <c r="I123" s="141">
        <v>2000000</v>
      </c>
      <c r="J123" s="142" t="s">
        <v>225</v>
      </c>
      <c r="L123" s="13">
        <f t="shared" si="8"/>
        <v>0.246</v>
      </c>
      <c r="M123" s="13"/>
      <c r="N123" s="143" t="s">
        <v>30</v>
      </c>
      <c r="O123" s="150">
        <v>24.6</v>
      </c>
      <c r="P123" s="13"/>
      <c r="Q123" s="13"/>
      <c r="R123" s="14"/>
      <c r="T123" s="17"/>
      <c r="U123" s="17"/>
    </row>
    <row r="124" spans="1:21" ht="52.8" x14ac:dyDescent="0.3">
      <c r="A124" s="34">
        <f t="shared" si="10"/>
        <v>54</v>
      </c>
      <c r="B124" s="35"/>
      <c r="C124" s="139" t="s">
        <v>31</v>
      </c>
      <c r="D124" s="29" t="s">
        <v>104</v>
      </c>
      <c r="E124" s="29"/>
      <c r="F124" s="140" t="s">
        <v>224</v>
      </c>
      <c r="G124" s="140">
        <f t="shared" si="7"/>
        <v>12.3</v>
      </c>
      <c r="H124" s="141">
        <v>1230000</v>
      </c>
      <c r="I124" s="141">
        <v>1000000</v>
      </c>
      <c r="J124" s="142" t="s">
        <v>225</v>
      </c>
      <c r="L124" s="13">
        <f t="shared" si="8"/>
        <v>0.123</v>
      </c>
      <c r="M124" s="13"/>
      <c r="N124" s="143" t="s">
        <v>31</v>
      </c>
      <c r="O124" s="150">
        <v>12.3</v>
      </c>
      <c r="P124" s="13"/>
      <c r="Q124" s="13"/>
      <c r="R124" s="14"/>
      <c r="T124" s="17"/>
      <c r="U124" s="17"/>
    </row>
    <row r="125" spans="1:21" x14ac:dyDescent="0.3">
      <c r="A125" s="34"/>
      <c r="B125" s="35"/>
      <c r="C125" s="148" t="s">
        <v>36</v>
      </c>
      <c r="D125" s="29"/>
      <c r="E125" s="29"/>
      <c r="F125" s="140"/>
      <c r="G125" s="140"/>
      <c r="H125" s="141"/>
      <c r="I125" s="141"/>
      <c r="J125" s="142"/>
      <c r="L125" s="13">
        <f t="shared" si="8"/>
        <v>0</v>
      </c>
      <c r="M125" s="13"/>
      <c r="N125" s="156" t="s">
        <v>36</v>
      </c>
      <c r="O125" s="150">
        <v>0</v>
      </c>
      <c r="P125" s="13"/>
      <c r="Q125" s="13"/>
      <c r="R125" s="14"/>
      <c r="T125" s="17"/>
      <c r="U125" s="17"/>
    </row>
    <row r="126" spans="1:21" ht="26.4" x14ac:dyDescent="0.3">
      <c r="A126" s="34">
        <f>+A124+1</f>
        <v>55</v>
      </c>
      <c r="B126" s="35"/>
      <c r="C126" s="139" t="s">
        <v>263</v>
      </c>
      <c r="D126" s="29" t="s">
        <v>104</v>
      </c>
      <c r="E126" s="29"/>
      <c r="F126" s="140" t="s">
        <v>224</v>
      </c>
      <c r="G126" s="140">
        <f t="shared" si="7"/>
        <v>116.85</v>
      </c>
      <c r="H126" s="141">
        <v>11685000</v>
      </c>
      <c r="I126" s="141">
        <v>9500000</v>
      </c>
      <c r="J126" s="142" t="s">
        <v>225</v>
      </c>
      <c r="L126" s="13">
        <f t="shared" si="8"/>
        <v>1.1685000000000001</v>
      </c>
      <c r="M126" s="13"/>
      <c r="N126" s="143" t="s">
        <v>263</v>
      </c>
      <c r="O126" s="150">
        <v>116.85</v>
      </c>
      <c r="P126" s="13"/>
      <c r="Q126" s="13"/>
      <c r="R126" s="14"/>
      <c r="T126" s="17"/>
      <c r="U126" s="17"/>
    </row>
    <row r="127" spans="1:21" ht="26.4" x14ac:dyDescent="0.3">
      <c r="A127" s="34">
        <f t="shared" si="10"/>
        <v>56</v>
      </c>
      <c r="B127" s="35"/>
      <c r="C127" s="139" t="s">
        <v>264</v>
      </c>
      <c r="D127" s="29" t="s">
        <v>104</v>
      </c>
      <c r="E127" s="29"/>
      <c r="F127" s="140" t="s">
        <v>224</v>
      </c>
      <c r="G127" s="140">
        <f t="shared" si="7"/>
        <v>153.75</v>
      </c>
      <c r="H127" s="141">
        <v>15375000</v>
      </c>
      <c r="I127" s="141">
        <v>12500000</v>
      </c>
      <c r="J127" s="142" t="s">
        <v>225</v>
      </c>
      <c r="L127" s="13">
        <f t="shared" si="8"/>
        <v>1.5375000000000001</v>
      </c>
      <c r="M127" s="13"/>
      <c r="N127" s="143" t="s">
        <v>264</v>
      </c>
      <c r="O127" s="150">
        <v>153.75</v>
      </c>
      <c r="P127" s="13"/>
      <c r="Q127" s="13"/>
      <c r="R127" s="14"/>
      <c r="T127" s="17"/>
      <c r="U127" s="17"/>
    </row>
    <row r="128" spans="1:21" x14ac:dyDescent="0.3">
      <c r="A128" s="34">
        <f t="shared" si="10"/>
        <v>57</v>
      </c>
      <c r="B128" s="35"/>
      <c r="C128" s="139" t="s">
        <v>53</v>
      </c>
      <c r="D128" s="29" t="s">
        <v>104</v>
      </c>
      <c r="E128" s="29"/>
      <c r="F128" s="140" t="s">
        <v>224</v>
      </c>
      <c r="G128" s="140">
        <f t="shared" si="7"/>
        <v>123</v>
      </c>
      <c r="H128" s="141">
        <v>12300000</v>
      </c>
      <c r="I128" s="141">
        <v>10000000</v>
      </c>
      <c r="J128" s="142" t="s">
        <v>225</v>
      </c>
      <c r="L128" s="13">
        <f t="shared" si="8"/>
        <v>1.23</v>
      </c>
      <c r="M128" s="13"/>
      <c r="N128" s="143" t="s">
        <v>53</v>
      </c>
      <c r="O128" s="150">
        <v>123</v>
      </c>
      <c r="P128" s="13"/>
      <c r="Q128" s="13"/>
      <c r="R128" s="14"/>
      <c r="T128" s="17"/>
      <c r="U128" s="17"/>
    </row>
    <row r="129" spans="1:21" x14ac:dyDescent="0.3">
      <c r="A129" s="34"/>
      <c r="B129" s="35"/>
      <c r="C129" s="148" t="s">
        <v>265</v>
      </c>
      <c r="D129" s="29"/>
      <c r="E129" s="29"/>
      <c r="F129" s="140"/>
      <c r="G129" s="140"/>
      <c r="H129" s="141"/>
      <c r="I129" s="141"/>
      <c r="J129" s="142"/>
      <c r="L129" s="13">
        <f t="shared" si="8"/>
        <v>0</v>
      </c>
      <c r="M129" s="13"/>
      <c r="N129" s="156" t="s">
        <v>265</v>
      </c>
      <c r="O129" s="150">
        <v>0</v>
      </c>
      <c r="P129" s="13"/>
      <c r="Q129" s="13"/>
      <c r="R129" s="14"/>
      <c r="T129" s="17"/>
      <c r="U129" s="17"/>
    </row>
    <row r="130" spans="1:21" ht="26.4" x14ac:dyDescent="0.3">
      <c r="A130" s="34">
        <f>+A128+1</f>
        <v>58</v>
      </c>
      <c r="B130" s="35"/>
      <c r="C130" s="139" t="s">
        <v>266</v>
      </c>
      <c r="D130" s="29">
        <v>3</v>
      </c>
      <c r="E130" s="29"/>
      <c r="F130" s="140" t="s">
        <v>224</v>
      </c>
      <c r="G130" s="140">
        <f t="shared" si="7"/>
        <v>885.6</v>
      </c>
      <c r="H130" s="151">
        <v>88560000</v>
      </c>
      <c r="I130" s="141">
        <v>72000000</v>
      </c>
      <c r="J130" s="142" t="s">
        <v>225</v>
      </c>
      <c r="L130" s="13">
        <f t="shared" si="8"/>
        <v>8.8559999999999999</v>
      </c>
      <c r="M130" s="13"/>
      <c r="N130" s="143" t="s">
        <v>266</v>
      </c>
      <c r="O130" s="150">
        <v>885.6</v>
      </c>
      <c r="P130" s="13"/>
      <c r="Q130" s="13"/>
      <c r="R130" s="14"/>
      <c r="T130" s="17"/>
      <c r="U130" s="17"/>
    </row>
    <row r="131" spans="1:21" x14ac:dyDescent="0.3">
      <c r="A131" s="34">
        <f t="shared" si="10"/>
        <v>59</v>
      </c>
      <c r="B131" s="35"/>
      <c r="C131" s="139" t="s">
        <v>267</v>
      </c>
      <c r="D131" s="29" t="s">
        <v>104</v>
      </c>
      <c r="E131" s="29"/>
      <c r="F131" s="140" t="s">
        <v>224</v>
      </c>
      <c r="G131" s="140">
        <f t="shared" ref="G131:G160" si="11">+H131/100000</f>
        <v>498.15</v>
      </c>
      <c r="H131" s="151">
        <v>49815000</v>
      </c>
      <c r="I131" s="141">
        <v>40500000</v>
      </c>
      <c r="J131" s="142" t="s">
        <v>225</v>
      </c>
      <c r="L131" s="13">
        <f t="shared" ref="L131:L160" si="12">+H131/10000000</f>
        <v>4.9814999999999996</v>
      </c>
      <c r="M131" s="13"/>
      <c r="N131" s="143" t="s">
        <v>267</v>
      </c>
      <c r="O131" s="150">
        <v>498.15</v>
      </c>
      <c r="P131" s="13"/>
      <c r="Q131" s="13"/>
      <c r="R131" s="14"/>
      <c r="T131" s="17"/>
      <c r="U131" s="17"/>
    </row>
    <row r="132" spans="1:21" x14ac:dyDescent="0.3">
      <c r="A132" s="34">
        <f t="shared" si="10"/>
        <v>60</v>
      </c>
      <c r="B132" s="35"/>
      <c r="C132" s="139" t="s">
        <v>54</v>
      </c>
      <c r="D132" s="29" t="s">
        <v>104</v>
      </c>
      <c r="E132" s="29"/>
      <c r="F132" s="140" t="s">
        <v>224</v>
      </c>
      <c r="G132" s="140">
        <f t="shared" si="11"/>
        <v>362.85</v>
      </c>
      <c r="H132" s="141">
        <v>36285000</v>
      </c>
      <c r="I132" s="141">
        <v>29500000</v>
      </c>
      <c r="J132" s="142" t="s">
        <v>225</v>
      </c>
      <c r="L132" s="13">
        <f t="shared" si="12"/>
        <v>3.6284999999999998</v>
      </c>
      <c r="M132" s="13"/>
      <c r="N132" s="143" t="s">
        <v>54</v>
      </c>
      <c r="O132" s="150">
        <v>362.85</v>
      </c>
      <c r="P132" s="13"/>
      <c r="Q132" s="13"/>
      <c r="R132" s="14"/>
      <c r="T132" s="17"/>
      <c r="U132" s="17"/>
    </row>
    <row r="133" spans="1:21" x14ac:dyDescent="0.3">
      <c r="A133" s="34">
        <f t="shared" si="10"/>
        <v>61</v>
      </c>
      <c r="B133" s="35"/>
      <c r="C133" s="139" t="s">
        <v>37</v>
      </c>
      <c r="D133" s="29" t="s">
        <v>104</v>
      </c>
      <c r="E133" s="29"/>
      <c r="F133" s="140" t="s">
        <v>224</v>
      </c>
      <c r="G133" s="140">
        <f t="shared" si="11"/>
        <v>141.44999999999999</v>
      </c>
      <c r="H133" s="141">
        <v>14145000</v>
      </c>
      <c r="I133" s="141">
        <v>11500000</v>
      </c>
      <c r="J133" s="142" t="s">
        <v>225</v>
      </c>
      <c r="L133" s="13">
        <f t="shared" si="12"/>
        <v>1.4145000000000001</v>
      </c>
      <c r="M133" s="13"/>
      <c r="N133" s="143" t="s">
        <v>37</v>
      </c>
      <c r="O133" s="150">
        <v>141.44999999999999</v>
      </c>
      <c r="P133" s="13"/>
      <c r="Q133" s="13"/>
      <c r="R133" s="14"/>
      <c r="T133" s="17"/>
      <c r="U133" s="17"/>
    </row>
    <row r="134" spans="1:21" x14ac:dyDescent="0.3">
      <c r="A134" s="34"/>
      <c r="B134" s="35"/>
      <c r="C134" s="148" t="s">
        <v>38</v>
      </c>
      <c r="D134" s="29"/>
      <c r="E134" s="29"/>
      <c r="F134" s="140"/>
      <c r="G134" s="140"/>
      <c r="H134" s="141"/>
      <c r="I134" s="141"/>
      <c r="J134" s="142"/>
      <c r="L134" s="13">
        <f t="shared" si="12"/>
        <v>0</v>
      </c>
      <c r="M134" s="13"/>
      <c r="N134" s="156" t="s">
        <v>38</v>
      </c>
      <c r="O134" s="150">
        <v>0</v>
      </c>
      <c r="P134" s="13"/>
      <c r="Q134" s="13"/>
      <c r="R134" s="14"/>
      <c r="T134" s="17"/>
      <c r="U134" s="17"/>
    </row>
    <row r="135" spans="1:21" ht="26.4" x14ac:dyDescent="0.3">
      <c r="A135" s="34">
        <f>+A133+1</f>
        <v>62</v>
      </c>
      <c r="B135" s="35"/>
      <c r="C135" s="139" t="s">
        <v>39</v>
      </c>
      <c r="D135" s="29" t="s">
        <v>104</v>
      </c>
      <c r="E135" s="29"/>
      <c r="F135" s="140" t="s">
        <v>224</v>
      </c>
      <c r="G135" s="140">
        <f t="shared" si="11"/>
        <v>430.5</v>
      </c>
      <c r="H135" s="151">
        <v>43050000</v>
      </c>
      <c r="I135" s="141">
        <v>35000000</v>
      </c>
      <c r="J135" s="142" t="s">
        <v>225</v>
      </c>
      <c r="L135" s="13">
        <f t="shared" si="12"/>
        <v>4.3049999999999997</v>
      </c>
      <c r="M135" s="13"/>
      <c r="N135" s="143" t="s">
        <v>39</v>
      </c>
      <c r="O135" s="150">
        <v>430.5</v>
      </c>
      <c r="P135" s="13"/>
      <c r="Q135" s="13"/>
      <c r="R135" s="14"/>
      <c r="T135" s="17"/>
      <c r="U135" s="17"/>
    </row>
    <row r="136" spans="1:21" ht="26.4" x14ac:dyDescent="0.3">
      <c r="A136" s="34">
        <f t="shared" ref="A136:A160" si="13">+A135+1</f>
        <v>63</v>
      </c>
      <c r="B136" s="35"/>
      <c r="C136" s="139" t="s">
        <v>268</v>
      </c>
      <c r="D136" s="29" t="s">
        <v>104</v>
      </c>
      <c r="E136" s="29"/>
      <c r="F136" s="140" t="s">
        <v>224</v>
      </c>
      <c r="G136" s="140">
        <f t="shared" si="11"/>
        <v>94.094999999999999</v>
      </c>
      <c r="H136" s="141">
        <v>9409500</v>
      </c>
      <c r="I136" s="141">
        <v>7650000</v>
      </c>
      <c r="J136" s="142" t="s">
        <v>225</v>
      </c>
      <c r="L136" s="13">
        <f t="shared" si="12"/>
        <v>0.94094999999999995</v>
      </c>
      <c r="M136" s="13"/>
      <c r="N136" s="143" t="s">
        <v>268</v>
      </c>
      <c r="O136" s="150">
        <v>94.094999999999999</v>
      </c>
      <c r="P136" s="13"/>
      <c r="Q136" s="13"/>
      <c r="R136" s="14"/>
      <c r="T136" s="17"/>
      <c r="U136" s="17"/>
    </row>
    <row r="137" spans="1:21" x14ac:dyDescent="0.3">
      <c r="A137" s="34">
        <f t="shared" si="13"/>
        <v>64</v>
      </c>
      <c r="B137" s="35"/>
      <c r="C137" s="139" t="s">
        <v>269</v>
      </c>
      <c r="D137" s="29" t="s">
        <v>104</v>
      </c>
      <c r="E137" s="29"/>
      <c r="F137" s="140" t="s">
        <v>224</v>
      </c>
      <c r="G137" s="140">
        <f t="shared" si="11"/>
        <v>194.34</v>
      </c>
      <c r="H137" s="141">
        <v>19434000</v>
      </c>
      <c r="I137" s="141">
        <v>15800000</v>
      </c>
      <c r="J137" s="142" t="s">
        <v>225</v>
      </c>
      <c r="L137" s="13">
        <f t="shared" si="12"/>
        <v>1.9434</v>
      </c>
      <c r="M137" s="13"/>
      <c r="N137" s="143" t="s">
        <v>269</v>
      </c>
      <c r="O137" s="150">
        <v>194.34</v>
      </c>
      <c r="P137" s="13"/>
      <c r="Q137" s="13"/>
      <c r="R137" s="14"/>
      <c r="T137" s="17"/>
      <c r="U137" s="17"/>
    </row>
    <row r="138" spans="1:21" x14ac:dyDescent="0.3">
      <c r="A138" s="145">
        <f t="shared" si="13"/>
        <v>65</v>
      </c>
      <c r="B138" s="146"/>
      <c r="C138" s="146" t="s">
        <v>270</v>
      </c>
      <c r="D138" s="157" t="s">
        <v>104</v>
      </c>
      <c r="E138" s="157"/>
      <c r="F138" s="158" t="s">
        <v>224</v>
      </c>
      <c r="G138" s="158">
        <f t="shared" si="11"/>
        <v>861</v>
      </c>
      <c r="H138" s="147">
        <v>86100000</v>
      </c>
      <c r="I138" s="147">
        <v>70000000</v>
      </c>
      <c r="J138" s="142" t="s">
        <v>225</v>
      </c>
      <c r="L138" s="13">
        <f t="shared" si="12"/>
        <v>8.61</v>
      </c>
      <c r="M138" s="13"/>
      <c r="N138" s="143" t="s">
        <v>270</v>
      </c>
      <c r="O138" s="150">
        <v>861</v>
      </c>
      <c r="P138" s="13"/>
      <c r="Q138" s="13"/>
      <c r="R138" s="14"/>
      <c r="T138" s="17"/>
      <c r="U138" s="17"/>
    </row>
    <row r="139" spans="1:21" x14ac:dyDescent="0.3">
      <c r="A139" s="34">
        <f t="shared" si="13"/>
        <v>66</v>
      </c>
      <c r="B139" s="35"/>
      <c r="C139" s="139" t="s">
        <v>271</v>
      </c>
      <c r="D139" s="29" t="s">
        <v>104</v>
      </c>
      <c r="E139" s="29"/>
      <c r="F139" s="140" t="s">
        <v>224</v>
      </c>
      <c r="G139" s="140">
        <f t="shared" si="11"/>
        <v>1709.7</v>
      </c>
      <c r="H139" s="151">
        <f>183270000-12300000</f>
        <v>170970000</v>
      </c>
      <c r="I139" s="152">
        <f>149000000-10000000</f>
        <v>139000000</v>
      </c>
      <c r="J139" s="142" t="s">
        <v>225</v>
      </c>
      <c r="L139" s="13">
        <f t="shared" si="12"/>
        <v>17.097000000000001</v>
      </c>
      <c r="M139" s="13"/>
      <c r="N139" s="143" t="s">
        <v>271</v>
      </c>
      <c r="O139" s="150">
        <v>1709.7</v>
      </c>
      <c r="P139" s="13"/>
      <c r="Q139" s="13"/>
      <c r="R139" s="14"/>
      <c r="T139" s="17"/>
      <c r="U139" s="17"/>
    </row>
    <row r="140" spans="1:21" x14ac:dyDescent="0.3">
      <c r="A140" s="34">
        <f t="shared" si="13"/>
        <v>67</v>
      </c>
      <c r="B140" s="35"/>
      <c r="C140" s="139" t="s">
        <v>272</v>
      </c>
      <c r="D140" s="29" t="s">
        <v>104</v>
      </c>
      <c r="E140" s="29"/>
      <c r="F140" s="140" t="s">
        <v>224</v>
      </c>
      <c r="G140" s="140">
        <f t="shared" si="11"/>
        <v>485.85</v>
      </c>
      <c r="H140" s="151">
        <v>48585000</v>
      </c>
      <c r="I140" s="141">
        <v>39500000</v>
      </c>
      <c r="J140" s="142" t="s">
        <v>225</v>
      </c>
      <c r="L140" s="13">
        <f t="shared" si="12"/>
        <v>4.8585000000000003</v>
      </c>
      <c r="M140" s="13"/>
      <c r="N140" s="143" t="s">
        <v>272</v>
      </c>
      <c r="O140" s="150">
        <v>485.85</v>
      </c>
      <c r="P140" s="13"/>
      <c r="Q140" s="13"/>
      <c r="R140" s="14"/>
      <c r="T140" s="17"/>
      <c r="U140" s="17"/>
    </row>
    <row r="141" spans="1:21" ht="26.4" x14ac:dyDescent="0.3">
      <c r="A141" s="34">
        <f t="shared" si="13"/>
        <v>68</v>
      </c>
      <c r="B141" s="35"/>
      <c r="C141" s="139" t="s">
        <v>40</v>
      </c>
      <c r="D141" s="29" t="s">
        <v>104</v>
      </c>
      <c r="E141" s="29"/>
      <c r="F141" s="140" t="s">
        <v>224</v>
      </c>
      <c r="G141" s="140">
        <f t="shared" si="11"/>
        <v>615</v>
      </c>
      <c r="H141" s="151">
        <v>61500000</v>
      </c>
      <c r="I141" s="141">
        <v>50000000</v>
      </c>
      <c r="J141" s="142" t="s">
        <v>225</v>
      </c>
      <c r="L141" s="13">
        <f t="shared" si="12"/>
        <v>6.15</v>
      </c>
      <c r="M141" s="13"/>
      <c r="N141" s="143" t="s">
        <v>40</v>
      </c>
      <c r="O141" s="150">
        <v>615</v>
      </c>
      <c r="P141" s="13"/>
      <c r="Q141" s="13"/>
      <c r="R141" s="14"/>
      <c r="T141" s="17"/>
      <c r="U141" s="17"/>
    </row>
    <row r="142" spans="1:21" x14ac:dyDescent="0.3">
      <c r="A142" s="34">
        <f t="shared" si="13"/>
        <v>69</v>
      </c>
      <c r="B142" s="35"/>
      <c r="C142" s="139" t="s">
        <v>273</v>
      </c>
      <c r="D142" s="29" t="s">
        <v>104</v>
      </c>
      <c r="E142" s="29"/>
      <c r="F142" s="140" t="s">
        <v>224</v>
      </c>
      <c r="G142" s="140">
        <f t="shared" si="11"/>
        <v>442.8</v>
      </c>
      <c r="H142" s="151">
        <v>44280000</v>
      </c>
      <c r="I142" s="141">
        <v>36000000</v>
      </c>
      <c r="J142" s="142" t="s">
        <v>225</v>
      </c>
      <c r="L142" s="13">
        <f t="shared" si="12"/>
        <v>4.4279999999999999</v>
      </c>
      <c r="M142" s="13"/>
      <c r="N142" s="143" t="s">
        <v>273</v>
      </c>
      <c r="O142" s="150">
        <v>442.8</v>
      </c>
      <c r="P142" s="13"/>
      <c r="Q142" s="13"/>
      <c r="R142" s="14"/>
      <c r="T142" s="17"/>
      <c r="U142" s="17"/>
    </row>
    <row r="143" spans="1:21" ht="52.8" x14ac:dyDescent="0.3">
      <c r="A143" s="34">
        <f t="shared" si="13"/>
        <v>70</v>
      </c>
      <c r="B143" s="35"/>
      <c r="C143" s="139" t="s">
        <v>274</v>
      </c>
      <c r="D143" s="29" t="s">
        <v>104</v>
      </c>
      <c r="E143" s="29"/>
      <c r="F143" s="140" t="s">
        <v>224</v>
      </c>
      <c r="G143" s="140">
        <f t="shared" si="11"/>
        <v>270.60000000000002</v>
      </c>
      <c r="H143" s="141">
        <v>27060000</v>
      </c>
      <c r="I143" s="141">
        <v>22000000</v>
      </c>
      <c r="J143" s="142" t="s">
        <v>225</v>
      </c>
      <c r="L143" s="13">
        <f t="shared" si="12"/>
        <v>2.706</v>
      </c>
      <c r="M143" s="13"/>
      <c r="N143" s="143" t="s">
        <v>274</v>
      </c>
      <c r="O143" s="150">
        <v>270.60000000000002</v>
      </c>
      <c r="P143" s="13"/>
      <c r="Q143" s="13"/>
      <c r="R143" s="14"/>
      <c r="T143" s="17"/>
      <c r="U143" s="17"/>
    </row>
    <row r="144" spans="1:21" x14ac:dyDescent="0.3">
      <c r="A144" s="34">
        <f t="shared" si="13"/>
        <v>71</v>
      </c>
      <c r="B144" s="35"/>
      <c r="C144" s="139" t="s">
        <v>275</v>
      </c>
      <c r="D144" s="29">
        <v>4</v>
      </c>
      <c r="E144" s="29"/>
      <c r="F144" s="140" t="s">
        <v>224</v>
      </c>
      <c r="G144" s="140">
        <f t="shared" si="11"/>
        <v>282.89999999999998</v>
      </c>
      <c r="H144" s="141">
        <v>28290000</v>
      </c>
      <c r="I144" s="141">
        <v>23000000</v>
      </c>
      <c r="J144" s="142" t="s">
        <v>225</v>
      </c>
      <c r="L144" s="13">
        <f t="shared" si="12"/>
        <v>2.8290000000000002</v>
      </c>
      <c r="M144" s="13"/>
      <c r="N144" s="143" t="s">
        <v>275</v>
      </c>
      <c r="O144" s="150">
        <v>282.89999999999998</v>
      </c>
      <c r="P144" s="13"/>
      <c r="Q144" s="13"/>
      <c r="R144" s="14"/>
      <c r="T144" s="17"/>
      <c r="U144" s="17"/>
    </row>
    <row r="145" spans="1:21" ht="26.4" x14ac:dyDescent="0.3">
      <c r="A145" s="34">
        <f t="shared" si="13"/>
        <v>72</v>
      </c>
      <c r="B145" s="35"/>
      <c r="C145" s="139" t="s">
        <v>276</v>
      </c>
      <c r="D145" s="29" t="s">
        <v>104</v>
      </c>
      <c r="E145" s="29"/>
      <c r="F145" s="140" t="s">
        <v>224</v>
      </c>
      <c r="G145" s="140">
        <f t="shared" si="11"/>
        <v>301.35000000000002</v>
      </c>
      <c r="H145" s="141">
        <v>30135000</v>
      </c>
      <c r="I145" s="141">
        <v>24500000</v>
      </c>
      <c r="J145" s="142" t="s">
        <v>225</v>
      </c>
      <c r="L145" s="13">
        <f t="shared" si="12"/>
        <v>3.0135000000000001</v>
      </c>
      <c r="M145" s="13"/>
      <c r="N145" s="143" t="s">
        <v>276</v>
      </c>
      <c r="O145" s="150">
        <v>301.35000000000002</v>
      </c>
      <c r="P145" s="13"/>
      <c r="Q145" s="13"/>
      <c r="R145" s="14"/>
      <c r="T145" s="17"/>
      <c r="U145" s="17"/>
    </row>
    <row r="146" spans="1:21" x14ac:dyDescent="0.3">
      <c r="A146" s="34">
        <f t="shared" si="13"/>
        <v>73</v>
      </c>
      <c r="B146" s="35"/>
      <c r="C146" s="139" t="s">
        <v>277</v>
      </c>
      <c r="D146" s="29" t="s">
        <v>104</v>
      </c>
      <c r="E146" s="29"/>
      <c r="F146" s="140" t="s">
        <v>224</v>
      </c>
      <c r="G146" s="140">
        <f t="shared" si="11"/>
        <v>461.25</v>
      </c>
      <c r="H146" s="151">
        <v>46125000</v>
      </c>
      <c r="I146" s="141">
        <v>37500000</v>
      </c>
      <c r="J146" s="142" t="s">
        <v>225</v>
      </c>
      <c r="L146" s="13">
        <f t="shared" si="12"/>
        <v>4.6124999999999998</v>
      </c>
      <c r="M146" s="13"/>
      <c r="N146" s="143" t="s">
        <v>277</v>
      </c>
      <c r="O146" s="150">
        <v>461.25</v>
      </c>
      <c r="P146" s="13"/>
      <c r="Q146" s="13"/>
      <c r="R146" s="14"/>
      <c r="T146" s="17"/>
      <c r="U146" s="17"/>
    </row>
    <row r="147" spans="1:21" ht="26.4" x14ac:dyDescent="0.3">
      <c r="A147" s="34">
        <f t="shared" si="13"/>
        <v>74</v>
      </c>
      <c r="B147" s="35"/>
      <c r="C147" s="139" t="s">
        <v>41</v>
      </c>
      <c r="D147" s="29" t="s">
        <v>104</v>
      </c>
      <c r="E147" s="29"/>
      <c r="F147" s="140" t="s">
        <v>224</v>
      </c>
      <c r="G147" s="140">
        <f t="shared" si="11"/>
        <v>72.569999999999993</v>
      </c>
      <c r="H147" s="141">
        <v>7257000</v>
      </c>
      <c r="I147" s="141">
        <v>5900000</v>
      </c>
      <c r="J147" s="142" t="s">
        <v>225</v>
      </c>
      <c r="L147" s="13">
        <f t="shared" si="12"/>
        <v>0.72570000000000001</v>
      </c>
      <c r="M147" s="13"/>
      <c r="N147" s="143" t="s">
        <v>41</v>
      </c>
      <c r="O147" s="150">
        <v>72.569999999999993</v>
      </c>
      <c r="P147" s="13"/>
      <c r="Q147" s="13"/>
      <c r="R147" s="14"/>
      <c r="T147" s="17"/>
      <c r="U147" s="17"/>
    </row>
    <row r="148" spans="1:21" x14ac:dyDescent="0.3">
      <c r="A148" s="34">
        <f t="shared" si="13"/>
        <v>75</v>
      </c>
      <c r="B148" s="35"/>
      <c r="C148" s="139" t="s">
        <v>42</v>
      </c>
      <c r="D148" s="29" t="s">
        <v>104</v>
      </c>
      <c r="E148" s="29"/>
      <c r="F148" s="140" t="s">
        <v>224</v>
      </c>
      <c r="G148" s="140">
        <f t="shared" si="11"/>
        <v>799.5</v>
      </c>
      <c r="H148" s="151">
        <v>79950000</v>
      </c>
      <c r="I148" s="141">
        <v>65000000</v>
      </c>
      <c r="J148" s="142" t="s">
        <v>225</v>
      </c>
      <c r="L148" s="13">
        <f t="shared" si="12"/>
        <v>7.9950000000000001</v>
      </c>
      <c r="M148" s="13"/>
      <c r="N148" s="143" t="s">
        <v>42</v>
      </c>
      <c r="O148" s="150">
        <v>799.5</v>
      </c>
      <c r="P148" s="13"/>
      <c r="Q148" s="13"/>
      <c r="R148" s="14"/>
      <c r="T148" s="17"/>
      <c r="U148" s="17"/>
    </row>
    <row r="149" spans="1:21" x14ac:dyDescent="0.3">
      <c r="A149" s="34">
        <f t="shared" si="13"/>
        <v>76</v>
      </c>
      <c r="B149" s="35"/>
      <c r="C149" s="139" t="s">
        <v>43</v>
      </c>
      <c r="D149" s="29" t="s">
        <v>104</v>
      </c>
      <c r="E149" s="29"/>
      <c r="F149" s="140" t="s">
        <v>224</v>
      </c>
      <c r="G149" s="140">
        <f t="shared" si="11"/>
        <v>30.75</v>
      </c>
      <c r="H149" s="141">
        <v>3075000</v>
      </c>
      <c r="I149" s="141">
        <v>2500000</v>
      </c>
      <c r="J149" s="142" t="s">
        <v>225</v>
      </c>
      <c r="L149" s="13">
        <f t="shared" si="12"/>
        <v>0.3075</v>
      </c>
      <c r="M149" s="13"/>
      <c r="N149" s="143" t="s">
        <v>43</v>
      </c>
      <c r="O149" s="150">
        <v>30.75</v>
      </c>
      <c r="P149" s="13"/>
      <c r="Q149" s="13"/>
      <c r="R149" s="14"/>
      <c r="T149" s="17"/>
      <c r="U149" s="17"/>
    </row>
    <row r="150" spans="1:21" ht="39.6" x14ac:dyDescent="0.3">
      <c r="A150" s="34">
        <f t="shared" si="13"/>
        <v>77</v>
      </c>
      <c r="B150" s="35"/>
      <c r="C150" s="139" t="s">
        <v>44</v>
      </c>
      <c r="D150" s="29" t="s">
        <v>104</v>
      </c>
      <c r="E150" s="29"/>
      <c r="F150" s="140" t="s">
        <v>224</v>
      </c>
      <c r="G150" s="140">
        <f t="shared" si="11"/>
        <v>344.4</v>
      </c>
      <c r="H150" s="141">
        <v>34440000</v>
      </c>
      <c r="I150" s="141">
        <v>28000000</v>
      </c>
      <c r="J150" s="142" t="s">
        <v>225</v>
      </c>
      <c r="L150" s="13">
        <f t="shared" si="12"/>
        <v>3.444</v>
      </c>
      <c r="M150" s="13"/>
      <c r="N150" s="143" t="s">
        <v>44</v>
      </c>
      <c r="O150" s="150">
        <v>344.4</v>
      </c>
      <c r="P150" s="13"/>
      <c r="Q150" s="13"/>
      <c r="R150" s="14"/>
      <c r="T150" s="17"/>
      <c r="U150" s="17"/>
    </row>
    <row r="151" spans="1:21" ht="39.6" x14ac:dyDescent="0.3">
      <c r="A151" s="34">
        <f t="shared" si="13"/>
        <v>78</v>
      </c>
      <c r="B151" s="35"/>
      <c r="C151" s="139" t="s">
        <v>88</v>
      </c>
      <c r="D151" s="29" t="s">
        <v>104</v>
      </c>
      <c r="E151" s="29"/>
      <c r="F151" s="140" t="s">
        <v>224</v>
      </c>
      <c r="G151" s="140">
        <f t="shared" si="11"/>
        <v>221.4</v>
      </c>
      <c r="H151" s="141">
        <v>22140000</v>
      </c>
      <c r="I151" s="141">
        <v>18000000</v>
      </c>
      <c r="J151" s="142" t="s">
        <v>225</v>
      </c>
      <c r="L151" s="13">
        <f t="shared" si="12"/>
        <v>2.214</v>
      </c>
      <c r="M151" s="13"/>
      <c r="N151" s="143" t="s">
        <v>88</v>
      </c>
      <c r="O151" s="150">
        <v>221.4</v>
      </c>
      <c r="P151" s="13"/>
      <c r="Q151" s="13"/>
      <c r="R151" s="14"/>
      <c r="T151" s="17"/>
      <c r="U151" s="17"/>
    </row>
    <row r="152" spans="1:21" ht="26.4" x14ac:dyDescent="0.3">
      <c r="A152" s="34">
        <f t="shared" si="13"/>
        <v>79</v>
      </c>
      <c r="B152" s="35"/>
      <c r="C152" s="139" t="s">
        <v>89</v>
      </c>
      <c r="D152" s="29" t="s">
        <v>104</v>
      </c>
      <c r="E152" s="29"/>
      <c r="F152" s="140" t="s">
        <v>224</v>
      </c>
      <c r="G152" s="140">
        <f t="shared" si="11"/>
        <v>73.8</v>
      </c>
      <c r="H152" s="141">
        <v>7380000</v>
      </c>
      <c r="I152" s="141">
        <v>6000000</v>
      </c>
      <c r="J152" s="142" t="s">
        <v>225</v>
      </c>
      <c r="L152" s="13">
        <f t="shared" si="12"/>
        <v>0.73799999999999999</v>
      </c>
      <c r="M152" s="13"/>
      <c r="N152" s="143" t="s">
        <v>89</v>
      </c>
      <c r="O152" s="150">
        <v>73.8</v>
      </c>
      <c r="P152" s="13"/>
      <c r="Q152" s="13"/>
      <c r="R152" s="14"/>
      <c r="T152" s="17"/>
      <c r="U152" s="17"/>
    </row>
    <row r="153" spans="1:21" x14ac:dyDescent="0.3">
      <c r="A153" s="34">
        <f t="shared" si="13"/>
        <v>80</v>
      </c>
      <c r="B153" s="35"/>
      <c r="C153" s="139" t="s">
        <v>90</v>
      </c>
      <c r="D153" s="29" t="s">
        <v>104</v>
      </c>
      <c r="E153" s="29"/>
      <c r="F153" s="140" t="s">
        <v>224</v>
      </c>
      <c r="G153" s="140">
        <f t="shared" si="11"/>
        <v>6.15</v>
      </c>
      <c r="H153" s="141">
        <v>615000</v>
      </c>
      <c r="I153" s="141">
        <v>500000</v>
      </c>
      <c r="J153" s="142" t="s">
        <v>225</v>
      </c>
      <c r="L153" s="13">
        <f t="shared" si="12"/>
        <v>6.1499999999999999E-2</v>
      </c>
      <c r="M153" s="13"/>
      <c r="N153" s="143" t="s">
        <v>90</v>
      </c>
      <c r="O153" s="150">
        <v>6.15</v>
      </c>
      <c r="P153" s="13"/>
      <c r="Q153" s="13"/>
      <c r="R153" s="14"/>
      <c r="T153" s="17"/>
      <c r="U153" s="17"/>
    </row>
    <row r="154" spans="1:21" x14ac:dyDescent="0.3">
      <c r="A154" s="34">
        <f t="shared" si="13"/>
        <v>81</v>
      </c>
      <c r="B154" s="35"/>
      <c r="C154" s="139" t="s">
        <v>278</v>
      </c>
      <c r="D154" s="29" t="s">
        <v>104</v>
      </c>
      <c r="E154" s="29"/>
      <c r="F154" s="140" t="s">
        <v>224</v>
      </c>
      <c r="G154" s="140">
        <f t="shared" si="11"/>
        <v>135.30000000000001</v>
      </c>
      <c r="H154" s="141">
        <v>13530000</v>
      </c>
      <c r="I154" s="141">
        <v>11000000</v>
      </c>
      <c r="J154" s="142" t="s">
        <v>225</v>
      </c>
      <c r="L154" s="13">
        <f t="shared" si="12"/>
        <v>1.353</v>
      </c>
      <c r="M154" s="13"/>
      <c r="N154" s="143" t="s">
        <v>278</v>
      </c>
      <c r="O154" s="150">
        <v>135.30000000000001</v>
      </c>
      <c r="P154" s="13"/>
      <c r="Q154" s="13"/>
      <c r="R154" s="14"/>
      <c r="T154" s="17"/>
      <c r="U154" s="17"/>
    </row>
    <row r="155" spans="1:21" x14ac:dyDescent="0.3">
      <c r="A155" s="34">
        <f t="shared" si="13"/>
        <v>82</v>
      </c>
      <c r="B155" s="35"/>
      <c r="C155" s="139" t="s">
        <v>45</v>
      </c>
      <c r="D155" s="29" t="s">
        <v>104</v>
      </c>
      <c r="E155" s="29"/>
      <c r="F155" s="140" t="s">
        <v>224</v>
      </c>
      <c r="G155" s="140">
        <f t="shared" si="11"/>
        <v>6.18</v>
      </c>
      <c r="H155" s="141">
        <f>618690-690</f>
        <v>618000</v>
      </c>
      <c r="I155" s="141">
        <v>503000</v>
      </c>
      <c r="J155" s="142" t="s">
        <v>225</v>
      </c>
      <c r="L155" s="13">
        <f t="shared" si="12"/>
        <v>6.1800000000000001E-2</v>
      </c>
      <c r="M155" s="13"/>
      <c r="N155" s="143" t="s">
        <v>45</v>
      </c>
      <c r="O155" s="150">
        <v>6.18</v>
      </c>
      <c r="P155" s="13"/>
      <c r="Q155" s="13"/>
      <c r="R155" s="14"/>
      <c r="T155" s="17"/>
      <c r="U155" s="17"/>
    </row>
    <row r="156" spans="1:21" x14ac:dyDescent="0.3">
      <c r="A156" s="34">
        <f t="shared" si="13"/>
        <v>83</v>
      </c>
      <c r="B156" s="35"/>
      <c r="C156" s="139" t="s">
        <v>66</v>
      </c>
      <c r="D156" s="29" t="s">
        <v>104</v>
      </c>
      <c r="E156" s="29"/>
      <c r="F156" s="140" t="s">
        <v>224</v>
      </c>
      <c r="G156" s="140">
        <f t="shared" si="11"/>
        <v>98.4</v>
      </c>
      <c r="H156" s="141">
        <v>9840000</v>
      </c>
      <c r="I156" s="141">
        <v>8000000</v>
      </c>
      <c r="J156" s="142" t="s">
        <v>225</v>
      </c>
      <c r="L156" s="13">
        <f t="shared" si="12"/>
        <v>0.98399999999999999</v>
      </c>
      <c r="M156" s="13"/>
      <c r="N156" s="143" t="s">
        <v>66</v>
      </c>
      <c r="O156" s="150">
        <v>98.4</v>
      </c>
      <c r="P156" s="13"/>
      <c r="Q156" s="13"/>
      <c r="R156" s="14"/>
      <c r="T156" s="17"/>
      <c r="U156" s="17"/>
    </row>
    <row r="157" spans="1:21" x14ac:dyDescent="0.3">
      <c r="A157" s="34">
        <f t="shared" si="13"/>
        <v>84</v>
      </c>
      <c r="B157" s="35"/>
      <c r="C157" s="139" t="s">
        <v>279</v>
      </c>
      <c r="D157" s="29" t="s">
        <v>104</v>
      </c>
      <c r="E157" s="29"/>
      <c r="F157" s="140" t="s">
        <v>224</v>
      </c>
      <c r="G157" s="140">
        <f t="shared" si="11"/>
        <v>18.45</v>
      </c>
      <c r="H157" s="141">
        <v>1845000</v>
      </c>
      <c r="I157" s="141">
        <v>1500000</v>
      </c>
      <c r="J157" s="142" t="s">
        <v>225</v>
      </c>
      <c r="L157" s="13">
        <f t="shared" si="12"/>
        <v>0.1845</v>
      </c>
      <c r="M157" s="13"/>
      <c r="N157" s="143" t="s">
        <v>279</v>
      </c>
      <c r="O157" s="150">
        <v>18.45</v>
      </c>
      <c r="P157" s="13"/>
      <c r="Q157" s="13"/>
      <c r="R157" s="14"/>
      <c r="T157" s="17"/>
      <c r="U157" s="17"/>
    </row>
    <row r="158" spans="1:21" ht="26.4" x14ac:dyDescent="0.3">
      <c r="A158" s="34">
        <f t="shared" si="13"/>
        <v>85</v>
      </c>
      <c r="B158" s="35"/>
      <c r="C158" s="139" t="s">
        <v>46</v>
      </c>
      <c r="D158" s="29" t="s">
        <v>104</v>
      </c>
      <c r="E158" s="29"/>
      <c r="F158" s="140" t="s">
        <v>224</v>
      </c>
      <c r="G158" s="140">
        <f t="shared" si="11"/>
        <v>12.3</v>
      </c>
      <c r="H158" s="141">
        <v>1230000</v>
      </c>
      <c r="I158" s="141">
        <v>1000000</v>
      </c>
      <c r="J158" s="142" t="s">
        <v>225</v>
      </c>
      <c r="L158" s="13">
        <f t="shared" si="12"/>
        <v>0.123</v>
      </c>
      <c r="M158" s="13"/>
      <c r="N158" s="143" t="s">
        <v>46</v>
      </c>
      <c r="O158" s="150">
        <v>12.3</v>
      </c>
      <c r="P158" s="13"/>
      <c r="Q158" s="13"/>
      <c r="R158" s="14"/>
      <c r="T158" s="17"/>
      <c r="U158" s="17"/>
    </row>
    <row r="159" spans="1:21" x14ac:dyDescent="0.3">
      <c r="A159" s="34">
        <f t="shared" si="13"/>
        <v>86</v>
      </c>
      <c r="B159" s="35"/>
      <c r="C159" s="139" t="s">
        <v>47</v>
      </c>
      <c r="D159" s="29" t="s">
        <v>104</v>
      </c>
      <c r="E159" s="29"/>
      <c r="F159" s="140" t="s">
        <v>224</v>
      </c>
      <c r="G159" s="140">
        <f t="shared" si="11"/>
        <v>55.35</v>
      </c>
      <c r="H159" s="141">
        <v>5535000</v>
      </c>
      <c r="I159" s="141">
        <v>4500000</v>
      </c>
      <c r="J159" s="142" t="s">
        <v>225</v>
      </c>
      <c r="L159" s="13">
        <f t="shared" si="12"/>
        <v>0.55349999999999999</v>
      </c>
      <c r="M159" s="13"/>
      <c r="N159" s="143" t="s">
        <v>47</v>
      </c>
      <c r="O159" s="150">
        <v>55.35</v>
      </c>
      <c r="P159" s="13"/>
      <c r="Q159" s="13"/>
      <c r="R159" s="14"/>
      <c r="T159" s="17"/>
      <c r="U159" s="17"/>
    </row>
    <row r="160" spans="1:21" x14ac:dyDescent="0.3">
      <c r="A160" s="34">
        <f t="shared" si="13"/>
        <v>87</v>
      </c>
      <c r="B160" s="35"/>
      <c r="C160" s="139" t="s">
        <v>280</v>
      </c>
      <c r="D160" s="29" t="s">
        <v>104</v>
      </c>
      <c r="E160" s="29"/>
      <c r="F160" s="140" t="s">
        <v>224</v>
      </c>
      <c r="G160" s="140">
        <f t="shared" si="11"/>
        <v>25.83</v>
      </c>
      <c r="H160" s="141">
        <v>2583000</v>
      </c>
      <c r="I160" s="141">
        <v>2100000</v>
      </c>
      <c r="J160" s="142" t="s">
        <v>225</v>
      </c>
      <c r="L160" s="13">
        <f t="shared" si="12"/>
        <v>0.25829999999999997</v>
      </c>
      <c r="M160" s="13"/>
      <c r="N160" s="143" t="s">
        <v>280</v>
      </c>
      <c r="O160" s="150">
        <v>25.83</v>
      </c>
      <c r="P160" s="13"/>
      <c r="Q160" s="13"/>
      <c r="R160" s="14"/>
      <c r="T160" s="17"/>
      <c r="U160" s="17"/>
    </row>
    <row r="161" spans="1:21" x14ac:dyDescent="0.3">
      <c r="A161" s="34"/>
      <c r="B161" s="35"/>
      <c r="C161" s="35"/>
      <c r="D161" s="29"/>
      <c r="E161" s="29"/>
      <c r="F161" s="140"/>
      <c r="G161" s="140"/>
      <c r="H161" s="141"/>
      <c r="I161" s="141"/>
      <c r="J161" s="142"/>
      <c r="L161" s="13"/>
      <c r="M161" s="13"/>
      <c r="N161" s="149"/>
      <c r="O161" s="149"/>
      <c r="P161" s="13"/>
      <c r="Q161" s="13"/>
      <c r="R161" s="14"/>
      <c r="T161" s="17"/>
      <c r="U161" s="17"/>
    </row>
    <row r="162" spans="1:21" ht="13.8" thickBot="1" x14ac:dyDescent="0.35">
      <c r="A162" s="42"/>
      <c r="B162" s="43"/>
      <c r="C162" s="43"/>
      <c r="D162" s="44"/>
      <c r="E162" s="44"/>
      <c r="F162" s="123"/>
      <c r="G162" s="123"/>
      <c r="H162" s="45"/>
      <c r="I162" s="45"/>
      <c r="J162" s="44"/>
      <c r="L162" s="13"/>
      <c r="M162" s="13"/>
      <c r="N162" s="149"/>
      <c r="O162" s="149"/>
      <c r="P162" s="13"/>
      <c r="Q162" s="13"/>
      <c r="R162" s="14"/>
      <c r="T162" s="13"/>
    </row>
    <row r="163" spans="1:21" ht="13.8" thickBot="1" x14ac:dyDescent="0.35">
      <c r="A163" s="46"/>
      <c r="B163" s="1217" t="s">
        <v>281</v>
      </c>
      <c r="C163" s="1218"/>
      <c r="D163" s="47"/>
      <c r="E163" s="159"/>
      <c r="F163" s="127"/>
      <c r="G163" s="127"/>
      <c r="H163" s="48">
        <f>SUM(H65:H162)</f>
        <v>3462944200</v>
      </c>
      <c r="I163" s="48">
        <f>SUM(I65:I162)</f>
        <v>2815405500</v>
      </c>
      <c r="J163" s="49"/>
      <c r="L163" s="13"/>
      <c r="M163" s="13"/>
      <c r="N163" s="13"/>
      <c r="O163" s="13"/>
      <c r="P163" s="13"/>
      <c r="Q163" s="13"/>
      <c r="R163" s="14"/>
      <c r="T163" s="13"/>
    </row>
    <row r="164" spans="1:21" x14ac:dyDescent="0.3">
      <c r="B164" s="9"/>
      <c r="D164" s="54"/>
      <c r="E164" s="13"/>
      <c r="F164" s="12"/>
      <c r="G164" s="12"/>
      <c r="H164" s="11">
        <v>3696644200</v>
      </c>
      <c r="I164" s="11">
        <v>3005405500</v>
      </c>
      <c r="J164" s="13"/>
      <c r="L164" s="13"/>
      <c r="M164" s="13"/>
      <c r="N164" s="13"/>
      <c r="O164" s="13"/>
      <c r="P164" s="13"/>
      <c r="Q164" s="13"/>
      <c r="R164" s="14"/>
      <c r="T164" s="13"/>
    </row>
    <row r="165" spans="1:21" x14ac:dyDescent="0.3">
      <c r="B165" s="9"/>
      <c r="D165" s="54"/>
      <c r="E165" s="13"/>
      <c r="F165" s="12"/>
      <c r="G165" s="12"/>
      <c r="H165" s="11">
        <f>+H164-H50</f>
        <v>3462944200</v>
      </c>
      <c r="I165" s="11">
        <f>+I164-I50</f>
        <v>2815405500</v>
      </c>
      <c r="J165" s="13"/>
      <c r="L165" s="13"/>
      <c r="M165" s="13"/>
      <c r="N165" s="13"/>
      <c r="O165" s="13"/>
      <c r="P165" s="13"/>
      <c r="Q165" s="13"/>
      <c r="R165" s="14"/>
      <c r="T165" s="13"/>
    </row>
    <row r="166" spans="1:21" x14ac:dyDescent="0.3">
      <c r="B166" s="9"/>
      <c r="D166" s="54"/>
      <c r="E166" s="13"/>
      <c r="F166" s="12"/>
      <c r="G166" s="12"/>
      <c r="H166" s="11">
        <f>+H163-H165</f>
        <v>0</v>
      </c>
      <c r="I166" s="11">
        <f>+I163-I165</f>
        <v>0</v>
      </c>
      <c r="J166" s="13"/>
      <c r="L166" s="13"/>
      <c r="M166" s="13"/>
      <c r="N166" s="13"/>
      <c r="O166" s="13"/>
      <c r="P166" s="13"/>
      <c r="Q166" s="13"/>
      <c r="R166" s="14"/>
      <c r="T166" s="13"/>
    </row>
    <row r="167" spans="1:21" x14ac:dyDescent="0.3">
      <c r="B167" s="9"/>
      <c r="D167" s="54"/>
      <c r="E167" s="13"/>
      <c r="F167" s="12"/>
      <c r="G167" s="12"/>
      <c r="H167" s="160"/>
      <c r="I167" s="160"/>
      <c r="J167" s="13"/>
      <c r="L167" s="13"/>
      <c r="M167" s="13"/>
      <c r="N167" s="13"/>
      <c r="O167" s="13"/>
      <c r="P167" s="13"/>
      <c r="Q167" s="13"/>
      <c r="R167" s="14"/>
      <c r="T167" s="13"/>
    </row>
    <row r="168" spans="1:21" x14ac:dyDescent="0.3">
      <c r="A168" s="161" t="s">
        <v>282</v>
      </c>
      <c r="B168" s="85" t="s">
        <v>283</v>
      </c>
      <c r="C168" s="85"/>
      <c r="D168" s="54"/>
      <c r="E168" s="54"/>
      <c r="F168" s="86"/>
      <c r="G168" s="86"/>
      <c r="H168" s="93"/>
      <c r="I168" s="93"/>
      <c r="J168" s="54"/>
      <c r="K168" s="54"/>
      <c r="L168" s="54"/>
      <c r="M168" s="54"/>
      <c r="N168" s="54"/>
      <c r="O168" s="54"/>
      <c r="P168" s="54"/>
      <c r="Q168" s="13"/>
      <c r="R168" s="14"/>
      <c r="T168" s="13"/>
    </row>
    <row r="169" spans="1:21" x14ac:dyDescent="0.3">
      <c r="A169" s="10"/>
      <c r="B169" s="85"/>
      <c r="C169" s="85"/>
      <c r="D169" s="54"/>
      <c r="E169" s="54"/>
      <c r="F169" s="86"/>
      <c r="G169" s="86"/>
      <c r="H169" s="93"/>
      <c r="I169" s="93"/>
      <c r="J169" s="54"/>
      <c r="K169" s="54"/>
      <c r="L169" s="54"/>
      <c r="M169" s="54"/>
      <c r="N169" s="54"/>
      <c r="O169" s="54"/>
      <c r="P169" s="54"/>
      <c r="Q169" s="13"/>
      <c r="R169" s="14"/>
      <c r="T169" s="13"/>
    </row>
    <row r="170" spans="1:21" x14ac:dyDescent="0.3">
      <c r="A170" s="10"/>
      <c r="B170" s="162" t="s">
        <v>284</v>
      </c>
      <c r="C170" s="85"/>
      <c r="E170" s="10"/>
      <c r="F170" s="10"/>
      <c r="G170" s="10"/>
      <c r="H170" s="93"/>
      <c r="I170" s="93"/>
      <c r="J170" s="86"/>
      <c r="K170" s="54"/>
      <c r="L170" s="163"/>
      <c r="M170" s="163"/>
      <c r="N170" s="163"/>
      <c r="O170" s="86"/>
      <c r="P170" s="86"/>
      <c r="Q170" s="13"/>
      <c r="R170" s="14"/>
      <c r="T170" s="13"/>
    </row>
    <row r="171" spans="1:21" x14ac:dyDescent="0.3">
      <c r="A171" s="10"/>
      <c r="B171" s="18"/>
      <c r="C171" s="85"/>
      <c r="E171" s="10"/>
      <c r="F171" s="10"/>
      <c r="G171" s="10"/>
      <c r="H171" s="93"/>
      <c r="I171" s="93"/>
      <c r="J171" s="86"/>
      <c r="K171" s="54"/>
      <c r="L171" s="163"/>
      <c r="M171" s="163"/>
      <c r="N171" s="163"/>
      <c r="O171" s="86"/>
      <c r="P171" s="86"/>
      <c r="Q171" s="13"/>
      <c r="R171" s="14"/>
      <c r="T171" s="13"/>
    </row>
    <row r="172" spans="1:21" x14ac:dyDescent="0.3">
      <c r="A172" s="10"/>
      <c r="B172" s="162" t="s">
        <v>285</v>
      </c>
      <c r="C172" s="1493" t="s">
        <v>286</v>
      </c>
      <c r="D172" s="1493"/>
      <c r="E172" s="1493"/>
      <c r="F172" s="1493"/>
      <c r="G172" s="1493"/>
      <c r="H172" s="1493"/>
      <c r="I172" s="1493"/>
      <c r="J172" s="1493"/>
      <c r="K172" s="1493"/>
      <c r="L172" s="1493"/>
      <c r="M172" s="1493"/>
      <c r="N172" s="1493"/>
      <c r="O172" s="164"/>
      <c r="P172" s="164"/>
      <c r="Q172" s="13"/>
      <c r="R172" s="14"/>
      <c r="T172" s="13"/>
    </row>
    <row r="173" spans="1:21" x14ac:dyDescent="0.3">
      <c r="A173" s="10"/>
      <c r="B173" s="162"/>
      <c r="C173" s="1216" t="s">
        <v>287</v>
      </c>
      <c r="D173" s="1216"/>
      <c r="E173" s="1216"/>
      <c r="F173" s="1216"/>
      <c r="G173" s="1216"/>
      <c r="H173" s="1216"/>
      <c r="I173" s="1216"/>
      <c r="J173" s="1216"/>
      <c r="K173" s="1216"/>
      <c r="L173" s="1216"/>
      <c r="M173" s="1216"/>
      <c r="N173" s="1216"/>
      <c r="O173" s="163"/>
      <c r="P173" s="163"/>
      <c r="Q173" s="13"/>
      <c r="R173" s="14"/>
      <c r="T173" s="13"/>
    </row>
    <row r="174" spans="1:21" x14ac:dyDescent="0.3">
      <c r="A174" s="10"/>
      <c r="B174" s="162"/>
      <c r="C174" s="1216"/>
      <c r="D174" s="1216"/>
      <c r="E174" s="1216"/>
      <c r="F174" s="1216"/>
      <c r="G174" s="1216"/>
      <c r="H174" s="1216"/>
      <c r="I174" s="1216"/>
      <c r="J174" s="1216"/>
      <c r="K174" s="1216"/>
      <c r="L174" s="1216"/>
      <c r="M174" s="1216"/>
      <c r="N174" s="1216"/>
      <c r="O174" s="163"/>
      <c r="P174" s="163"/>
      <c r="Q174" s="13"/>
      <c r="R174" s="14"/>
      <c r="T174" s="13"/>
    </row>
    <row r="175" spans="1:21" x14ac:dyDescent="0.3">
      <c r="A175" s="10"/>
      <c r="B175" s="162" t="s">
        <v>288</v>
      </c>
      <c r="C175" s="1216" t="s">
        <v>289</v>
      </c>
      <c r="D175" s="1216"/>
      <c r="E175" s="1216"/>
      <c r="F175" s="1216"/>
      <c r="G175" s="1216"/>
      <c r="H175" s="1216"/>
      <c r="I175" s="1216"/>
      <c r="J175" s="1216"/>
      <c r="K175" s="1216"/>
      <c r="L175" s="1216"/>
      <c r="M175" s="1216"/>
      <c r="N175" s="1216"/>
      <c r="O175" s="163"/>
      <c r="P175" s="163"/>
      <c r="Q175" s="13"/>
      <c r="R175" s="14"/>
      <c r="T175" s="13"/>
    </row>
    <row r="176" spans="1:21" x14ac:dyDescent="0.3">
      <c r="A176" s="10"/>
      <c r="B176" s="162"/>
      <c r="C176" s="1216" t="s">
        <v>290</v>
      </c>
      <c r="D176" s="1216"/>
      <c r="E176" s="1216"/>
      <c r="F176" s="1216"/>
      <c r="G176" s="1216"/>
      <c r="H176" s="1216"/>
      <c r="I176" s="1216"/>
      <c r="J176" s="1216"/>
      <c r="K176" s="1216"/>
      <c r="L176" s="1216"/>
      <c r="M176" s="1216"/>
      <c r="N176" s="1216"/>
      <c r="O176" s="163"/>
      <c r="P176" s="163"/>
      <c r="Q176" s="13"/>
      <c r="R176" s="14"/>
      <c r="T176" s="13"/>
    </row>
    <row r="177" spans="1:20" x14ac:dyDescent="0.3">
      <c r="A177" s="10"/>
      <c r="B177" s="162"/>
      <c r="C177" s="1216"/>
      <c r="D177" s="1216"/>
      <c r="E177" s="1216"/>
      <c r="F177" s="1216"/>
      <c r="G177" s="1216"/>
      <c r="H177" s="1216"/>
      <c r="I177" s="1216"/>
      <c r="J177" s="1216"/>
      <c r="K177" s="1216"/>
      <c r="L177" s="1216"/>
      <c r="M177" s="1216"/>
      <c r="N177" s="1216"/>
      <c r="O177" s="163"/>
      <c r="P177" s="163"/>
      <c r="Q177" s="13"/>
      <c r="R177" s="14"/>
      <c r="T177" s="13"/>
    </row>
    <row r="178" spans="1:20" x14ac:dyDescent="0.3">
      <c r="A178" s="10"/>
      <c r="B178" s="162" t="s">
        <v>291</v>
      </c>
      <c r="C178" s="1216" t="s">
        <v>292</v>
      </c>
      <c r="D178" s="1216"/>
      <c r="E178" s="1216"/>
      <c r="F178" s="1216"/>
      <c r="G178" s="1216"/>
      <c r="H178" s="1216"/>
      <c r="I178" s="1216"/>
      <c r="J178" s="1216"/>
      <c r="K178" s="1216"/>
      <c r="L178" s="1216"/>
      <c r="M178" s="1216"/>
      <c r="N178" s="1216"/>
      <c r="O178" s="163"/>
      <c r="P178" s="163"/>
      <c r="Q178" s="13"/>
      <c r="R178" s="14"/>
      <c r="T178" s="13"/>
    </row>
    <row r="179" spans="1:20" x14ac:dyDescent="0.3">
      <c r="A179" s="10"/>
      <c r="B179" s="18"/>
      <c r="C179" s="1216" t="s">
        <v>293</v>
      </c>
      <c r="D179" s="1216"/>
      <c r="E179" s="1216"/>
      <c r="F179" s="1216"/>
      <c r="G179" s="1216"/>
      <c r="H179" s="1216"/>
      <c r="I179" s="1216"/>
      <c r="J179" s="1216"/>
      <c r="K179" s="1216"/>
      <c r="L179" s="1216"/>
      <c r="M179" s="1216"/>
      <c r="N179" s="1216"/>
      <c r="O179" s="163"/>
      <c r="P179" s="163"/>
      <c r="Q179" s="13"/>
      <c r="R179" s="14"/>
      <c r="T179" s="13"/>
    </row>
    <row r="180" spans="1:20" x14ac:dyDescent="0.3">
      <c r="A180" s="10"/>
      <c r="B180" s="18"/>
      <c r="C180" s="1216" t="s">
        <v>294</v>
      </c>
      <c r="D180" s="1216"/>
      <c r="E180" s="1216"/>
      <c r="F180" s="1216"/>
      <c r="G180" s="1216"/>
      <c r="H180" s="1216"/>
      <c r="I180" s="1216"/>
      <c r="J180" s="1216"/>
      <c r="K180" s="1216"/>
      <c r="L180" s="1216"/>
      <c r="M180" s="1216"/>
      <c r="N180" s="1216"/>
      <c r="O180" s="163"/>
      <c r="P180" s="163"/>
      <c r="Q180" s="13"/>
      <c r="R180" s="14"/>
      <c r="T180" s="13"/>
    </row>
    <row r="181" spans="1:20" x14ac:dyDescent="0.3">
      <c r="A181" s="10"/>
      <c r="B181" s="18"/>
      <c r="C181" s="1216" t="s">
        <v>295</v>
      </c>
      <c r="D181" s="1216"/>
      <c r="E181" s="1216"/>
      <c r="F181" s="1216"/>
      <c r="G181" s="1216"/>
      <c r="H181" s="1216"/>
      <c r="I181" s="1216"/>
      <c r="J181" s="1216"/>
      <c r="K181" s="1216"/>
      <c r="L181" s="1216"/>
      <c r="M181" s="1216"/>
      <c r="N181" s="1216"/>
      <c r="O181" s="163"/>
      <c r="P181" s="163"/>
      <c r="Q181" s="13"/>
      <c r="R181" s="14"/>
      <c r="T181" s="13"/>
    </row>
    <row r="182" spans="1:20" x14ac:dyDescent="0.3">
      <c r="C182" s="14"/>
      <c r="D182" s="14"/>
      <c r="E182" s="14"/>
      <c r="F182" s="14"/>
      <c r="G182" s="14"/>
      <c r="H182" s="165"/>
      <c r="I182" s="165"/>
      <c r="J182" s="14"/>
      <c r="K182" s="14"/>
      <c r="O182" s="14"/>
      <c r="P182" s="14"/>
      <c r="Q182" s="13"/>
      <c r="R182" s="14"/>
      <c r="T182" s="13"/>
    </row>
    <row r="185" spans="1:20" x14ac:dyDescent="0.3">
      <c r="A185" s="13"/>
      <c r="B185" s="18"/>
      <c r="C185" s="85"/>
      <c r="E185" s="10"/>
      <c r="F185" s="10"/>
      <c r="G185" s="10"/>
      <c r="H185" s="93"/>
      <c r="I185" s="93"/>
      <c r="J185" s="86"/>
      <c r="K185" s="54"/>
      <c r="L185" s="163"/>
      <c r="M185" s="163"/>
      <c r="N185" s="163"/>
      <c r="O185" s="86"/>
      <c r="Q185" s="13"/>
      <c r="R185" s="14"/>
      <c r="T185" s="13"/>
    </row>
    <row r="186" spans="1:20" x14ac:dyDescent="0.3">
      <c r="A186" s="13"/>
      <c r="B186" s="18"/>
      <c r="C186" s="85"/>
      <c r="E186" s="10"/>
      <c r="F186" s="10"/>
      <c r="G186" s="10"/>
      <c r="H186" s="93"/>
      <c r="I186" s="93"/>
      <c r="J186" s="86"/>
      <c r="K186" s="54"/>
      <c r="L186" s="163"/>
      <c r="M186" s="163"/>
      <c r="N186" s="163"/>
      <c r="O186" s="86"/>
      <c r="Q186" s="13"/>
      <c r="R186" s="14"/>
      <c r="T186" s="13"/>
    </row>
    <row r="187" spans="1:20" x14ac:dyDescent="0.3">
      <c r="A187" s="13"/>
      <c r="B187" s="18"/>
      <c r="C187" s="85"/>
      <c r="E187" s="10"/>
      <c r="F187" s="10"/>
      <c r="G187" s="10"/>
      <c r="H187" s="93"/>
      <c r="I187" s="93"/>
      <c r="J187" s="86"/>
      <c r="K187" s="54"/>
      <c r="L187" s="163"/>
      <c r="M187" s="163"/>
      <c r="N187" s="163"/>
      <c r="O187" s="86"/>
      <c r="Q187" s="13"/>
      <c r="R187" s="14"/>
      <c r="T187" s="13"/>
    </row>
    <row r="188" spans="1:20" x14ac:dyDescent="0.3">
      <c r="A188" s="13"/>
      <c r="B188" s="18"/>
      <c r="C188" s="85"/>
      <c r="E188" s="10"/>
      <c r="F188" s="10"/>
      <c r="G188" s="10"/>
      <c r="H188" s="93"/>
      <c r="I188" s="93"/>
      <c r="J188" s="86"/>
      <c r="K188" s="54"/>
      <c r="L188" s="163"/>
      <c r="M188" s="163"/>
      <c r="N188" s="163"/>
      <c r="O188" s="86"/>
      <c r="Q188" s="13"/>
      <c r="R188" s="14"/>
      <c r="T188" s="13"/>
    </row>
    <row r="189" spans="1:20" x14ac:dyDescent="0.3">
      <c r="A189" s="13"/>
      <c r="B189" s="18"/>
      <c r="C189" s="85"/>
      <c r="E189" s="10"/>
      <c r="F189" s="10"/>
      <c r="G189" s="10"/>
      <c r="H189" s="93"/>
      <c r="I189" s="93"/>
      <c r="J189" s="86"/>
      <c r="K189" s="54"/>
      <c r="L189" s="163"/>
      <c r="M189" s="163"/>
      <c r="N189" s="163"/>
      <c r="O189" s="86"/>
      <c r="Q189" s="13"/>
      <c r="R189" s="14"/>
      <c r="T189" s="13"/>
    </row>
    <row r="190" spans="1:20" x14ac:dyDescent="0.3">
      <c r="A190" s="13"/>
      <c r="B190" s="162" t="s">
        <v>296</v>
      </c>
      <c r="C190" s="166" t="s">
        <v>297</v>
      </c>
      <c r="E190" s="10"/>
      <c r="F190" s="10"/>
      <c r="G190" s="10"/>
      <c r="H190" s="93"/>
      <c r="I190" s="93"/>
      <c r="J190" s="86"/>
      <c r="K190" s="167"/>
      <c r="L190" s="168"/>
      <c r="M190" s="168"/>
      <c r="N190" s="168"/>
      <c r="O190" s="86"/>
      <c r="Q190" s="13"/>
      <c r="R190" s="14"/>
      <c r="T190" s="13"/>
    </row>
    <row r="191" spans="1:20" x14ac:dyDescent="0.3">
      <c r="A191" s="13"/>
      <c r="B191" s="162"/>
      <c r="C191" s="85"/>
      <c r="E191" s="10"/>
      <c r="F191" s="10"/>
      <c r="G191" s="10"/>
      <c r="H191" s="93"/>
      <c r="I191" s="93"/>
      <c r="J191" s="86"/>
      <c r="K191" s="54"/>
      <c r="L191" s="163"/>
      <c r="M191" s="59" t="s">
        <v>298</v>
      </c>
      <c r="N191" s="163"/>
      <c r="O191" s="86"/>
      <c r="Q191" s="13"/>
      <c r="R191" s="14"/>
      <c r="T191" s="13"/>
    </row>
    <row r="192" spans="1:20" x14ac:dyDescent="0.3">
      <c r="A192" s="13"/>
      <c r="B192" s="162" t="s">
        <v>299</v>
      </c>
      <c r="C192" s="166"/>
      <c r="E192" s="10"/>
      <c r="F192" s="10"/>
      <c r="G192" s="10"/>
      <c r="H192" s="93"/>
      <c r="I192" s="93"/>
      <c r="J192" s="86"/>
      <c r="K192" s="54"/>
      <c r="L192" s="54" t="s">
        <v>300</v>
      </c>
      <c r="M192" s="163"/>
      <c r="N192" s="163"/>
      <c r="O192" s="86"/>
      <c r="Q192" s="13"/>
      <c r="R192" s="14"/>
      <c r="T192" s="13"/>
    </row>
    <row r="193" spans="1:20" x14ac:dyDescent="0.3">
      <c r="A193" s="13"/>
      <c r="B193" s="162"/>
      <c r="C193" s="85"/>
      <c r="E193" s="10"/>
      <c r="F193" s="10"/>
      <c r="G193" s="10"/>
      <c r="H193" s="93"/>
      <c r="I193" s="93"/>
      <c r="J193" s="86"/>
      <c r="K193" s="54"/>
      <c r="L193" s="163"/>
      <c r="M193" s="163"/>
      <c r="N193" s="163"/>
      <c r="O193" s="86"/>
      <c r="Q193" s="13"/>
      <c r="R193" s="14"/>
      <c r="T193" s="13"/>
    </row>
    <row r="194" spans="1:20" x14ac:dyDescent="0.3">
      <c r="A194" s="13"/>
      <c r="B194" s="169" t="s">
        <v>301</v>
      </c>
      <c r="C194" s="93">
        <v>1</v>
      </c>
      <c r="D194" s="90" t="s">
        <v>302</v>
      </c>
      <c r="E194" s="90"/>
      <c r="F194" s="10"/>
      <c r="G194" s="10"/>
      <c r="H194" s="93"/>
      <c r="I194" s="93"/>
      <c r="J194" s="86"/>
      <c r="K194" s="54"/>
      <c r="L194" s="163"/>
      <c r="M194" s="163"/>
      <c r="N194" s="163"/>
      <c r="O194" s="86"/>
    </row>
    <row r="195" spans="1:20" x14ac:dyDescent="0.3">
      <c r="A195" s="13"/>
      <c r="B195" s="18"/>
      <c r="C195" s="170"/>
      <c r="D195" s="90" t="s">
        <v>303</v>
      </c>
      <c r="E195" s="90"/>
      <c r="F195" s="10"/>
      <c r="G195" s="10"/>
      <c r="H195" s="93"/>
      <c r="I195" s="93"/>
      <c r="J195" s="86"/>
      <c r="K195" s="54"/>
      <c r="L195" s="163"/>
      <c r="M195" s="163"/>
      <c r="N195" s="163"/>
      <c r="O195" s="86"/>
    </row>
    <row r="196" spans="1:20" x14ac:dyDescent="0.3">
      <c r="A196" s="13"/>
      <c r="B196" s="18"/>
      <c r="C196" s="170"/>
      <c r="E196" s="10"/>
      <c r="F196" s="10"/>
      <c r="G196" s="10"/>
      <c r="H196" s="93"/>
      <c r="I196" s="93"/>
      <c r="J196" s="86"/>
      <c r="K196" s="54"/>
      <c r="L196" s="163"/>
      <c r="M196" s="163"/>
      <c r="N196" s="163"/>
      <c r="O196" s="86"/>
    </row>
    <row r="197" spans="1:20" x14ac:dyDescent="0.3">
      <c r="A197" s="13"/>
      <c r="B197" s="18"/>
      <c r="C197" s="93">
        <v>2</v>
      </c>
      <c r="D197" s="90" t="s">
        <v>304</v>
      </c>
      <c r="E197" s="90"/>
      <c r="F197" s="10"/>
      <c r="G197" s="10"/>
      <c r="H197" s="93"/>
      <c r="I197" s="93"/>
      <c r="J197" s="86"/>
      <c r="K197" s="54"/>
      <c r="L197" s="163"/>
      <c r="M197" s="163"/>
      <c r="N197" s="163"/>
      <c r="O197" s="86"/>
    </row>
    <row r="201" spans="1:20" ht="13.8" thickBot="1" x14ac:dyDescent="0.35">
      <c r="A201" s="171"/>
      <c r="B201" s="172"/>
      <c r="C201" s="173"/>
      <c r="D201" s="174"/>
      <c r="E201" s="171"/>
      <c r="F201" s="171"/>
      <c r="G201" s="171"/>
      <c r="H201" s="175"/>
      <c r="I201" s="175"/>
      <c r="J201" s="176"/>
      <c r="K201" s="177"/>
      <c r="L201" s="178"/>
      <c r="M201" s="178"/>
      <c r="N201" s="178"/>
      <c r="O201" s="176"/>
      <c r="P201" s="176"/>
      <c r="Q201" s="179"/>
      <c r="R201" s="179"/>
      <c r="S201" s="177"/>
    </row>
    <row r="202" spans="1:20" ht="14.4" thickTop="1" thickBot="1" x14ac:dyDescent="0.35"/>
    <row r="203" spans="1:20" ht="13.8" thickBot="1" x14ac:dyDescent="0.35">
      <c r="H203" s="180">
        <f>+H163+H48</f>
        <v>7135812200</v>
      </c>
      <c r="I203" s="180">
        <f>+I163+I48</f>
        <v>5845474500</v>
      </c>
    </row>
    <row r="204" spans="1:20" x14ac:dyDescent="0.3">
      <c r="A204" s="13"/>
      <c r="B204" s="13"/>
      <c r="F204" s="8"/>
      <c r="G204" s="8"/>
    </row>
    <row r="205" spans="1:20" ht="13.8" thickBot="1" x14ac:dyDescent="0.35">
      <c r="A205" s="13"/>
      <c r="B205" s="13"/>
    </row>
    <row r="206" spans="1:20" ht="13.8" thickBot="1" x14ac:dyDescent="0.35">
      <c r="A206" s="13"/>
      <c r="B206" s="13"/>
      <c r="C206" s="9" t="s">
        <v>305</v>
      </c>
      <c r="I206" s="181">
        <f>+I48</f>
        <v>3030069000</v>
      </c>
      <c r="K206" s="17"/>
      <c r="L206" s="165"/>
    </row>
    <row r="207" spans="1:20" x14ac:dyDescent="0.3">
      <c r="A207" s="13"/>
      <c r="B207" s="13"/>
    </row>
    <row r="208" spans="1:20" x14ac:dyDescent="0.3">
      <c r="H208" s="11">
        <f>7135812190</f>
        <v>7135812190</v>
      </c>
    </row>
    <row r="209" spans="4:8" s="13" customFormat="1" x14ac:dyDescent="0.3">
      <c r="D209" s="10"/>
      <c r="E209" s="7"/>
      <c r="F209" s="7"/>
      <c r="G209" s="7"/>
      <c r="H209" s="11">
        <f>+H208-H203</f>
        <v>-10</v>
      </c>
    </row>
    <row r="214" spans="4:8" s="13" customFormat="1" x14ac:dyDescent="0.3">
      <c r="D214" s="182" t="s">
        <v>306</v>
      </c>
      <c r="E214" s="150"/>
      <c r="F214" s="150"/>
      <c r="G214" s="182"/>
      <c r="H214" s="183">
        <v>750000000</v>
      </c>
    </row>
    <row r="215" spans="4:8" s="13" customFormat="1" x14ac:dyDescent="0.3">
      <c r="D215" s="182" t="s">
        <v>307</v>
      </c>
      <c r="E215" s="150"/>
      <c r="F215" s="150"/>
      <c r="G215" s="182"/>
      <c r="H215" s="183">
        <v>2029425000</v>
      </c>
    </row>
    <row r="216" spans="4:8" s="13" customFormat="1" x14ac:dyDescent="0.3">
      <c r="D216" s="182" t="s">
        <v>308</v>
      </c>
      <c r="E216" s="150"/>
      <c r="F216" s="150"/>
      <c r="G216" s="182"/>
      <c r="H216" s="183">
        <f>680661000+382173000+208428810</f>
        <v>1271262810</v>
      </c>
    </row>
    <row r="217" spans="4:8" s="13" customFormat="1" x14ac:dyDescent="0.3">
      <c r="D217" s="182" t="s">
        <v>309</v>
      </c>
      <c r="E217" s="150"/>
      <c r="F217" s="150"/>
      <c r="G217" s="182"/>
      <c r="H217" s="183">
        <v>350000000</v>
      </c>
    </row>
    <row r="218" spans="4:8" s="13" customFormat="1" x14ac:dyDescent="0.3">
      <c r="D218" s="182" t="s">
        <v>310</v>
      </c>
      <c r="E218" s="150"/>
      <c r="F218" s="150"/>
      <c r="G218" s="182"/>
      <c r="H218" s="183">
        <v>3672868000</v>
      </c>
    </row>
    <row r="219" spans="4:8" s="13" customFormat="1" x14ac:dyDescent="0.3">
      <c r="D219" s="182" t="s">
        <v>311</v>
      </c>
      <c r="E219" s="150"/>
      <c r="F219" s="150"/>
      <c r="G219" s="182"/>
      <c r="H219" s="183">
        <v>3462944190</v>
      </c>
    </row>
    <row r="220" spans="4:8" s="13" customFormat="1" x14ac:dyDescent="0.3">
      <c r="D220" s="184" t="s">
        <v>312</v>
      </c>
      <c r="E220" s="150"/>
      <c r="F220" s="150"/>
      <c r="G220" s="182"/>
      <c r="H220" s="185">
        <v>11536500000</v>
      </c>
    </row>
    <row r="247" spans="3:18" s="13" customFormat="1" x14ac:dyDescent="0.3">
      <c r="C247" s="9"/>
      <c r="D247" s="54"/>
      <c r="H247" s="17"/>
      <c r="I247" s="17"/>
      <c r="R247" s="14"/>
    </row>
    <row r="248" spans="3:18" s="13" customFormat="1" x14ac:dyDescent="0.3">
      <c r="C248" s="9"/>
      <c r="D248" s="54"/>
      <c r="H248" s="17"/>
      <c r="I248" s="17"/>
      <c r="R248" s="14"/>
    </row>
    <row r="249" spans="3:18" s="13" customFormat="1" x14ac:dyDescent="0.3">
      <c r="C249" s="9"/>
      <c r="D249" s="54"/>
      <c r="H249" s="17"/>
      <c r="I249" s="17"/>
      <c r="R249" s="14"/>
    </row>
    <row r="250" spans="3:18" s="13" customFormat="1" x14ac:dyDescent="0.3">
      <c r="C250" s="9"/>
      <c r="D250" s="54"/>
      <c r="H250" s="17"/>
      <c r="I250" s="17"/>
      <c r="R250" s="14"/>
    </row>
  </sheetData>
  <mergeCells count="60">
    <mergeCell ref="C181:N181"/>
    <mergeCell ref="C175:N175"/>
    <mergeCell ref="C177:N177"/>
    <mergeCell ref="C178:N178"/>
    <mergeCell ref="C179:N179"/>
    <mergeCell ref="C180:N180"/>
    <mergeCell ref="C176:N176"/>
    <mergeCell ref="A54:A63"/>
    <mergeCell ref="B54:B61"/>
    <mergeCell ref="C54:C61"/>
    <mergeCell ref="E56:F56"/>
    <mergeCell ref="E57:E63"/>
    <mergeCell ref="F57:F63"/>
    <mergeCell ref="B62:B63"/>
    <mergeCell ref="B163:C163"/>
    <mergeCell ref="C172:N172"/>
    <mergeCell ref="C173:N173"/>
    <mergeCell ref="C174:N174"/>
    <mergeCell ref="B48:C48"/>
    <mergeCell ref="B51:C51"/>
    <mergeCell ref="B53:C53"/>
    <mergeCell ref="D53:D63"/>
    <mergeCell ref="E53:F55"/>
    <mergeCell ref="C62:C63"/>
    <mergeCell ref="I53:I56"/>
    <mergeCell ref="J53:J63"/>
    <mergeCell ref="I57:I63"/>
    <mergeCell ref="H53:H63"/>
    <mergeCell ref="P16:P21"/>
    <mergeCell ref="Q16:Q21"/>
    <mergeCell ref="B20:B21"/>
    <mergeCell ref="C20:C21"/>
    <mergeCell ref="J20:J21"/>
    <mergeCell ref="K20:K21"/>
    <mergeCell ref="L20:L21"/>
    <mergeCell ref="O11:O21"/>
    <mergeCell ref="P11:Q15"/>
    <mergeCell ref="L15:L19"/>
    <mergeCell ref="R11:R21"/>
    <mergeCell ref="W11:W21"/>
    <mergeCell ref="A12:A21"/>
    <mergeCell ref="B12:B19"/>
    <mergeCell ref="C12:C19"/>
    <mergeCell ref="E14:F14"/>
    <mergeCell ref="E15:E21"/>
    <mergeCell ref="F15:F21"/>
    <mergeCell ref="H11:H21"/>
    <mergeCell ref="I11:I14"/>
    <mergeCell ref="J11:J18"/>
    <mergeCell ref="K11:L14"/>
    <mergeCell ref="M11:M21"/>
    <mergeCell ref="N11:N21"/>
    <mergeCell ref="I15:I21"/>
    <mergeCell ref="K15:K19"/>
    <mergeCell ref="E3:F3"/>
    <mergeCell ref="E4:F4"/>
    <mergeCell ref="B9:F9"/>
    <mergeCell ref="B11:C11"/>
    <mergeCell ref="D11:D21"/>
    <mergeCell ref="E11:F13"/>
  </mergeCells>
  <printOptions horizontalCentered="1" verticalCentered="1" gridLines="1"/>
  <pageMargins left="0" right="0" top="0" bottom="0" header="0" footer="0"/>
  <pageSetup paperSize="9" scale="25"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WFL Format-4</vt:lpstr>
      <vt:lpstr>Querydoubt</vt:lpstr>
      <vt:lpstr>GTL Format-4 (9)</vt:lpstr>
      <vt:lpstr>For uploading</vt:lpstr>
      <vt:lpstr>UID application COMBINE Mc list</vt:lpstr>
      <vt:lpstr>Format 4</vt:lpstr>
      <vt:lpstr>WFL JIT-Points</vt:lpstr>
      <vt:lpstr>WFL Preparation for JIT appli.</vt:lpstr>
      <vt:lpstr>WFL Project-team</vt:lpstr>
      <vt:lpstr>WFL MOK</vt:lpstr>
      <vt:lpstr>WFL Format-4(9)-Vipul</vt:lpstr>
      <vt:lpstr>WFL Abhimanu-3-june-20</vt:lpstr>
      <vt:lpstr>Registration-Suppliers</vt:lpstr>
      <vt:lpstr>WFL Imported-MC-BE-Rate-value</vt:lpstr>
      <vt:lpstr>WFL Domestic-MC</vt:lpstr>
      <vt:lpstr>WFL Format-4 (2)</vt:lpstr>
      <vt:lpstr>MOM-26-11-2019</vt:lpstr>
      <vt:lpstr>Suppliers</vt:lpstr>
      <vt:lpstr>WFL P&amp;M-RR2</vt:lpstr>
      <vt:lpstr>'Format 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2025-03-25T11:24:04Z</dcterms:modified>
</cp:coreProperties>
</file>