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770" windowHeight="9660" activeTab="1"/>
  </bookViews>
  <sheets>
    <sheet name="Land" sheetId="1" r:id="rId1"/>
    <sheet name="Building Sheet" sheetId="3" r:id="rId2"/>
    <sheet name="Boundary Wall" sheetId="5" r:id="rId3"/>
  </sheets>
  <calcPr calcId="152511"/>
</workbook>
</file>

<file path=xl/calcChain.xml><?xml version="1.0" encoding="utf-8"?>
<calcChain xmlns="http://schemas.openxmlformats.org/spreadsheetml/2006/main">
  <c r="L12" i="1" l="1"/>
  <c r="L11" i="1"/>
  <c r="N17" i="5" l="1"/>
  <c r="N13" i="5"/>
  <c r="D18" i="1" l="1"/>
  <c r="J4" i="1" l="1"/>
  <c r="F13" i="1" l="1"/>
  <c r="G13" i="1" s="1"/>
  <c r="V33" i="3"/>
  <c r="V30" i="3"/>
  <c r="V31" i="3"/>
  <c r="V32" i="3"/>
  <c r="V29" i="3"/>
  <c r="V26" i="3"/>
  <c r="V27" i="3"/>
  <c r="V28" i="3"/>
  <c r="V25" i="3"/>
  <c r="V17" i="3"/>
  <c r="V24" i="3"/>
  <c r="V23" i="3"/>
  <c r="V22" i="3"/>
  <c r="V20" i="3"/>
  <c r="V21" i="3"/>
  <c r="V19" i="3"/>
  <c r="V18" i="3"/>
  <c r="F41" i="3"/>
  <c r="F40" i="3"/>
  <c r="H33" i="3"/>
  <c r="H20" i="3"/>
  <c r="H18" i="3"/>
  <c r="H19" i="3"/>
  <c r="H21" i="3"/>
  <c r="H22" i="3"/>
  <c r="H23" i="3"/>
  <c r="H24" i="3"/>
  <c r="H25" i="3"/>
  <c r="H29" i="3"/>
  <c r="H30" i="3"/>
  <c r="H31" i="3"/>
  <c r="H32" i="3"/>
  <c r="H17" i="3"/>
  <c r="M30" i="3"/>
  <c r="R30" i="3" s="1"/>
  <c r="M31" i="3"/>
  <c r="M32" i="3"/>
  <c r="M29" i="3"/>
  <c r="Q29" i="3"/>
  <c r="Q30" i="3"/>
  <c r="Q31" i="3"/>
  <c r="Q32" i="3"/>
  <c r="R32" i="3" s="1"/>
  <c r="I29" i="3"/>
  <c r="R31" i="3" l="1"/>
  <c r="S31" i="3" s="1"/>
  <c r="U31" i="3" s="1"/>
  <c r="R29" i="3"/>
  <c r="S32" i="3"/>
  <c r="U32" i="3" s="1"/>
  <c r="S30" i="3"/>
  <c r="U30" i="3" s="1"/>
  <c r="S29" i="3"/>
  <c r="U29" i="3" s="1"/>
  <c r="E13" i="1" l="1"/>
  <c r="K4" i="1"/>
  <c r="E4" i="1"/>
  <c r="I33" i="3" l="1"/>
  <c r="Q28" i="3"/>
  <c r="M28" i="3"/>
  <c r="Q27" i="3"/>
  <c r="M27" i="3"/>
  <c r="Q25" i="3"/>
  <c r="M25" i="3"/>
  <c r="Q24" i="3"/>
  <c r="M24" i="3"/>
  <c r="Q23" i="3"/>
  <c r="M23" i="3"/>
  <c r="Q22" i="3"/>
  <c r="M22" i="3"/>
  <c r="Q21" i="3"/>
  <c r="M21" i="3"/>
  <c r="Q20" i="3"/>
  <c r="M20" i="3"/>
  <c r="Q19" i="3"/>
  <c r="M19" i="3"/>
  <c r="Q18" i="3"/>
  <c r="M18" i="3"/>
  <c r="Q17" i="3"/>
  <c r="M17" i="3"/>
  <c r="R17" i="3" l="1"/>
  <c r="S17" i="3" s="1"/>
  <c r="U17" i="3" s="1"/>
  <c r="R25" i="3"/>
  <c r="S25" i="3" s="1"/>
  <c r="U25" i="3" s="1"/>
  <c r="R22" i="3"/>
  <c r="S22" i="3" s="1"/>
  <c r="U22" i="3" s="1"/>
  <c r="R18" i="3"/>
  <c r="S18" i="3" s="1"/>
  <c r="R19" i="3"/>
  <c r="S19" i="3" s="1"/>
  <c r="U19" i="3" s="1"/>
  <c r="R20" i="3"/>
  <c r="S20" i="3" s="1"/>
  <c r="U20" i="3" s="1"/>
  <c r="R23" i="3"/>
  <c r="Q33" i="3"/>
  <c r="R28" i="3"/>
  <c r="S28" i="3" s="1"/>
  <c r="U28" i="3" s="1"/>
  <c r="R21" i="3"/>
  <c r="S21" i="3" s="1"/>
  <c r="U21" i="3" s="1"/>
  <c r="R24" i="3"/>
  <c r="S24" i="3" s="1"/>
  <c r="U24" i="3" s="1"/>
  <c r="R27" i="3"/>
  <c r="S27" i="3" s="1"/>
  <c r="U27" i="3" s="1"/>
  <c r="R13" i="3" l="1"/>
  <c r="U13" i="3"/>
  <c r="R33" i="3"/>
  <c r="S23" i="3"/>
  <c r="U23" i="3" s="1"/>
  <c r="U18" i="3"/>
  <c r="E5" i="5"/>
  <c r="S33" i="3" l="1"/>
  <c r="U33" i="3"/>
  <c r="K12" i="1" s="1"/>
  <c r="J5" i="5" l="1"/>
  <c r="H5" i="5"/>
  <c r="K5" i="5" l="1"/>
  <c r="L5" i="5" s="1"/>
  <c r="N5" i="5" s="1"/>
  <c r="N12" i="5" s="1"/>
  <c r="N14" i="5" s="1"/>
  <c r="K5" i="1" l="1"/>
  <c r="K11" i="1" s="1"/>
  <c r="G14" i="1"/>
  <c r="K14" i="1" l="1"/>
  <c r="K15" i="1" l="1"/>
  <c r="K16" i="1" s="1"/>
</calcChain>
</file>

<file path=xl/sharedStrings.xml><?xml version="1.0" encoding="utf-8"?>
<sst xmlns="http://schemas.openxmlformats.org/spreadsheetml/2006/main" count="153" uniqueCount="92">
  <si>
    <t>FMV</t>
  </si>
  <si>
    <t>Discription</t>
  </si>
  <si>
    <t>Total</t>
  </si>
  <si>
    <t>Sr No.</t>
  </si>
  <si>
    <t>Rate Range</t>
  </si>
  <si>
    <t>Basic rate on Super Area</t>
  </si>
  <si>
    <t>Discount</t>
  </si>
  <si>
    <t>Primium</t>
  </si>
  <si>
    <t>Rate Adopted</t>
  </si>
  <si>
    <t>Remark</t>
  </si>
  <si>
    <t>Remarks:</t>
  </si>
  <si>
    <t>2. Area details are mentioned above is taken from the documents provided to us by Client.</t>
  </si>
  <si>
    <t>4. The valuation is done by considering the Market Comparable Sales Method.</t>
  </si>
  <si>
    <t xml:space="preserve"> Circle rate in Rs.</t>
  </si>
  <si>
    <t>CIRCLE RATE</t>
  </si>
  <si>
    <t>Roundoff</t>
  </si>
  <si>
    <t>Type of Structure</t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</si>
  <si>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</si>
  <si>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</si>
  <si>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</si>
  <si>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</si>
  <si>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</si>
  <si>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</si>
  <si>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t>Gross Replacement Value
(INR)</t>
  </si>
  <si>
    <t>Depreciation amount
(INR)</t>
  </si>
  <si>
    <t>Discounting Factor</t>
  </si>
  <si>
    <t>Depreciated Replacement Market Value
(INR)</t>
  </si>
  <si>
    <t>Land</t>
  </si>
  <si>
    <t>Building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</si>
  <si>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</si>
  <si>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</si>
  <si>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</si>
  <si>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Depreciation
(INR) </t>
  </si>
  <si>
    <t>Depreciated Value
(INR)</t>
  </si>
  <si>
    <t>Floor</t>
  </si>
  <si>
    <r>
      <t xml:space="preserve">Road
</t>
    </r>
    <r>
      <rPr>
        <b/>
        <i/>
        <sz val="10"/>
        <rFont val="Calibri"/>
        <family val="2"/>
        <scheme val="minor"/>
      </rPr>
      <t>(in mtr.)As per approved plan approx.</t>
    </r>
  </si>
  <si>
    <t>VALUATION OF LAND</t>
  </si>
  <si>
    <t>Liq</t>
  </si>
  <si>
    <t xml:space="preserve"> Land Area</t>
  </si>
  <si>
    <t>Land Area</t>
  </si>
  <si>
    <t>Circle rate per sq.mtr.</t>
  </si>
  <si>
    <t>Insurable Value</t>
  </si>
  <si>
    <t>1. The subject property is situated at Plot No. Z-109-D,Dahej SEZ Area (Part-2),Village-Lakhigam,Taluka-Vagra,District-Bharuch,Gujrat.</t>
  </si>
  <si>
    <t xml:space="preserve">S.No. </t>
  </si>
  <si>
    <t xml:space="preserve">Building Name </t>
  </si>
  <si>
    <t>condition of structure</t>
  </si>
  <si>
    <t>Area
(in sq.mtr.)</t>
  </si>
  <si>
    <t>Area
(in sq.ft.)</t>
  </si>
  <si>
    <t>Height (in ft.)</t>
  </si>
  <si>
    <t>Depreciation</t>
  </si>
  <si>
    <t>Old Shed</t>
  </si>
  <si>
    <t>Ground</t>
  </si>
  <si>
    <t xml:space="preserve">FG Area &amp; Packaging &amp; Machine </t>
  </si>
  <si>
    <t>Ordinary</t>
  </si>
  <si>
    <t>Reception + Office</t>
  </si>
  <si>
    <t>RCC</t>
  </si>
  <si>
    <t>Dye Cleaning Room &amp; Open Space</t>
  </si>
  <si>
    <t>QC &amp; Packaging Room</t>
  </si>
  <si>
    <t>First Floor</t>
  </si>
  <si>
    <t>Conversion Section</t>
  </si>
  <si>
    <t>Cabins</t>
  </si>
  <si>
    <t>Store</t>
  </si>
  <si>
    <t>Second Floor</t>
  </si>
  <si>
    <t>Storage Area</t>
  </si>
  <si>
    <t>New Shed (PEB Structure)</t>
  </si>
  <si>
    <t>Production Area</t>
  </si>
  <si>
    <t>GI Shed,Iron truss</t>
  </si>
  <si>
    <t>Good</t>
  </si>
  <si>
    <t>Mezzanine Floor</t>
  </si>
  <si>
    <r>
      <t xml:space="preserve">Total Life Consumed 
</t>
    </r>
    <r>
      <rPr>
        <b/>
        <i/>
        <sz val="9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</si>
  <si>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9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</si>
  <si>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9"/>
        <rFont val="Calibri"/>
        <family val="2"/>
        <scheme val="minor"/>
      </rPr>
      <t>(in per sq.ft)</t>
    </r>
  </si>
  <si>
    <t>Area in Sq.ft</t>
  </si>
  <si>
    <t>Area in Sq.mtr</t>
  </si>
  <si>
    <t>1000-1200</t>
  </si>
  <si>
    <t xml:space="preserve">Canteen </t>
  </si>
  <si>
    <t>Security Room</t>
  </si>
  <si>
    <t>HT Panel Room</t>
  </si>
  <si>
    <t>Boundary Wall + L.P</t>
  </si>
  <si>
    <t>Iron Sheet/truss</t>
  </si>
  <si>
    <t>GI Shed structure in sq m</t>
  </si>
  <si>
    <t>RCC in Sq. mtr</t>
  </si>
  <si>
    <t>Govt.Guideline Value of Building/structure</t>
  </si>
  <si>
    <t>Pump Room</t>
  </si>
  <si>
    <t>Vice president Room + Storage Area</t>
  </si>
  <si>
    <t>Asbestos Shed,RCC Column,Brick wall</t>
  </si>
  <si>
    <t>Asbestos Shed,RCC Colomn,Brick wall</t>
  </si>
  <si>
    <t>Land Development</t>
  </si>
  <si>
    <t>per sq m</t>
  </si>
  <si>
    <t>Value</t>
  </si>
  <si>
    <t>Land Dev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</si>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</sst>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_ * #,##0.0_ ;_ * \-#,##0.0_ ;_ * &quot;-&quot;??_ ;_ @_ "/>
    <numFmt numFmtId="167" formatCode="0.000"/>
    <numFmt numFmtId="168" formatCode="_ * #,##0.000_ ;_ * \-#,##0.000_ ;_ * &quot;-&quot;??_ ;_ @_ "/>
    <numFmt numFmtId="169" formatCode="0.0000"/>
    <numFmt numFmtId="170" formatCode="_ &quot;₹&quot;\ * #,##0_ ;_ &quot;₹&quot;\ * \-#,##0_ ;_ &quot;₹&quot;\ * &quot;-&quot;??_ ;_ @_ "/>
    <numFmt numFmtId="171" formatCode="_ * #,##0_ ;_ * \-#,##0_ ;_ * &quot;-&quot;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 vertical="center"/>
    </xf>
    <xf numFmtId="43" fontId="0" fillId="0" borderId="0" xfId="0" applyNumberFormat="1"/>
    <xf numFmtId="0" fontId="3" fillId="4" borderId="1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" fillId="0" borderId="1" xfId="0" applyNumberFormat="1" applyFont="1" applyBorder="1"/>
    <xf numFmtId="164" fontId="0" fillId="5" borderId="1" xfId="1" applyNumberFormat="1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0" fillId="5" borderId="1" xfId="0" applyFill="1" applyBorder="1" applyAlignment="1">
      <alignment horizontal="centerContinuous"/>
    </xf>
    <xf numFmtId="1" fontId="0" fillId="0" borderId="0" xfId="0" applyNumberFormat="1"/>
    <xf numFmtId="164" fontId="2" fillId="0" borderId="1" xfId="3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0" fontId="2" fillId="0" borderId="3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164" fontId="2" fillId="0" borderId="0" xfId="1" applyNumberFormat="1" applyFont="1"/>
    <xf numFmtId="0" fontId="2" fillId="6" borderId="1" xfId="0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7" fillId="8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5" applyNumberFormat="1" applyFont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164" fontId="0" fillId="0" borderId="0" xfId="0" applyNumberFormat="1"/>
    <xf numFmtId="10" fontId="1" fillId="3" borderId="1" xfId="2" applyNumberFormat="1" applyFill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164" fontId="0" fillId="0" borderId="0" xfId="1" applyNumberFormat="1" applyFont="1" applyBorder="1"/>
    <xf numFmtId="2" fontId="0" fillId="0" borderId="0" xfId="0" applyNumberFormat="1"/>
    <xf numFmtId="165" fontId="1" fillId="0" borderId="1" xfId="1" applyNumberFormat="1" applyFont="1" applyFill="1" applyBorder="1" applyAlignment="1">
      <alignment horizontal="center" vertical="center"/>
    </xf>
    <xf numFmtId="164" fontId="1" fillId="0" borderId="1" xfId="3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164" fontId="0" fillId="0" borderId="0" xfId="1" applyNumberFormat="1" applyFont="1" applyFill="1" applyBorder="1"/>
    <xf numFmtId="43" fontId="0" fillId="0" borderId="0" xfId="1" applyFont="1" applyFill="1" applyBorder="1"/>
    <xf numFmtId="43" fontId="2" fillId="0" borderId="0" xfId="1" applyFont="1" applyFill="1" applyBorder="1"/>
    <xf numFmtId="164" fontId="0" fillId="0" borderId="1" xfId="3" quotePrefix="1" applyNumberFormat="1" applyFont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9" fontId="9" fillId="0" borderId="0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vertical="center" wrapText="1"/>
    </xf>
    <xf numFmtId="43" fontId="12" fillId="8" borderId="1" xfId="1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vertical="center" wrapText="1"/>
      <protection locked="0"/>
    </xf>
    <xf numFmtId="43" fontId="14" fillId="0" borderId="1" xfId="1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9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164" fontId="15" fillId="0" borderId="1" xfId="1" applyNumberFormat="1" applyFont="1" applyFill="1" applyBorder="1" applyAlignment="1">
      <alignment vertical="center"/>
    </xf>
    <xf numFmtId="43" fontId="15" fillId="0" borderId="1" xfId="1" applyFont="1" applyFill="1" applyBorder="1" applyAlignment="1">
      <alignment vertical="center"/>
    </xf>
    <xf numFmtId="0" fontId="15" fillId="0" borderId="1" xfId="0" applyFont="1" applyBorder="1" applyAlignment="1" applyProtection="1">
      <alignment vertical="center"/>
      <protection locked="0"/>
    </xf>
    <xf numFmtId="164" fontId="15" fillId="0" borderId="1" xfId="1" applyNumberFormat="1" applyFont="1" applyFill="1" applyBorder="1" applyAlignment="1" applyProtection="1">
      <alignment vertical="center"/>
    </xf>
    <xf numFmtId="164" fontId="15" fillId="0" borderId="1" xfId="1" applyNumberFormat="1" applyFont="1" applyFill="1" applyBorder="1" applyAlignment="1" applyProtection="1">
      <alignment vertical="center"/>
      <protection locked="0"/>
    </xf>
    <xf numFmtId="0" fontId="14" fillId="10" borderId="1" xfId="0" applyFont="1" applyFill="1" applyBorder="1" applyAlignment="1">
      <alignment vertical="center" wrapText="1"/>
    </xf>
    <xf numFmtId="0" fontId="0" fillId="8" borderId="1" xfId="0" applyFill="1" applyBorder="1"/>
    <xf numFmtId="164" fontId="0" fillId="9" borderId="1" xfId="0" applyNumberFormat="1" applyFill="1" applyBorder="1"/>
    <xf numFmtId="43" fontId="15" fillId="11" borderId="1" xfId="1" applyFont="1" applyFill="1" applyBorder="1" applyAlignment="1">
      <alignment vertical="center"/>
    </xf>
    <xf numFmtId="164" fontId="15" fillId="11" borderId="1" xfId="0" applyNumberFormat="1" applyFont="1" applyFill="1" applyBorder="1" applyAlignment="1">
      <alignment vertical="center"/>
    </xf>
    <xf numFmtId="0" fontId="15" fillId="11" borderId="1" xfId="0" applyFont="1" applyFill="1" applyBorder="1" applyAlignment="1">
      <alignment vertical="center"/>
    </xf>
    <xf numFmtId="164" fontId="15" fillId="11" borderId="1" xfId="1" applyNumberFormat="1" applyFont="1" applyFill="1" applyBorder="1" applyAlignment="1">
      <alignment vertical="center"/>
    </xf>
    <xf numFmtId="0" fontId="0" fillId="10" borderId="1" xfId="0" applyFill="1" applyBorder="1"/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9" fontId="15" fillId="0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43" fontId="0" fillId="0" borderId="1" xfId="0" applyNumberFormat="1" applyBorder="1"/>
    <xf numFmtId="0" fontId="0" fillId="0" borderId="0" xfId="0" applyFill="1" applyBorder="1"/>
    <xf numFmtId="170" fontId="0" fillId="0" borderId="1" xfId="0" applyNumberFormat="1" applyBorder="1"/>
    <xf numFmtId="43" fontId="0" fillId="0" borderId="1" xfId="1" applyFont="1" applyBorder="1" applyAlignment="1">
      <alignment horizontal="center" vertical="center"/>
    </xf>
    <xf numFmtId="171" fontId="0" fillId="0" borderId="1" xfId="0" applyNumberFormat="1" applyBorder="1"/>
    <xf numFmtId="164" fontId="16" fillId="0" borderId="7" xfId="1" applyNumberFormat="1" applyFont="1" applyFill="1" applyBorder="1" applyAlignment="1">
      <alignment vertical="center"/>
    </xf>
    <xf numFmtId="164" fontId="16" fillId="11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3" borderId="2" xfId="2" applyFont="1" applyFill="1" applyBorder="1" applyAlignment="1">
      <alignment horizontal="left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11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</cellXfs>
  <cellStyles count="6">
    <cellStyle name="Comma" xfId="1" builtinId="3"/>
    <cellStyle name="Comma 3" xfId="3"/>
    <cellStyle name="Currency" xfId="5" builtinId="4"/>
    <cellStyle name="Normal" xfId="0" builtinId="0"/>
    <cellStyle name="Normal 2 2" xfId="2"/>
    <cellStyle name="Percent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H17" sqref="H17"/>
    </sheetView>
  </sheetViews>
  <sheetFormatPr defaultRowHeight="15" x14ac:dyDescent="0.25"/>
  <cols>
    <col min="2" max="2" width="17.7109375" customWidth="1"/>
    <col min="3" max="4" width="14.140625" customWidth="1"/>
    <col min="5" max="5" width="17.7109375" customWidth="1"/>
    <col min="6" max="6" width="22.42578125" customWidth="1"/>
    <col min="7" max="7" width="23" customWidth="1"/>
    <col min="8" max="8" width="10" bestFit="1" customWidth="1"/>
    <col min="9" max="9" width="15.28515625" bestFit="1" customWidth="1"/>
    <col min="10" max="10" width="19.28515625" customWidth="1"/>
    <col min="11" max="11" width="18.85546875" customWidth="1"/>
    <col min="12" max="12" width="24.28515625" customWidth="1"/>
    <col min="13" max="13" width="17.28515625" customWidth="1"/>
    <col min="14" max="14" width="16.7109375" bestFit="1" customWidth="1"/>
    <col min="15" max="15" width="13.28515625" bestFit="1" customWidth="1"/>
    <col min="16" max="16" width="11.5703125" bestFit="1" customWidth="1"/>
    <col min="17" max="17" width="17.28515625" customWidth="1"/>
    <col min="19" max="20" width="11.5703125" bestFit="1" customWidth="1"/>
  </cols>
  <sheetData>
    <row r="1" spans="2:20" x14ac:dyDescent="0.25">
      <c r="F1" s="37"/>
    </row>
    <row r="2" spans="2:20" x14ac:dyDescent="0.25">
      <c r="B2" s="26" t="s">
        <v>36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2:20" ht="30" x14ac:dyDescent="0.25">
      <c r="B3" s="12" t="s">
        <v>3</v>
      </c>
      <c r="C3" s="12" t="s">
        <v>1</v>
      </c>
      <c r="D3" s="25" t="s">
        <v>73</v>
      </c>
      <c r="E3" s="25" t="s">
        <v>72</v>
      </c>
      <c r="F3" s="25" t="s">
        <v>4</v>
      </c>
      <c r="G3" s="25" t="s">
        <v>5</v>
      </c>
      <c r="H3" s="12" t="s">
        <v>6</v>
      </c>
      <c r="I3" s="12" t="s">
        <v>7</v>
      </c>
      <c r="J3" s="12" t="s">
        <v>8</v>
      </c>
      <c r="K3" s="12" t="s">
        <v>0</v>
      </c>
      <c r="L3" s="12" t="s">
        <v>9</v>
      </c>
    </row>
    <row r="4" spans="2:20" x14ac:dyDescent="0.25">
      <c r="B4" s="7">
        <v>1</v>
      </c>
      <c r="C4" s="13" t="s">
        <v>38</v>
      </c>
      <c r="D4" s="95">
        <v>17627.75</v>
      </c>
      <c r="E4" s="39">
        <f>D4*10.7639</f>
        <v>189743.33822499998</v>
      </c>
      <c r="F4" s="49" t="s">
        <v>74</v>
      </c>
      <c r="G4" s="8">
        <v>1100</v>
      </c>
      <c r="H4" s="38">
        <v>0</v>
      </c>
      <c r="I4" s="9">
        <v>0.1</v>
      </c>
      <c r="J4" s="42">
        <f>G4*1.1</f>
        <v>1210</v>
      </c>
      <c r="K4" s="43">
        <f>J4*E4</f>
        <v>229589439.25224999</v>
      </c>
      <c r="L4" s="11"/>
    </row>
    <row r="5" spans="2:20" x14ac:dyDescent="0.25">
      <c r="B5" s="103" t="s">
        <v>2</v>
      </c>
      <c r="C5" s="104"/>
      <c r="D5" s="95">
        <v>17627.75</v>
      </c>
      <c r="E5" s="21"/>
      <c r="F5" s="22"/>
      <c r="G5" s="22"/>
      <c r="H5" s="22"/>
      <c r="I5" s="22"/>
      <c r="J5" s="22"/>
      <c r="K5" s="19">
        <f>SUM(K4:K4)</f>
        <v>229589439.25224999</v>
      </c>
      <c r="L5" s="10"/>
      <c r="N5" s="23"/>
    </row>
    <row r="6" spans="2:20" x14ac:dyDescent="0.25">
      <c r="B6" s="106" t="s">
        <v>10</v>
      </c>
      <c r="C6" s="107"/>
      <c r="D6" s="107"/>
      <c r="E6" s="107"/>
      <c r="F6" s="107"/>
      <c r="G6" s="107"/>
      <c r="H6" s="107"/>
      <c r="I6" s="107"/>
      <c r="J6" s="107"/>
      <c r="K6" s="107"/>
      <c r="L6" s="108"/>
    </row>
    <row r="7" spans="2:20" x14ac:dyDescent="0.25">
      <c r="B7" s="109" t="s">
        <v>42</v>
      </c>
      <c r="C7" s="110"/>
      <c r="D7" s="110"/>
      <c r="E7" s="110"/>
      <c r="F7" s="110"/>
      <c r="G7" s="110"/>
      <c r="H7" s="110"/>
      <c r="I7" s="110"/>
      <c r="J7" s="110"/>
      <c r="K7" s="110"/>
      <c r="L7" s="111"/>
      <c r="N7" s="18"/>
    </row>
    <row r="8" spans="2:20" x14ac:dyDescent="0.25">
      <c r="B8" s="106" t="s">
        <v>11</v>
      </c>
      <c r="C8" s="107"/>
      <c r="D8" s="107"/>
      <c r="E8" s="107"/>
      <c r="F8" s="107"/>
      <c r="G8" s="107"/>
      <c r="H8" s="107"/>
      <c r="I8" s="107"/>
      <c r="J8" s="107"/>
      <c r="K8" s="107"/>
      <c r="L8" s="108"/>
    </row>
    <row r="9" spans="2:20" x14ac:dyDescent="0.25">
      <c r="B9" s="106" t="s">
        <v>12</v>
      </c>
      <c r="C9" s="107"/>
      <c r="D9" s="107"/>
      <c r="E9" s="107"/>
      <c r="F9" s="107"/>
      <c r="G9" s="107"/>
      <c r="H9" s="107"/>
      <c r="I9" s="107"/>
      <c r="J9" s="107"/>
      <c r="K9" s="107"/>
      <c r="L9" s="108"/>
    </row>
    <row r="11" spans="2:20" x14ac:dyDescent="0.25">
      <c r="B11" s="16" t="s">
        <v>14</v>
      </c>
      <c r="C11" s="17"/>
      <c r="D11" s="17"/>
      <c r="E11" s="17"/>
      <c r="F11" s="17"/>
      <c r="G11" s="15"/>
      <c r="J11" s="24" t="s">
        <v>27</v>
      </c>
      <c r="K11" s="30">
        <f>Land!K5</f>
        <v>229589439.25224999</v>
      </c>
      <c r="L11" s="37">
        <f>ROUND(K11,-6)</f>
        <v>230000000</v>
      </c>
      <c r="M11" s="18"/>
    </row>
    <row r="12" spans="2:20" x14ac:dyDescent="0.25">
      <c r="B12" s="5" t="s">
        <v>3</v>
      </c>
      <c r="C12" s="5" t="s">
        <v>1</v>
      </c>
      <c r="D12" s="25" t="s">
        <v>73</v>
      </c>
      <c r="E12" s="25" t="s">
        <v>72</v>
      </c>
      <c r="F12" s="6" t="s">
        <v>40</v>
      </c>
      <c r="G12" s="5" t="s">
        <v>13</v>
      </c>
      <c r="J12" s="24" t="s">
        <v>28</v>
      </c>
      <c r="K12" s="30">
        <f>'Building Sheet'!U33</f>
        <v>75650499.261538476</v>
      </c>
      <c r="L12" s="37">
        <f>ROUND(K12,-6)+K13</f>
        <v>77500000</v>
      </c>
    </row>
    <row r="13" spans="2:20" x14ac:dyDescent="0.25">
      <c r="B13" s="7">
        <v>1</v>
      </c>
      <c r="C13" s="13" t="s">
        <v>39</v>
      </c>
      <c r="D13" s="95">
        <v>17627.75</v>
      </c>
      <c r="E13" s="39">
        <f>D13*10.7639</f>
        <v>189743.33822499998</v>
      </c>
      <c r="F13" s="3">
        <f>1187.2*(1+0.06)</f>
        <v>1258.432</v>
      </c>
      <c r="G13" s="2">
        <f>F13*D13</f>
        <v>22183324.688000001</v>
      </c>
      <c r="J13" s="24" t="s">
        <v>78</v>
      </c>
      <c r="K13" s="30">
        <v>1500000</v>
      </c>
      <c r="S13" s="40"/>
    </row>
    <row r="14" spans="2:20" x14ac:dyDescent="0.25">
      <c r="B14" s="105" t="s">
        <v>2</v>
      </c>
      <c r="C14" s="105"/>
      <c r="D14" s="95">
        <v>17627.75</v>
      </c>
      <c r="E14" s="21"/>
      <c r="F14" s="14"/>
      <c r="G14" s="20">
        <f>SUM(G13:G13)</f>
        <v>22183324.688000001</v>
      </c>
      <c r="J14" s="24" t="s">
        <v>2</v>
      </c>
      <c r="K14" s="30">
        <f>SUM(K11:K13)</f>
        <v>306739938.51378846</v>
      </c>
      <c r="R14" s="40"/>
    </row>
    <row r="15" spans="2:20" x14ac:dyDescent="0.25">
      <c r="J15" s="24" t="s">
        <v>15</v>
      </c>
      <c r="K15" s="30">
        <f>ROUND(K14,-5)</f>
        <v>306700000</v>
      </c>
      <c r="S15" s="40"/>
    </row>
    <row r="16" spans="2:20" x14ac:dyDescent="0.25">
      <c r="J16" s="24" t="s">
        <v>37</v>
      </c>
      <c r="K16" s="31">
        <f>K15*0.7</f>
        <v>214690000</v>
      </c>
      <c r="T16" s="40"/>
    </row>
    <row r="17" spans="1:11" ht="30" x14ac:dyDescent="0.25">
      <c r="A17" s="44"/>
      <c r="B17" s="44"/>
      <c r="C17" s="100" t="s">
        <v>87</v>
      </c>
      <c r="D17" s="101">
        <v>250</v>
      </c>
      <c r="E17" s="101" t="s">
        <v>88</v>
      </c>
      <c r="F17" s="45"/>
      <c r="G17" s="45"/>
      <c r="H17" s="45"/>
    </row>
    <row r="18" spans="1:11" x14ac:dyDescent="0.25">
      <c r="C18" s="1" t="s">
        <v>89</v>
      </c>
      <c r="D18" s="92">
        <f>D17*D4</f>
        <v>4406937.5</v>
      </c>
      <c r="E18" s="1"/>
      <c r="F18" s="47"/>
      <c r="G18" s="47"/>
      <c r="H18" s="47"/>
    </row>
    <row r="19" spans="1:11" x14ac:dyDescent="0.25">
      <c r="F19" s="47"/>
      <c r="G19" s="47"/>
      <c r="H19" s="47"/>
      <c r="J19" s="41"/>
    </row>
    <row r="20" spans="1:11" x14ac:dyDescent="0.25">
      <c r="F20" s="47"/>
      <c r="G20" s="47"/>
      <c r="H20" s="47"/>
      <c r="J20" s="4"/>
    </row>
    <row r="21" spans="1:11" x14ac:dyDescent="0.25">
      <c r="G21" s="47"/>
      <c r="H21" s="47"/>
      <c r="J21" s="112"/>
      <c r="K21" s="112"/>
    </row>
    <row r="22" spans="1:11" x14ac:dyDescent="0.25">
      <c r="F22" s="47"/>
      <c r="G22" s="47"/>
      <c r="H22" s="47"/>
    </row>
    <row r="23" spans="1:11" x14ac:dyDescent="0.25">
      <c r="F23" s="47"/>
      <c r="G23" s="47"/>
      <c r="H23" s="47"/>
      <c r="K23" s="37"/>
    </row>
    <row r="24" spans="1:11" x14ac:dyDescent="0.25">
      <c r="F24" s="47"/>
      <c r="G24" s="47"/>
      <c r="H24" s="47"/>
    </row>
    <row r="25" spans="1:11" x14ac:dyDescent="0.25">
      <c r="A25" s="102"/>
      <c r="B25" s="102"/>
      <c r="C25" s="102"/>
      <c r="D25" s="102"/>
      <c r="E25" s="102"/>
      <c r="F25" s="102"/>
      <c r="G25" s="102"/>
      <c r="H25" s="48"/>
    </row>
  </sheetData>
  <mergeCells count="8">
    <mergeCell ref="A25:G25"/>
    <mergeCell ref="B5:C5"/>
    <mergeCell ref="B14:C14"/>
    <mergeCell ref="B6:L6"/>
    <mergeCell ref="B7:L7"/>
    <mergeCell ref="B8:L8"/>
    <mergeCell ref="B9:L9"/>
    <mergeCell ref="J21:K21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41"/>
  <sheetViews>
    <sheetView tabSelected="1" topLeftCell="B19" zoomScaleNormal="100" workbookViewId="0">
      <selection activeCell="U35" sqref="U35"/>
    </sheetView>
  </sheetViews>
  <sheetFormatPr defaultRowHeight="15" x14ac:dyDescent="0.25"/>
  <cols>
    <col min="2" max="2" width="4.140625" customWidth="1"/>
    <col min="3" max="3" width="4.7109375" bestFit="1" customWidth="1"/>
    <col min="4" max="4" width="11" customWidth="1"/>
    <col min="5" max="5" width="29.85546875" bestFit="1" customWidth="1"/>
    <col min="6" max="6" width="13.28515625" bestFit="1" customWidth="1"/>
    <col min="7" max="7" width="7.5703125" customWidth="1"/>
    <col min="8" max="8" width="7.85546875" bestFit="1" customWidth="1"/>
    <col min="9" max="9" width="7.42578125" bestFit="1" customWidth="1"/>
    <col min="10" max="10" width="6.28515625" customWidth="1"/>
    <col min="11" max="11" width="9.7109375" bestFit="1" customWidth="1"/>
    <col min="12" max="12" width="7.7109375" customWidth="1"/>
    <col min="13" max="13" width="7.5703125" customWidth="1"/>
    <col min="14" max="14" width="9" customWidth="1"/>
    <col min="15" max="15" width="6.5703125" customWidth="1"/>
    <col min="16" max="16" width="10" bestFit="1" customWidth="1"/>
    <col min="17" max="17" width="15" bestFit="1" customWidth="1"/>
    <col min="18" max="18" width="12.5703125" hidden="1" customWidth="1"/>
    <col min="19" max="19" width="16" hidden="1" customWidth="1"/>
    <col min="20" max="20" width="6.5703125" hidden="1" customWidth="1"/>
    <col min="21" max="22" width="14.28515625" bestFit="1" customWidth="1"/>
    <col min="23" max="23" width="10" bestFit="1" customWidth="1"/>
  </cols>
  <sheetData>
    <row r="3" spans="2:22" ht="15.6" customHeight="1" x14ac:dyDescent="0.25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2:22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2:22" x14ac:dyDescent="0.25">
      <c r="B5" s="53"/>
      <c r="C5" s="54"/>
      <c r="D5" s="54"/>
      <c r="E5" s="55"/>
      <c r="G5" s="46"/>
      <c r="H5" s="47"/>
      <c r="I5" s="56"/>
      <c r="J5" s="57"/>
      <c r="K5" s="57"/>
      <c r="L5" s="57"/>
      <c r="M5" s="58"/>
      <c r="N5" s="59"/>
      <c r="O5" s="57"/>
      <c r="P5" s="50"/>
      <c r="Q5" s="60"/>
      <c r="R5" s="61"/>
      <c r="S5" s="61"/>
      <c r="T5" s="51"/>
      <c r="U5" s="50"/>
    </row>
    <row r="6" spans="2:22" x14ac:dyDescent="0.25">
      <c r="B6" s="53"/>
      <c r="C6" s="54"/>
      <c r="D6" s="54"/>
      <c r="E6" s="62"/>
      <c r="G6" s="46"/>
      <c r="H6" s="47"/>
      <c r="I6" s="56"/>
      <c r="J6" s="57"/>
      <c r="K6" s="57"/>
      <c r="L6" s="57"/>
      <c r="M6" s="58"/>
      <c r="N6" s="59"/>
      <c r="O6" s="57"/>
      <c r="P6" s="50"/>
      <c r="Q6" s="60"/>
      <c r="R6" s="61"/>
      <c r="S6" s="61"/>
      <c r="T6" s="51"/>
      <c r="U6" s="50"/>
    </row>
    <row r="7" spans="2:22" x14ac:dyDescent="0.25">
      <c r="B7" s="117"/>
      <c r="C7" s="117"/>
      <c r="D7" s="117"/>
      <c r="E7" s="52"/>
      <c r="F7" s="63"/>
      <c r="G7" s="63"/>
      <c r="H7" s="47"/>
      <c r="I7" s="64"/>
      <c r="J7" s="64"/>
      <c r="K7" s="64"/>
      <c r="L7" s="64"/>
      <c r="M7" s="64"/>
      <c r="N7" s="64"/>
      <c r="O7" s="64"/>
      <c r="P7" s="63"/>
      <c r="Q7" s="63"/>
      <c r="R7" s="63"/>
      <c r="S7" s="63"/>
      <c r="T7" s="63"/>
      <c r="U7" s="63"/>
      <c r="V7" s="4"/>
    </row>
    <row r="8" spans="2:22" x14ac:dyDescent="0.2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</row>
    <row r="9" spans="2:22" x14ac:dyDescent="0.25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</row>
    <row r="10" spans="2:22" x14ac:dyDescent="0.25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</row>
    <row r="11" spans="2:22" x14ac:dyDescent="0.25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3" spans="2:22" x14ac:dyDescent="0.25">
      <c r="P13" s="93"/>
      <c r="Q13" s="81" t="s">
        <v>41</v>
      </c>
      <c r="R13" s="82">
        <f>Q33*0.8</f>
        <v>102853984</v>
      </c>
      <c r="S13" s="92"/>
      <c r="T13" s="1"/>
      <c r="U13" s="96">
        <f>Q33*0.8</f>
        <v>102853984</v>
      </c>
    </row>
    <row r="15" spans="2:22" ht="60" x14ac:dyDescent="0.25">
      <c r="C15" s="65" t="s">
        <v>43</v>
      </c>
      <c r="D15" s="65" t="s">
        <v>34</v>
      </c>
      <c r="E15" s="65" t="s">
        <v>44</v>
      </c>
      <c r="F15" s="65" t="s">
        <v>16</v>
      </c>
      <c r="G15" s="65" t="s">
        <v>45</v>
      </c>
      <c r="H15" s="66" t="s">
        <v>46</v>
      </c>
      <c r="I15" s="65" t="s">
        <v>47</v>
      </c>
      <c r="J15" s="65" t="s">
        <v>48</v>
      </c>
      <c r="K15" s="65" t="s">
        <v>17</v>
      </c>
      <c r="L15" s="65" t="s">
        <v>18</v>
      </c>
      <c r="M15" s="65" t="s">
        <v>69</v>
      </c>
      <c r="N15" s="65" t="s">
        <v>70</v>
      </c>
      <c r="O15" s="65" t="s">
        <v>21</v>
      </c>
      <c r="P15" s="65" t="s">
        <v>71</v>
      </c>
      <c r="Q15" s="65" t="s">
        <v>23</v>
      </c>
      <c r="R15" s="65" t="s">
        <v>49</v>
      </c>
      <c r="S15" s="65" t="s">
        <v>24</v>
      </c>
      <c r="T15" s="65" t="s">
        <v>25</v>
      </c>
      <c r="U15" s="65" t="s">
        <v>26</v>
      </c>
      <c r="V15" s="65" t="s">
        <v>82</v>
      </c>
    </row>
    <row r="16" spans="2:22" x14ac:dyDescent="0.25">
      <c r="C16" s="67">
        <v>1</v>
      </c>
      <c r="D16" s="87"/>
      <c r="E16" s="68" t="s">
        <v>50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1"/>
    </row>
    <row r="17" spans="3:22" ht="51.75" customHeight="1" x14ac:dyDescent="0.25">
      <c r="C17" s="69"/>
      <c r="D17" s="69" t="s">
        <v>51</v>
      </c>
      <c r="E17" s="69" t="s">
        <v>52</v>
      </c>
      <c r="F17" s="69" t="s">
        <v>85</v>
      </c>
      <c r="G17" s="70" t="s">
        <v>53</v>
      </c>
      <c r="H17" s="71">
        <f>I17/10.764</f>
        <v>3258.4541062801936</v>
      </c>
      <c r="I17" s="69">
        <v>35074</v>
      </c>
      <c r="J17" s="69">
        <v>65</v>
      </c>
      <c r="K17" s="69">
        <v>1996</v>
      </c>
      <c r="L17" s="69">
        <v>2025</v>
      </c>
      <c r="M17" s="72">
        <f>L17-K17</f>
        <v>29</v>
      </c>
      <c r="N17" s="72">
        <v>45</v>
      </c>
      <c r="O17" s="73">
        <v>0.1</v>
      </c>
      <c r="P17" s="72">
        <v>1400</v>
      </c>
      <c r="Q17" s="74">
        <f t="shared" ref="Q17:Q27" si="0">P17*I17</f>
        <v>49103600</v>
      </c>
      <c r="R17" s="74">
        <f>Q17*((1-O17)/N17*IF(N17&gt;M17,M17,N17))</f>
        <v>28480087.999999996</v>
      </c>
      <c r="S17" s="75">
        <f>Q17-R17</f>
        <v>20623512.000000004</v>
      </c>
      <c r="T17" s="76"/>
      <c r="U17" s="75">
        <f>S17</f>
        <v>20623512.000000004</v>
      </c>
      <c r="V17" s="91">
        <f>700*I17</f>
        <v>24551800</v>
      </c>
    </row>
    <row r="18" spans="3:22" x14ac:dyDescent="0.25">
      <c r="C18" s="77"/>
      <c r="D18" s="70" t="s">
        <v>51</v>
      </c>
      <c r="E18" s="69" t="s">
        <v>54</v>
      </c>
      <c r="F18" s="70" t="s">
        <v>55</v>
      </c>
      <c r="G18" s="70" t="s">
        <v>53</v>
      </c>
      <c r="H18" s="71">
        <f t="shared" ref="H18:H25" si="1">I18/10.764</f>
        <v>119.6952805648458</v>
      </c>
      <c r="I18" s="78">
        <v>1288.4000000000001</v>
      </c>
      <c r="J18" s="79">
        <v>10</v>
      </c>
      <c r="K18" s="69">
        <v>1996</v>
      </c>
      <c r="L18" s="72">
        <v>2025</v>
      </c>
      <c r="M18" s="72">
        <f>L18-K18</f>
        <v>29</v>
      </c>
      <c r="N18" s="72">
        <v>65</v>
      </c>
      <c r="O18" s="73">
        <v>0.1</v>
      </c>
      <c r="P18" s="72">
        <v>1600</v>
      </c>
      <c r="Q18" s="74">
        <f t="shared" si="0"/>
        <v>2061440.0000000002</v>
      </c>
      <c r="R18" s="74">
        <f>Q18*((1-O18)/N18*IF(N18&gt;M18,M18,N18))</f>
        <v>827747.44615384634</v>
      </c>
      <c r="S18" s="75">
        <f>Q18-R18</f>
        <v>1233692.5538461539</v>
      </c>
      <c r="T18" s="76"/>
      <c r="U18" s="75">
        <f>S18</f>
        <v>1233692.5538461539</v>
      </c>
      <c r="V18" s="91">
        <f>1100*I18</f>
        <v>1417240</v>
      </c>
    </row>
    <row r="19" spans="3:22" x14ac:dyDescent="0.25">
      <c r="C19" s="69"/>
      <c r="D19" s="69" t="s">
        <v>51</v>
      </c>
      <c r="E19" s="69" t="s">
        <v>56</v>
      </c>
      <c r="F19" s="72" t="s">
        <v>55</v>
      </c>
      <c r="G19" s="72" t="s">
        <v>53</v>
      </c>
      <c r="H19" s="71">
        <f t="shared" si="1"/>
        <v>856.6518023039763</v>
      </c>
      <c r="I19" s="72">
        <v>9221</v>
      </c>
      <c r="J19" s="72">
        <v>10</v>
      </c>
      <c r="K19" s="69">
        <v>1996</v>
      </c>
      <c r="L19" s="72">
        <v>2025</v>
      </c>
      <c r="M19" s="72">
        <f t="shared" ref="M19:M27" si="2">L19-K19</f>
        <v>29</v>
      </c>
      <c r="N19" s="72">
        <v>65</v>
      </c>
      <c r="O19" s="73">
        <v>0.1</v>
      </c>
      <c r="P19" s="72">
        <v>1600</v>
      </c>
      <c r="Q19" s="74">
        <f t="shared" si="0"/>
        <v>14753600</v>
      </c>
      <c r="R19" s="74">
        <f t="shared" ref="R19:R27" si="3">Q19*((1-O19)/N19*IF(N19&gt;M19,M19,N19))</f>
        <v>5924137.8461538469</v>
      </c>
      <c r="S19" s="75">
        <f t="shared" ref="S19:S27" si="4">Q19-R19</f>
        <v>8829462.1538461521</v>
      </c>
      <c r="T19" s="76"/>
      <c r="U19" s="75">
        <f t="shared" ref="U19:U27" si="5">S19</f>
        <v>8829462.1538461521</v>
      </c>
      <c r="V19" s="91">
        <f>1100*I19</f>
        <v>10143100</v>
      </c>
    </row>
    <row r="20" spans="3:22" x14ac:dyDescent="0.25">
      <c r="C20" s="69"/>
      <c r="D20" s="69" t="s">
        <v>51</v>
      </c>
      <c r="E20" s="69" t="s">
        <v>57</v>
      </c>
      <c r="F20" s="72" t="s">
        <v>55</v>
      </c>
      <c r="G20" s="72" t="s">
        <v>53</v>
      </c>
      <c r="H20" s="71">
        <f>I20/10.764</f>
        <v>139.35340022296546</v>
      </c>
      <c r="I20" s="72">
        <v>1500</v>
      </c>
      <c r="J20" s="72">
        <v>10</v>
      </c>
      <c r="K20" s="69">
        <v>1996</v>
      </c>
      <c r="L20" s="72">
        <v>2025</v>
      </c>
      <c r="M20" s="72">
        <f t="shared" si="2"/>
        <v>29</v>
      </c>
      <c r="N20" s="72">
        <v>65</v>
      </c>
      <c r="O20" s="73">
        <v>0.1</v>
      </c>
      <c r="P20" s="72">
        <v>1600</v>
      </c>
      <c r="Q20" s="74">
        <f t="shared" si="0"/>
        <v>2400000</v>
      </c>
      <c r="R20" s="74">
        <f t="shared" si="3"/>
        <v>963692.30769230775</v>
      </c>
      <c r="S20" s="75">
        <f t="shared" si="4"/>
        <v>1436307.6923076923</v>
      </c>
      <c r="T20" s="76"/>
      <c r="U20" s="75">
        <f t="shared" si="5"/>
        <v>1436307.6923076923</v>
      </c>
      <c r="V20" s="91">
        <f t="shared" ref="V20:V21" si="6">1100*I20</f>
        <v>1650000</v>
      </c>
    </row>
    <row r="21" spans="3:22" x14ac:dyDescent="0.25">
      <c r="C21" s="69"/>
      <c r="D21" s="72" t="s">
        <v>58</v>
      </c>
      <c r="E21" s="72" t="s">
        <v>84</v>
      </c>
      <c r="F21" s="69" t="s">
        <v>55</v>
      </c>
      <c r="G21" s="69" t="s">
        <v>53</v>
      </c>
      <c r="H21" s="71">
        <f t="shared" si="1"/>
        <v>114.12114455592717</v>
      </c>
      <c r="I21" s="69">
        <v>1228.4000000000001</v>
      </c>
      <c r="J21" s="69">
        <v>10</v>
      </c>
      <c r="K21" s="69">
        <v>1996</v>
      </c>
      <c r="L21" s="69">
        <v>2025</v>
      </c>
      <c r="M21" s="72">
        <f t="shared" si="2"/>
        <v>29</v>
      </c>
      <c r="N21" s="72">
        <v>65</v>
      </c>
      <c r="O21" s="73">
        <v>0.1</v>
      </c>
      <c r="P21" s="72">
        <v>1600</v>
      </c>
      <c r="Q21" s="74">
        <f t="shared" si="0"/>
        <v>1965440.0000000002</v>
      </c>
      <c r="R21" s="74">
        <f t="shared" si="3"/>
        <v>789199.75384615397</v>
      </c>
      <c r="S21" s="75">
        <f t="shared" si="4"/>
        <v>1176240.2461538464</v>
      </c>
      <c r="T21" s="76"/>
      <c r="U21" s="75">
        <f t="shared" si="5"/>
        <v>1176240.2461538464</v>
      </c>
      <c r="V21" s="91">
        <f t="shared" si="6"/>
        <v>1351240</v>
      </c>
    </row>
    <row r="22" spans="3:22" x14ac:dyDescent="0.25">
      <c r="C22" s="69"/>
      <c r="D22" s="72" t="s">
        <v>58</v>
      </c>
      <c r="E22" s="69" t="s">
        <v>59</v>
      </c>
      <c r="F22" s="69" t="s">
        <v>55</v>
      </c>
      <c r="G22" s="69" t="s">
        <v>53</v>
      </c>
      <c r="H22" s="71">
        <f t="shared" si="1"/>
        <v>583.42623560014863</v>
      </c>
      <c r="I22" s="69">
        <v>6280</v>
      </c>
      <c r="J22" s="69">
        <v>35</v>
      </c>
      <c r="K22" s="69">
        <v>1996</v>
      </c>
      <c r="L22" s="69">
        <v>2025</v>
      </c>
      <c r="M22" s="72">
        <f t="shared" si="2"/>
        <v>29</v>
      </c>
      <c r="N22" s="72">
        <v>65</v>
      </c>
      <c r="O22" s="73">
        <v>0.1</v>
      </c>
      <c r="P22" s="72">
        <v>1600</v>
      </c>
      <c r="Q22" s="74">
        <f t="shared" si="0"/>
        <v>10048000</v>
      </c>
      <c r="R22" s="74">
        <f t="shared" si="3"/>
        <v>4034658.461538462</v>
      </c>
      <c r="S22" s="75">
        <f t="shared" si="4"/>
        <v>6013341.538461538</v>
      </c>
      <c r="T22" s="76"/>
      <c r="U22" s="75">
        <f t="shared" si="5"/>
        <v>6013341.538461538</v>
      </c>
      <c r="V22" s="91">
        <f>2050*I22</f>
        <v>12874000</v>
      </c>
    </row>
    <row r="23" spans="3:22" x14ac:dyDescent="0.25">
      <c r="C23" s="69"/>
      <c r="D23" s="69" t="s">
        <v>58</v>
      </c>
      <c r="E23" s="69" t="s">
        <v>60</v>
      </c>
      <c r="F23" s="69" t="s">
        <v>55</v>
      </c>
      <c r="G23" s="69" t="s">
        <v>53</v>
      </c>
      <c r="H23" s="71">
        <f t="shared" si="1"/>
        <v>180.78781122259383</v>
      </c>
      <c r="I23" s="69">
        <v>1946</v>
      </c>
      <c r="J23" s="69">
        <v>10</v>
      </c>
      <c r="K23" s="69">
        <v>1996</v>
      </c>
      <c r="L23" s="69">
        <v>2025</v>
      </c>
      <c r="M23" s="72">
        <f t="shared" si="2"/>
        <v>29</v>
      </c>
      <c r="N23" s="72">
        <v>65</v>
      </c>
      <c r="O23" s="73">
        <v>0.1</v>
      </c>
      <c r="P23" s="72">
        <v>1600</v>
      </c>
      <c r="Q23" s="74">
        <f t="shared" si="0"/>
        <v>3113600</v>
      </c>
      <c r="R23" s="74">
        <f t="shared" si="3"/>
        <v>1250230.153846154</v>
      </c>
      <c r="S23" s="75">
        <f t="shared" si="4"/>
        <v>1863369.846153846</v>
      </c>
      <c r="T23" s="76"/>
      <c r="U23" s="75">
        <f t="shared" si="5"/>
        <v>1863369.846153846</v>
      </c>
      <c r="V23" s="91">
        <f>1100*I23</f>
        <v>2140600</v>
      </c>
    </row>
    <row r="24" spans="3:22" x14ac:dyDescent="0.25">
      <c r="C24" s="69"/>
      <c r="D24" s="69" t="s">
        <v>58</v>
      </c>
      <c r="E24" s="69" t="s">
        <v>61</v>
      </c>
      <c r="F24" s="69" t="s">
        <v>55</v>
      </c>
      <c r="G24" s="69" t="s">
        <v>53</v>
      </c>
      <c r="H24" s="71">
        <f t="shared" si="1"/>
        <v>559.73615756224456</v>
      </c>
      <c r="I24" s="69">
        <v>6025</v>
      </c>
      <c r="J24" s="69">
        <v>10</v>
      </c>
      <c r="K24" s="69">
        <v>1996</v>
      </c>
      <c r="L24" s="69">
        <v>2025</v>
      </c>
      <c r="M24" s="72">
        <f t="shared" si="2"/>
        <v>29</v>
      </c>
      <c r="N24" s="72">
        <v>65</v>
      </c>
      <c r="O24" s="73">
        <v>0.1</v>
      </c>
      <c r="P24" s="72">
        <v>1600</v>
      </c>
      <c r="Q24" s="74">
        <f t="shared" si="0"/>
        <v>9640000</v>
      </c>
      <c r="R24" s="74">
        <f t="shared" si="3"/>
        <v>3870830.7692307695</v>
      </c>
      <c r="S24" s="75">
        <f t="shared" si="4"/>
        <v>5769169.2307692301</v>
      </c>
      <c r="T24" s="76"/>
      <c r="U24" s="75">
        <f t="shared" si="5"/>
        <v>5769169.2307692301</v>
      </c>
      <c r="V24" s="91">
        <f>1100*I24</f>
        <v>6627500</v>
      </c>
    </row>
    <row r="25" spans="3:22" ht="54" customHeight="1" x14ac:dyDescent="0.25">
      <c r="C25" s="69"/>
      <c r="D25" s="69" t="s">
        <v>62</v>
      </c>
      <c r="E25" s="69" t="s">
        <v>63</v>
      </c>
      <c r="F25" s="69" t="s">
        <v>86</v>
      </c>
      <c r="G25" s="69" t="s">
        <v>53</v>
      </c>
      <c r="H25" s="71">
        <f t="shared" si="1"/>
        <v>141.86176142697883</v>
      </c>
      <c r="I25" s="69">
        <v>1527</v>
      </c>
      <c r="J25" s="69">
        <v>15</v>
      </c>
      <c r="K25" s="69">
        <v>1996</v>
      </c>
      <c r="L25" s="69">
        <v>2025</v>
      </c>
      <c r="M25" s="72">
        <f t="shared" si="2"/>
        <v>29</v>
      </c>
      <c r="N25" s="72">
        <v>45</v>
      </c>
      <c r="O25" s="73">
        <v>0.1</v>
      </c>
      <c r="P25" s="72">
        <v>1200</v>
      </c>
      <c r="Q25" s="74">
        <f t="shared" si="0"/>
        <v>1832400</v>
      </c>
      <c r="R25" s="74">
        <f t="shared" si="3"/>
        <v>1062792</v>
      </c>
      <c r="S25" s="75">
        <f t="shared" si="4"/>
        <v>769608</v>
      </c>
      <c r="T25" s="76"/>
      <c r="U25" s="75">
        <f t="shared" si="5"/>
        <v>769608</v>
      </c>
      <c r="V25" s="91">
        <f>700*I25</f>
        <v>1068900</v>
      </c>
    </row>
    <row r="26" spans="3:22" ht="51.75" customHeight="1" x14ac:dyDescent="0.25">
      <c r="C26" s="80">
        <v>2</v>
      </c>
      <c r="D26" s="87"/>
      <c r="E26" s="80" t="s">
        <v>64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91">
        <f t="shared" ref="V26:V28" si="7">700*I26</f>
        <v>0</v>
      </c>
    </row>
    <row r="27" spans="3:22" ht="24" x14ac:dyDescent="0.25">
      <c r="C27" s="69"/>
      <c r="D27" s="69" t="s">
        <v>51</v>
      </c>
      <c r="E27" s="69" t="s">
        <v>65</v>
      </c>
      <c r="F27" s="69" t="s">
        <v>66</v>
      </c>
      <c r="G27" s="69" t="s">
        <v>67</v>
      </c>
      <c r="H27" s="71">
        <v>2275.7199999999998</v>
      </c>
      <c r="I27" s="69">
        <v>25200</v>
      </c>
      <c r="J27" s="69">
        <v>55</v>
      </c>
      <c r="K27" s="69">
        <v>2017</v>
      </c>
      <c r="L27" s="69">
        <v>2025</v>
      </c>
      <c r="M27" s="72">
        <f t="shared" si="2"/>
        <v>8</v>
      </c>
      <c r="N27" s="72">
        <v>45</v>
      </c>
      <c r="O27" s="73">
        <v>0.1</v>
      </c>
      <c r="P27" s="72">
        <v>1200</v>
      </c>
      <c r="Q27" s="74">
        <f t="shared" si="0"/>
        <v>30240000</v>
      </c>
      <c r="R27" s="74">
        <f t="shared" si="3"/>
        <v>4838400</v>
      </c>
      <c r="S27" s="75">
        <f t="shared" si="4"/>
        <v>25401600</v>
      </c>
      <c r="T27" s="76"/>
      <c r="U27" s="75">
        <f t="shared" si="5"/>
        <v>25401600</v>
      </c>
      <c r="V27" s="91">
        <f t="shared" si="7"/>
        <v>17640000</v>
      </c>
    </row>
    <row r="28" spans="3:22" ht="24" x14ac:dyDescent="0.25">
      <c r="C28" s="69"/>
      <c r="D28" s="69" t="s">
        <v>68</v>
      </c>
      <c r="E28" s="69"/>
      <c r="F28" s="69" t="s">
        <v>79</v>
      </c>
      <c r="G28" s="69" t="s">
        <v>67</v>
      </c>
      <c r="H28" s="71">
        <v>221.76</v>
      </c>
      <c r="I28" s="69">
        <v>2044.4</v>
      </c>
      <c r="J28" s="69">
        <v>20</v>
      </c>
      <c r="K28" s="69">
        <v>2017</v>
      </c>
      <c r="L28" s="69">
        <v>2025</v>
      </c>
      <c r="M28" s="72">
        <f>L28-K28</f>
        <v>8</v>
      </c>
      <c r="N28" s="72">
        <v>45</v>
      </c>
      <c r="O28" s="73">
        <v>0.1</v>
      </c>
      <c r="P28" s="72">
        <v>1000</v>
      </c>
      <c r="Q28" s="74">
        <f>P28*I28</f>
        <v>2044400</v>
      </c>
      <c r="R28" s="74">
        <f>Q28*((1-O28)/N28*IF(N28&gt;M28,M28,N28))</f>
        <v>327104</v>
      </c>
      <c r="S28" s="75">
        <f>Q28-R28</f>
        <v>1717296</v>
      </c>
      <c r="T28" s="76"/>
      <c r="U28" s="75">
        <f>S28</f>
        <v>1717296</v>
      </c>
      <c r="V28" s="91">
        <f t="shared" si="7"/>
        <v>1431080</v>
      </c>
    </row>
    <row r="29" spans="3:22" x14ac:dyDescent="0.25">
      <c r="C29" s="80">
        <v>3</v>
      </c>
      <c r="D29" s="80" t="s">
        <v>51</v>
      </c>
      <c r="E29" s="80" t="s">
        <v>75</v>
      </c>
      <c r="F29" s="88" t="s">
        <v>55</v>
      </c>
      <c r="G29" s="88" t="s">
        <v>53</v>
      </c>
      <c r="H29" s="71">
        <f>I29/10.7639</f>
        <v>48.774143200884438</v>
      </c>
      <c r="I29" s="88">
        <f>35*15</f>
        <v>525</v>
      </c>
      <c r="J29" s="88">
        <v>12</v>
      </c>
      <c r="K29" s="69">
        <v>1996</v>
      </c>
      <c r="L29" s="88">
        <v>2025</v>
      </c>
      <c r="M29" s="89">
        <f>L29-K29</f>
        <v>29</v>
      </c>
      <c r="N29" s="89">
        <v>65</v>
      </c>
      <c r="O29" s="90">
        <v>0.1</v>
      </c>
      <c r="P29" s="89">
        <v>1400</v>
      </c>
      <c r="Q29" s="91">
        <f t="shared" ref="Q29:Q32" si="8">P29*I29</f>
        <v>735000</v>
      </c>
      <c r="R29" s="91">
        <f t="shared" ref="R29:R32" si="9">Q29*((1-O29)/N29*IF(N29&gt;M29,M29,N29))</f>
        <v>295130.76923076925</v>
      </c>
      <c r="S29" s="75">
        <f t="shared" ref="S29:S32" si="10">Q29-R29</f>
        <v>439869.23076923075</v>
      </c>
      <c r="T29" s="76"/>
      <c r="U29" s="75">
        <f t="shared" ref="U29:U32" si="11">S29</f>
        <v>439869.23076923075</v>
      </c>
      <c r="V29" s="91">
        <f>1100*I29</f>
        <v>577500</v>
      </c>
    </row>
    <row r="30" spans="3:22" x14ac:dyDescent="0.25">
      <c r="C30" s="80">
        <v>4</v>
      </c>
      <c r="D30" s="80" t="s">
        <v>51</v>
      </c>
      <c r="E30" s="80" t="s">
        <v>76</v>
      </c>
      <c r="F30" s="88" t="s">
        <v>55</v>
      </c>
      <c r="G30" s="88" t="s">
        <v>53</v>
      </c>
      <c r="H30" s="71">
        <f t="shared" ref="H30:H32" si="12">I30/10.7639</f>
        <v>9.2903129906446544</v>
      </c>
      <c r="I30" s="88">
        <v>100</v>
      </c>
      <c r="J30" s="88">
        <v>10</v>
      </c>
      <c r="K30" s="69">
        <v>1996</v>
      </c>
      <c r="L30" s="88">
        <v>2025</v>
      </c>
      <c r="M30" s="89">
        <f t="shared" ref="M30:M32" si="13">L30-K30</f>
        <v>29</v>
      </c>
      <c r="N30" s="89">
        <v>65</v>
      </c>
      <c r="O30" s="90">
        <v>0.1</v>
      </c>
      <c r="P30" s="89">
        <v>1400</v>
      </c>
      <c r="Q30" s="91">
        <f t="shared" si="8"/>
        <v>140000</v>
      </c>
      <c r="R30" s="91">
        <f t="shared" si="9"/>
        <v>56215.384615384617</v>
      </c>
      <c r="S30" s="75">
        <f t="shared" si="10"/>
        <v>83784.615384615376</v>
      </c>
      <c r="T30" s="76"/>
      <c r="U30" s="75">
        <f t="shared" si="11"/>
        <v>83784.615384615376</v>
      </c>
      <c r="V30" s="91">
        <f t="shared" ref="V30:V32" si="14">1100*I30</f>
        <v>110000</v>
      </c>
    </row>
    <row r="31" spans="3:22" x14ac:dyDescent="0.25">
      <c r="C31" s="80">
        <v>5</v>
      </c>
      <c r="D31" s="80" t="s">
        <v>51</v>
      </c>
      <c r="E31" s="80" t="s">
        <v>83</v>
      </c>
      <c r="F31" s="88" t="s">
        <v>55</v>
      </c>
      <c r="G31" s="88" t="s">
        <v>53</v>
      </c>
      <c r="H31" s="71">
        <f t="shared" si="12"/>
        <v>13.935469485966983</v>
      </c>
      <c r="I31" s="88">
        <v>150</v>
      </c>
      <c r="J31" s="88">
        <v>10</v>
      </c>
      <c r="K31" s="69">
        <v>1996</v>
      </c>
      <c r="L31" s="88">
        <v>2025</v>
      </c>
      <c r="M31" s="89">
        <f t="shared" si="13"/>
        <v>29</v>
      </c>
      <c r="N31" s="89">
        <v>65</v>
      </c>
      <c r="O31" s="90">
        <v>0.1</v>
      </c>
      <c r="P31" s="89">
        <v>1400</v>
      </c>
      <c r="Q31" s="91">
        <f t="shared" si="8"/>
        <v>210000</v>
      </c>
      <c r="R31" s="91">
        <f t="shared" si="9"/>
        <v>84323.076923076922</v>
      </c>
      <c r="S31" s="75">
        <f t="shared" si="10"/>
        <v>125676.92307692308</v>
      </c>
      <c r="T31" s="76"/>
      <c r="U31" s="75">
        <f t="shared" si="11"/>
        <v>125676.92307692308</v>
      </c>
      <c r="V31" s="91">
        <f t="shared" si="14"/>
        <v>165000</v>
      </c>
    </row>
    <row r="32" spans="3:22" x14ac:dyDescent="0.25">
      <c r="C32" s="80">
        <v>6</v>
      </c>
      <c r="D32" s="80" t="s">
        <v>51</v>
      </c>
      <c r="E32" s="80" t="s">
        <v>77</v>
      </c>
      <c r="F32" s="88" t="s">
        <v>55</v>
      </c>
      <c r="G32" s="88" t="s">
        <v>53</v>
      </c>
      <c r="H32" s="71">
        <f t="shared" si="12"/>
        <v>18.580625981289309</v>
      </c>
      <c r="I32" s="88">
        <v>200</v>
      </c>
      <c r="J32" s="88">
        <v>12</v>
      </c>
      <c r="K32" s="69">
        <v>1996</v>
      </c>
      <c r="L32" s="88">
        <v>2025</v>
      </c>
      <c r="M32" s="89">
        <f t="shared" si="13"/>
        <v>29</v>
      </c>
      <c r="N32" s="89">
        <v>65</v>
      </c>
      <c r="O32" s="90">
        <v>0.1</v>
      </c>
      <c r="P32" s="89">
        <v>1400</v>
      </c>
      <c r="Q32" s="91">
        <f t="shared" si="8"/>
        <v>280000</v>
      </c>
      <c r="R32" s="91">
        <f t="shared" si="9"/>
        <v>112430.76923076923</v>
      </c>
      <c r="S32" s="75">
        <f t="shared" si="10"/>
        <v>167569.23076923075</v>
      </c>
      <c r="T32" s="76"/>
      <c r="U32" s="75">
        <f t="shared" si="11"/>
        <v>167569.23076923075</v>
      </c>
      <c r="V32" s="91">
        <f t="shared" si="14"/>
        <v>220000</v>
      </c>
    </row>
    <row r="33" spans="3:22" x14ac:dyDescent="0.25">
      <c r="C33" s="113" t="s">
        <v>2</v>
      </c>
      <c r="D33" s="113"/>
      <c r="E33" s="113"/>
      <c r="F33" s="113"/>
      <c r="G33" s="113"/>
      <c r="H33" s="83">
        <f>SUM(H17:H32)</f>
        <v>8542.1482513986593</v>
      </c>
      <c r="I33" s="84">
        <f>SUM(I17:I32)</f>
        <v>92309.2</v>
      </c>
      <c r="J33" s="85"/>
      <c r="K33" s="85"/>
      <c r="L33" s="85"/>
      <c r="M33" s="85"/>
      <c r="N33" s="85"/>
      <c r="O33" s="85"/>
      <c r="P33" s="85"/>
      <c r="Q33" s="84">
        <f>SUM(Q17:Q32)</f>
        <v>128567480</v>
      </c>
      <c r="R33" s="84">
        <f>SUM(R16:R32)</f>
        <v>52916980.738461532</v>
      </c>
      <c r="S33" s="86">
        <f>SUM(S16:S32)</f>
        <v>75650499.261538476</v>
      </c>
      <c r="T33" s="85"/>
      <c r="U33" s="98">
        <f>SUM(U16:U32)</f>
        <v>75650499.261538476</v>
      </c>
      <c r="V33" s="84">
        <f>SUM(V17:V32)</f>
        <v>81967960</v>
      </c>
    </row>
    <row r="34" spans="3:22" x14ac:dyDescent="0.25">
      <c r="U34" s="97"/>
    </row>
    <row r="35" spans="3:22" x14ac:dyDescent="0.25">
      <c r="U35" s="99"/>
    </row>
    <row r="38" spans="3:22" x14ac:dyDescent="0.25">
      <c r="Q38" s="99"/>
    </row>
    <row r="40" spans="3:22" x14ac:dyDescent="0.25">
      <c r="E40" s="81" t="s">
        <v>80</v>
      </c>
      <c r="F40" s="92">
        <f>H17+H27+H25+H28</f>
        <v>5897.7958677071729</v>
      </c>
    </row>
    <row r="41" spans="3:22" x14ac:dyDescent="0.25">
      <c r="E41" s="81" t="s">
        <v>81</v>
      </c>
      <c r="F41" s="92">
        <f>H18+H19+H20+H21+H22+H23+H24+H29+H30+H31+H32</f>
        <v>2644.3523836914869</v>
      </c>
    </row>
  </sheetData>
  <mergeCells count="7">
    <mergeCell ref="C33:G33"/>
    <mergeCell ref="B3:U3"/>
    <mergeCell ref="B10:U10"/>
    <mergeCell ref="B11:U11"/>
    <mergeCell ref="B7:D7"/>
    <mergeCell ref="B8:U8"/>
    <mergeCell ref="B9:U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7"/>
  <sheetViews>
    <sheetView workbookViewId="0">
      <selection activeCell="N13" sqref="N13"/>
    </sheetView>
  </sheetViews>
  <sheetFormatPr defaultRowHeight="15" x14ac:dyDescent="0.25"/>
  <cols>
    <col min="2" max="3" width="8.7109375" customWidth="1"/>
    <col min="4" max="4" width="8.42578125" customWidth="1"/>
    <col min="6" max="6" width="8.5703125" customWidth="1"/>
    <col min="7" max="7" width="7.7109375" customWidth="1"/>
    <col min="8" max="9" width="9" customWidth="1"/>
    <col min="10" max="12" width="13.28515625" bestFit="1" customWidth="1"/>
    <col min="13" max="13" width="11" customWidth="1"/>
    <col min="14" max="14" width="14.28515625" bestFit="1" customWidth="1"/>
  </cols>
  <sheetData>
    <row r="3" spans="2:14" ht="15.75" x14ac:dyDescent="0.25">
      <c r="B3" s="118" t="s">
        <v>29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14" ht="105" x14ac:dyDescent="0.25">
      <c r="B4" s="29" t="s">
        <v>30</v>
      </c>
      <c r="C4" s="29" t="s">
        <v>17</v>
      </c>
      <c r="D4" s="29" t="s">
        <v>18</v>
      </c>
      <c r="E4" s="29" t="s">
        <v>19</v>
      </c>
      <c r="F4" s="29" t="s">
        <v>20</v>
      </c>
      <c r="G4" s="29" t="s">
        <v>21</v>
      </c>
      <c r="H4" s="29" t="s">
        <v>22</v>
      </c>
      <c r="I4" s="29" t="s">
        <v>31</v>
      </c>
      <c r="J4" s="29" t="s">
        <v>23</v>
      </c>
      <c r="K4" s="29" t="s">
        <v>32</v>
      </c>
      <c r="L4" s="29" t="s">
        <v>33</v>
      </c>
      <c r="M4" s="29" t="s">
        <v>25</v>
      </c>
      <c r="N4" s="29" t="s">
        <v>26</v>
      </c>
    </row>
    <row r="5" spans="2:14" x14ac:dyDescent="0.25">
      <c r="B5" s="32">
        <v>596</v>
      </c>
      <c r="C5" s="13">
        <v>1994</v>
      </c>
      <c r="D5" s="13">
        <v>2025</v>
      </c>
      <c r="E5" s="13">
        <f>D5-C5</f>
        <v>31</v>
      </c>
      <c r="F5" s="13">
        <v>40</v>
      </c>
      <c r="G5" s="33">
        <v>0.1</v>
      </c>
      <c r="H5" s="34">
        <f>(1-G5)/F5</f>
        <v>2.2499999999999999E-2</v>
      </c>
      <c r="I5" s="35">
        <v>9000</v>
      </c>
      <c r="J5" s="35">
        <f>I5*B5</f>
        <v>5364000</v>
      </c>
      <c r="K5" s="35">
        <f>J5*H5*E5</f>
        <v>3741390</v>
      </c>
      <c r="L5" s="35">
        <f>MAX(J5-K5,0)</f>
        <v>1622610</v>
      </c>
      <c r="M5" s="36"/>
      <c r="N5" s="35">
        <f>IF(L5&gt;G5*J5,L5*(1-M5),J5*G5)</f>
        <v>1622610</v>
      </c>
    </row>
    <row r="8" spans="2:14" ht="105" x14ac:dyDescent="0.25">
      <c r="B8" s="29" t="s">
        <v>35</v>
      </c>
      <c r="C8" s="29" t="s">
        <v>17</v>
      </c>
      <c r="D8" s="29" t="s">
        <v>18</v>
      </c>
      <c r="E8" s="29" t="s">
        <v>19</v>
      </c>
      <c r="F8" s="29" t="s">
        <v>20</v>
      </c>
      <c r="G8" s="29" t="s">
        <v>21</v>
      </c>
      <c r="H8" s="29" t="s">
        <v>22</v>
      </c>
      <c r="I8" s="29" t="s">
        <v>31</v>
      </c>
      <c r="J8" s="29" t="s">
        <v>23</v>
      </c>
      <c r="K8" s="29" t="s">
        <v>32</v>
      </c>
      <c r="L8" s="29" t="s">
        <v>33</v>
      </c>
      <c r="M8" s="29" t="s">
        <v>25</v>
      </c>
      <c r="N8" s="29" t="s">
        <v>26</v>
      </c>
    </row>
    <row r="9" spans="2:14" x14ac:dyDescent="0.25">
      <c r="B9" s="32"/>
      <c r="C9" s="13"/>
      <c r="D9" s="13"/>
      <c r="E9" s="13"/>
      <c r="F9" s="13"/>
      <c r="G9" s="33"/>
      <c r="H9" s="34"/>
      <c r="I9" s="35"/>
      <c r="J9" s="35"/>
      <c r="K9" s="35"/>
      <c r="L9" s="35"/>
      <c r="M9" s="36"/>
      <c r="N9" s="35"/>
    </row>
    <row r="12" spans="2:14" x14ac:dyDescent="0.25">
      <c r="M12" s="81" t="s">
        <v>2</v>
      </c>
      <c r="N12" s="94">
        <f>N5</f>
        <v>1622610</v>
      </c>
    </row>
    <row r="13" spans="2:14" x14ac:dyDescent="0.25">
      <c r="M13" s="81" t="s">
        <v>90</v>
      </c>
      <c r="N13" s="2">
        <f>Land!D18</f>
        <v>4406937.5</v>
      </c>
    </row>
    <row r="14" spans="2:14" x14ac:dyDescent="0.25">
      <c r="M14" s="81" t="s">
        <v>2</v>
      </c>
      <c r="N14" s="94">
        <f>SUM(N12:N13)</f>
        <v>6029547.5</v>
      </c>
    </row>
    <row r="17" spans="13:14" x14ac:dyDescent="0.25">
      <c r="M17" s="81" t="s">
        <v>91</v>
      </c>
      <c r="N17" s="94">
        <f>N14+'Building Sheet'!U33+Land!K4</f>
        <v>311269486.01378846</v>
      </c>
    </row>
  </sheetData>
  <mergeCells count="1">
    <mergeCell ref="B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</vt:lpstr>
      <vt:lpstr>Building Sheet</vt:lpstr>
      <vt:lpstr>Boundary Wall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2025-04-15T13:39:53Z</dcterms:modified>
</cp:coreProperties>
</file>