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/>
  <mc:AlternateContent xmlns:mc="http://schemas.openxmlformats.org/markup-compatibility/2006">
    <mc:Choice Requires="x15">
      <x15ac:absPath xmlns:x15ac="http://schemas.microsoft.com/office/spreadsheetml/2010/11/ac" url="X:\Files For Review\Abhinav Chaturvedi\Draft Shared\VIS(2025-26)-PL006-006-006_Rama Cylinders\Report\"/>
    </mc:Choice>
  </mc:AlternateContent>
  <xr:revisionPtr revIDLastSave="0" documentId="13_ncr:1_{70E7FE38-325C-492E-8458-B21E674B320D}" xr6:coauthVersionLast="47" xr6:coauthVersionMax="47" xr10:uidLastSave="{00000000-0000-0000-0000-000000000000}"/>
  <bookViews>
    <workbookView xWindow="-120" yWindow="-120" windowWidth="24240" windowHeight="13140" activeTab="2" xr2:uid="{00000000-000D-0000-FFFF-FFFF00000000}"/>
  </bookViews>
  <sheets>
    <sheet name="Deed Details" sheetId="1" r:id="rId1"/>
    <sheet name="Sheet1" sheetId="2" r:id="rId2"/>
    <sheet name="Building" sheetId="3" r:id="rId3"/>
    <sheet name="Sheet2" sheetId="4" r:id="rId4"/>
  </sheets>
  <externalReferences>
    <externalReference r:id="rId5"/>
  </externalReferences>
  <definedNames>
    <definedName name="_xlnm._FilterDatabase" localSheetId="2" hidden="1">Building!$A$2:$L$25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25" i="3" l="1"/>
  <c r="N24" i="3"/>
  <c r="N23" i="3"/>
  <c r="N22" i="3"/>
  <c r="N21" i="3"/>
  <c r="N20" i="3"/>
  <c r="N19" i="3"/>
  <c r="N18" i="3"/>
  <c r="N17" i="3"/>
  <c r="N16" i="3"/>
  <c r="N15" i="3"/>
  <c r="N14" i="3"/>
  <c r="N13" i="3"/>
  <c r="N12" i="3"/>
  <c r="N11" i="3"/>
  <c r="N10" i="3"/>
  <c r="N9" i="3"/>
  <c r="N8" i="3"/>
  <c r="N7" i="3"/>
  <c r="N6" i="3"/>
  <c r="N5" i="3"/>
  <c r="N4" i="3"/>
  <c r="N3" i="3"/>
  <c r="J27" i="3"/>
  <c r="I24" i="1"/>
  <c r="N31" i="3"/>
  <c r="N30" i="3"/>
  <c r="R24" i="4"/>
  <c r="Q24" i="4"/>
  <c r="E26" i="3"/>
  <c r="E25" i="3"/>
  <c r="E24" i="3"/>
  <c r="E23" i="3"/>
  <c r="E22" i="3"/>
  <c r="E21" i="3"/>
  <c r="E20" i="3"/>
  <c r="E19" i="3"/>
  <c r="E18" i="3"/>
  <c r="E17" i="3"/>
  <c r="E16" i="3"/>
  <c r="E15" i="3"/>
  <c r="E14" i="3"/>
  <c r="E13" i="3"/>
  <c r="E11" i="3"/>
  <c r="E10" i="3"/>
  <c r="E9" i="3"/>
  <c r="E8" i="3"/>
  <c r="E7" i="3"/>
  <c r="E6" i="3"/>
  <c r="E5" i="3"/>
  <c r="E4" i="3"/>
  <c r="E3" i="3"/>
  <c r="D26" i="3"/>
  <c r="L32" i="3"/>
  <c r="L31" i="3"/>
  <c r="L43" i="4"/>
  <c r="D29" i="3"/>
  <c r="J29" i="3"/>
  <c r="K29" i="3" s="1"/>
  <c r="E22" i="1"/>
  <c r="E24" i="1" s="1"/>
  <c r="P24" i="4"/>
  <c r="P9" i="4"/>
  <c r="M24" i="4"/>
  <c r="N24" i="4" s="1"/>
  <c r="N9" i="4"/>
  <c r="E17" i="1"/>
  <c r="D18" i="1"/>
  <c r="C18" i="1"/>
  <c r="P19" i="2"/>
  <c r="J25" i="3"/>
  <c r="J24" i="3"/>
  <c r="K24" i="3" s="1"/>
  <c r="L24" i="3" s="1"/>
  <c r="J23" i="3"/>
  <c r="K23" i="3" s="1"/>
  <c r="L23" i="3" s="1"/>
  <c r="J22" i="3"/>
  <c r="J21" i="3"/>
  <c r="J20" i="3"/>
  <c r="K20" i="3" s="1"/>
  <c r="L20" i="3" s="1"/>
  <c r="J19" i="3"/>
  <c r="K19" i="3" s="1"/>
  <c r="L19" i="3" s="1"/>
  <c r="J18" i="3"/>
  <c r="J17" i="3"/>
  <c r="K17" i="3" s="1"/>
  <c r="L17" i="3" s="1"/>
  <c r="J16" i="3"/>
  <c r="K16" i="3" s="1"/>
  <c r="L16" i="3" s="1"/>
  <c r="J15" i="3"/>
  <c r="J14" i="3"/>
  <c r="J13" i="3"/>
  <c r="K13" i="3" s="1"/>
  <c r="L13" i="3" s="1"/>
  <c r="J11" i="3"/>
  <c r="K11" i="3" s="1"/>
  <c r="L11" i="3" s="1"/>
  <c r="J10" i="3"/>
  <c r="K10" i="3" s="1"/>
  <c r="L10" i="3" s="1"/>
  <c r="J9" i="3"/>
  <c r="J8" i="3"/>
  <c r="K8" i="3" s="1"/>
  <c r="J7" i="3"/>
  <c r="K7" i="3" s="1"/>
  <c r="L7" i="3" s="1"/>
  <c r="J6" i="3"/>
  <c r="J5" i="3"/>
  <c r="J4" i="3"/>
  <c r="K4" i="3" s="1"/>
  <c r="L4" i="3" s="1"/>
  <c r="J3" i="3"/>
  <c r="K3" i="3" s="1"/>
  <c r="L3" i="3" s="1"/>
  <c r="O16" i="2"/>
  <c r="P14" i="2"/>
  <c r="J6" i="1"/>
  <c r="I6" i="1"/>
  <c r="H5" i="1"/>
  <c r="H4" i="1"/>
  <c r="H3" i="1"/>
  <c r="G6" i="1"/>
  <c r="F6" i="1"/>
  <c r="J26" i="3" l="1"/>
  <c r="L8" i="3"/>
  <c r="J1" i="3"/>
  <c r="K5" i="3"/>
  <c r="L5" i="3" s="1"/>
  <c r="K15" i="3"/>
  <c r="L15" i="3" s="1"/>
  <c r="K18" i="3"/>
  <c r="L18" i="3" s="1"/>
  <c r="K22" i="3"/>
  <c r="L22" i="3" s="1"/>
  <c r="K14" i="3"/>
  <c r="L14" i="3" s="1"/>
  <c r="K21" i="3"/>
  <c r="L21" i="3" s="1"/>
  <c r="K25" i="3"/>
  <c r="L25" i="3" s="1"/>
  <c r="K6" i="3"/>
  <c r="L6" i="3" s="1"/>
  <c r="L26" i="3" s="1"/>
  <c r="K9" i="3"/>
  <c r="L9" i="3" s="1"/>
  <c r="H6" i="1"/>
  <c r="K26" i="3" l="1"/>
  <c r="L1" i="3"/>
  <c r="L30" i="3" s="1"/>
  <c r="K1" i="3"/>
</calcChain>
</file>

<file path=xl/sharedStrings.xml><?xml version="1.0" encoding="utf-8"?>
<sst xmlns="http://schemas.openxmlformats.org/spreadsheetml/2006/main" count="94" uniqueCount="71">
  <si>
    <t>Jethalal Liladhar Soni, Ranchhod Liladhar Soni</t>
  </si>
  <si>
    <t>Rama Cylinders Pvt. Ltd.</t>
  </si>
  <si>
    <t>S. No. 334 Paiki (P-2), S. No. 335</t>
  </si>
  <si>
    <t>Acre</t>
  </si>
  <si>
    <t>Guntha</t>
  </si>
  <si>
    <t>Amount</t>
  </si>
  <si>
    <t>Date</t>
  </si>
  <si>
    <t>Seller</t>
  </si>
  <si>
    <t>Buyer</t>
  </si>
  <si>
    <t>Survey No.</t>
  </si>
  <si>
    <t>North</t>
  </si>
  <si>
    <t>South</t>
  </si>
  <si>
    <t>East</t>
  </si>
  <si>
    <t>West</t>
  </si>
  <si>
    <t>Anjar Bhachau Road</t>
  </si>
  <si>
    <t>330 &amp; 332</t>
  </si>
  <si>
    <t>336 &amp; 334 Paiki (P-1)</t>
  </si>
  <si>
    <t>329 &amp; 330</t>
  </si>
  <si>
    <t>Sale Deed-1</t>
  </si>
  <si>
    <t>Shamjibhai Ghelabhai Jaru</t>
  </si>
  <si>
    <t>S. No. 332</t>
  </si>
  <si>
    <t>Cart Road/348</t>
  </si>
  <si>
    <t>330 &amp; 331</t>
  </si>
  <si>
    <t>Sale Deed-2</t>
  </si>
  <si>
    <t>Sale Deed-3</t>
  </si>
  <si>
    <t>S. No. 334 Paiki (P-1)</t>
  </si>
  <si>
    <t>Raymal @ Chana Soma Rabari</t>
  </si>
  <si>
    <t>334 paiki (P-2)</t>
  </si>
  <si>
    <t>Total Acre</t>
  </si>
  <si>
    <t>Total Sqm CLU</t>
  </si>
  <si>
    <t>Security cabin</t>
  </si>
  <si>
    <t>GF</t>
  </si>
  <si>
    <t>FF</t>
  </si>
  <si>
    <t>Canteen</t>
  </si>
  <si>
    <t>fire water tank</t>
  </si>
  <si>
    <t>office area (inspection cum store)</t>
  </si>
  <si>
    <t>store room</t>
  </si>
  <si>
    <t>cylinder storage shed</t>
  </si>
  <si>
    <t>SQM</t>
  </si>
  <si>
    <t>Water tank</t>
  </si>
  <si>
    <t>GF+FF+SF</t>
  </si>
  <si>
    <t>Control room</t>
  </si>
  <si>
    <t>main plant building</t>
  </si>
  <si>
    <t>PEB shed</t>
  </si>
  <si>
    <t>weigh bridge</t>
  </si>
  <si>
    <t>office</t>
  </si>
  <si>
    <t>Degassing area</t>
  </si>
  <si>
    <t>parking shed</t>
  </si>
  <si>
    <t>factory shed &amp; admin building</t>
  </si>
  <si>
    <t>storage shed</t>
  </si>
  <si>
    <t>LNG yard</t>
  </si>
  <si>
    <t>Observation room</t>
  </si>
  <si>
    <t>bonefire test pit</t>
  </si>
  <si>
    <t>bursting pit &amp; observation room</t>
  </si>
  <si>
    <t>Sqm</t>
  </si>
  <si>
    <t>Type</t>
  </si>
  <si>
    <t>Floor</t>
  </si>
  <si>
    <t>Particulars</t>
  </si>
  <si>
    <t>RCC+Shed</t>
  </si>
  <si>
    <t>RCC</t>
  </si>
  <si>
    <t>Shed</t>
  </si>
  <si>
    <t>YoC</t>
  </si>
  <si>
    <t>EL</t>
  </si>
  <si>
    <t>SV</t>
  </si>
  <si>
    <t>CoC</t>
  </si>
  <si>
    <t>GCRC</t>
  </si>
  <si>
    <t>Dep.</t>
  </si>
  <si>
    <t>DRC</t>
  </si>
  <si>
    <t>RMT</t>
  </si>
  <si>
    <t>Boundary Wall</t>
  </si>
  <si>
    <t>Sqft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</si>
</sst>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1">
    <xf numFmtId="0" fontId="0" fillId="0" borderId="0" xfId="0"/>
    <xf numFmtId="14" fontId="0" fillId="0" borderId="0" xfId="0" applyNumberFormat="1"/>
    <xf numFmtId="43" fontId="0" fillId="0" borderId="0" xfId="1" applyFont="1"/>
    <xf numFmtId="164" fontId="0" fillId="0" borderId="0" xfId="1" applyNumberFormat="1" applyFont="1"/>
    <xf numFmtId="0" fontId="2" fillId="0" borderId="0" xfId="0" applyFont="1"/>
    <xf numFmtId="0" fontId="2" fillId="0" borderId="0" xfId="0" applyFont="1" applyAlignment="1">
      <alignment horizontal="center" vertical="center"/>
    </xf>
    <xf numFmtId="164" fontId="2" fillId="0" borderId="0" xfId="1" applyNumberFormat="1" applyFont="1" applyAlignment="1">
      <alignment horizontal="center" vertical="center"/>
    </xf>
    <xf numFmtId="164" fontId="0" fillId="0" borderId="0" xfId="1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43" fontId="2" fillId="0" borderId="0" xfId="1" applyFont="1"/>
    <xf numFmtId="164" fontId="2" fillId="0" borderId="0" xfId="0" applyNumberFormat="1" applyFont="1"/>
    <xf numFmtId="164" fontId="2" fillId="0" borderId="0" xfId="1" applyNumberFormat="1" applyFont="1"/>
    <xf numFmtId="0" fontId="0" fillId="0" borderId="0" xfId="0" applyAlignment="1">
      <alignment horizontal="left" vertical="center"/>
    </xf>
    <xf numFmtId="164" fontId="0" fillId="0" borderId="0" xfId="0" applyNumberFormat="1"/>
    <xf numFmtId="164" fontId="3" fillId="0" borderId="0" xfId="1" applyNumberFormat="1" applyFont="1"/>
    <xf numFmtId="9" fontId="0" fillId="0" borderId="0" xfId="0" applyNumberFormat="1"/>
    <xf numFmtId="0" fontId="2" fillId="0" borderId="0" xfId="0" applyFont="1" applyAlignment="1">
      <alignment horizontal="right" vertical="center"/>
    </xf>
    <xf numFmtId="0" fontId="0" fillId="2" borderId="0" xfId="0" applyFill="1"/>
    <xf numFmtId="0" fontId="2" fillId="0" borderId="0" xfId="0" applyFont="1" applyAlignment="1">
      <alignment horizontal="left" vertical="center"/>
    </xf>
    <xf numFmtId="164" fontId="2" fillId="0" borderId="0" xfId="1" applyNumberFormat="1" applyFont="1" applyAlignment="1">
      <alignment horizontal="center"/>
    </xf>
    <xf numFmtId="0" fontId="0" fillId="0" borderId="0" xfId="0" applyAlignment="1">
      <alignment horizont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tmp"/><Relationship Id="rId2" Type="http://schemas.openxmlformats.org/officeDocument/2006/relationships/image" Target="../media/image3.tmp"/><Relationship Id="rId1" Type="http://schemas.openxmlformats.org/officeDocument/2006/relationships/image" Target="../media/image2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38100</xdr:rowOff>
    </xdr:from>
    <xdr:to>
      <xdr:col>12</xdr:col>
      <xdr:colOff>561075</xdr:colOff>
      <xdr:row>25</xdr:row>
      <xdr:rowOff>169932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D63D88-A421-7505-4470-630E1605B9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4155" t="8937" r="9910" b="2869"/>
        <a:stretch/>
      </xdr:blipFill>
      <xdr:spPr>
        <a:xfrm>
          <a:off x="676275" y="228600"/>
          <a:ext cx="7200000" cy="47038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593090</xdr:colOff>
      <xdr:row>16</xdr:row>
      <xdr:rowOff>24130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5786F8-B655-D2F4-E181-1AFAD47A1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079490" cy="307213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0</xdr:colOff>
      <xdr:row>16</xdr:row>
      <xdr:rowOff>57150</xdr:rowOff>
    </xdr:from>
    <xdr:to>
      <xdr:col>10</xdr:col>
      <xdr:colOff>0</xdr:colOff>
      <xdr:row>29</xdr:row>
      <xdr:rowOff>103505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90907AA-2B54-E260-501F-87E7BC83CA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04" b="4675"/>
        <a:stretch/>
      </xdr:blipFill>
      <xdr:spPr bwMode="auto">
        <a:xfrm>
          <a:off x="0" y="3105150"/>
          <a:ext cx="6096000" cy="2522855"/>
        </a:xfrm>
        <a:prstGeom prst="rect">
          <a:avLst/>
        </a:prstGeom>
        <a:ln w="9525" cap="flat" cmpd="sng" algn="ctr">
          <a:solidFill>
            <a:sysClr val="windowText" lastClr="000000"/>
          </a:solidFill>
          <a:prstDash val="solid"/>
          <a:round/>
          <a:headEnd type="none" w="med" len="med"/>
          <a:tailEnd type="none" w="med" len="med"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123825</xdr:colOff>
      <xdr:row>44</xdr:row>
      <xdr:rowOff>19050</xdr:rowOff>
    </xdr:from>
    <xdr:to>
      <xdr:col>8</xdr:col>
      <xdr:colOff>315032</xdr:colOff>
      <xdr:row>74</xdr:row>
      <xdr:rowOff>19848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9AD7286-4EB0-FC44-6F5A-2AF8CF4AA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8401050"/>
          <a:ext cx="5068007" cy="571579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X:\Files%20For%20Review\Abhinav%20Chaturvedi\VIS(2025-26)-PL006-006-006_Rama%20Cylinders\Report\FAR_Working.xls" TargetMode="External"/><Relationship Id="rId1" Type="http://schemas.openxmlformats.org/officeDocument/2006/relationships/externalLinkPath" Target="FAR_Working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5"/>
      <sheetName val="FA-Reg-Bhima"/>
      <sheetName val="CAT-3"/>
      <sheetName val="CAT-4"/>
      <sheetName val="Sheet1"/>
      <sheetName val="FA-Reg-Kassez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O24"/>
  <sheetViews>
    <sheetView topLeftCell="B1" workbookViewId="0">
      <selection activeCell="I24" sqref="I24"/>
    </sheetView>
  </sheetViews>
  <sheetFormatPr defaultRowHeight="15" x14ac:dyDescent="0.25"/>
  <cols>
    <col min="1" max="1" width="11.5703125" bestFit="1" customWidth="1"/>
    <col min="2" max="2" width="10.42578125" bestFit="1" customWidth="1"/>
    <col min="3" max="3" width="42.140625" bestFit="1" customWidth="1"/>
    <col min="4" max="4" width="12.42578125" customWidth="1"/>
    <col min="5" max="5" width="29.140625" bestFit="1" customWidth="1"/>
    <col min="6" max="6" width="5" bestFit="1" customWidth="1"/>
    <col min="7" max="7" width="7.5703125" bestFit="1" customWidth="1"/>
    <col min="8" max="8" width="9.85546875" bestFit="1" customWidth="1"/>
    <col min="9" max="9" width="14.5703125" style="3" bestFit="1" customWidth="1"/>
    <col min="10" max="10" width="12.5703125" style="3" bestFit="1" customWidth="1"/>
    <col min="11" max="11" width="9.140625" style="3"/>
    <col min="12" max="12" width="19.5703125" style="7" bestFit="1" customWidth="1"/>
    <col min="13" max="13" width="14.42578125" style="7" bestFit="1" customWidth="1"/>
    <col min="14" max="14" width="19" style="8" bestFit="1" customWidth="1"/>
    <col min="15" max="15" width="10.140625" style="8" bestFit="1" customWidth="1"/>
  </cols>
  <sheetData>
    <row r="2" spans="1:15" s="5" customFormat="1" x14ac:dyDescent="0.25">
      <c r="B2" s="5" t="s">
        <v>6</v>
      </c>
      <c r="C2" s="5" t="s">
        <v>7</v>
      </c>
      <c r="D2" s="5" t="s">
        <v>8</v>
      </c>
      <c r="E2" s="5" t="s">
        <v>9</v>
      </c>
      <c r="F2" s="5" t="s">
        <v>3</v>
      </c>
      <c r="G2" s="5" t="s">
        <v>4</v>
      </c>
      <c r="H2" s="5" t="s">
        <v>28</v>
      </c>
      <c r="I2" s="6" t="s">
        <v>29</v>
      </c>
      <c r="J2" s="6" t="s">
        <v>5</v>
      </c>
      <c r="K2" s="6"/>
      <c r="L2" s="6" t="s">
        <v>10</v>
      </c>
      <c r="M2" s="6" t="s">
        <v>11</v>
      </c>
      <c r="N2" s="6" t="s">
        <v>12</v>
      </c>
      <c r="O2" s="6" t="s">
        <v>13</v>
      </c>
    </row>
    <row r="3" spans="1:15" ht="15" customHeight="1" x14ac:dyDescent="0.25">
      <c r="A3" s="4" t="s">
        <v>18</v>
      </c>
      <c r="B3" s="1">
        <v>38372</v>
      </c>
      <c r="C3" t="s">
        <v>0</v>
      </c>
      <c r="D3" s="20" t="s">
        <v>1</v>
      </c>
      <c r="E3" t="s">
        <v>2</v>
      </c>
      <c r="F3">
        <v>10</v>
      </c>
      <c r="G3">
        <v>16</v>
      </c>
      <c r="H3" s="2">
        <f>(G3/40.47)+F3</f>
        <v>10.395354583642204</v>
      </c>
      <c r="I3" s="3">
        <v>42088.800000000003</v>
      </c>
      <c r="J3" s="3">
        <v>6500000</v>
      </c>
      <c r="L3" s="7" t="s">
        <v>14</v>
      </c>
      <c r="M3" s="7" t="s">
        <v>15</v>
      </c>
      <c r="N3" s="8" t="s">
        <v>16</v>
      </c>
      <c r="O3" s="7" t="s">
        <v>17</v>
      </c>
    </row>
    <row r="4" spans="1:15" x14ac:dyDescent="0.25">
      <c r="A4" s="4" t="s">
        <v>23</v>
      </c>
      <c r="B4" s="1">
        <v>39385</v>
      </c>
      <c r="C4" t="s">
        <v>19</v>
      </c>
      <c r="D4" s="20"/>
      <c r="E4" t="s">
        <v>20</v>
      </c>
      <c r="F4">
        <v>8</v>
      </c>
      <c r="G4">
        <v>39</v>
      </c>
      <c r="H4" s="2">
        <f t="shared" ref="H4:H5" si="0">(G4/40.47)+F4</f>
        <v>8.9636767976278726</v>
      </c>
      <c r="I4" s="3">
        <v>36321</v>
      </c>
      <c r="J4" s="3">
        <v>3988888</v>
      </c>
      <c r="L4" s="7">
        <v>334</v>
      </c>
      <c r="M4" s="7" t="s">
        <v>21</v>
      </c>
      <c r="N4" s="8">
        <v>333</v>
      </c>
      <c r="O4" s="8" t="s">
        <v>22</v>
      </c>
    </row>
    <row r="5" spans="1:15" x14ac:dyDescent="0.25">
      <c r="A5" s="4" t="s">
        <v>24</v>
      </c>
      <c r="B5" s="1">
        <v>38617</v>
      </c>
      <c r="C5" t="s">
        <v>26</v>
      </c>
      <c r="D5" s="20"/>
      <c r="E5" t="s">
        <v>25</v>
      </c>
      <c r="F5">
        <v>9</v>
      </c>
      <c r="G5">
        <v>0</v>
      </c>
      <c r="H5" s="2">
        <f t="shared" si="0"/>
        <v>9</v>
      </c>
      <c r="I5" s="3">
        <v>36421.199999999997</v>
      </c>
      <c r="J5" s="3">
        <v>4000000</v>
      </c>
      <c r="L5" s="7">
        <v>337</v>
      </c>
      <c r="M5" s="7" t="s">
        <v>27</v>
      </c>
      <c r="N5" s="8">
        <v>336</v>
      </c>
      <c r="O5" s="8">
        <v>332</v>
      </c>
    </row>
    <row r="6" spans="1:15" x14ac:dyDescent="0.25">
      <c r="F6" s="4">
        <f>SUM(F3:F5)</f>
        <v>27</v>
      </c>
      <c r="G6" s="4">
        <f>SUM(G3:G5)</f>
        <v>55</v>
      </c>
      <c r="H6" s="9">
        <f>SUM(H3:H5)</f>
        <v>28.359031381270078</v>
      </c>
      <c r="I6" s="11">
        <f>SUM(I3:I5)</f>
        <v>114831</v>
      </c>
      <c r="J6" s="11">
        <f>SUM(J3:J5)</f>
        <v>14488888</v>
      </c>
    </row>
    <row r="7" spans="1:15" x14ac:dyDescent="0.25">
      <c r="H7" s="11"/>
      <c r="I7" s="9"/>
    </row>
    <row r="8" spans="1:15" x14ac:dyDescent="0.25">
      <c r="H8" s="10"/>
      <c r="I8" s="11"/>
    </row>
    <row r="9" spans="1:15" x14ac:dyDescent="0.25">
      <c r="G9" s="2"/>
      <c r="H9" s="2"/>
    </row>
    <row r="15" spans="1:15" x14ac:dyDescent="0.25">
      <c r="H15">
        <v>2500</v>
      </c>
    </row>
    <row r="16" spans="1:15" x14ac:dyDescent="0.25">
      <c r="H16">
        <v>3200</v>
      </c>
    </row>
    <row r="17" spans="3:9" x14ac:dyDescent="0.25">
      <c r="C17" s="3">
        <v>3000</v>
      </c>
      <c r="D17" s="3">
        <v>3200</v>
      </c>
      <c r="E17" s="13">
        <f>E18/4047</f>
        <v>3706.4492216456633</v>
      </c>
    </row>
    <row r="18" spans="3:9" x14ac:dyDescent="0.25">
      <c r="C18" s="3">
        <f>C17*4047</f>
        <v>12141000</v>
      </c>
      <c r="D18" s="3">
        <f>D17*4047</f>
        <v>12950400</v>
      </c>
      <c r="E18" s="3">
        <v>15000000</v>
      </c>
    </row>
    <row r="21" spans="3:9" x14ac:dyDescent="0.25">
      <c r="E21" s="3">
        <v>2800</v>
      </c>
    </row>
    <row r="22" spans="3:9" x14ac:dyDescent="0.25">
      <c r="E22" s="3">
        <f>E21*0.8</f>
        <v>2240</v>
      </c>
      <c r="I22" s="3">
        <v>570</v>
      </c>
    </row>
    <row r="23" spans="3:9" x14ac:dyDescent="0.25">
      <c r="E23" s="3">
        <v>114831</v>
      </c>
      <c r="I23" s="3">
        <v>114831</v>
      </c>
    </row>
    <row r="24" spans="3:9" x14ac:dyDescent="0.25">
      <c r="E24" s="3">
        <f>E23*E22</f>
        <v>257221440</v>
      </c>
      <c r="I24" s="3">
        <f>I23*I22</f>
        <v>65453670</v>
      </c>
    </row>
  </sheetData>
  <mergeCells count="1">
    <mergeCell ref="D3:D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6FDE78-1BF5-457F-8FF2-8921E818BAB6}">
  <dimension ref="O13:P19"/>
  <sheetViews>
    <sheetView workbookViewId="0">
      <selection activeCell="N13" sqref="N13"/>
    </sheetView>
  </sheetViews>
  <sheetFormatPr defaultRowHeight="15" x14ac:dyDescent="0.25"/>
  <cols>
    <col min="15" max="15" width="9" bestFit="1" customWidth="1"/>
    <col min="16" max="16" width="6.42578125" bestFit="1" customWidth="1"/>
  </cols>
  <sheetData>
    <row r="13" spans="15:16" x14ac:dyDescent="0.25">
      <c r="O13" s="5" t="s">
        <v>54</v>
      </c>
      <c r="P13" s="5" t="s">
        <v>3</v>
      </c>
    </row>
    <row r="14" spans="15:16" x14ac:dyDescent="0.25">
      <c r="O14" s="3">
        <v>115090</v>
      </c>
      <c r="P14" s="2">
        <f>O14/4046.845</f>
        <v>28.439438624409881</v>
      </c>
    </row>
    <row r="15" spans="15:16" x14ac:dyDescent="0.25">
      <c r="O15" s="14">
        <v>114831</v>
      </c>
    </row>
    <row r="16" spans="15:16" x14ac:dyDescent="0.25">
      <c r="O16" s="13">
        <f>O14-O15</f>
        <v>259</v>
      </c>
    </row>
    <row r="19" spans="15:16" x14ac:dyDescent="0.25">
      <c r="O19">
        <v>1.63</v>
      </c>
      <c r="P19">
        <f>O19*1000</f>
        <v>1630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C686AA-7CB9-4C3A-BEF9-E1C37C15F5B1}">
  <dimension ref="A1:T32"/>
  <sheetViews>
    <sheetView tabSelected="1" zoomScaleNormal="100" workbookViewId="0">
      <selection activeCell="L14" sqref="L14"/>
    </sheetView>
  </sheetViews>
  <sheetFormatPr defaultRowHeight="15" x14ac:dyDescent="0.25"/>
  <cols>
    <col min="1" max="1" width="31.42578125" style="12" bestFit="1" customWidth="1"/>
    <col min="2" max="2" width="10.140625" style="8" bestFit="1" customWidth="1"/>
    <col min="3" max="3" width="9.85546875" style="8" bestFit="1" customWidth="1"/>
    <col min="4" max="4" width="7.42578125" style="3" hidden="1" customWidth="1"/>
    <col min="5" max="5" width="9.7109375" style="3" hidden="1" customWidth="1"/>
    <col min="6" max="8" width="7.28515625" hidden="1" customWidth="1"/>
    <col min="9" max="9" width="9" hidden="1" customWidth="1"/>
    <col min="10" max="10" width="15.28515625" style="3" bestFit="1" customWidth="1"/>
    <col min="11" max="11" width="14.28515625" style="3" hidden="1" customWidth="1"/>
    <col min="12" max="12" width="15.28515625" style="3" bestFit="1" customWidth="1"/>
    <col min="13" max="13" width="9.140625" style="3"/>
    <col min="14" max="14" width="11.5703125" style="2" bestFit="1" customWidth="1"/>
    <col min="15" max="15" width="9.140625" style="2"/>
    <col min="16" max="17" width="15.28515625" style="2" bestFit="1" customWidth="1"/>
    <col min="18" max="20" width="9.140625" style="2"/>
  </cols>
  <sheetData>
    <row r="1" spans="1:14" x14ac:dyDescent="0.25">
      <c r="J1" s="11">
        <f>SUM(J3:J25)</f>
        <v>297467101.15200007</v>
      </c>
      <c r="K1" s="11">
        <f>SUM(K3:K25)</f>
        <v>35103970.663839988</v>
      </c>
      <c r="L1" s="11">
        <f>SUM(L3:L25)</f>
        <v>262363130.48815995</v>
      </c>
    </row>
    <row r="2" spans="1:14" x14ac:dyDescent="0.25">
      <c r="A2" s="5" t="s">
        <v>57</v>
      </c>
      <c r="B2" s="5" t="s">
        <v>56</v>
      </c>
      <c r="C2" s="5" t="s">
        <v>55</v>
      </c>
      <c r="D2" s="19" t="s">
        <v>38</v>
      </c>
      <c r="E2" s="19" t="s">
        <v>70</v>
      </c>
      <c r="F2" s="5" t="s">
        <v>61</v>
      </c>
      <c r="G2" s="5" t="s">
        <v>62</v>
      </c>
      <c r="H2" s="5" t="s">
        <v>63</v>
      </c>
      <c r="I2" s="5" t="s">
        <v>64</v>
      </c>
      <c r="J2" s="6" t="s">
        <v>65</v>
      </c>
      <c r="K2" s="6" t="s">
        <v>66</v>
      </c>
      <c r="L2" s="6" t="s">
        <v>67</v>
      </c>
    </row>
    <row r="3" spans="1:14" x14ac:dyDescent="0.25">
      <c r="A3" s="12" t="s">
        <v>30</v>
      </c>
      <c r="B3" s="8" t="s">
        <v>31</v>
      </c>
      <c r="C3" s="8" t="s">
        <v>58</v>
      </c>
      <c r="D3" s="3">
        <v>47.8</v>
      </c>
      <c r="E3" s="3">
        <f>D3*10.764</f>
        <v>514.51919999999996</v>
      </c>
      <c r="F3">
        <v>2005</v>
      </c>
      <c r="G3">
        <v>45</v>
      </c>
      <c r="H3" s="15">
        <v>0.95</v>
      </c>
      <c r="I3">
        <v>1000</v>
      </c>
      <c r="J3" s="3">
        <f>I3*D3*10.764</f>
        <v>514519.19999999995</v>
      </c>
      <c r="K3" s="3">
        <f>J3*(H3/G3)*(2025-F3)</f>
        <v>217241.44</v>
      </c>
      <c r="L3" s="3">
        <f>J3-K3</f>
        <v>297277.75999999995</v>
      </c>
      <c r="M3" s="3">
        <v>4.5</v>
      </c>
      <c r="N3" s="2">
        <f>M3*3.28</f>
        <v>14.76</v>
      </c>
    </row>
    <row r="4" spans="1:14" x14ac:dyDescent="0.25">
      <c r="A4" s="12" t="s">
        <v>33</v>
      </c>
      <c r="B4" s="8" t="s">
        <v>31</v>
      </c>
      <c r="C4" s="8" t="s">
        <v>59</v>
      </c>
      <c r="D4" s="3">
        <v>181.45</v>
      </c>
      <c r="E4" s="3">
        <f t="shared" ref="E4:E11" si="0">D4*10.764</f>
        <v>1953.1277999999998</v>
      </c>
      <c r="F4">
        <v>2005</v>
      </c>
      <c r="G4">
        <v>60</v>
      </c>
      <c r="H4" s="15">
        <v>0.95</v>
      </c>
      <c r="I4">
        <v>1200</v>
      </c>
      <c r="J4" s="3">
        <f t="shared" ref="J4:J11" si="1">I4*D4*10.764</f>
        <v>2343753.36</v>
      </c>
      <c r="K4" s="3">
        <f t="shared" ref="K4:K11" si="2">J4*(H4/G4)*(2025-F4)</f>
        <v>742188.5639999999</v>
      </c>
      <c r="L4" s="3">
        <f t="shared" ref="L4:L11" si="3">J4-K4</f>
        <v>1601564.7960000001</v>
      </c>
      <c r="M4" s="3">
        <v>3</v>
      </c>
      <c r="N4" s="2">
        <f t="shared" ref="N4:N25" si="4">M4*3.28</f>
        <v>9.84</v>
      </c>
    </row>
    <row r="5" spans="1:14" x14ac:dyDescent="0.25">
      <c r="A5" s="12" t="s">
        <v>33</v>
      </c>
      <c r="B5" s="8" t="s">
        <v>32</v>
      </c>
      <c r="C5" s="8" t="s">
        <v>59</v>
      </c>
      <c r="D5" s="3">
        <v>100.3</v>
      </c>
      <c r="E5" s="3">
        <f t="shared" si="0"/>
        <v>1079.6291999999999</v>
      </c>
      <c r="F5">
        <v>2005</v>
      </c>
      <c r="G5">
        <v>60</v>
      </c>
      <c r="H5" s="15">
        <v>0.95</v>
      </c>
      <c r="I5">
        <v>1200</v>
      </c>
      <c r="J5" s="3">
        <f t="shared" si="1"/>
        <v>1295555.04</v>
      </c>
      <c r="K5" s="3">
        <f t="shared" si="2"/>
        <v>410259.09600000002</v>
      </c>
      <c r="L5" s="3">
        <f t="shared" si="3"/>
        <v>885295.94400000002</v>
      </c>
      <c r="M5" s="3">
        <v>3</v>
      </c>
      <c r="N5" s="2">
        <f t="shared" si="4"/>
        <v>9.84</v>
      </c>
    </row>
    <row r="6" spans="1:14" x14ac:dyDescent="0.25">
      <c r="A6" s="12" t="s">
        <v>34</v>
      </c>
      <c r="C6" s="8" t="s">
        <v>59</v>
      </c>
      <c r="D6" s="3">
        <v>70</v>
      </c>
      <c r="E6" s="3">
        <f t="shared" si="0"/>
        <v>753.4799999999999</v>
      </c>
      <c r="F6">
        <v>2005</v>
      </c>
      <c r="G6">
        <v>60</v>
      </c>
      <c r="H6" s="15">
        <v>0.95</v>
      </c>
      <c r="I6">
        <v>1200</v>
      </c>
      <c r="J6" s="3">
        <f t="shared" si="1"/>
        <v>904176</v>
      </c>
      <c r="K6" s="3">
        <f t="shared" si="2"/>
        <v>286322.39999999997</v>
      </c>
      <c r="L6" s="3">
        <f t="shared" si="3"/>
        <v>617853.60000000009</v>
      </c>
      <c r="M6" s="3">
        <v>4</v>
      </c>
      <c r="N6" s="2">
        <f t="shared" si="4"/>
        <v>13.12</v>
      </c>
    </row>
    <row r="7" spans="1:14" x14ac:dyDescent="0.25">
      <c r="A7" s="12" t="s">
        <v>39</v>
      </c>
      <c r="C7" s="8" t="s">
        <v>59</v>
      </c>
      <c r="D7" s="3">
        <v>242</v>
      </c>
      <c r="E7" s="3">
        <f t="shared" si="0"/>
        <v>2604.8879999999999</v>
      </c>
      <c r="F7">
        <v>2005</v>
      </c>
      <c r="G7">
        <v>60</v>
      </c>
      <c r="H7" s="15">
        <v>0.95</v>
      </c>
      <c r="I7">
        <v>1200</v>
      </c>
      <c r="J7" s="3">
        <f t="shared" si="1"/>
        <v>3125865.5999999996</v>
      </c>
      <c r="K7" s="3">
        <f t="shared" si="2"/>
        <v>989857.43999999971</v>
      </c>
      <c r="L7" s="3">
        <f t="shared" si="3"/>
        <v>2136008.16</v>
      </c>
      <c r="M7" s="3">
        <v>3.5</v>
      </c>
      <c r="N7" s="2">
        <f t="shared" si="4"/>
        <v>11.479999999999999</v>
      </c>
    </row>
    <row r="8" spans="1:14" x14ac:dyDescent="0.25">
      <c r="A8" s="12" t="s">
        <v>35</v>
      </c>
      <c r="B8" s="8" t="s">
        <v>40</v>
      </c>
      <c r="C8" s="8" t="s">
        <v>59</v>
      </c>
      <c r="D8" s="3">
        <v>1910</v>
      </c>
      <c r="E8" s="3">
        <f t="shared" si="0"/>
        <v>20559.239999999998</v>
      </c>
      <c r="F8">
        <v>2005</v>
      </c>
      <c r="G8">
        <v>60</v>
      </c>
      <c r="H8" s="15">
        <v>0.95</v>
      </c>
      <c r="I8">
        <v>1400</v>
      </c>
      <c r="J8" s="3">
        <f t="shared" si="1"/>
        <v>28782936</v>
      </c>
      <c r="K8" s="3">
        <f t="shared" si="2"/>
        <v>9114596.3999999985</v>
      </c>
      <c r="L8" s="3">
        <f t="shared" si="3"/>
        <v>19668339.600000001</v>
      </c>
      <c r="M8" s="3">
        <v>4.5</v>
      </c>
      <c r="N8" s="2">
        <f t="shared" si="4"/>
        <v>14.76</v>
      </c>
    </row>
    <row r="9" spans="1:14" x14ac:dyDescent="0.25">
      <c r="A9" s="12" t="s">
        <v>36</v>
      </c>
      <c r="C9" s="8" t="s">
        <v>58</v>
      </c>
      <c r="D9" s="3">
        <v>48</v>
      </c>
      <c r="E9" s="3">
        <f t="shared" si="0"/>
        <v>516.67200000000003</v>
      </c>
      <c r="F9">
        <v>2005</v>
      </c>
      <c r="G9">
        <v>45</v>
      </c>
      <c r="H9" s="15">
        <v>0.95</v>
      </c>
      <c r="I9">
        <v>1200</v>
      </c>
      <c r="J9" s="3">
        <f t="shared" si="1"/>
        <v>620006.39999999991</v>
      </c>
      <c r="K9" s="3">
        <f t="shared" si="2"/>
        <v>261780.47999999995</v>
      </c>
      <c r="L9" s="3">
        <f t="shared" si="3"/>
        <v>358225.91999999993</v>
      </c>
      <c r="N9" s="2">
        <f t="shared" si="4"/>
        <v>0</v>
      </c>
    </row>
    <row r="10" spans="1:14" x14ac:dyDescent="0.25">
      <c r="A10" s="12" t="s">
        <v>37</v>
      </c>
      <c r="C10" s="8" t="s">
        <v>60</v>
      </c>
      <c r="D10" s="3">
        <v>307.04000000000002</v>
      </c>
      <c r="E10" s="3">
        <f t="shared" si="0"/>
        <v>3304.97856</v>
      </c>
      <c r="F10">
        <v>2005</v>
      </c>
      <c r="G10">
        <v>45</v>
      </c>
      <c r="H10" s="15">
        <v>0.95</v>
      </c>
      <c r="I10">
        <v>1000</v>
      </c>
      <c r="J10" s="3">
        <f t="shared" si="1"/>
        <v>3304978.5599999996</v>
      </c>
      <c r="K10" s="3">
        <f t="shared" si="2"/>
        <v>1395435.392</v>
      </c>
      <c r="L10" s="3">
        <f t="shared" si="3"/>
        <v>1909543.1679999996</v>
      </c>
      <c r="M10" s="3">
        <v>3.5</v>
      </c>
      <c r="N10" s="2">
        <f t="shared" si="4"/>
        <v>11.479999999999999</v>
      </c>
    </row>
    <row r="11" spans="1:14" x14ac:dyDescent="0.25">
      <c r="A11" s="12" t="s">
        <v>41</v>
      </c>
      <c r="C11" s="8" t="s">
        <v>58</v>
      </c>
      <c r="D11" s="3">
        <v>12</v>
      </c>
      <c r="E11" s="3">
        <f t="shared" si="0"/>
        <v>129.16800000000001</v>
      </c>
      <c r="F11">
        <v>2005</v>
      </c>
      <c r="G11">
        <v>45</v>
      </c>
      <c r="H11" s="15">
        <v>0.95</v>
      </c>
      <c r="I11">
        <v>1200</v>
      </c>
      <c r="J11" s="3">
        <f t="shared" si="1"/>
        <v>155001.59999999998</v>
      </c>
      <c r="K11" s="3">
        <f t="shared" si="2"/>
        <v>65445.119999999988</v>
      </c>
      <c r="L11" s="3">
        <f t="shared" si="3"/>
        <v>89556.479999999981</v>
      </c>
      <c r="M11" s="3">
        <v>3</v>
      </c>
      <c r="N11" s="2">
        <f t="shared" si="4"/>
        <v>9.84</v>
      </c>
    </row>
    <row r="12" spans="1:14" x14ac:dyDescent="0.25">
      <c r="N12" s="2">
        <f t="shared" si="4"/>
        <v>0</v>
      </c>
    </row>
    <row r="13" spans="1:14" x14ac:dyDescent="0.25">
      <c r="A13" s="12" t="s">
        <v>42</v>
      </c>
      <c r="C13" s="8" t="s">
        <v>60</v>
      </c>
      <c r="D13" s="3">
        <v>16293</v>
      </c>
      <c r="E13" s="3">
        <f t="shared" ref="E13:E25" si="5">D13*10.764</f>
        <v>175377.85199999998</v>
      </c>
      <c r="F13">
        <v>2021</v>
      </c>
      <c r="G13">
        <v>45</v>
      </c>
      <c r="H13" s="15">
        <v>0.95</v>
      </c>
      <c r="I13" s="17">
        <v>800</v>
      </c>
      <c r="J13" s="3">
        <f t="shared" ref="J13:J25" si="6">I13*D13*10.764</f>
        <v>140302281.59999999</v>
      </c>
      <c r="K13" s="3">
        <f t="shared" ref="K13:K25" si="7">J13*(H13/G13)*(2025-F13)</f>
        <v>11847748.223999999</v>
      </c>
      <c r="L13" s="3">
        <f t="shared" ref="L13:L25" si="8">J13-K13</f>
        <v>128454533.37599999</v>
      </c>
      <c r="M13" s="3">
        <v>9.5</v>
      </c>
      <c r="N13" s="2">
        <f t="shared" si="4"/>
        <v>31.159999999999997</v>
      </c>
    </row>
    <row r="14" spans="1:14" x14ac:dyDescent="0.25">
      <c r="A14" s="12" t="s">
        <v>43</v>
      </c>
      <c r="C14" s="8" t="s">
        <v>60</v>
      </c>
      <c r="D14" s="3">
        <v>1931.32</v>
      </c>
      <c r="E14" s="3">
        <f t="shared" si="5"/>
        <v>20788.728479999998</v>
      </c>
      <c r="F14">
        <v>2021</v>
      </c>
      <c r="G14">
        <v>45</v>
      </c>
      <c r="H14" s="15">
        <v>0.95</v>
      </c>
      <c r="I14" s="17">
        <v>800</v>
      </c>
      <c r="J14" s="3">
        <f t="shared" si="6"/>
        <v>16630982.783999998</v>
      </c>
      <c r="K14" s="3">
        <f t="shared" si="7"/>
        <v>1404394.10176</v>
      </c>
      <c r="L14" s="3">
        <f t="shared" si="8"/>
        <v>15226588.682239998</v>
      </c>
      <c r="M14" s="3">
        <v>9.5</v>
      </c>
      <c r="N14" s="2">
        <f t="shared" si="4"/>
        <v>31.159999999999997</v>
      </c>
    </row>
    <row r="15" spans="1:14" x14ac:dyDescent="0.25">
      <c r="A15" s="12" t="s">
        <v>44</v>
      </c>
      <c r="C15" s="8" t="s">
        <v>59</v>
      </c>
      <c r="D15" s="3">
        <v>98</v>
      </c>
      <c r="E15" s="3">
        <f t="shared" si="5"/>
        <v>1054.8719999999998</v>
      </c>
      <c r="F15">
        <v>2021</v>
      </c>
      <c r="G15">
        <v>60</v>
      </c>
      <c r="H15" s="15">
        <v>0.95</v>
      </c>
      <c r="I15">
        <v>1200</v>
      </c>
      <c r="J15" s="3">
        <f t="shared" si="6"/>
        <v>1265846.3999999999</v>
      </c>
      <c r="K15" s="3">
        <f t="shared" si="7"/>
        <v>80170.271999999983</v>
      </c>
      <c r="L15" s="3">
        <f t="shared" si="8"/>
        <v>1185676.128</v>
      </c>
      <c r="N15" s="2">
        <f t="shared" si="4"/>
        <v>0</v>
      </c>
    </row>
    <row r="16" spans="1:14" x14ac:dyDescent="0.25">
      <c r="A16" s="12" t="s">
        <v>45</v>
      </c>
      <c r="C16" s="8" t="s">
        <v>59</v>
      </c>
      <c r="D16" s="3">
        <v>7.64</v>
      </c>
      <c r="E16" s="3">
        <f t="shared" si="5"/>
        <v>82.236959999999996</v>
      </c>
      <c r="F16">
        <v>2021</v>
      </c>
      <c r="G16">
        <v>60</v>
      </c>
      <c r="H16" s="15">
        <v>0.95</v>
      </c>
      <c r="I16">
        <v>1400</v>
      </c>
      <c r="J16" s="3">
        <f t="shared" si="6"/>
        <v>115131.74399999999</v>
      </c>
      <c r="K16" s="3">
        <f t="shared" si="7"/>
        <v>7291.6771199999985</v>
      </c>
      <c r="L16" s="3">
        <f t="shared" si="8"/>
        <v>107840.06688</v>
      </c>
      <c r="M16" s="3">
        <v>3</v>
      </c>
      <c r="N16" s="2">
        <f t="shared" si="4"/>
        <v>9.84</v>
      </c>
    </row>
    <row r="17" spans="1:20" x14ac:dyDescent="0.25">
      <c r="A17" s="12" t="s">
        <v>36</v>
      </c>
      <c r="C17" s="8" t="s">
        <v>58</v>
      </c>
      <c r="D17" s="3">
        <v>78</v>
      </c>
      <c r="E17" s="3">
        <f t="shared" si="5"/>
        <v>839.59199999999998</v>
      </c>
      <c r="F17">
        <v>2021</v>
      </c>
      <c r="G17">
        <v>45</v>
      </c>
      <c r="H17" s="15">
        <v>0.95</v>
      </c>
      <c r="I17">
        <v>1000</v>
      </c>
      <c r="J17" s="3">
        <f t="shared" si="6"/>
        <v>839592</v>
      </c>
      <c r="K17" s="3">
        <f t="shared" si="7"/>
        <v>70898.880000000005</v>
      </c>
      <c r="L17" s="3">
        <f t="shared" si="8"/>
        <v>768693.12</v>
      </c>
      <c r="M17" s="3">
        <v>3</v>
      </c>
      <c r="N17" s="2">
        <f t="shared" si="4"/>
        <v>9.84</v>
      </c>
    </row>
    <row r="18" spans="1:20" x14ac:dyDescent="0.25">
      <c r="A18" s="12" t="s">
        <v>46</v>
      </c>
      <c r="C18" s="8" t="s">
        <v>58</v>
      </c>
      <c r="D18" s="3">
        <v>470</v>
      </c>
      <c r="E18" s="3">
        <f t="shared" si="5"/>
        <v>5059.08</v>
      </c>
      <c r="F18">
        <v>2021</v>
      </c>
      <c r="G18">
        <v>45</v>
      </c>
      <c r="H18" s="15">
        <v>0.95</v>
      </c>
      <c r="I18">
        <v>1000</v>
      </c>
      <c r="J18" s="3">
        <f t="shared" si="6"/>
        <v>5059080</v>
      </c>
      <c r="K18" s="3">
        <f t="shared" si="7"/>
        <v>427211.2</v>
      </c>
      <c r="L18" s="3">
        <f t="shared" si="8"/>
        <v>4631868.8</v>
      </c>
      <c r="M18" s="3">
        <v>0</v>
      </c>
      <c r="N18" s="2">
        <f t="shared" si="4"/>
        <v>0</v>
      </c>
    </row>
    <row r="19" spans="1:20" x14ac:dyDescent="0.25">
      <c r="A19" s="12" t="s">
        <v>47</v>
      </c>
      <c r="C19" s="8" t="s">
        <v>60</v>
      </c>
      <c r="D19" s="3">
        <v>224.13</v>
      </c>
      <c r="E19" s="3">
        <f t="shared" si="5"/>
        <v>2412.53532</v>
      </c>
      <c r="F19">
        <v>2021</v>
      </c>
      <c r="G19">
        <v>45</v>
      </c>
      <c r="H19" s="15">
        <v>0.95</v>
      </c>
      <c r="I19">
        <v>800</v>
      </c>
      <c r="J19" s="3">
        <f t="shared" si="6"/>
        <v>1930028.2559999998</v>
      </c>
      <c r="K19" s="3">
        <f t="shared" si="7"/>
        <v>162980.16383999999</v>
      </c>
      <c r="L19" s="3">
        <f t="shared" si="8"/>
        <v>1767048.0921599998</v>
      </c>
      <c r="M19" s="3">
        <v>5</v>
      </c>
      <c r="N19" s="2">
        <f t="shared" si="4"/>
        <v>16.399999999999999</v>
      </c>
    </row>
    <row r="20" spans="1:20" x14ac:dyDescent="0.25">
      <c r="A20" s="12" t="s">
        <v>48</v>
      </c>
      <c r="C20" s="8" t="s">
        <v>58</v>
      </c>
      <c r="D20" s="3">
        <v>14144.06</v>
      </c>
      <c r="E20" s="3">
        <f t="shared" si="5"/>
        <v>152246.66183999999</v>
      </c>
      <c r="F20">
        <v>2021</v>
      </c>
      <c r="G20">
        <v>45</v>
      </c>
      <c r="H20" s="15">
        <v>0.95</v>
      </c>
      <c r="I20" s="17">
        <v>400</v>
      </c>
      <c r="J20" s="3">
        <f t="shared" si="6"/>
        <v>60898664.735999994</v>
      </c>
      <c r="K20" s="3">
        <f t="shared" si="7"/>
        <v>5142553.9110399997</v>
      </c>
      <c r="L20" s="3">
        <f t="shared" si="8"/>
        <v>55756110.824959993</v>
      </c>
      <c r="M20" s="3">
        <v>9.5</v>
      </c>
      <c r="N20" s="2">
        <f t="shared" si="4"/>
        <v>31.159999999999997</v>
      </c>
    </row>
    <row r="21" spans="1:20" x14ac:dyDescent="0.25">
      <c r="A21" s="12" t="s">
        <v>49</v>
      </c>
      <c r="C21" s="8" t="s">
        <v>60</v>
      </c>
      <c r="D21" s="3">
        <v>50</v>
      </c>
      <c r="E21" s="3">
        <f t="shared" si="5"/>
        <v>538.19999999999993</v>
      </c>
      <c r="F21">
        <v>2021</v>
      </c>
      <c r="G21">
        <v>45</v>
      </c>
      <c r="H21" s="15">
        <v>0.95</v>
      </c>
      <c r="I21">
        <v>1000</v>
      </c>
      <c r="J21" s="3">
        <f t="shared" si="6"/>
        <v>538200</v>
      </c>
      <c r="K21" s="3">
        <f t="shared" si="7"/>
        <v>45448</v>
      </c>
      <c r="L21" s="3">
        <f t="shared" si="8"/>
        <v>492752</v>
      </c>
      <c r="N21" s="2">
        <f t="shared" si="4"/>
        <v>0</v>
      </c>
    </row>
    <row r="22" spans="1:20" x14ac:dyDescent="0.25">
      <c r="A22" s="12" t="s">
        <v>50</v>
      </c>
      <c r="C22" s="8" t="s">
        <v>60</v>
      </c>
      <c r="D22" s="3">
        <v>4225</v>
      </c>
      <c r="E22" s="3">
        <f t="shared" si="5"/>
        <v>45477.899999999994</v>
      </c>
      <c r="F22">
        <v>2021</v>
      </c>
      <c r="G22">
        <v>45</v>
      </c>
      <c r="H22" s="15">
        <v>0.95</v>
      </c>
      <c r="I22">
        <v>600</v>
      </c>
      <c r="J22" s="3">
        <f t="shared" si="6"/>
        <v>27286740</v>
      </c>
      <c r="K22" s="3">
        <f t="shared" si="7"/>
        <v>2304213.6</v>
      </c>
      <c r="L22" s="3">
        <f t="shared" si="8"/>
        <v>24982526.399999999</v>
      </c>
      <c r="N22" s="2">
        <f t="shared" si="4"/>
        <v>0</v>
      </c>
    </row>
    <row r="23" spans="1:20" x14ac:dyDescent="0.25">
      <c r="A23" s="12" t="s">
        <v>51</v>
      </c>
      <c r="C23" s="8" t="s">
        <v>59</v>
      </c>
      <c r="D23" s="3">
        <v>12</v>
      </c>
      <c r="E23" s="3">
        <f t="shared" si="5"/>
        <v>129.16800000000001</v>
      </c>
      <c r="F23">
        <v>2021</v>
      </c>
      <c r="G23">
        <v>60</v>
      </c>
      <c r="H23" s="15">
        <v>0.95</v>
      </c>
      <c r="I23">
        <v>1200</v>
      </c>
      <c r="J23" s="3">
        <f t="shared" si="6"/>
        <v>155001.59999999998</v>
      </c>
      <c r="K23" s="3">
        <f t="shared" si="7"/>
        <v>9816.7679999999964</v>
      </c>
      <c r="L23" s="3">
        <f t="shared" si="8"/>
        <v>145184.83199999999</v>
      </c>
      <c r="M23" s="3">
        <v>3.9</v>
      </c>
      <c r="N23" s="2">
        <f t="shared" si="4"/>
        <v>12.792</v>
      </c>
    </row>
    <row r="24" spans="1:20" x14ac:dyDescent="0.25">
      <c r="A24" s="12" t="s">
        <v>52</v>
      </c>
      <c r="C24" s="8" t="s">
        <v>58</v>
      </c>
      <c r="D24" s="3">
        <v>23.01</v>
      </c>
      <c r="E24" s="3">
        <f t="shared" si="5"/>
        <v>247.67964000000001</v>
      </c>
      <c r="F24">
        <v>2021</v>
      </c>
      <c r="G24">
        <v>45</v>
      </c>
      <c r="H24" s="15">
        <v>0.95</v>
      </c>
      <c r="I24">
        <v>1200</v>
      </c>
      <c r="J24" s="3">
        <f t="shared" si="6"/>
        <v>297215.56800000003</v>
      </c>
      <c r="K24" s="3">
        <f t="shared" si="7"/>
        <v>25098.203520000003</v>
      </c>
      <c r="L24" s="3">
        <f t="shared" si="8"/>
        <v>272117.36448000005</v>
      </c>
      <c r="M24" s="3">
        <v>3</v>
      </c>
      <c r="N24" s="2">
        <f t="shared" si="4"/>
        <v>9.84</v>
      </c>
    </row>
    <row r="25" spans="1:20" x14ac:dyDescent="0.25">
      <c r="A25" s="12" t="s">
        <v>53</v>
      </c>
      <c r="C25" s="8" t="s">
        <v>58</v>
      </c>
      <c r="D25" s="3">
        <v>85.28</v>
      </c>
      <c r="E25" s="3">
        <f t="shared" si="5"/>
        <v>917.95391999999993</v>
      </c>
      <c r="F25">
        <v>2021</v>
      </c>
      <c r="G25">
        <v>45</v>
      </c>
      <c r="H25" s="15">
        <v>0.95</v>
      </c>
      <c r="I25">
        <v>1200</v>
      </c>
      <c r="J25" s="3">
        <f t="shared" si="6"/>
        <v>1101544.7039999999</v>
      </c>
      <c r="K25" s="3">
        <f t="shared" si="7"/>
        <v>93019.330560000002</v>
      </c>
      <c r="L25" s="3">
        <f t="shared" si="8"/>
        <v>1008525.3734399999</v>
      </c>
      <c r="M25" s="3">
        <v>2</v>
      </c>
      <c r="N25" s="2">
        <f t="shared" si="4"/>
        <v>6.56</v>
      </c>
    </row>
    <row r="26" spans="1:20" s="4" customFormat="1" x14ac:dyDescent="0.25">
      <c r="A26" s="18"/>
      <c r="B26" s="5"/>
      <c r="C26" s="5"/>
      <c r="D26" s="11">
        <f>SUM(D3:D25)</f>
        <v>40560.03</v>
      </c>
      <c r="E26" s="11">
        <f>SUM(E3:E25)</f>
        <v>436588.16291999997</v>
      </c>
      <c r="J26" s="11">
        <f t="shared" ref="J26:L26" si="9">SUM(J3:J25)</f>
        <v>297467101.15200007</v>
      </c>
      <c r="K26" s="11">
        <f t="shared" si="9"/>
        <v>35103970.663839988</v>
      </c>
      <c r="L26" s="11">
        <f t="shared" si="9"/>
        <v>262363130.48815995</v>
      </c>
      <c r="M26" s="11"/>
      <c r="N26" s="9"/>
      <c r="O26" s="9"/>
      <c r="P26" s="9"/>
      <c r="Q26" s="9"/>
      <c r="R26" s="9"/>
      <c r="S26" s="9"/>
      <c r="T26" s="9"/>
    </row>
    <row r="27" spans="1:20" x14ac:dyDescent="0.25">
      <c r="J27" s="3">
        <f>J26*0.7</f>
        <v>208226970.80640003</v>
      </c>
    </row>
    <row r="29" spans="1:20" x14ac:dyDescent="0.25">
      <c r="A29" s="16" t="s">
        <v>69</v>
      </c>
      <c r="B29" s="8">
        <v>1630</v>
      </c>
      <c r="C29" s="8" t="s">
        <v>68</v>
      </c>
      <c r="D29" s="3">
        <f>B29</f>
        <v>1630</v>
      </c>
      <c r="F29">
        <v>2005</v>
      </c>
      <c r="G29">
        <v>25</v>
      </c>
      <c r="H29" s="15">
        <v>0.95</v>
      </c>
      <c r="I29" s="3">
        <v>4000</v>
      </c>
      <c r="J29" s="3">
        <f t="shared" ref="J29" si="10">I29*D29*10.764</f>
        <v>70181280</v>
      </c>
      <c r="K29" s="3">
        <f t="shared" ref="K29" si="11">J29*(H29/G29)*(2025-F29)</f>
        <v>53337772.800000004</v>
      </c>
      <c r="L29" s="3">
        <v>15000000</v>
      </c>
    </row>
    <row r="30" spans="1:20" x14ac:dyDescent="0.25">
      <c r="L30" s="11">
        <f>L29+L1</f>
        <v>277363130.48815995</v>
      </c>
      <c r="N30" s="2">
        <f>L30/E26</f>
        <v>635.29695499092986</v>
      </c>
    </row>
    <row r="31" spans="1:20" x14ac:dyDescent="0.25">
      <c r="L31" s="11">
        <f>'Deed Details'!E24</f>
        <v>257221440</v>
      </c>
      <c r="N31" s="2">
        <f>N30/12</f>
        <v>52.941412915910824</v>
      </c>
    </row>
    <row r="32" spans="1:20" x14ac:dyDescent="0.25">
      <c r="L32" s="11">
        <f>[1]Sheet1!$G$34</f>
        <v>0</v>
      </c>
    </row>
  </sheetData>
  <autoFilter ref="A2:L25" xr:uid="{11C686AA-7CB9-4C3A-BEF9-E1C37C15F5B1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1E4D66-237F-4980-9C5E-EF977C1AA868}">
  <dimension ref="L9:S43"/>
  <sheetViews>
    <sheetView topLeftCell="A26" workbookViewId="0">
      <selection activeCell="P39" sqref="P39"/>
    </sheetView>
  </sheetViews>
  <sheetFormatPr defaultRowHeight="15" x14ac:dyDescent="0.25"/>
  <cols>
    <col min="12" max="12" width="12.5703125" style="3" bestFit="1" customWidth="1"/>
    <col min="13" max="13" width="9" style="3" bestFit="1" customWidth="1"/>
    <col min="14" max="14" width="6.42578125" style="3" bestFit="1" customWidth="1"/>
    <col min="15" max="15" width="9.140625" style="3"/>
    <col min="16" max="16" width="9" style="3" bestFit="1" customWidth="1"/>
    <col min="17" max="18" width="12.5703125" style="3" bestFit="1" customWidth="1"/>
  </cols>
  <sheetData>
    <row r="9" spans="12:16" x14ac:dyDescent="0.25">
      <c r="L9" s="3">
        <v>90000000</v>
      </c>
      <c r="M9" s="3">
        <v>34196</v>
      </c>
      <c r="N9" s="3">
        <f>L9/M9</f>
        <v>2631.8867703825008</v>
      </c>
      <c r="P9" s="3">
        <f>M9*10.764/2</f>
        <v>184042.872</v>
      </c>
    </row>
    <row r="24" spans="12:18" x14ac:dyDescent="0.25">
      <c r="L24" s="3">
        <v>82500000</v>
      </c>
      <c r="M24" s="3">
        <f>5*4046.845</f>
        <v>20234.224999999999</v>
      </c>
      <c r="N24" s="3">
        <f>L24/M24</f>
        <v>4077.2503023960644</v>
      </c>
      <c r="P24" s="3">
        <f>M24*10.764/2</f>
        <v>108900.59894999999</v>
      </c>
      <c r="Q24" s="3">
        <f>P24*500</f>
        <v>54450299.474999994</v>
      </c>
      <c r="R24" s="3">
        <f>Q24/M24</f>
        <v>2691</v>
      </c>
    </row>
    <row r="41" spans="12:19" x14ac:dyDescent="0.25">
      <c r="S41">
        <v>240000</v>
      </c>
    </row>
    <row r="42" spans="12:19" x14ac:dyDescent="0.25">
      <c r="L42" s="3">
        <v>240000</v>
      </c>
    </row>
    <row r="43" spans="12:19" x14ac:dyDescent="0.25">
      <c r="L43" s="3">
        <f>L42/2.5</f>
        <v>96000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Deed Details</vt:lpstr>
      <vt:lpstr>Sheet1</vt:lpstr>
      <vt:lpstr>Building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Abhinav Chaturvedi</dc:creator>
  <cp:lastModifiedBy>Abhinav Chaturvedi</cp:lastModifiedBy>
  <dcterms:created xsi:type="dcterms:W3CDTF">2015-06-05T18:17:20Z</dcterms:created>
  <dcterms:modified xsi:type="dcterms:W3CDTF">2025-04-29T12:02:58Z</dcterms:modified>
</cp:coreProperties>
</file>