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1025"/>
  </bookViews>
  <sheets>
    <sheet name="Land" sheetId="1" r:id="rId1"/>
    <sheet name="Building Sheet" sheetId="3" r:id="rId2"/>
    <sheet name="Boundary Wall" sheetId="5" r:id="rId3"/>
  </sheets>
  <calcPr calcId="152511"/>
</workbook>
</file>

<file path=xl/calcChain.xml><?xml version="1.0" encoding="utf-8"?>
<calcChain xmlns="http://schemas.openxmlformats.org/spreadsheetml/2006/main">
  <c r="F16" i="1" l="1"/>
  <c r="H13" i="1"/>
  <c r="L4" i="1"/>
  <c r="E13" i="1"/>
  <c r="E4" i="1"/>
  <c r="N12" i="5"/>
  <c r="K4" i="1" l="1"/>
  <c r="G31" i="3" l="1"/>
  <c r="G32" i="3" s="1"/>
  <c r="G30" i="3"/>
  <c r="F4" i="1" l="1"/>
  <c r="L17" i="3" l="1"/>
  <c r="L18" i="3"/>
  <c r="L19" i="3"/>
  <c r="L20" i="3"/>
  <c r="L21" i="3"/>
  <c r="L22" i="3"/>
  <c r="L16" i="3"/>
  <c r="J17" i="3"/>
  <c r="J18" i="3"/>
  <c r="J19" i="3"/>
  <c r="J20" i="3"/>
  <c r="J21" i="3"/>
  <c r="J22" i="3"/>
  <c r="J16" i="3"/>
  <c r="I23" i="3"/>
  <c r="J23" i="3" l="1"/>
  <c r="O18" i="3" l="1"/>
  <c r="S18" i="3"/>
  <c r="S17" i="3"/>
  <c r="O19" i="3"/>
  <c r="O20" i="3"/>
  <c r="S20" i="3"/>
  <c r="O21" i="3"/>
  <c r="O22" i="3"/>
  <c r="S16" i="3"/>
  <c r="O16" i="3"/>
  <c r="O17" i="3"/>
  <c r="D5" i="1"/>
  <c r="D13" i="1" s="1"/>
  <c r="D14" i="1" s="1"/>
  <c r="T16" i="3" l="1"/>
  <c r="U16" i="3" s="1"/>
  <c r="W16" i="3" s="1"/>
  <c r="F13" i="1"/>
  <c r="T18" i="3"/>
  <c r="U18" i="3" s="1"/>
  <c r="W18" i="3" s="1"/>
  <c r="S21" i="3"/>
  <c r="T21" i="3" s="1"/>
  <c r="U21" i="3" s="1"/>
  <c r="W21" i="3" s="1"/>
  <c r="S22" i="3"/>
  <c r="T22" i="3" s="1"/>
  <c r="U22" i="3" s="1"/>
  <c r="W22" i="3" s="1"/>
  <c r="T17" i="3"/>
  <c r="S19" i="3"/>
  <c r="T20" i="3"/>
  <c r="U20" i="3" s="1"/>
  <c r="W20" i="3" s="1"/>
  <c r="S23" i="3" l="1"/>
  <c r="T13" i="3" s="1"/>
  <c r="U17" i="3"/>
  <c r="W17" i="3" s="1"/>
  <c r="T19" i="3"/>
  <c r="U19" i="3" s="1"/>
  <c r="W19" i="3" s="1"/>
  <c r="W23" i="3" l="1"/>
  <c r="E5" i="5" l="1"/>
  <c r="J5" i="5" l="1"/>
  <c r="H5" i="5"/>
  <c r="K5" i="5" l="1"/>
  <c r="L5" i="5" s="1"/>
  <c r="N5" i="5" s="1"/>
  <c r="N13" i="5" s="1"/>
  <c r="N14" i="5" s="1"/>
  <c r="L13" i="1" l="1"/>
  <c r="L5" i="1"/>
  <c r="L11" i="1" s="1"/>
  <c r="H14" i="1"/>
  <c r="T23" i="3" l="1"/>
  <c r="L12" i="1" l="1"/>
  <c r="U23" i="3"/>
  <c r="L15" i="1" l="1"/>
  <c r="L16" i="1" s="1"/>
  <c r="L17" i="1" l="1"/>
  <c r="L18" i="1"/>
  <c r="I18" i="1"/>
  <c r="I19" i="1" s="1"/>
  <c r="I20" i="1"/>
</calcChain>
</file>

<file path=xl/sharedStrings.xml><?xml version="1.0" encoding="utf-8"?>
<sst xmlns="http://schemas.openxmlformats.org/spreadsheetml/2006/main" count="131" uniqueCount="83">
  <si>
    <t>FMV</t>
  </si>
  <si>
    <t>Discription</t>
  </si>
  <si>
    <t>Total</t>
  </si>
  <si>
    <t>Sr No.</t>
  </si>
  <si>
    <t>Rate Range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</si>
  <si>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</si>
  <si>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</si>
  <si>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</si>
  <si>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</si>
  <si>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</si>
  <si>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</si>
  <si>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</si>
  <si>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 xml:space="preserve"> Circle rate in Rs.</t>
  </si>
  <si>
    <t>CIRCLE RATE</t>
  </si>
  <si>
    <t>Roundoff</t>
  </si>
  <si>
    <t>Type of Structure</t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</si>
  <si>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</si>
  <si>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</si>
  <si>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</si>
  <si>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</si>
  <si>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</si>
  <si>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</si>
  <si>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t>Gross Replacement Value
(INR)</t>
  </si>
  <si>
    <t>Depreciation amount
(INR)</t>
  </si>
  <si>
    <t>Discounting Factor</t>
  </si>
  <si>
    <t>Depreciated Replacement Market Value
(INR)</t>
  </si>
  <si>
    <t>Land</t>
  </si>
  <si>
    <t>Building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</si>
  <si>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</si>
  <si>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</si>
  <si>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</si>
  <si>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Depreciation
(INR) </t>
  </si>
  <si>
    <t>Depreciated Value
(INR)</t>
  </si>
  <si>
    <t>Floor</t>
  </si>
  <si>
    <r>
      <t xml:space="preserve">Road
</t>
    </r>
    <r>
      <rPr>
        <b/>
        <i/>
        <sz val="10"/>
        <rFont val="Calibri"/>
        <family val="2"/>
        <scheme val="minor"/>
      </rPr>
      <t>(in mtr.)As per approved plan approx.</t>
    </r>
  </si>
  <si>
    <t>VALUATION OF LAND</t>
  </si>
  <si>
    <t xml:space="preserve"> Land Area</t>
  </si>
  <si>
    <t>Land Area</t>
  </si>
  <si>
    <t>Circle rate per sq.mtr.</t>
  </si>
  <si>
    <t>Insurable Value</t>
  </si>
  <si>
    <t xml:space="preserve">S.No. </t>
  </si>
  <si>
    <t xml:space="preserve">Building Name </t>
  </si>
  <si>
    <t>Area
(in sq.mtr.)</t>
  </si>
  <si>
    <t>Area
(in sq.ft.)</t>
  </si>
  <si>
    <t>Depreciation</t>
  </si>
  <si>
    <t>Ground</t>
  </si>
  <si>
    <t>RCC</t>
  </si>
  <si>
    <r>
      <t xml:space="preserve">Total Life Consumed 
</t>
    </r>
    <r>
      <rPr>
        <b/>
        <i/>
        <sz val="9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</si>
  <si>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9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</si>
  <si>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9"/>
        <rFont val="Calibri"/>
        <family val="2"/>
        <scheme val="minor"/>
      </rPr>
      <t>(in per sq.ft)</t>
    </r>
  </si>
  <si>
    <t>Area in Sq.ft</t>
  </si>
  <si>
    <t>Area in Sq.mtr</t>
  </si>
  <si>
    <t>Security Room</t>
  </si>
  <si>
    <t>Height (in mtr)</t>
  </si>
  <si>
    <t>Average</t>
  </si>
  <si>
    <t>Height (in ft)</t>
  </si>
  <si>
    <t>Total:</t>
  </si>
  <si>
    <t>RV</t>
  </si>
  <si>
    <t>DSV</t>
  </si>
  <si>
    <t>RCC in Sq. ft</t>
  </si>
  <si>
    <t>Round off</t>
  </si>
  <si>
    <t>First Floor</t>
  </si>
  <si>
    <t>PEB Shed &amp; Mezzanine sq. ft</t>
  </si>
  <si>
    <t>Boundary Wall + L.S</t>
  </si>
  <si>
    <t xml:space="preserve">Basic rate </t>
  </si>
  <si>
    <t>Particulars</t>
  </si>
  <si>
    <t>Main Plant</t>
  </si>
  <si>
    <t>Admin Building</t>
  </si>
  <si>
    <t>New Shed</t>
  </si>
  <si>
    <t>Second Floor</t>
  </si>
  <si>
    <t>Utility Area</t>
  </si>
  <si>
    <t>Store &amp; Canteen Area</t>
  </si>
  <si>
    <t>Admin Area</t>
  </si>
  <si>
    <t>Guest House Area</t>
  </si>
  <si>
    <t>GI Shed,Iron Truss, PCC Flooring</t>
  </si>
  <si>
    <t>Condition of structure</t>
  </si>
  <si>
    <t xml:space="preserve">1. The subject property is situated at Plot No. 629 To 637, Kandla Special Economic Zone (Kasez), Gandhidham, District- Kutch, Gujarat.
</t>
  </si>
  <si>
    <t>15000000-25000000</t>
  </si>
  <si>
    <t>Area in Acre</t>
  </si>
  <si>
    <t>P&amp;M</t>
  </si>
  <si>
    <t>DV</t>
  </si>
  <si>
    <t>L.S for Gate,Internal road and other amenities</t>
  </si>
  <si>
    <t>Total GV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</si>
</sst>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  <numFmt numFmtId="167" formatCode="0.000"/>
    <numFmt numFmtId="168" formatCode="_ * #,##0.000_ ;_ * \-#,##0.000_ ;_ * &quot;-&quot;??_ ;_ @_ "/>
    <numFmt numFmtId="169" formatCode="0.0000"/>
    <numFmt numFmtId="170" formatCode="_ &quot;₹&quot;\ * #,##0_ ;_ &quot;₹&quot;\ * \-#,##0_ ;_ &quot;₹&quot;\ * &quot;-&quot;??_ ;_ @_ "/>
    <numFmt numFmtId="171" formatCode="_ * #,##0_ ;_ * \-#,##0_ ;_ * &quot;-&quot;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43" fontId="0" fillId="0" borderId="0" xfId="0" applyNumberForma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Continuous"/>
    </xf>
    <xf numFmtId="0" fontId="2" fillId="4" borderId="1" xfId="0" applyFont="1" applyFill="1" applyBorder="1" applyAlignment="1">
      <alignment horizontal="centerContinuous"/>
    </xf>
    <xf numFmtId="0" fontId="0" fillId="4" borderId="1" xfId="0" applyFill="1" applyBorder="1" applyAlignment="1">
      <alignment horizontal="centerContinuous"/>
    </xf>
    <xf numFmtId="1" fontId="0" fillId="0" borderId="0" xfId="0" applyNumberFormat="1"/>
    <xf numFmtId="164" fontId="2" fillId="0" borderId="1" xfId="3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2" fillId="5" borderId="1" xfId="0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7" fillId="7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5" applyNumberFormat="1" applyFont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164" fontId="0" fillId="0" borderId="0" xfId="0" applyNumberFormat="1"/>
    <xf numFmtId="43" fontId="0" fillId="0" borderId="2" xfId="1" applyFont="1" applyBorder="1" applyAlignment="1">
      <alignment horizontal="center" vertical="center"/>
    </xf>
    <xf numFmtId="164" fontId="0" fillId="0" borderId="0" xfId="1" applyNumberFormat="1" applyFont="1" applyBorder="1"/>
    <xf numFmtId="165" fontId="1" fillId="0" borderId="1" xfId="1" applyNumberFormat="1" applyFont="1" applyFill="1" applyBorder="1" applyAlignment="1">
      <alignment horizontal="center" vertical="center"/>
    </xf>
    <xf numFmtId="164" fontId="1" fillId="0" borderId="1" xfId="3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64" fontId="0" fillId="0" borderId="0" xfId="1" applyNumberFormat="1" applyFont="1" applyFill="1" applyBorder="1"/>
    <xf numFmtId="43" fontId="0" fillId="0" borderId="0" xfId="1" applyFont="1" applyFill="1" applyBorder="1"/>
    <xf numFmtId="43" fontId="2" fillId="0" borderId="0" xfId="1" applyFont="1" applyFill="1" applyBorder="1"/>
    <xf numFmtId="164" fontId="9" fillId="0" borderId="0" xfId="1" applyNumberFormat="1" applyFont="1" applyFill="1" applyBorder="1" applyAlignment="1">
      <alignment horizontal="center" vertical="center" wrapText="1"/>
    </xf>
    <xf numFmtId="9" fontId="9" fillId="0" borderId="0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43" fontId="11" fillId="7" borderId="1" xfId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vertical="center"/>
    </xf>
    <xf numFmtId="0" fontId="0" fillId="7" borderId="1" xfId="0" applyFill="1" applyBorder="1"/>
    <xf numFmtId="164" fontId="0" fillId="8" borderId="1" xfId="0" applyNumberFormat="1" applyFill="1" applyBorder="1"/>
    <xf numFmtId="0" fontId="14" fillId="9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9" fontId="14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43" fontId="0" fillId="0" borderId="1" xfId="0" applyNumberFormat="1" applyBorder="1"/>
    <xf numFmtId="170" fontId="0" fillId="0" borderId="1" xfId="0" applyNumberFormat="1" applyBorder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10" fontId="1" fillId="0" borderId="1" xfId="2" applyNumberFormat="1" applyBorder="1" applyAlignment="1">
      <alignment horizontal="center" vertical="center"/>
    </xf>
    <xf numFmtId="171" fontId="0" fillId="0" borderId="0" xfId="0" applyNumberFormat="1"/>
    <xf numFmtId="164" fontId="15" fillId="9" borderId="1" xfId="0" applyNumberFormat="1" applyFont="1" applyFill="1" applyBorder="1" applyAlignment="1">
      <alignment vertical="center"/>
    </xf>
    <xf numFmtId="164" fontId="15" fillId="9" borderId="1" xfId="1" applyNumberFormat="1" applyFont="1" applyFill="1" applyBorder="1" applyAlignment="1">
      <alignment vertical="center"/>
    </xf>
    <xf numFmtId="43" fontId="15" fillId="9" borderId="1" xfId="1" applyFont="1" applyFill="1" applyBorder="1" applyAlignment="1">
      <alignment vertical="center"/>
    </xf>
    <xf numFmtId="170" fontId="0" fillId="2" borderId="1" xfId="5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10" borderId="1" xfId="0" applyFill="1" applyBorder="1"/>
    <xf numFmtId="2" fontId="0" fillId="10" borderId="1" xfId="0" applyNumberFormat="1" applyFill="1" applyBorder="1"/>
    <xf numFmtId="43" fontId="0" fillId="10" borderId="1" xfId="0" applyNumberFormat="1" applyFill="1" applyBorder="1"/>
    <xf numFmtId="43" fontId="0" fillId="10" borderId="1" xfId="1" applyFont="1" applyFill="1" applyBorder="1"/>
    <xf numFmtId="0" fontId="0" fillId="11" borderId="1" xfId="0" applyFill="1" applyBorder="1"/>
    <xf numFmtId="9" fontId="0" fillId="0" borderId="1" xfId="4" applyFont="1" applyBorder="1"/>
    <xf numFmtId="0" fontId="14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5" borderId="1" xfId="0" applyNumberFormat="1" applyFill="1" applyBorder="1"/>
    <xf numFmtId="43" fontId="0" fillId="0" borderId="1" xfId="1" quotePrefix="1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8" fontId="0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9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0" fillId="12" borderId="1" xfId="0" applyNumberFormat="1" applyFont="1" applyFill="1" applyBorder="1" applyAlignment="1">
      <alignment horizontal="center" vertical="center"/>
    </xf>
    <xf numFmtId="3" fontId="16" fillId="12" borderId="1" xfId="0" applyNumberFormat="1" applyFont="1" applyFill="1" applyBorder="1"/>
    <xf numFmtId="164" fontId="1" fillId="12" borderId="1" xfId="1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/>
    <xf numFmtId="0" fontId="0" fillId="10" borderId="1" xfId="0" applyFill="1" applyBorder="1" applyAlignment="1">
      <alignment wrapText="1"/>
    </xf>
    <xf numFmtId="164" fontId="0" fillId="0" borderId="1" xfId="1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/>
  </cellXfs>
  <cellStyles count="6">
    <cellStyle name="Comma" xfId="1" builtinId="3"/>
    <cellStyle name="Comma 3" xfId="3"/>
    <cellStyle name="Currency" xfId="5" builtinId="4"/>
    <cellStyle name="Normal" xfId="0" builtinId="0"/>
    <cellStyle name="Normal 2 2" xfId="2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I1" workbookViewId="0">
      <selection activeCell="L18" sqref="L18"/>
    </sheetView>
  </sheetViews>
  <sheetFormatPr defaultRowHeight="15" x14ac:dyDescent="0.25"/>
  <cols>
    <col min="2" max="2" width="17.7109375" customWidth="1"/>
    <col min="3" max="5" width="14.140625" customWidth="1"/>
    <col min="6" max="6" width="24.42578125" customWidth="1"/>
    <col min="7" max="7" width="22.42578125" customWidth="1"/>
    <col min="8" max="8" width="16.85546875" customWidth="1"/>
    <col min="9" max="9" width="19.140625" customWidth="1"/>
    <col min="10" max="10" width="15.28515625" bestFit="1" customWidth="1"/>
    <col min="11" max="11" width="19.28515625" customWidth="1"/>
    <col min="12" max="12" width="27" customWidth="1"/>
    <col min="13" max="13" width="24.28515625" customWidth="1"/>
    <col min="14" max="14" width="17.28515625" customWidth="1"/>
    <col min="15" max="15" width="16.7109375" bestFit="1" customWidth="1"/>
    <col min="16" max="16" width="13.28515625" bestFit="1" customWidth="1"/>
    <col min="17" max="17" width="11.5703125" bestFit="1" customWidth="1"/>
    <col min="18" max="18" width="17.28515625" customWidth="1"/>
    <col min="20" max="21" width="11.5703125" bestFit="1" customWidth="1"/>
  </cols>
  <sheetData>
    <row r="1" spans="2:21" x14ac:dyDescent="0.25">
      <c r="G1" s="28"/>
    </row>
    <row r="2" spans="2:21" x14ac:dyDescent="0.25">
      <c r="B2" s="19" t="s">
        <v>35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2:21" x14ac:dyDescent="0.25">
      <c r="B3" s="7" t="s">
        <v>3</v>
      </c>
      <c r="C3" s="7" t="s">
        <v>1</v>
      </c>
      <c r="D3" s="18" t="s">
        <v>51</v>
      </c>
      <c r="E3" s="18" t="s">
        <v>78</v>
      </c>
      <c r="F3" s="18" t="s">
        <v>50</v>
      </c>
      <c r="G3" s="18" t="s">
        <v>4</v>
      </c>
      <c r="H3" s="18" t="s">
        <v>64</v>
      </c>
      <c r="I3" s="7" t="s">
        <v>5</v>
      </c>
      <c r="J3" s="7" t="s">
        <v>6</v>
      </c>
      <c r="K3" s="7" t="s">
        <v>7</v>
      </c>
      <c r="L3" s="7" t="s">
        <v>0</v>
      </c>
      <c r="M3" s="7" t="s">
        <v>8</v>
      </c>
    </row>
    <row r="4" spans="2:21" x14ac:dyDescent="0.25">
      <c r="B4" s="4">
        <v>1</v>
      </c>
      <c r="C4" s="8" t="s">
        <v>36</v>
      </c>
      <c r="D4" s="84">
        <v>43978</v>
      </c>
      <c r="E4" s="88">
        <f>D4/4046.86</f>
        <v>10.86719085908581</v>
      </c>
      <c r="F4" s="29">
        <f>D4*10.7639</f>
        <v>473374.7942</v>
      </c>
      <c r="G4" s="86" t="s">
        <v>77</v>
      </c>
      <c r="H4" s="31">
        <v>20000000</v>
      </c>
      <c r="I4" s="68">
        <v>0</v>
      </c>
      <c r="J4" s="68">
        <v>0.1</v>
      </c>
      <c r="K4" s="31">
        <f>H4*1.1</f>
        <v>22000000</v>
      </c>
      <c r="L4" s="32">
        <f>K4*E4</f>
        <v>239078198.8998878</v>
      </c>
      <c r="M4" s="6"/>
    </row>
    <row r="5" spans="2:21" x14ac:dyDescent="0.25">
      <c r="B5" s="90" t="s">
        <v>2</v>
      </c>
      <c r="C5" s="91"/>
      <c r="D5" s="84">
        <f>SUM(D4)</f>
        <v>43978</v>
      </c>
      <c r="E5" s="87"/>
      <c r="F5" s="14"/>
      <c r="G5" s="15"/>
      <c r="H5" s="15"/>
      <c r="I5" s="15"/>
      <c r="J5" s="15"/>
      <c r="K5" s="15"/>
      <c r="L5" s="13">
        <f>SUM(L4:L4)</f>
        <v>239078198.8998878</v>
      </c>
      <c r="M5" s="5"/>
      <c r="O5" s="16"/>
    </row>
    <row r="6" spans="2:21" x14ac:dyDescent="0.25">
      <c r="B6" s="93" t="s">
        <v>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21" ht="24" customHeight="1" x14ac:dyDescent="0.25">
      <c r="B7" s="96" t="s">
        <v>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O7" s="12"/>
    </row>
    <row r="8" spans="2:21" x14ac:dyDescent="0.25">
      <c r="B8" s="93" t="s">
        <v>10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</row>
    <row r="9" spans="2:21" x14ac:dyDescent="0.25">
      <c r="B9" s="93" t="s">
        <v>11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1" spans="2:21" x14ac:dyDescent="0.25">
      <c r="B11" s="10" t="s">
        <v>13</v>
      </c>
      <c r="C11" s="11"/>
      <c r="D11" s="11"/>
      <c r="E11" s="11"/>
      <c r="F11" s="11"/>
      <c r="G11" s="11"/>
      <c r="H11" s="9"/>
      <c r="K11" s="17" t="s">
        <v>26</v>
      </c>
      <c r="L11" s="116">
        <f>Land!L5</f>
        <v>239078198.8998878</v>
      </c>
      <c r="N11" s="12"/>
    </row>
    <row r="12" spans="2:21" x14ac:dyDescent="0.25">
      <c r="B12" s="2" t="s">
        <v>3</v>
      </c>
      <c r="C12" s="2" t="s">
        <v>1</v>
      </c>
      <c r="D12" s="18" t="s">
        <v>51</v>
      </c>
      <c r="E12" s="18" t="s">
        <v>78</v>
      </c>
      <c r="F12" s="18" t="s">
        <v>50</v>
      </c>
      <c r="G12" s="3" t="s">
        <v>38</v>
      </c>
      <c r="H12" s="2" t="s">
        <v>12</v>
      </c>
      <c r="K12" s="17" t="s">
        <v>27</v>
      </c>
      <c r="L12" s="116">
        <f>'Building Sheet'!W23</f>
        <v>210448849.75759724</v>
      </c>
    </row>
    <row r="13" spans="2:21" x14ac:dyDescent="0.25">
      <c r="B13" s="4">
        <v>1</v>
      </c>
      <c r="C13" s="8" t="s">
        <v>37</v>
      </c>
      <c r="D13" s="84">
        <f>D5</f>
        <v>43978</v>
      </c>
      <c r="E13" s="88">
        <f>D13/4046.86</f>
        <v>10.86719085908581</v>
      </c>
      <c r="F13" s="29">
        <f>D13*10.7639</f>
        <v>473374.7942</v>
      </c>
      <c r="G13" s="121">
        <v>4800</v>
      </c>
      <c r="H13" s="113">
        <f>G13*D13</f>
        <v>211094400</v>
      </c>
      <c r="K13" s="17" t="s">
        <v>63</v>
      </c>
      <c r="L13" s="116">
        <f>'Boundary Wall'!N14</f>
        <v>5000000</v>
      </c>
      <c r="T13" s="30"/>
    </row>
    <row r="14" spans="2:21" x14ac:dyDescent="0.25">
      <c r="B14" s="92" t="s">
        <v>2</v>
      </c>
      <c r="C14" s="92"/>
      <c r="D14" s="84">
        <f>SUM(D13)</f>
        <v>43978</v>
      </c>
      <c r="E14" s="87"/>
      <c r="F14" s="14"/>
      <c r="G14" s="122"/>
      <c r="H14" s="115">
        <f>SUM(H13:H13)</f>
        <v>211094400</v>
      </c>
      <c r="K14" s="17" t="s">
        <v>79</v>
      </c>
      <c r="L14" s="117">
        <v>144474840</v>
      </c>
      <c r="S14" s="30"/>
    </row>
    <row r="15" spans="2:21" x14ac:dyDescent="0.25">
      <c r="K15" s="17" t="s">
        <v>2</v>
      </c>
      <c r="L15" s="116">
        <f>SUM(L11:L14)</f>
        <v>599001888.65748501</v>
      </c>
      <c r="T15" s="30"/>
    </row>
    <row r="16" spans="2:21" x14ac:dyDescent="0.25">
      <c r="D16" s="75" t="s">
        <v>82</v>
      </c>
      <c r="E16" s="75"/>
      <c r="F16" s="85">
        <f>H14</f>
        <v>211094400</v>
      </c>
      <c r="K16" s="17" t="s">
        <v>14</v>
      </c>
      <c r="L16" s="116">
        <f>ROUND(L15,-6)</f>
        <v>599000000</v>
      </c>
      <c r="U16" s="30"/>
    </row>
    <row r="17" spans="1:12" x14ac:dyDescent="0.25">
      <c r="A17" s="33"/>
      <c r="B17" s="33"/>
      <c r="C17" s="33"/>
      <c r="D17" s="33"/>
      <c r="E17" s="33"/>
      <c r="F17" s="33"/>
      <c r="G17" s="34"/>
      <c r="H17" s="34"/>
      <c r="I17" s="34"/>
      <c r="K17" s="17" t="s">
        <v>57</v>
      </c>
      <c r="L17" s="118">
        <f>L16*0.85</f>
        <v>509150000</v>
      </c>
    </row>
    <row r="18" spans="1:12" x14ac:dyDescent="0.25">
      <c r="G18" s="36"/>
      <c r="H18" s="76" t="s">
        <v>0</v>
      </c>
      <c r="I18" s="114">
        <f>L16</f>
        <v>599000000</v>
      </c>
      <c r="K18" s="17" t="s">
        <v>80</v>
      </c>
      <c r="L18" s="119">
        <f>L16*0.75</f>
        <v>449250000</v>
      </c>
    </row>
    <row r="19" spans="1:12" x14ac:dyDescent="0.25">
      <c r="G19" s="36"/>
      <c r="H19" s="77" t="s">
        <v>57</v>
      </c>
      <c r="I19" s="115">
        <f>I18*0.85</f>
        <v>509150000</v>
      </c>
    </row>
    <row r="20" spans="1:12" x14ac:dyDescent="0.25">
      <c r="G20" s="36"/>
      <c r="H20" s="78" t="s">
        <v>58</v>
      </c>
      <c r="I20" s="115">
        <f>I18*0.75</f>
        <v>449250000</v>
      </c>
    </row>
    <row r="21" spans="1:12" x14ac:dyDescent="0.25">
      <c r="H21" s="36"/>
      <c r="I21" s="36"/>
      <c r="K21" s="99"/>
      <c r="L21" s="99"/>
    </row>
    <row r="22" spans="1:12" x14ac:dyDescent="0.25">
      <c r="G22" s="36"/>
      <c r="H22" s="36"/>
      <c r="I22" s="36"/>
    </row>
    <row r="23" spans="1:12" x14ac:dyDescent="0.25">
      <c r="G23" s="36"/>
      <c r="H23" s="36"/>
      <c r="I23" s="36"/>
      <c r="L23" s="28"/>
    </row>
    <row r="24" spans="1:12" x14ac:dyDescent="0.25">
      <c r="G24" s="36"/>
      <c r="H24" s="36"/>
      <c r="I24" s="36"/>
    </row>
    <row r="25" spans="1:12" x14ac:dyDescent="0.25">
      <c r="A25" s="89"/>
      <c r="B25" s="89"/>
      <c r="C25" s="89"/>
      <c r="D25" s="89"/>
      <c r="E25" s="89"/>
      <c r="F25" s="89"/>
      <c r="G25" s="89"/>
      <c r="H25" s="89"/>
      <c r="I25" s="37"/>
    </row>
  </sheetData>
  <mergeCells count="8">
    <mergeCell ref="A25:H25"/>
    <mergeCell ref="B5:C5"/>
    <mergeCell ref="B14:C14"/>
    <mergeCell ref="B6:M6"/>
    <mergeCell ref="B7:M7"/>
    <mergeCell ref="B8:M8"/>
    <mergeCell ref="B9:M9"/>
    <mergeCell ref="K21:L21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32"/>
  <sheetViews>
    <sheetView topLeftCell="U1" zoomScale="85" zoomScaleNormal="85" workbookViewId="0">
      <selection activeCell="AD17" sqref="AD17"/>
    </sheetView>
  </sheetViews>
  <sheetFormatPr defaultRowHeight="15" x14ac:dyDescent="0.25"/>
  <cols>
    <col min="2" max="2" width="4.140625" customWidth="1"/>
    <col min="3" max="3" width="4.85546875" bestFit="1" customWidth="1"/>
    <col min="4" max="4" width="15" bestFit="1" customWidth="1"/>
    <col min="5" max="5" width="11.5703125" bestFit="1" customWidth="1"/>
    <col min="6" max="6" width="27.42578125" bestFit="1" customWidth="1"/>
    <col min="7" max="7" width="26.85546875" bestFit="1" customWidth="1"/>
    <col min="8" max="8" width="12.7109375" bestFit="1" customWidth="1"/>
    <col min="9" max="9" width="12.140625" bestFit="1" customWidth="1"/>
    <col min="10" max="10" width="10.85546875" bestFit="1" customWidth="1"/>
    <col min="11" max="11" width="7.85546875" bestFit="1" customWidth="1"/>
    <col min="12" max="12" width="10.42578125" bestFit="1" customWidth="1"/>
    <col min="13" max="13" width="13.5703125" bestFit="1" customWidth="1"/>
    <col min="14" max="14" width="10.42578125" bestFit="1" customWidth="1"/>
    <col min="15" max="15" width="20.85546875" bestFit="1" customWidth="1"/>
    <col min="16" max="16" width="22" bestFit="1" customWidth="1"/>
    <col min="17" max="17" width="14.7109375" bestFit="1" customWidth="1"/>
    <col min="18" max="18" width="17.28515625" bestFit="1" customWidth="1"/>
    <col min="19" max="19" width="26.140625" bestFit="1" customWidth="1"/>
    <col min="20" max="20" width="15" bestFit="1" customWidth="1"/>
    <col min="21" max="21" width="21.140625" bestFit="1" customWidth="1"/>
    <col min="22" max="22" width="19.42578125" bestFit="1" customWidth="1"/>
    <col min="23" max="23" width="39.42578125" bestFit="1" customWidth="1"/>
    <col min="24" max="24" width="10" bestFit="1" customWidth="1"/>
  </cols>
  <sheetData>
    <row r="3" spans="2:23" ht="15.6" customHeight="1" x14ac:dyDescent="0.2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2:23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23" x14ac:dyDescent="0.25">
      <c r="B5" s="41"/>
      <c r="C5" s="42"/>
      <c r="D5" s="42"/>
      <c r="E5" s="42"/>
      <c r="F5" s="43"/>
      <c r="H5" s="35"/>
      <c r="I5" s="36"/>
      <c r="J5" s="44"/>
      <c r="K5" s="45"/>
      <c r="L5" s="45"/>
      <c r="M5" s="45"/>
      <c r="N5" s="45"/>
      <c r="O5" s="46"/>
      <c r="P5" s="47"/>
      <c r="Q5" s="45"/>
      <c r="R5" s="38"/>
      <c r="S5" s="48"/>
      <c r="T5" s="49"/>
      <c r="U5" s="49"/>
      <c r="V5" s="39"/>
      <c r="W5" s="38"/>
    </row>
    <row r="6" spans="2:23" x14ac:dyDescent="0.25">
      <c r="B6" s="41"/>
      <c r="C6" s="42"/>
      <c r="D6" s="42"/>
      <c r="E6" s="42"/>
      <c r="F6" s="50"/>
      <c r="H6" s="35"/>
      <c r="I6" s="36"/>
      <c r="J6" s="44"/>
      <c r="K6" s="45"/>
      <c r="L6" s="45"/>
      <c r="M6" s="45"/>
      <c r="N6" s="45"/>
      <c r="O6" s="46"/>
      <c r="P6" s="47"/>
      <c r="Q6" s="45"/>
      <c r="R6" s="38"/>
      <c r="S6" s="48"/>
      <c r="T6" s="49"/>
      <c r="U6" s="49"/>
      <c r="V6" s="39"/>
      <c r="W6" s="38"/>
    </row>
    <row r="7" spans="2:23" x14ac:dyDescent="0.25">
      <c r="B7" s="104"/>
      <c r="C7" s="104"/>
      <c r="D7" s="104"/>
      <c r="E7" s="104"/>
      <c r="F7" s="40"/>
      <c r="G7" s="51"/>
      <c r="H7" s="51"/>
      <c r="I7" s="36"/>
      <c r="J7" s="52"/>
      <c r="K7" s="52"/>
      <c r="L7" s="52"/>
      <c r="M7" s="52"/>
      <c r="N7" s="52"/>
      <c r="O7" s="52"/>
      <c r="P7" s="52"/>
      <c r="Q7" s="52"/>
      <c r="R7" s="51"/>
      <c r="S7" s="51"/>
      <c r="T7" s="51"/>
      <c r="U7" s="51"/>
      <c r="V7" s="51"/>
      <c r="W7" s="51"/>
    </row>
    <row r="8" spans="2:23" x14ac:dyDescent="0.25"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</row>
    <row r="9" spans="2:23" x14ac:dyDescent="0.25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</row>
    <row r="10" spans="2:23" x14ac:dyDescent="0.25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2:23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</row>
    <row r="13" spans="2:23" x14ac:dyDescent="0.25">
      <c r="S13" s="56" t="s">
        <v>39</v>
      </c>
      <c r="T13" s="57">
        <f>S23*0.8</f>
        <v>250311084.49647999</v>
      </c>
      <c r="U13" s="1"/>
      <c r="W13" s="69"/>
    </row>
    <row r="15" spans="2:23" ht="24" x14ac:dyDescent="0.25">
      <c r="C15" s="53" t="s">
        <v>40</v>
      </c>
      <c r="D15" s="53" t="s">
        <v>41</v>
      </c>
      <c r="E15" s="53" t="s">
        <v>33</v>
      </c>
      <c r="F15" s="53" t="s">
        <v>65</v>
      </c>
      <c r="G15" s="53" t="s">
        <v>15</v>
      </c>
      <c r="H15" s="53" t="s">
        <v>75</v>
      </c>
      <c r="I15" s="54" t="s">
        <v>42</v>
      </c>
      <c r="J15" s="53" t="s">
        <v>43</v>
      </c>
      <c r="K15" s="53" t="s">
        <v>53</v>
      </c>
      <c r="L15" s="53" t="s">
        <v>55</v>
      </c>
      <c r="M15" s="53" t="s">
        <v>16</v>
      </c>
      <c r="N15" s="53" t="s">
        <v>17</v>
      </c>
      <c r="O15" s="53" t="s">
        <v>47</v>
      </c>
      <c r="P15" s="53" t="s">
        <v>48</v>
      </c>
      <c r="Q15" s="53" t="s">
        <v>20</v>
      </c>
      <c r="R15" s="53" t="s">
        <v>49</v>
      </c>
      <c r="S15" s="53" t="s">
        <v>22</v>
      </c>
      <c r="T15" s="53" t="s">
        <v>44</v>
      </c>
      <c r="U15" s="53" t="s">
        <v>23</v>
      </c>
      <c r="V15" s="53" t="s">
        <v>24</v>
      </c>
      <c r="W15" s="53" t="s">
        <v>25</v>
      </c>
    </row>
    <row r="16" spans="2:23" ht="19.5" customHeight="1" x14ac:dyDescent="0.25">
      <c r="C16" s="82">
        <v>1</v>
      </c>
      <c r="D16" s="82" t="s">
        <v>66</v>
      </c>
      <c r="E16" s="59" t="s">
        <v>45</v>
      </c>
      <c r="F16" s="60" t="s">
        <v>66</v>
      </c>
      <c r="G16" s="60" t="s">
        <v>74</v>
      </c>
      <c r="H16" s="60" t="s">
        <v>54</v>
      </c>
      <c r="I16" s="62">
        <v>19244.7</v>
      </c>
      <c r="J16" s="55">
        <f>I16*10.7639</f>
        <v>207148.02632999999</v>
      </c>
      <c r="K16" s="60">
        <v>14</v>
      </c>
      <c r="L16" s="60">
        <f>K16*3.28084</f>
        <v>45.931759999999997</v>
      </c>
      <c r="M16" s="59">
        <v>2008</v>
      </c>
      <c r="N16" s="59">
        <v>2025</v>
      </c>
      <c r="O16" s="60">
        <f>N16-M16</f>
        <v>17</v>
      </c>
      <c r="P16" s="60">
        <v>45</v>
      </c>
      <c r="Q16" s="61">
        <v>0.1</v>
      </c>
      <c r="R16" s="60">
        <v>1200</v>
      </c>
      <c r="S16" s="62">
        <f t="shared" ref="S16:S22" si="0">R16*J16</f>
        <v>248577631.59599999</v>
      </c>
      <c r="T16" s="62">
        <f>S16*((1-Q16)/P16*IF(P16&gt;O16,O16,P16))</f>
        <v>84516394.742640004</v>
      </c>
      <c r="U16" s="55">
        <f>S16-T16</f>
        <v>164061236.85336</v>
      </c>
      <c r="V16" s="80">
        <v>0</v>
      </c>
      <c r="W16" s="55">
        <f>U16*(1-V16)</f>
        <v>164061236.85336</v>
      </c>
    </row>
    <row r="17" spans="3:23" x14ac:dyDescent="0.25">
      <c r="C17" s="108">
        <v>2</v>
      </c>
      <c r="D17" s="105" t="s">
        <v>67</v>
      </c>
      <c r="E17" s="66" t="s">
        <v>45</v>
      </c>
      <c r="F17" s="59" t="s">
        <v>70</v>
      </c>
      <c r="G17" s="60" t="s">
        <v>46</v>
      </c>
      <c r="H17" s="60" t="s">
        <v>54</v>
      </c>
      <c r="I17" s="62">
        <v>530</v>
      </c>
      <c r="J17" s="55">
        <f t="shared" ref="J17:J22" si="1">I17*10.7639</f>
        <v>5704.8670000000002</v>
      </c>
      <c r="K17" s="60">
        <v>8</v>
      </c>
      <c r="L17" s="60">
        <f t="shared" ref="L17:L22" si="2">K17*3.28084</f>
        <v>26.24672</v>
      </c>
      <c r="M17" s="59">
        <v>2008</v>
      </c>
      <c r="N17" s="60">
        <v>2025</v>
      </c>
      <c r="O17" s="60">
        <f>N17-M17</f>
        <v>17</v>
      </c>
      <c r="P17" s="60">
        <v>65</v>
      </c>
      <c r="Q17" s="61">
        <v>0.1</v>
      </c>
      <c r="R17" s="60">
        <v>1400</v>
      </c>
      <c r="S17" s="62">
        <f t="shared" si="0"/>
        <v>7986813.7999999998</v>
      </c>
      <c r="T17" s="62">
        <f>S17*((1-Q17)/P17*IF(P17&gt;O17,O17,P17))</f>
        <v>1879973.0944615384</v>
      </c>
      <c r="U17" s="55">
        <f>S17-T17</f>
        <v>6106840.705538461</v>
      </c>
      <c r="V17" s="80">
        <v>0</v>
      </c>
      <c r="W17" s="55">
        <f t="shared" ref="W17:W22" si="3">U17*(1-V17)</f>
        <v>6106840.705538461</v>
      </c>
    </row>
    <row r="18" spans="3:23" x14ac:dyDescent="0.25">
      <c r="C18" s="109"/>
      <c r="D18" s="106"/>
      <c r="E18" s="66" t="s">
        <v>45</v>
      </c>
      <c r="F18" s="59" t="s">
        <v>71</v>
      </c>
      <c r="G18" s="60" t="s">
        <v>46</v>
      </c>
      <c r="H18" s="60" t="s">
        <v>54</v>
      </c>
      <c r="I18" s="62">
        <v>716.38</v>
      </c>
      <c r="J18" s="55">
        <f t="shared" si="1"/>
        <v>7711.0426819999993</v>
      </c>
      <c r="K18" s="60">
        <v>4</v>
      </c>
      <c r="L18" s="60">
        <f t="shared" si="2"/>
        <v>13.12336</v>
      </c>
      <c r="M18" s="59">
        <v>2008</v>
      </c>
      <c r="N18" s="60">
        <v>2025</v>
      </c>
      <c r="O18" s="60">
        <f>N18-M18</f>
        <v>17</v>
      </c>
      <c r="P18" s="60">
        <v>65</v>
      </c>
      <c r="Q18" s="61">
        <v>0.1</v>
      </c>
      <c r="R18" s="60">
        <v>1400</v>
      </c>
      <c r="S18" s="62">
        <f t="shared" ref="S18" si="4">R18*J18</f>
        <v>10795459.754799999</v>
      </c>
      <c r="T18" s="62">
        <f>S18*((1-Q18)/P18*IF(P18&gt;O18,O18,P18))</f>
        <v>2541085.142283692</v>
      </c>
      <c r="U18" s="55">
        <f>S18-T18</f>
        <v>8254374.6125163073</v>
      </c>
      <c r="V18" s="80">
        <v>0</v>
      </c>
      <c r="W18" s="55">
        <f t="shared" si="3"/>
        <v>8254374.6125163073</v>
      </c>
    </row>
    <row r="19" spans="3:23" ht="28.5" customHeight="1" x14ac:dyDescent="0.25">
      <c r="C19" s="109"/>
      <c r="D19" s="106"/>
      <c r="E19" s="59" t="s">
        <v>61</v>
      </c>
      <c r="F19" s="59" t="s">
        <v>72</v>
      </c>
      <c r="G19" s="60" t="s">
        <v>46</v>
      </c>
      <c r="H19" s="60" t="s">
        <v>54</v>
      </c>
      <c r="I19" s="62">
        <v>716.38</v>
      </c>
      <c r="J19" s="55">
        <f t="shared" si="1"/>
        <v>7711.0426819999993</v>
      </c>
      <c r="K19" s="60">
        <v>3</v>
      </c>
      <c r="L19" s="60">
        <f t="shared" si="2"/>
        <v>9.8425200000000004</v>
      </c>
      <c r="M19" s="59">
        <v>2008</v>
      </c>
      <c r="N19" s="60">
        <v>2025</v>
      </c>
      <c r="O19" s="60">
        <f t="shared" ref="O19:O22" si="5">N19-M19</f>
        <v>17</v>
      </c>
      <c r="P19" s="60">
        <v>65</v>
      </c>
      <c r="Q19" s="61">
        <v>0.1</v>
      </c>
      <c r="R19" s="60">
        <v>1400</v>
      </c>
      <c r="S19" s="62">
        <f t="shared" si="0"/>
        <v>10795459.754799999</v>
      </c>
      <c r="T19" s="62">
        <f t="shared" ref="T19:T22" si="6">S19*((1-Q19)/P19*IF(P19&gt;O19,O19,P19))</f>
        <v>2541085.142283692</v>
      </c>
      <c r="U19" s="55">
        <f t="shared" ref="U19:U22" si="7">S19-T19</f>
        <v>8254374.6125163073</v>
      </c>
      <c r="V19" s="80">
        <v>0</v>
      </c>
      <c r="W19" s="55">
        <f t="shared" si="3"/>
        <v>8254374.6125163073</v>
      </c>
    </row>
    <row r="20" spans="3:23" x14ac:dyDescent="0.25">
      <c r="C20" s="110"/>
      <c r="D20" s="107"/>
      <c r="E20" s="59" t="s">
        <v>69</v>
      </c>
      <c r="F20" s="59" t="s">
        <v>73</v>
      </c>
      <c r="G20" s="60" t="s">
        <v>46</v>
      </c>
      <c r="H20" s="60" t="s">
        <v>54</v>
      </c>
      <c r="I20" s="62">
        <v>537.85</v>
      </c>
      <c r="J20" s="55">
        <f t="shared" si="1"/>
        <v>5789.3636150000002</v>
      </c>
      <c r="K20" s="60">
        <v>3</v>
      </c>
      <c r="L20" s="60">
        <f t="shared" si="2"/>
        <v>9.8425200000000004</v>
      </c>
      <c r="M20" s="59">
        <v>2008</v>
      </c>
      <c r="N20" s="60">
        <v>2025</v>
      </c>
      <c r="O20" s="60">
        <f t="shared" si="5"/>
        <v>17</v>
      </c>
      <c r="P20" s="60">
        <v>65</v>
      </c>
      <c r="Q20" s="61">
        <v>0.1</v>
      </c>
      <c r="R20" s="60">
        <v>1400</v>
      </c>
      <c r="S20" s="62">
        <f t="shared" si="0"/>
        <v>8105109.0610000007</v>
      </c>
      <c r="T20" s="62">
        <f t="shared" si="6"/>
        <v>1907817.9789738464</v>
      </c>
      <c r="U20" s="55">
        <f t="shared" si="7"/>
        <v>6197291.0820261538</v>
      </c>
      <c r="V20" s="80">
        <v>0</v>
      </c>
      <c r="W20" s="55">
        <f t="shared" si="3"/>
        <v>6197291.0820261538</v>
      </c>
    </row>
    <row r="21" spans="3:23" x14ac:dyDescent="0.25">
      <c r="C21" s="82">
        <v>3</v>
      </c>
      <c r="D21" s="65" t="s">
        <v>68</v>
      </c>
      <c r="E21" s="59" t="s">
        <v>45</v>
      </c>
      <c r="F21" s="60" t="s">
        <v>68</v>
      </c>
      <c r="G21" s="60" t="s">
        <v>74</v>
      </c>
      <c r="H21" s="60" t="s">
        <v>54</v>
      </c>
      <c r="I21" s="62">
        <v>2025</v>
      </c>
      <c r="J21" s="55">
        <f t="shared" si="1"/>
        <v>21796.897499999999</v>
      </c>
      <c r="K21" s="60">
        <v>3</v>
      </c>
      <c r="L21" s="60">
        <f t="shared" si="2"/>
        <v>9.8425200000000004</v>
      </c>
      <c r="M21" s="59">
        <v>2008</v>
      </c>
      <c r="N21" s="59">
        <v>2025</v>
      </c>
      <c r="O21" s="60">
        <f t="shared" si="5"/>
        <v>17</v>
      </c>
      <c r="P21" s="60">
        <v>45</v>
      </c>
      <c r="Q21" s="61">
        <v>0.1</v>
      </c>
      <c r="R21" s="60">
        <v>1200</v>
      </c>
      <c r="S21" s="62">
        <f t="shared" si="0"/>
        <v>26156277</v>
      </c>
      <c r="T21" s="62">
        <f t="shared" si="6"/>
        <v>8893134.1800000016</v>
      </c>
      <c r="U21" s="55">
        <f t="shared" si="7"/>
        <v>17263142.82</v>
      </c>
      <c r="V21" s="80">
        <v>0</v>
      </c>
      <c r="W21" s="55">
        <f t="shared" si="3"/>
        <v>17263142.82</v>
      </c>
    </row>
    <row r="22" spans="3:23" x14ac:dyDescent="0.25">
      <c r="C22" s="81">
        <v>4</v>
      </c>
      <c r="D22" s="67" t="s">
        <v>52</v>
      </c>
      <c r="E22" s="59" t="s">
        <v>45</v>
      </c>
      <c r="F22" s="59" t="s">
        <v>52</v>
      </c>
      <c r="G22" s="59" t="s">
        <v>46</v>
      </c>
      <c r="H22" s="60" t="s">
        <v>54</v>
      </c>
      <c r="I22" s="62">
        <v>36.549999999999997</v>
      </c>
      <c r="J22" s="55">
        <f t="shared" si="1"/>
        <v>393.42054499999995</v>
      </c>
      <c r="K22" s="60">
        <v>3.5</v>
      </c>
      <c r="L22" s="60">
        <f t="shared" si="2"/>
        <v>11.482939999999999</v>
      </c>
      <c r="M22" s="59">
        <v>2008</v>
      </c>
      <c r="N22" s="59">
        <v>2025</v>
      </c>
      <c r="O22" s="60">
        <f t="shared" si="5"/>
        <v>17</v>
      </c>
      <c r="P22" s="60">
        <v>45</v>
      </c>
      <c r="Q22" s="61">
        <v>0.1</v>
      </c>
      <c r="R22" s="60">
        <v>1200</v>
      </c>
      <c r="S22" s="62">
        <f t="shared" si="0"/>
        <v>472104.65399999992</v>
      </c>
      <c r="T22" s="62">
        <f t="shared" si="6"/>
        <v>160515.58235999997</v>
      </c>
      <c r="U22" s="55">
        <f t="shared" si="7"/>
        <v>311589.07163999998</v>
      </c>
      <c r="V22" s="80">
        <v>0</v>
      </c>
      <c r="W22" s="55">
        <f t="shared" si="3"/>
        <v>311589.07163999998</v>
      </c>
    </row>
    <row r="23" spans="3:23" x14ac:dyDescent="0.25">
      <c r="C23" s="100" t="s">
        <v>56</v>
      </c>
      <c r="D23" s="100"/>
      <c r="E23" s="100"/>
      <c r="F23" s="100"/>
      <c r="G23" s="100"/>
      <c r="H23" s="100"/>
      <c r="I23" s="72">
        <f>SUM(I16:I22)</f>
        <v>23806.86</v>
      </c>
      <c r="J23" s="71">
        <f>SUM(J16:J22)</f>
        <v>256254.66035399999</v>
      </c>
      <c r="K23" s="58"/>
      <c r="L23" s="58"/>
      <c r="M23" s="58"/>
      <c r="N23" s="58"/>
      <c r="O23" s="58"/>
      <c r="P23" s="58"/>
      <c r="Q23" s="58"/>
      <c r="R23" s="58"/>
      <c r="S23" s="70">
        <f>SUM(S16:S22)</f>
        <v>312888855.62059999</v>
      </c>
      <c r="T23" s="70">
        <f>SUM(T16:T22)</f>
        <v>102440005.86300279</v>
      </c>
      <c r="U23" s="71">
        <f>SUM(U16:U22)</f>
        <v>210448849.75759724</v>
      </c>
      <c r="V23" s="58"/>
      <c r="W23" s="70">
        <f>SUM(W16:W22)</f>
        <v>210448849.75759724</v>
      </c>
    </row>
    <row r="27" spans="3:23" x14ac:dyDescent="0.25">
      <c r="D27" s="83"/>
    </row>
    <row r="30" spans="3:23" x14ac:dyDescent="0.25">
      <c r="F30" s="75" t="s">
        <v>59</v>
      </c>
      <c r="G30" s="63">
        <f>I17+I18+I19+I20+I22</f>
        <v>2537.1600000000003</v>
      </c>
    </row>
    <row r="31" spans="3:23" x14ac:dyDescent="0.25">
      <c r="F31" s="75" t="s">
        <v>62</v>
      </c>
      <c r="G31" s="74">
        <f>I21+I16</f>
        <v>21269.7</v>
      </c>
    </row>
    <row r="32" spans="3:23" x14ac:dyDescent="0.25">
      <c r="F32" s="79" t="s">
        <v>2</v>
      </c>
      <c r="G32" s="63">
        <f>SUM(G30:G31)</f>
        <v>23806.86</v>
      </c>
    </row>
  </sheetData>
  <mergeCells count="9">
    <mergeCell ref="C23:H23"/>
    <mergeCell ref="B3:W3"/>
    <mergeCell ref="B10:W10"/>
    <mergeCell ref="B11:W11"/>
    <mergeCell ref="B7:E7"/>
    <mergeCell ref="B8:W8"/>
    <mergeCell ref="B9:W9"/>
    <mergeCell ref="D17:D20"/>
    <mergeCell ref="C17:C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4"/>
  <sheetViews>
    <sheetView workbookViewId="0">
      <selection activeCell="R10" sqref="R10"/>
    </sheetView>
  </sheetViews>
  <sheetFormatPr defaultRowHeight="15" x14ac:dyDescent="0.25"/>
  <cols>
    <col min="2" max="3" width="8.7109375" customWidth="1"/>
    <col min="4" max="4" width="8.42578125" customWidth="1"/>
    <col min="6" max="6" width="8.5703125" customWidth="1"/>
    <col min="7" max="7" width="7.7109375" customWidth="1"/>
    <col min="8" max="9" width="9" customWidth="1"/>
    <col min="10" max="12" width="13.28515625" bestFit="1" customWidth="1"/>
    <col min="13" max="13" width="11" customWidth="1"/>
    <col min="14" max="14" width="13.28515625" bestFit="1" customWidth="1"/>
  </cols>
  <sheetData>
    <row r="3" spans="2:14" ht="15.75" x14ac:dyDescent="0.25">
      <c r="B3" s="111" t="s">
        <v>28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2:14" ht="105" x14ac:dyDescent="0.25">
      <c r="B4" s="22" t="s">
        <v>29</v>
      </c>
      <c r="C4" s="22" t="s">
        <v>16</v>
      </c>
      <c r="D4" s="22" t="s">
        <v>17</v>
      </c>
      <c r="E4" s="22" t="s">
        <v>18</v>
      </c>
      <c r="F4" s="22" t="s">
        <v>19</v>
      </c>
      <c r="G4" s="22" t="s">
        <v>20</v>
      </c>
      <c r="H4" s="22" t="s">
        <v>21</v>
      </c>
      <c r="I4" s="22" t="s">
        <v>30</v>
      </c>
      <c r="J4" s="22" t="s">
        <v>22</v>
      </c>
      <c r="K4" s="22" t="s">
        <v>31</v>
      </c>
      <c r="L4" s="22" t="s">
        <v>32</v>
      </c>
      <c r="M4" s="22" t="s">
        <v>24</v>
      </c>
      <c r="N4" s="22" t="s">
        <v>25</v>
      </c>
    </row>
    <row r="5" spans="2:14" x14ac:dyDescent="0.25">
      <c r="B5" s="23">
        <v>985</v>
      </c>
      <c r="C5" s="8">
        <v>2008</v>
      </c>
      <c r="D5" s="8">
        <v>2025</v>
      </c>
      <c r="E5" s="8">
        <f>D5-C5</f>
        <v>17</v>
      </c>
      <c r="F5" s="8">
        <v>40</v>
      </c>
      <c r="G5" s="24">
        <v>0.1</v>
      </c>
      <c r="H5" s="25">
        <f>(1-G5)/F5</f>
        <v>2.2499999999999999E-2</v>
      </c>
      <c r="I5" s="73">
        <v>5000</v>
      </c>
      <c r="J5" s="26">
        <f>I5*B5</f>
        <v>4925000</v>
      </c>
      <c r="K5" s="26">
        <f>J5*H5*E5</f>
        <v>1883812.5</v>
      </c>
      <c r="L5" s="26">
        <f>MAX(J5-K5,0)</f>
        <v>3041187.5</v>
      </c>
      <c r="M5" s="27"/>
      <c r="N5" s="26">
        <f>IF(L5&gt;G5*J5,L5*(1-M5),J5*G5)</f>
        <v>3041187.5</v>
      </c>
    </row>
    <row r="8" spans="2:14" ht="105" x14ac:dyDescent="0.25">
      <c r="B8" s="22" t="s">
        <v>34</v>
      </c>
      <c r="C8" s="22" t="s">
        <v>16</v>
      </c>
      <c r="D8" s="22" t="s">
        <v>17</v>
      </c>
      <c r="E8" s="22" t="s">
        <v>18</v>
      </c>
      <c r="F8" s="22" t="s">
        <v>19</v>
      </c>
      <c r="G8" s="22" t="s">
        <v>20</v>
      </c>
      <c r="H8" s="22" t="s">
        <v>21</v>
      </c>
      <c r="I8" s="22" t="s">
        <v>30</v>
      </c>
      <c r="J8" s="22" t="s">
        <v>22</v>
      </c>
      <c r="K8" s="22" t="s">
        <v>31</v>
      </c>
      <c r="L8" s="22" t="s">
        <v>32</v>
      </c>
      <c r="M8" s="22" t="s">
        <v>24</v>
      </c>
      <c r="N8" s="22" t="s">
        <v>25</v>
      </c>
    </row>
    <row r="9" spans="2:14" x14ac:dyDescent="0.25">
      <c r="B9" s="23"/>
      <c r="C9" s="8"/>
      <c r="D9" s="8"/>
      <c r="E9" s="8"/>
      <c r="F9" s="8"/>
      <c r="G9" s="24"/>
      <c r="H9" s="25"/>
      <c r="I9" s="26"/>
      <c r="J9" s="26"/>
      <c r="K9" s="26"/>
      <c r="L9" s="26"/>
      <c r="M9" s="27"/>
      <c r="N9" s="26"/>
    </row>
    <row r="11" spans="2:14" ht="75" x14ac:dyDescent="0.25">
      <c r="M11" s="120" t="s">
        <v>81</v>
      </c>
      <c r="N11" s="112">
        <v>2000000</v>
      </c>
    </row>
    <row r="12" spans="2:14" x14ac:dyDescent="0.25">
      <c r="M12" s="56" t="s">
        <v>2</v>
      </c>
      <c r="N12" s="64">
        <f>N11+N5</f>
        <v>5041187.5</v>
      </c>
    </row>
    <row r="13" spans="2:14" x14ac:dyDescent="0.25">
      <c r="M13" s="56" t="s">
        <v>60</v>
      </c>
      <c r="N13" s="64">
        <f>ROUND(N12,-5)</f>
        <v>5000000</v>
      </c>
    </row>
    <row r="14" spans="2:14" x14ac:dyDescent="0.25">
      <c r="M14" s="56" t="s">
        <v>2</v>
      </c>
      <c r="N14" s="64">
        <f>ROUND(N13,-5)</f>
        <v>5000000</v>
      </c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</vt:lpstr>
      <vt:lpstr>Building Sheet</vt:lpstr>
      <vt:lpstr>Boundary Wall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2025-04-25T12:45:01Z</dcterms:modified>
</cp:coreProperties>
</file>